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Computer\Tabele_01-08-2025\Anexe_Grafice_Nota_Informativa_01-08-2025\"/>
    </mc:Choice>
  </mc:AlternateContent>
  <xr:revisionPtr revIDLastSave="0" documentId="13_ncr:1_{6DAD8EC0-DEEC-4B01-9F33-1830FC16E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Export_Tari" sheetId="1" r:id="rId1"/>
    <sheet name="2. Import_Tari" sheetId="2" r:id="rId2"/>
    <sheet name="3. Balanta Comerciala_Tari" sheetId="3" r:id="rId3"/>
    <sheet name="4. Export_Moduri_Transport" sheetId="7" r:id="rId4"/>
    <sheet name="5. Import_Moduri_Transport" sheetId="8" r:id="rId5"/>
    <sheet name="6. Export_Grupe_Marfuri_CSCI" sheetId="5" r:id="rId6"/>
    <sheet name="7. Import_Grupe_Marfuri_CSCI" sheetId="6" r:id="rId7"/>
    <sheet name="8. Balanta_Comerciala_CSCI" sheetId="4" r:id="rId8"/>
  </sheets>
  <definedNames>
    <definedName name="_xlnm.Print_Titles" localSheetId="0">'1. Export_Tari'!$3:$4</definedName>
    <definedName name="_xlnm.Print_Titles" localSheetId="1">'2. Import_Tari'!$3:$4</definedName>
    <definedName name="_xlnm.Print_Titles" localSheetId="2">'3. Balanta Comerciala_Tari'!$3:$4</definedName>
    <definedName name="_xlnm.Print_Titles" localSheetId="5">'6. Export_Grupe_Marfuri_CSCI'!$4:$5</definedName>
    <definedName name="_xlnm.Print_Titles" localSheetId="6">'7. Import_Grupe_Marfuri_CSCI'!$4:$5</definedName>
    <definedName name="_xlnm.Print_Titles" localSheetId="7">'8. Balanta_Comerciala_CSCI'!$4:$5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6" l="1"/>
  <c r="H5" i="1"/>
  <c r="G5" i="1" l="1"/>
  <c r="D5" i="1"/>
  <c r="E79" i="4" l="1"/>
  <c r="E78" i="4"/>
  <c r="E77" i="4"/>
  <c r="E76" i="4"/>
  <c r="E75" i="4"/>
  <c r="E74" i="4"/>
  <c r="E73" i="4"/>
  <c r="E72" i="4"/>
  <c r="E71" i="4"/>
  <c r="E69" i="4"/>
  <c r="E68" i="4"/>
  <c r="E67" i="4"/>
  <c r="E66" i="4"/>
  <c r="E65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39" i="4"/>
  <c r="E38" i="4"/>
  <c r="E37" i="4"/>
  <c r="E34" i="4"/>
  <c r="E33" i="4"/>
  <c r="E31" i="4"/>
  <c r="E30" i="4"/>
  <c r="E29" i="4"/>
  <c r="E28" i="4"/>
  <c r="E27" i="4"/>
  <c r="E26" i="4"/>
  <c r="E25" i="4"/>
  <c r="E23" i="4"/>
  <c r="E21" i="4"/>
  <c r="E20" i="4"/>
  <c r="E19" i="4"/>
  <c r="E18" i="4"/>
  <c r="E17" i="4"/>
  <c r="E16" i="4"/>
  <c r="E14" i="4"/>
  <c r="E13" i="4"/>
  <c r="E12" i="4"/>
  <c r="E11" i="4"/>
  <c r="E10" i="4"/>
  <c r="E6" i="4"/>
  <c r="I80" i="6"/>
  <c r="H80" i="6"/>
  <c r="G80" i="6"/>
  <c r="F80" i="6"/>
  <c r="I79" i="6"/>
  <c r="H79" i="6"/>
  <c r="G79" i="6"/>
  <c r="F79" i="6"/>
  <c r="E79" i="6"/>
  <c r="I78" i="6"/>
  <c r="H78" i="6"/>
  <c r="G78" i="6"/>
  <c r="F78" i="6"/>
  <c r="E78" i="6"/>
  <c r="I77" i="6"/>
  <c r="H77" i="6"/>
  <c r="G77" i="6"/>
  <c r="F77" i="6"/>
  <c r="E77" i="6"/>
  <c r="I76" i="6"/>
  <c r="H76" i="6"/>
  <c r="G76" i="6"/>
  <c r="F76" i="6"/>
  <c r="E76" i="6"/>
  <c r="I75" i="6"/>
  <c r="H75" i="6"/>
  <c r="G75" i="6"/>
  <c r="F75" i="6"/>
  <c r="E75" i="6"/>
  <c r="I74" i="6"/>
  <c r="H74" i="6"/>
  <c r="G74" i="6"/>
  <c r="F74" i="6"/>
  <c r="E74" i="6"/>
  <c r="I73" i="6"/>
  <c r="H73" i="6"/>
  <c r="G73" i="6"/>
  <c r="F73" i="6"/>
  <c r="E73" i="6"/>
  <c r="I72" i="6"/>
  <c r="H72" i="6"/>
  <c r="G72" i="6"/>
  <c r="F72" i="6"/>
  <c r="E72" i="6"/>
  <c r="I71" i="6"/>
  <c r="H71" i="6"/>
  <c r="G71" i="6"/>
  <c r="F71" i="6"/>
  <c r="E71" i="6"/>
  <c r="I70" i="6"/>
  <c r="H70" i="6"/>
  <c r="G70" i="6"/>
  <c r="F70" i="6"/>
  <c r="E70" i="6"/>
  <c r="I69" i="6"/>
  <c r="H69" i="6"/>
  <c r="G69" i="6"/>
  <c r="F69" i="6"/>
  <c r="E69" i="6"/>
  <c r="I68" i="6"/>
  <c r="H68" i="6"/>
  <c r="G68" i="6"/>
  <c r="F68" i="6"/>
  <c r="E68" i="6"/>
  <c r="I67" i="6"/>
  <c r="H67" i="6"/>
  <c r="G67" i="6"/>
  <c r="F67" i="6"/>
  <c r="E67" i="6"/>
  <c r="I66" i="6"/>
  <c r="H66" i="6"/>
  <c r="G66" i="6"/>
  <c r="F66" i="6"/>
  <c r="E66" i="6"/>
  <c r="I65" i="6"/>
  <c r="H65" i="6"/>
  <c r="G65" i="6"/>
  <c r="F65" i="6"/>
  <c r="E65" i="6"/>
  <c r="I64" i="6"/>
  <c r="H64" i="6"/>
  <c r="G64" i="6"/>
  <c r="F64" i="6"/>
  <c r="E64" i="6"/>
  <c r="I63" i="6"/>
  <c r="H63" i="6"/>
  <c r="G63" i="6"/>
  <c r="F63" i="6"/>
  <c r="E63" i="6"/>
  <c r="I62" i="6"/>
  <c r="H62" i="6"/>
  <c r="G62" i="6"/>
  <c r="F62" i="6"/>
  <c r="E62" i="6"/>
  <c r="I61" i="6"/>
  <c r="H61" i="6"/>
  <c r="G61" i="6"/>
  <c r="F61" i="6"/>
  <c r="E61" i="6"/>
  <c r="I60" i="6"/>
  <c r="H60" i="6"/>
  <c r="G60" i="6"/>
  <c r="F60" i="6"/>
  <c r="E60" i="6"/>
  <c r="I59" i="6"/>
  <c r="H59" i="6"/>
  <c r="G59" i="6"/>
  <c r="F59" i="6"/>
  <c r="E59" i="6"/>
  <c r="I58" i="6"/>
  <c r="H58" i="6"/>
  <c r="G58" i="6"/>
  <c r="F58" i="6"/>
  <c r="E58" i="6"/>
  <c r="I57" i="6"/>
  <c r="H57" i="6"/>
  <c r="G57" i="6"/>
  <c r="F57" i="6"/>
  <c r="E57" i="6"/>
  <c r="I56" i="6"/>
  <c r="H56" i="6"/>
  <c r="G56" i="6"/>
  <c r="F56" i="6"/>
  <c r="E56" i="6"/>
  <c r="I55" i="6"/>
  <c r="H55" i="6"/>
  <c r="G55" i="6"/>
  <c r="F55" i="6"/>
  <c r="E55" i="6"/>
  <c r="I54" i="6"/>
  <c r="H54" i="6"/>
  <c r="G54" i="6"/>
  <c r="F54" i="6"/>
  <c r="E54" i="6"/>
  <c r="I53" i="6"/>
  <c r="H53" i="6"/>
  <c r="G53" i="6"/>
  <c r="F53" i="6"/>
  <c r="E53" i="6"/>
  <c r="I52" i="6"/>
  <c r="H52" i="6"/>
  <c r="G52" i="6"/>
  <c r="F52" i="6"/>
  <c r="E52" i="6"/>
  <c r="I51" i="6"/>
  <c r="H51" i="6"/>
  <c r="G51" i="6"/>
  <c r="F51" i="6"/>
  <c r="E51" i="6"/>
  <c r="I50" i="6"/>
  <c r="H50" i="6"/>
  <c r="G50" i="6"/>
  <c r="F50" i="6"/>
  <c r="E50" i="6"/>
  <c r="I49" i="6"/>
  <c r="H49" i="6"/>
  <c r="G49" i="6"/>
  <c r="F49" i="6"/>
  <c r="E49" i="6"/>
  <c r="I48" i="6"/>
  <c r="H48" i="6"/>
  <c r="G48" i="6"/>
  <c r="F48" i="6"/>
  <c r="E48" i="6"/>
  <c r="I47" i="6"/>
  <c r="H47" i="6"/>
  <c r="G47" i="6"/>
  <c r="F47" i="6"/>
  <c r="E47" i="6"/>
  <c r="I46" i="6"/>
  <c r="H46" i="6"/>
  <c r="G46" i="6"/>
  <c r="F46" i="6"/>
  <c r="E46" i="6"/>
  <c r="I45" i="6"/>
  <c r="H45" i="6"/>
  <c r="G45" i="6"/>
  <c r="F45" i="6"/>
  <c r="E45" i="6"/>
  <c r="I44" i="6"/>
  <c r="H44" i="6"/>
  <c r="G44" i="6"/>
  <c r="F44" i="6"/>
  <c r="E44" i="6"/>
  <c r="I43" i="6"/>
  <c r="H43" i="6"/>
  <c r="G43" i="6"/>
  <c r="F43" i="6"/>
  <c r="E43" i="6"/>
  <c r="I42" i="6"/>
  <c r="H42" i="6"/>
  <c r="G42" i="6"/>
  <c r="F42" i="6"/>
  <c r="E42" i="6"/>
  <c r="I41" i="6"/>
  <c r="H41" i="6"/>
  <c r="G41" i="6"/>
  <c r="F41" i="6"/>
  <c r="E41" i="6"/>
  <c r="I40" i="6"/>
  <c r="H40" i="6"/>
  <c r="G40" i="6"/>
  <c r="F40" i="6"/>
  <c r="I39" i="6"/>
  <c r="H39" i="6"/>
  <c r="G39" i="6"/>
  <c r="F39" i="6"/>
  <c r="E39" i="6"/>
  <c r="I38" i="6"/>
  <c r="H38" i="6"/>
  <c r="G38" i="6"/>
  <c r="F38" i="6"/>
  <c r="E38" i="6"/>
  <c r="I37" i="6"/>
  <c r="H37" i="6"/>
  <c r="G37" i="6"/>
  <c r="F37" i="6"/>
  <c r="E37" i="6"/>
  <c r="I36" i="6"/>
  <c r="H36" i="6"/>
  <c r="G36" i="6"/>
  <c r="F36" i="6"/>
  <c r="I35" i="6"/>
  <c r="H35" i="6"/>
  <c r="G35" i="6"/>
  <c r="F35" i="6"/>
  <c r="I34" i="6"/>
  <c r="H34" i="6"/>
  <c r="G34" i="6"/>
  <c r="F34" i="6"/>
  <c r="E34" i="6"/>
  <c r="I33" i="6"/>
  <c r="H33" i="6"/>
  <c r="G33" i="6"/>
  <c r="F33" i="6"/>
  <c r="E33" i="6"/>
  <c r="I32" i="6"/>
  <c r="H32" i="6"/>
  <c r="G32" i="6"/>
  <c r="F32" i="6"/>
  <c r="E32" i="6"/>
  <c r="I31" i="6"/>
  <c r="H31" i="6"/>
  <c r="G31" i="6"/>
  <c r="F31" i="6"/>
  <c r="E31" i="6"/>
  <c r="I30" i="6"/>
  <c r="H30" i="6"/>
  <c r="G30" i="6"/>
  <c r="F30" i="6"/>
  <c r="E30" i="6"/>
  <c r="I29" i="6"/>
  <c r="H29" i="6"/>
  <c r="G29" i="6"/>
  <c r="F29" i="6"/>
  <c r="E29" i="6"/>
  <c r="I28" i="6"/>
  <c r="H28" i="6"/>
  <c r="G28" i="6"/>
  <c r="F28" i="6"/>
  <c r="E28" i="6"/>
  <c r="I27" i="6"/>
  <c r="H27" i="6"/>
  <c r="G27" i="6"/>
  <c r="F27" i="6"/>
  <c r="I26" i="6"/>
  <c r="H26" i="6"/>
  <c r="G26" i="6"/>
  <c r="F26" i="6"/>
  <c r="E26" i="6"/>
  <c r="I25" i="6"/>
  <c r="H25" i="6"/>
  <c r="G25" i="6"/>
  <c r="F25" i="6"/>
  <c r="E25" i="6"/>
  <c r="I24" i="6"/>
  <c r="H24" i="6"/>
  <c r="G24" i="6"/>
  <c r="F24" i="6"/>
  <c r="E24" i="6"/>
  <c r="I23" i="6"/>
  <c r="H23" i="6"/>
  <c r="G23" i="6"/>
  <c r="F23" i="6"/>
  <c r="I22" i="6"/>
  <c r="H22" i="6"/>
  <c r="G22" i="6"/>
  <c r="F22" i="6"/>
  <c r="E22" i="6"/>
  <c r="I21" i="6"/>
  <c r="H21" i="6"/>
  <c r="G21" i="6"/>
  <c r="F21" i="6"/>
  <c r="E21" i="6"/>
  <c r="I20" i="6"/>
  <c r="H20" i="6"/>
  <c r="G20" i="6"/>
  <c r="F20" i="6"/>
  <c r="E20" i="6"/>
  <c r="I19" i="6"/>
  <c r="H19" i="6"/>
  <c r="G19" i="6"/>
  <c r="F19" i="6"/>
  <c r="E19" i="6"/>
  <c r="I18" i="6"/>
  <c r="H18" i="6"/>
  <c r="G18" i="6"/>
  <c r="F18" i="6"/>
  <c r="E18" i="6"/>
  <c r="I17" i="6"/>
  <c r="H17" i="6"/>
  <c r="G17" i="6"/>
  <c r="F17" i="6"/>
  <c r="E17" i="6"/>
  <c r="I16" i="6"/>
  <c r="H16" i="6"/>
  <c r="G16" i="6"/>
  <c r="F16" i="6"/>
  <c r="E16" i="6"/>
  <c r="I15" i="6"/>
  <c r="H15" i="6"/>
  <c r="G15" i="6"/>
  <c r="F15" i="6"/>
  <c r="I14" i="6"/>
  <c r="H14" i="6"/>
  <c r="G14" i="6"/>
  <c r="F14" i="6"/>
  <c r="E14" i="6"/>
  <c r="I13" i="6"/>
  <c r="H13" i="6"/>
  <c r="G13" i="6"/>
  <c r="F13" i="6"/>
  <c r="E13" i="6"/>
  <c r="I12" i="6"/>
  <c r="H12" i="6"/>
  <c r="G12" i="6"/>
  <c r="F12" i="6"/>
  <c r="E12" i="6"/>
  <c r="I11" i="6"/>
  <c r="H11" i="6"/>
  <c r="G11" i="6"/>
  <c r="F11" i="6"/>
  <c r="E11" i="6"/>
  <c r="I10" i="6"/>
  <c r="H10" i="6"/>
  <c r="G10" i="6"/>
  <c r="F10" i="6"/>
  <c r="E10" i="6"/>
  <c r="I9" i="6"/>
  <c r="H9" i="6"/>
  <c r="G9" i="6"/>
  <c r="F9" i="6"/>
  <c r="I8" i="6"/>
  <c r="H8" i="6"/>
  <c r="G8" i="6"/>
  <c r="F8" i="6"/>
  <c r="E8" i="6"/>
  <c r="I6" i="6"/>
  <c r="E6" i="6"/>
  <c r="I80" i="5"/>
  <c r="H80" i="5"/>
  <c r="G80" i="5"/>
  <c r="F80" i="5"/>
  <c r="E80" i="5"/>
  <c r="I79" i="5"/>
  <c r="H79" i="5"/>
  <c r="G79" i="5"/>
  <c r="F79" i="5"/>
  <c r="E79" i="5"/>
  <c r="I78" i="5"/>
  <c r="H78" i="5"/>
  <c r="G78" i="5"/>
  <c r="F78" i="5"/>
  <c r="E78" i="5"/>
  <c r="I77" i="5"/>
  <c r="H77" i="5"/>
  <c r="G77" i="5"/>
  <c r="F77" i="5"/>
  <c r="E77" i="5"/>
  <c r="I76" i="5"/>
  <c r="H76" i="5"/>
  <c r="G76" i="5"/>
  <c r="F76" i="5"/>
  <c r="E76" i="5"/>
  <c r="I75" i="5"/>
  <c r="H75" i="5"/>
  <c r="G75" i="5"/>
  <c r="F75" i="5"/>
  <c r="E75" i="5"/>
  <c r="I74" i="5"/>
  <c r="H74" i="5"/>
  <c r="G74" i="5"/>
  <c r="F74" i="5"/>
  <c r="E74" i="5"/>
  <c r="I73" i="5"/>
  <c r="H73" i="5"/>
  <c r="G73" i="5"/>
  <c r="F73" i="5"/>
  <c r="E73" i="5"/>
  <c r="I72" i="5"/>
  <c r="H72" i="5"/>
  <c r="G72" i="5"/>
  <c r="F72" i="5"/>
  <c r="E72" i="5"/>
  <c r="I71" i="5"/>
  <c r="H71" i="5"/>
  <c r="G71" i="5"/>
  <c r="F71" i="5"/>
  <c r="E71" i="5"/>
  <c r="I70" i="5"/>
  <c r="H70" i="5"/>
  <c r="G70" i="5"/>
  <c r="F70" i="5"/>
  <c r="E70" i="5"/>
  <c r="I69" i="5"/>
  <c r="H69" i="5"/>
  <c r="G69" i="5"/>
  <c r="F69" i="5"/>
  <c r="E69" i="5"/>
  <c r="I68" i="5"/>
  <c r="H68" i="5"/>
  <c r="G68" i="5"/>
  <c r="F68" i="5"/>
  <c r="E68" i="5"/>
  <c r="I67" i="5"/>
  <c r="H67" i="5"/>
  <c r="G67" i="5"/>
  <c r="F67" i="5"/>
  <c r="E67" i="5"/>
  <c r="I66" i="5"/>
  <c r="H66" i="5"/>
  <c r="G66" i="5"/>
  <c r="F66" i="5"/>
  <c r="E66" i="5"/>
  <c r="I65" i="5"/>
  <c r="H65" i="5"/>
  <c r="G65" i="5"/>
  <c r="F65" i="5"/>
  <c r="E65" i="5"/>
  <c r="I64" i="5"/>
  <c r="H64" i="5"/>
  <c r="G64" i="5"/>
  <c r="F64" i="5"/>
  <c r="E64" i="5"/>
  <c r="I63" i="5"/>
  <c r="H63" i="5"/>
  <c r="G63" i="5"/>
  <c r="F63" i="5"/>
  <c r="E63" i="5"/>
  <c r="I62" i="5"/>
  <c r="H62" i="5"/>
  <c r="G62" i="5"/>
  <c r="F62" i="5"/>
  <c r="E62" i="5"/>
  <c r="I61" i="5"/>
  <c r="H61" i="5"/>
  <c r="G61" i="5"/>
  <c r="F61" i="5"/>
  <c r="E61" i="5"/>
  <c r="I60" i="5"/>
  <c r="H60" i="5"/>
  <c r="G60" i="5"/>
  <c r="F60" i="5"/>
  <c r="E60" i="5"/>
  <c r="I59" i="5"/>
  <c r="H59" i="5"/>
  <c r="G59" i="5"/>
  <c r="F59" i="5"/>
  <c r="E59" i="5"/>
  <c r="I58" i="5"/>
  <c r="H58" i="5"/>
  <c r="G58" i="5"/>
  <c r="F58" i="5"/>
  <c r="E58" i="5"/>
  <c r="I57" i="5"/>
  <c r="H57" i="5"/>
  <c r="G57" i="5"/>
  <c r="F57" i="5"/>
  <c r="E57" i="5"/>
  <c r="I56" i="5"/>
  <c r="H56" i="5"/>
  <c r="G56" i="5"/>
  <c r="F56" i="5"/>
  <c r="E56" i="5"/>
  <c r="I55" i="5"/>
  <c r="H55" i="5"/>
  <c r="G55" i="5"/>
  <c r="F55" i="5"/>
  <c r="E55" i="5"/>
  <c r="I54" i="5"/>
  <c r="H54" i="5"/>
  <c r="G54" i="5"/>
  <c r="F54" i="5"/>
  <c r="E54" i="5"/>
  <c r="I53" i="5"/>
  <c r="H53" i="5"/>
  <c r="G53" i="5"/>
  <c r="F53" i="5"/>
  <c r="E53" i="5"/>
  <c r="I52" i="5"/>
  <c r="H52" i="5"/>
  <c r="G52" i="5"/>
  <c r="F52" i="5"/>
  <c r="E52" i="5"/>
  <c r="I51" i="5"/>
  <c r="H51" i="5"/>
  <c r="G51" i="5"/>
  <c r="F51" i="5"/>
  <c r="E51" i="5"/>
  <c r="I50" i="5"/>
  <c r="H50" i="5"/>
  <c r="G50" i="5"/>
  <c r="F50" i="5"/>
  <c r="E50" i="5"/>
  <c r="I49" i="5"/>
  <c r="H49" i="5"/>
  <c r="G49" i="5"/>
  <c r="F49" i="5"/>
  <c r="E49" i="5"/>
  <c r="I48" i="5"/>
  <c r="H48" i="5"/>
  <c r="G48" i="5"/>
  <c r="F48" i="5"/>
  <c r="E48" i="5"/>
  <c r="I47" i="5"/>
  <c r="H47" i="5"/>
  <c r="G47" i="5"/>
  <c r="F47" i="5"/>
  <c r="E47" i="5"/>
  <c r="I46" i="5"/>
  <c r="H46" i="5"/>
  <c r="G46" i="5"/>
  <c r="F46" i="5"/>
  <c r="E46" i="5"/>
  <c r="I45" i="5"/>
  <c r="H45" i="5"/>
  <c r="G45" i="5"/>
  <c r="F45" i="5"/>
  <c r="E45" i="5"/>
  <c r="I44" i="5"/>
  <c r="H44" i="5"/>
  <c r="G44" i="5"/>
  <c r="F44" i="5"/>
  <c r="E44" i="5"/>
  <c r="I43" i="5"/>
  <c r="H43" i="5"/>
  <c r="G43" i="5"/>
  <c r="F43" i="5"/>
  <c r="E43" i="5"/>
  <c r="I42" i="5"/>
  <c r="H42" i="5"/>
  <c r="G42" i="5"/>
  <c r="F42" i="5"/>
  <c r="E42" i="5"/>
  <c r="I41" i="5"/>
  <c r="H41" i="5"/>
  <c r="G41" i="5"/>
  <c r="F41" i="5"/>
  <c r="E41" i="5"/>
  <c r="I40" i="5"/>
  <c r="H40" i="5"/>
  <c r="G40" i="5"/>
  <c r="F40" i="5"/>
  <c r="I39" i="5"/>
  <c r="H39" i="5"/>
  <c r="G39" i="5"/>
  <c r="F39" i="5"/>
  <c r="E39" i="5"/>
  <c r="I38" i="5"/>
  <c r="H38" i="5"/>
  <c r="G38" i="5"/>
  <c r="F38" i="5"/>
  <c r="E38" i="5"/>
  <c r="I37" i="5"/>
  <c r="H37" i="5"/>
  <c r="G37" i="5"/>
  <c r="F37" i="5"/>
  <c r="E37" i="5"/>
  <c r="I36" i="5"/>
  <c r="H36" i="5"/>
  <c r="G36" i="5"/>
  <c r="F36" i="5"/>
  <c r="E36" i="5"/>
  <c r="I35" i="5"/>
  <c r="H35" i="5"/>
  <c r="G35" i="5"/>
  <c r="F35" i="5"/>
  <c r="E35" i="5"/>
  <c r="I34" i="5"/>
  <c r="H34" i="5"/>
  <c r="G34" i="5"/>
  <c r="F34" i="5"/>
  <c r="E34" i="5"/>
  <c r="I33" i="5"/>
  <c r="H33" i="5"/>
  <c r="G33" i="5"/>
  <c r="F33" i="5"/>
  <c r="E33" i="5"/>
  <c r="I32" i="5"/>
  <c r="H32" i="5"/>
  <c r="G32" i="5"/>
  <c r="F32" i="5"/>
  <c r="E32" i="5"/>
  <c r="I31" i="5"/>
  <c r="H31" i="5"/>
  <c r="G31" i="5"/>
  <c r="F31" i="5"/>
  <c r="E31" i="5"/>
  <c r="I30" i="5"/>
  <c r="H30" i="5"/>
  <c r="G30" i="5"/>
  <c r="F30" i="5"/>
  <c r="E30" i="5"/>
  <c r="I29" i="5"/>
  <c r="H29" i="5"/>
  <c r="G29" i="5"/>
  <c r="F29" i="5"/>
  <c r="E29" i="5"/>
  <c r="I28" i="5"/>
  <c r="H28" i="5"/>
  <c r="G28" i="5"/>
  <c r="F28" i="5"/>
  <c r="E28" i="5"/>
  <c r="I27" i="5"/>
  <c r="H27" i="5"/>
  <c r="G27" i="5"/>
  <c r="F27" i="5"/>
  <c r="E27" i="5"/>
  <c r="I26" i="5"/>
  <c r="H26" i="5"/>
  <c r="G26" i="5"/>
  <c r="F26" i="5"/>
  <c r="E26" i="5"/>
  <c r="I25" i="5"/>
  <c r="H25" i="5"/>
  <c r="G25" i="5"/>
  <c r="F25" i="5"/>
  <c r="E25" i="5"/>
  <c r="I24" i="5"/>
  <c r="H24" i="5"/>
  <c r="G24" i="5"/>
  <c r="F24" i="5"/>
  <c r="I23" i="5"/>
  <c r="H23" i="5"/>
  <c r="G23" i="5"/>
  <c r="F23" i="5"/>
  <c r="E23" i="5"/>
  <c r="I22" i="5"/>
  <c r="H22" i="5"/>
  <c r="G22" i="5"/>
  <c r="F22" i="5"/>
  <c r="E22" i="5"/>
  <c r="I21" i="5"/>
  <c r="H21" i="5"/>
  <c r="G21" i="5"/>
  <c r="F21" i="5"/>
  <c r="I20" i="5"/>
  <c r="H20" i="5"/>
  <c r="G20" i="5"/>
  <c r="F20" i="5"/>
  <c r="E20" i="5"/>
  <c r="I19" i="5"/>
  <c r="H19" i="5"/>
  <c r="G19" i="5"/>
  <c r="F19" i="5"/>
  <c r="E19" i="5"/>
  <c r="I18" i="5"/>
  <c r="H18" i="5"/>
  <c r="G18" i="5"/>
  <c r="F18" i="5"/>
  <c r="E18" i="5"/>
  <c r="I17" i="5"/>
  <c r="H17" i="5"/>
  <c r="G17" i="5"/>
  <c r="F17" i="5"/>
  <c r="E17" i="5"/>
  <c r="I16" i="5"/>
  <c r="H16" i="5"/>
  <c r="G16" i="5"/>
  <c r="F16" i="5"/>
  <c r="E16" i="5"/>
  <c r="I15" i="5"/>
  <c r="H15" i="5"/>
  <c r="G15" i="5"/>
  <c r="F15" i="5"/>
  <c r="E15" i="5"/>
  <c r="I14" i="5"/>
  <c r="H14" i="5"/>
  <c r="G14" i="5"/>
  <c r="F14" i="5"/>
  <c r="E14" i="5"/>
  <c r="I13" i="5"/>
  <c r="H13" i="5"/>
  <c r="G13" i="5"/>
  <c r="F13" i="5"/>
  <c r="E13" i="5"/>
  <c r="I12" i="5"/>
  <c r="H12" i="5"/>
  <c r="G12" i="5"/>
  <c r="F12" i="5"/>
  <c r="E12" i="5"/>
  <c r="I11" i="5"/>
  <c r="H11" i="5"/>
  <c r="G11" i="5"/>
  <c r="F11" i="5"/>
  <c r="E11" i="5"/>
  <c r="I10" i="5"/>
  <c r="H10" i="5"/>
  <c r="G10" i="5"/>
  <c r="F10" i="5"/>
  <c r="I9" i="5"/>
  <c r="H9" i="5"/>
  <c r="G9" i="5"/>
  <c r="F9" i="5"/>
  <c r="E9" i="5"/>
  <c r="I8" i="5"/>
  <c r="H8" i="5"/>
  <c r="G8" i="5"/>
  <c r="F8" i="5"/>
  <c r="E8" i="5"/>
  <c r="I6" i="5"/>
  <c r="H6" i="5"/>
  <c r="E6" i="5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0" i="8"/>
  <c r="E30" i="8"/>
  <c r="F29" i="8"/>
  <c r="F28" i="8"/>
  <c r="E28" i="8"/>
  <c r="F27" i="8"/>
  <c r="E27" i="8"/>
  <c r="F26" i="8"/>
  <c r="E26" i="8"/>
  <c r="F25" i="8"/>
  <c r="E25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37" i="7"/>
  <c r="E37" i="7"/>
  <c r="F36" i="7"/>
  <c r="E36" i="7"/>
  <c r="F35" i="7"/>
  <c r="E35" i="7"/>
  <c r="F34" i="7"/>
  <c r="E34" i="7"/>
  <c r="F33" i="7"/>
  <c r="E33" i="7"/>
  <c r="F32" i="7"/>
  <c r="E32" i="7"/>
  <c r="F31" i="7"/>
  <c r="E31" i="7"/>
  <c r="F29" i="7"/>
  <c r="E29" i="7"/>
  <c r="E28" i="7"/>
  <c r="F27" i="7"/>
  <c r="E27" i="7"/>
  <c r="F26" i="7"/>
  <c r="E26" i="7"/>
  <c r="F25" i="7"/>
  <c r="E25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D145" i="3"/>
  <c r="D144" i="3"/>
  <c r="D143" i="3"/>
  <c r="D141" i="3"/>
  <c r="D139" i="3"/>
  <c r="D135" i="3"/>
  <c r="D129" i="3"/>
  <c r="D128" i="3"/>
  <c r="D125" i="3"/>
  <c r="D123" i="3"/>
  <c r="D122" i="3"/>
  <c r="D119" i="3"/>
  <c r="D118" i="3"/>
  <c r="D117" i="3"/>
  <c r="D116" i="3"/>
  <c r="D115" i="3"/>
  <c r="D114" i="3"/>
  <c r="D113" i="3"/>
  <c r="D111" i="3"/>
  <c r="D109" i="3"/>
  <c r="D108" i="3"/>
  <c r="D107" i="3"/>
  <c r="D106" i="3"/>
  <c r="D104" i="3"/>
  <c r="D101" i="3"/>
  <c r="D97" i="3"/>
  <c r="D96" i="3"/>
  <c r="D94" i="3"/>
  <c r="D93" i="3"/>
  <c r="D92" i="3"/>
  <c r="D90" i="3"/>
  <c r="D88" i="3"/>
  <c r="D87" i="3"/>
  <c r="D85" i="3"/>
  <c r="D84" i="3"/>
  <c r="D83" i="3"/>
  <c r="D82" i="3"/>
  <c r="D80" i="3"/>
  <c r="D79" i="3"/>
  <c r="D78" i="3"/>
  <c r="D76" i="3"/>
  <c r="D73" i="3"/>
  <c r="D72" i="3"/>
  <c r="D71" i="3"/>
  <c r="D65" i="3"/>
  <c r="D64" i="3"/>
  <c r="D63" i="3"/>
  <c r="D62" i="3"/>
  <c r="D61" i="3"/>
  <c r="D60" i="3"/>
  <c r="D59" i="3"/>
  <c r="D58" i="3"/>
  <c r="D57" i="3"/>
  <c r="D55" i="3"/>
  <c r="D54" i="3"/>
  <c r="D53" i="3"/>
  <c r="D52" i="3"/>
  <c r="D51" i="3"/>
  <c r="D49" i="3"/>
  <c r="D48" i="3"/>
  <c r="D47" i="3"/>
  <c r="D46" i="3"/>
  <c r="D44" i="3"/>
  <c r="D43" i="3"/>
  <c r="D39" i="3"/>
  <c r="D37" i="3"/>
  <c r="D36" i="3"/>
  <c r="D33" i="3"/>
  <c r="D32" i="3"/>
  <c r="D31" i="3"/>
  <c r="D30" i="3"/>
  <c r="D27" i="3"/>
  <c r="D26" i="3"/>
  <c r="D25" i="3"/>
  <c r="D24" i="3"/>
  <c r="D22" i="3"/>
  <c r="D21" i="3"/>
  <c r="D20" i="3"/>
  <c r="D19" i="3"/>
  <c r="D18" i="3"/>
  <c r="D17" i="3"/>
  <c r="D15" i="3"/>
  <c r="D14" i="3"/>
  <c r="D13" i="3"/>
  <c r="D12" i="3"/>
  <c r="D11" i="3"/>
  <c r="D10" i="3"/>
  <c r="D9" i="3"/>
  <c r="D5" i="3"/>
  <c r="H132" i="2" l="1"/>
  <c r="G132" i="2"/>
  <c r="F132" i="2"/>
  <c r="E132" i="2"/>
  <c r="H131" i="2"/>
  <c r="G131" i="2"/>
  <c r="F131" i="2"/>
  <c r="E131" i="2"/>
  <c r="H130" i="2"/>
  <c r="G130" i="2"/>
  <c r="F130" i="2"/>
  <c r="E130" i="2"/>
  <c r="D130" i="2"/>
  <c r="H129" i="2"/>
  <c r="G129" i="2"/>
  <c r="F129" i="2"/>
  <c r="E129" i="2"/>
  <c r="D129" i="2"/>
  <c r="H128" i="2"/>
  <c r="G128" i="2"/>
  <c r="F128" i="2"/>
  <c r="E128" i="2"/>
  <c r="D128" i="2"/>
  <c r="H127" i="2"/>
  <c r="G127" i="2"/>
  <c r="F127" i="2"/>
  <c r="E127" i="2"/>
  <c r="D127" i="2"/>
  <c r="H126" i="2"/>
  <c r="G126" i="2"/>
  <c r="F126" i="2"/>
  <c r="E126" i="2"/>
  <c r="D126" i="2"/>
  <c r="H125" i="2"/>
  <c r="G125" i="2"/>
  <c r="F125" i="2"/>
  <c r="E125" i="2"/>
  <c r="D125" i="2"/>
  <c r="H124" i="2"/>
  <c r="G124" i="2"/>
  <c r="F124" i="2"/>
  <c r="E124" i="2"/>
  <c r="D124" i="2"/>
  <c r="H123" i="2"/>
  <c r="G123" i="2"/>
  <c r="F123" i="2"/>
  <c r="E123" i="2"/>
  <c r="D123" i="2"/>
  <c r="H122" i="2"/>
  <c r="G122" i="2"/>
  <c r="F122" i="2"/>
  <c r="E122" i="2"/>
  <c r="D122" i="2"/>
  <c r="H121" i="2"/>
  <c r="G121" i="2"/>
  <c r="F121" i="2"/>
  <c r="E121" i="2"/>
  <c r="D121" i="2"/>
  <c r="H120" i="2"/>
  <c r="G120" i="2"/>
  <c r="F120" i="2"/>
  <c r="E120" i="2"/>
  <c r="D120" i="2"/>
  <c r="H119" i="2"/>
  <c r="G119" i="2"/>
  <c r="F119" i="2"/>
  <c r="E119" i="2"/>
  <c r="H118" i="2"/>
  <c r="G118" i="2"/>
  <c r="F118" i="2"/>
  <c r="E118" i="2"/>
  <c r="D118" i="2"/>
  <c r="H117" i="2"/>
  <c r="G117" i="2"/>
  <c r="F117" i="2"/>
  <c r="E117" i="2"/>
  <c r="D117" i="2"/>
  <c r="H116" i="2"/>
  <c r="G116" i="2"/>
  <c r="F116" i="2"/>
  <c r="E116" i="2"/>
  <c r="H115" i="2"/>
  <c r="G115" i="2"/>
  <c r="F115" i="2"/>
  <c r="E115" i="2"/>
  <c r="D115" i="2"/>
  <c r="H114" i="2"/>
  <c r="G114" i="2"/>
  <c r="F114" i="2"/>
  <c r="E114" i="2"/>
  <c r="D114" i="2"/>
  <c r="H113" i="2"/>
  <c r="G113" i="2"/>
  <c r="F113" i="2"/>
  <c r="E113" i="2"/>
  <c r="D113" i="2"/>
  <c r="H112" i="2"/>
  <c r="G112" i="2"/>
  <c r="F112" i="2"/>
  <c r="E112" i="2"/>
  <c r="D112" i="2"/>
  <c r="H111" i="2"/>
  <c r="G111" i="2"/>
  <c r="F111" i="2"/>
  <c r="E111" i="2"/>
  <c r="D111" i="2"/>
  <c r="H110" i="2"/>
  <c r="G110" i="2"/>
  <c r="F110" i="2"/>
  <c r="E110" i="2"/>
  <c r="D110" i="2"/>
  <c r="H109" i="2"/>
  <c r="G109" i="2"/>
  <c r="F109" i="2"/>
  <c r="E109" i="2"/>
  <c r="H108" i="2"/>
  <c r="G108" i="2"/>
  <c r="F108" i="2"/>
  <c r="E108" i="2"/>
  <c r="H107" i="2"/>
  <c r="G107" i="2"/>
  <c r="F107" i="2"/>
  <c r="E107" i="2"/>
  <c r="H106" i="2"/>
  <c r="G106" i="2"/>
  <c r="F106" i="2"/>
  <c r="E106" i="2"/>
  <c r="H105" i="2"/>
  <c r="G105" i="2"/>
  <c r="F105" i="2"/>
  <c r="E105" i="2"/>
  <c r="H104" i="2"/>
  <c r="G104" i="2"/>
  <c r="F104" i="2"/>
  <c r="E104" i="2"/>
  <c r="D104" i="2"/>
  <c r="H103" i="2"/>
  <c r="G103" i="2"/>
  <c r="F103" i="2"/>
  <c r="E103" i="2"/>
  <c r="D103" i="2"/>
  <c r="H102" i="2"/>
  <c r="G102" i="2"/>
  <c r="F102" i="2"/>
  <c r="E102" i="2"/>
  <c r="D102" i="2"/>
  <c r="H101" i="2"/>
  <c r="G101" i="2"/>
  <c r="F101" i="2"/>
  <c r="E101" i="2"/>
  <c r="D101" i="2"/>
  <c r="H100" i="2"/>
  <c r="G100" i="2"/>
  <c r="F100" i="2"/>
  <c r="E100" i="2"/>
  <c r="H99" i="2"/>
  <c r="G99" i="2"/>
  <c r="F99" i="2"/>
  <c r="E99" i="2"/>
  <c r="D99" i="2"/>
  <c r="H98" i="2"/>
  <c r="G98" i="2"/>
  <c r="F98" i="2"/>
  <c r="E98" i="2"/>
  <c r="D98" i="2"/>
  <c r="H97" i="2"/>
  <c r="G97" i="2"/>
  <c r="F97" i="2"/>
  <c r="E97" i="2"/>
  <c r="H96" i="2"/>
  <c r="G96" i="2"/>
  <c r="F96" i="2"/>
  <c r="E96" i="2"/>
  <c r="D96" i="2"/>
  <c r="H95" i="2"/>
  <c r="G95" i="2"/>
  <c r="F95" i="2"/>
  <c r="E95" i="2"/>
  <c r="D95" i="2"/>
  <c r="H94" i="2"/>
  <c r="G94" i="2"/>
  <c r="F94" i="2"/>
  <c r="E94" i="2"/>
  <c r="D94" i="2"/>
  <c r="H93" i="2"/>
  <c r="G93" i="2"/>
  <c r="F93" i="2"/>
  <c r="E93" i="2"/>
  <c r="D93" i="2"/>
  <c r="H92" i="2"/>
  <c r="G92" i="2"/>
  <c r="F92" i="2"/>
  <c r="E92" i="2"/>
  <c r="D92" i="2"/>
  <c r="H91" i="2"/>
  <c r="G91" i="2"/>
  <c r="F91" i="2"/>
  <c r="E91" i="2"/>
  <c r="H90" i="2"/>
  <c r="G90" i="2"/>
  <c r="F90" i="2"/>
  <c r="E90" i="2"/>
  <c r="D90" i="2"/>
  <c r="H89" i="2"/>
  <c r="G89" i="2"/>
  <c r="F89" i="2"/>
  <c r="E89" i="2"/>
  <c r="D89" i="2"/>
  <c r="H88" i="2"/>
  <c r="G88" i="2"/>
  <c r="F88" i="2"/>
  <c r="E88" i="2"/>
  <c r="D88" i="2"/>
  <c r="H87" i="2"/>
  <c r="G87" i="2"/>
  <c r="F87" i="2"/>
  <c r="E87" i="2"/>
  <c r="D87" i="2"/>
  <c r="H86" i="2"/>
  <c r="G86" i="2"/>
  <c r="F86" i="2"/>
  <c r="E86" i="2"/>
  <c r="H85" i="2"/>
  <c r="G85" i="2"/>
  <c r="F85" i="2"/>
  <c r="E85" i="2"/>
  <c r="H84" i="2"/>
  <c r="G84" i="2"/>
  <c r="F84" i="2"/>
  <c r="E84" i="2"/>
  <c r="D84" i="2"/>
  <c r="H83" i="2"/>
  <c r="G83" i="2"/>
  <c r="F83" i="2"/>
  <c r="E83" i="2"/>
  <c r="D83" i="2"/>
  <c r="H82" i="2"/>
  <c r="G82" i="2"/>
  <c r="F82" i="2"/>
  <c r="E82" i="2"/>
  <c r="D82" i="2"/>
  <c r="H81" i="2"/>
  <c r="G81" i="2"/>
  <c r="F81" i="2"/>
  <c r="E81" i="2"/>
  <c r="D81" i="2"/>
  <c r="H80" i="2"/>
  <c r="G80" i="2"/>
  <c r="F80" i="2"/>
  <c r="E80" i="2"/>
  <c r="D80" i="2"/>
  <c r="H79" i="2"/>
  <c r="G79" i="2"/>
  <c r="F79" i="2"/>
  <c r="E79" i="2"/>
  <c r="D79" i="2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H72" i="2"/>
  <c r="G72" i="2"/>
  <c r="F72" i="2"/>
  <c r="E72" i="2"/>
  <c r="D72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G68" i="2"/>
  <c r="F68" i="2"/>
  <c r="E68" i="2"/>
  <c r="H67" i="2"/>
  <c r="G67" i="2"/>
  <c r="F67" i="2"/>
  <c r="E67" i="2"/>
  <c r="D67" i="2"/>
  <c r="H66" i="2"/>
  <c r="G66" i="2"/>
  <c r="F66" i="2"/>
  <c r="E66" i="2"/>
  <c r="D66" i="2"/>
  <c r="H65" i="2"/>
  <c r="G65" i="2"/>
  <c r="F65" i="2"/>
  <c r="E65" i="2"/>
  <c r="D65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H56" i="2"/>
  <c r="G56" i="2"/>
  <c r="F56" i="2"/>
  <c r="E56" i="2"/>
  <c r="D56" i="2"/>
  <c r="H55" i="2"/>
  <c r="G55" i="2"/>
  <c r="F55" i="2"/>
  <c r="E55" i="2"/>
  <c r="D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7" i="2"/>
  <c r="G47" i="2"/>
  <c r="F47" i="2"/>
  <c r="E47" i="2"/>
  <c r="D47" i="2"/>
  <c r="H46" i="2"/>
  <c r="G46" i="2"/>
  <c r="F46" i="2"/>
  <c r="E46" i="2"/>
  <c r="D46" i="2"/>
  <c r="H45" i="2"/>
  <c r="G45" i="2"/>
  <c r="F45" i="2"/>
  <c r="E45" i="2"/>
  <c r="H44" i="2"/>
  <c r="G44" i="2"/>
  <c r="F44" i="2"/>
  <c r="E44" i="2"/>
  <c r="H43" i="2"/>
  <c r="G43" i="2"/>
  <c r="F43" i="2"/>
  <c r="E43" i="2"/>
  <c r="D43" i="2"/>
  <c r="H42" i="2"/>
  <c r="G42" i="2"/>
  <c r="F42" i="2"/>
  <c r="E42" i="2"/>
  <c r="H41" i="2"/>
  <c r="G41" i="2"/>
  <c r="F41" i="2"/>
  <c r="E41" i="2"/>
  <c r="H40" i="2"/>
  <c r="G40" i="2"/>
  <c r="F40" i="2"/>
  <c r="E40" i="2"/>
  <c r="D40" i="2"/>
  <c r="H39" i="2"/>
  <c r="G39" i="2"/>
  <c r="F39" i="2"/>
  <c r="E39" i="2"/>
  <c r="H38" i="2"/>
  <c r="G38" i="2"/>
  <c r="F38" i="2"/>
  <c r="E38" i="2"/>
  <c r="D38" i="2"/>
  <c r="H37" i="2"/>
  <c r="G37" i="2"/>
  <c r="F37" i="2"/>
  <c r="E37" i="2"/>
  <c r="D37" i="2"/>
  <c r="H36" i="2"/>
  <c r="G36" i="2"/>
  <c r="F36" i="2"/>
  <c r="E36" i="2"/>
  <c r="D36" i="2"/>
  <c r="H35" i="2"/>
  <c r="G35" i="2"/>
  <c r="F35" i="2"/>
  <c r="E35" i="2"/>
  <c r="D35" i="2"/>
  <c r="H34" i="2"/>
  <c r="G34" i="2"/>
  <c r="F34" i="2"/>
  <c r="E34" i="2"/>
  <c r="D34" i="2"/>
  <c r="H33" i="2"/>
  <c r="G33" i="2"/>
  <c r="F33" i="2"/>
  <c r="E33" i="2"/>
  <c r="D33" i="2"/>
  <c r="H32" i="2"/>
  <c r="G32" i="2"/>
  <c r="F32" i="2"/>
  <c r="E32" i="2"/>
  <c r="D32" i="2"/>
  <c r="H31" i="2"/>
  <c r="G31" i="2"/>
  <c r="F31" i="2"/>
  <c r="E31" i="2"/>
  <c r="D31" i="2"/>
  <c r="H30" i="2"/>
  <c r="G30" i="2"/>
  <c r="F30" i="2"/>
  <c r="E30" i="2"/>
  <c r="D30" i="2"/>
  <c r="H29" i="2"/>
  <c r="G29" i="2"/>
  <c r="F29" i="2"/>
  <c r="E29" i="2"/>
  <c r="D29" i="2"/>
  <c r="H28" i="2"/>
  <c r="G28" i="2"/>
  <c r="F28" i="2"/>
  <c r="E28" i="2"/>
  <c r="D28" i="2"/>
  <c r="H27" i="2"/>
  <c r="G27" i="2"/>
  <c r="F27" i="2"/>
  <c r="E27" i="2"/>
  <c r="D27" i="2"/>
  <c r="H26" i="2"/>
  <c r="G26" i="2"/>
  <c r="F26" i="2"/>
  <c r="E26" i="2"/>
  <c r="D26" i="2"/>
  <c r="H25" i="2"/>
  <c r="G25" i="2"/>
  <c r="F25" i="2"/>
  <c r="E25" i="2"/>
  <c r="D25" i="2"/>
  <c r="H24" i="2"/>
  <c r="G24" i="2"/>
  <c r="F24" i="2"/>
  <c r="E24" i="2"/>
  <c r="D24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H20" i="2"/>
  <c r="G20" i="2"/>
  <c r="F20" i="2"/>
  <c r="E20" i="2"/>
  <c r="D20" i="2"/>
  <c r="H19" i="2"/>
  <c r="G19" i="2"/>
  <c r="F19" i="2"/>
  <c r="E19" i="2"/>
  <c r="H18" i="2"/>
  <c r="G18" i="2"/>
  <c r="F18" i="2"/>
  <c r="E18" i="2"/>
  <c r="D18" i="2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H10" i="2"/>
  <c r="G10" i="2"/>
  <c r="F10" i="2"/>
  <c r="E10" i="2"/>
  <c r="D10" i="2"/>
  <c r="H9" i="2"/>
  <c r="G9" i="2"/>
  <c r="F9" i="2"/>
  <c r="E9" i="2"/>
  <c r="D9" i="2"/>
  <c r="H8" i="2"/>
  <c r="G8" i="2"/>
  <c r="F8" i="2"/>
  <c r="E8" i="2"/>
  <c r="H7" i="2"/>
  <c r="G7" i="2"/>
  <c r="F7" i="2"/>
  <c r="E7" i="2"/>
  <c r="D7" i="2"/>
  <c r="H5" i="2"/>
  <c r="G5" i="2"/>
  <c r="D5" i="2"/>
  <c r="H114" i="1" l="1"/>
  <c r="G114" i="1"/>
  <c r="F114" i="1"/>
  <c r="E114" i="1"/>
  <c r="H113" i="1"/>
  <c r="G113" i="1"/>
  <c r="F113" i="1"/>
  <c r="E113" i="1"/>
  <c r="D113" i="1"/>
  <c r="H112" i="1"/>
  <c r="G112" i="1"/>
  <c r="F112" i="1"/>
  <c r="E112" i="1"/>
  <c r="D112" i="1"/>
  <c r="H111" i="1"/>
  <c r="G111" i="1"/>
  <c r="F111" i="1"/>
  <c r="E111" i="1"/>
  <c r="D111" i="1"/>
  <c r="H110" i="1"/>
  <c r="G110" i="1"/>
  <c r="F110" i="1"/>
  <c r="E110" i="1"/>
  <c r="D110" i="1"/>
  <c r="H109" i="1"/>
  <c r="G109" i="1"/>
  <c r="F109" i="1"/>
  <c r="E109" i="1"/>
  <c r="H108" i="1"/>
  <c r="G108" i="1"/>
  <c r="F108" i="1"/>
  <c r="E108" i="1"/>
  <c r="D108" i="1"/>
  <c r="H107" i="1"/>
  <c r="G107" i="1"/>
  <c r="F107" i="1"/>
  <c r="E107" i="1"/>
  <c r="H106" i="1"/>
  <c r="G106" i="1"/>
  <c r="F106" i="1"/>
  <c r="E106" i="1"/>
  <c r="H105" i="1"/>
  <c r="G105" i="1"/>
  <c r="F105" i="1"/>
  <c r="E105" i="1"/>
  <c r="D105" i="1"/>
  <c r="H104" i="1"/>
  <c r="G104" i="1"/>
  <c r="F104" i="1"/>
  <c r="E104" i="1"/>
  <c r="D104" i="1"/>
  <c r="H103" i="1"/>
  <c r="G103" i="1"/>
  <c r="F103" i="1"/>
  <c r="E103" i="1"/>
  <c r="D103" i="1"/>
  <c r="H102" i="1"/>
  <c r="G102" i="1"/>
  <c r="F102" i="1"/>
  <c r="E102" i="1"/>
  <c r="D102" i="1"/>
  <c r="H101" i="1"/>
  <c r="G101" i="1"/>
  <c r="F101" i="1"/>
  <c r="E101" i="1"/>
  <c r="D101" i="1"/>
  <c r="H100" i="1"/>
  <c r="G100" i="1"/>
  <c r="F100" i="1"/>
  <c r="E100" i="1"/>
  <c r="D100" i="1"/>
  <c r="H99" i="1"/>
  <c r="G99" i="1"/>
  <c r="F99" i="1"/>
  <c r="E99" i="1"/>
  <c r="D99" i="1"/>
  <c r="H98" i="1"/>
  <c r="G98" i="1"/>
  <c r="F98" i="1"/>
  <c r="E98" i="1"/>
  <c r="D98" i="1"/>
  <c r="H97" i="1"/>
  <c r="G97" i="1"/>
  <c r="F97" i="1"/>
  <c r="E97" i="1"/>
  <c r="H96" i="1"/>
  <c r="G96" i="1"/>
  <c r="F96" i="1"/>
  <c r="E96" i="1"/>
  <c r="D96" i="1"/>
  <c r="H95" i="1"/>
  <c r="G95" i="1"/>
  <c r="F95" i="1"/>
  <c r="E95" i="1"/>
  <c r="D95" i="1"/>
  <c r="H94" i="1"/>
  <c r="G94" i="1"/>
  <c r="F94" i="1"/>
  <c r="E94" i="1"/>
  <c r="H93" i="1"/>
  <c r="G93" i="1"/>
  <c r="F93" i="1"/>
  <c r="E93" i="1"/>
  <c r="D93" i="1"/>
  <c r="H92" i="1"/>
  <c r="G92" i="1"/>
  <c r="F92" i="1"/>
  <c r="E92" i="1"/>
  <c r="H91" i="1"/>
  <c r="G91" i="1"/>
  <c r="F91" i="1"/>
  <c r="E91" i="1"/>
  <c r="D91" i="1"/>
  <c r="H90" i="1"/>
  <c r="G90" i="1"/>
  <c r="F90" i="1"/>
  <c r="E90" i="1"/>
  <c r="H89" i="1"/>
  <c r="G89" i="1"/>
  <c r="F89" i="1"/>
  <c r="E89" i="1"/>
  <c r="H88" i="1"/>
  <c r="G88" i="1"/>
  <c r="F88" i="1"/>
  <c r="E88" i="1"/>
  <c r="D88" i="1"/>
  <c r="H87" i="1"/>
  <c r="G87" i="1"/>
  <c r="F87" i="1"/>
  <c r="E87" i="1"/>
  <c r="D87" i="1"/>
  <c r="H86" i="1"/>
  <c r="G86" i="1"/>
  <c r="F86" i="1"/>
  <c r="E86" i="1"/>
  <c r="H85" i="1"/>
  <c r="G85" i="1"/>
  <c r="F85" i="1"/>
  <c r="E85" i="1"/>
  <c r="H84" i="1"/>
  <c r="G84" i="1"/>
  <c r="F84" i="1"/>
  <c r="E84" i="1"/>
  <c r="D84" i="1"/>
  <c r="H83" i="1"/>
  <c r="G83" i="1"/>
  <c r="F83" i="1"/>
  <c r="E83" i="1"/>
  <c r="D83" i="1"/>
  <c r="H82" i="1"/>
  <c r="G82" i="1"/>
  <c r="F82" i="1"/>
  <c r="E82" i="1"/>
  <c r="D82" i="1"/>
  <c r="H81" i="1"/>
  <c r="G81" i="1"/>
  <c r="F81" i="1"/>
  <c r="E81" i="1"/>
  <c r="D81" i="1"/>
  <c r="H80" i="1"/>
  <c r="G80" i="1"/>
  <c r="F80" i="1"/>
  <c r="E80" i="1"/>
  <c r="D80" i="1"/>
  <c r="H79" i="1"/>
  <c r="G79" i="1"/>
  <c r="F79" i="1"/>
  <c r="E79" i="1"/>
  <c r="H78" i="1"/>
  <c r="G78" i="1"/>
  <c r="F78" i="1"/>
  <c r="E78" i="1"/>
  <c r="H77" i="1"/>
  <c r="G77" i="1"/>
  <c r="F77" i="1"/>
  <c r="E77" i="1"/>
  <c r="D77" i="1"/>
  <c r="H76" i="1"/>
  <c r="G76" i="1"/>
  <c r="F76" i="1"/>
  <c r="E76" i="1"/>
  <c r="H75" i="1"/>
  <c r="G75" i="1"/>
  <c r="F75" i="1"/>
  <c r="E75" i="1"/>
  <c r="H74" i="1"/>
  <c r="G74" i="1"/>
  <c r="F74" i="1"/>
  <c r="E74" i="1"/>
  <c r="D74" i="1"/>
  <c r="H73" i="1"/>
  <c r="G73" i="1"/>
  <c r="F73" i="1"/>
  <c r="E73" i="1"/>
  <c r="D73" i="1"/>
  <c r="H72" i="1"/>
  <c r="G72" i="1"/>
  <c r="F72" i="1"/>
  <c r="E72" i="1"/>
  <c r="D72" i="1"/>
  <c r="H71" i="1"/>
  <c r="G71" i="1"/>
  <c r="F71" i="1"/>
  <c r="E71" i="1"/>
  <c r="D71" i="1"/>
  <c r="H70" i="1"/>
  <c r="G70" i="1"/>
  <c r="F70" i="1"/>
  <c r="E70" i="1"/>
  <c r="D70" i="1"/>
  <c r="H69" i="1"/>
  <c r="G69" i="1"/>
  <c r="F69" i="1"/>
  <c r="E69" i="1"/>
  <c r="H68" i="1"/>
  <c r="G68" i="1"/>
  <c r="F68" i="1"/>
  <c r="E68" i="1"/>
  <c r="D68" i="1"/>
  <c r="H67" i="1"/>
  <c r="G67" i="1"/>
  <c r="F67" i="1"/>
  <c r="E67" i="1"/>
  <c r="D67" i="1"/>
  <c r="H66" i="1"/>
  <c r="G66" i="1"/>
  <c r="F66" i="1"/>
  <c r="E66" i="1"/>
  <c r="D66" i="1"/>
  <c r="H65" i="1"/>
  <c r="G65" i="1"/>
  <c r="F65" i="1"/>
  <c r="E65" i="1"/>
  <c r="D65" i="1"/>
  <c r="H64" i="1"/>
  <c r="G64" i="1"/>
  <c r="F64" i="1"/>
  <c r="E64" i="1"/>
  <c r="D64" i="1"/>
  <c r="H63" i="1"/>
  <c r="G63" i="1"/>
  <c r="F63" i="1"/>
  <c r="E63" i="1"/>
  <c r="D63" i="1"/>
  <c r="H62" i="1"/>
  <c r="G62" i="1"/>
  <c r="F62" i="1"/>
  <c r="E62" i="1"/>
  <c r="D62" i="1"/>
  <c r="H61" i="1"/>
  <c r="G61" i="1"/>
  <c r="F61" i="1"/>
  <c r="E61" i="1"/>
  <c r="H60" i="1"/>
  <c r="G60" i="1"/>
  <c r="F60" i="1"/>
  <c r="E60" i="1"/>
  <c r="D60" i="1"/>
  <c r="H59" i="1"/>
  <c r="G59" i="1"/>
  <c r="F59" i="1"/>
  <c r="E59" i="1"/>
  <c r="D59" i="1"/>
  <c r="H58" i="1"/>
  <c r="G58" i="1"/>
  <c r="F58" i="1"/>
  <c r="E58" i="1"/>
  <c r="D58" i="1"/>
  <c r="H57" i="1"/>
  <c r="G57" i="1"/>
  <c r="F57" i="1"/>
  <c r="E57" i="1"/>
  <c r="D57" i="1"/>
  <c r="H56" i="1"/>
  <c r="G56" i="1"/>
  <c r="F56" i="1"/>
  <c r="E56" i="1"/>
  <c r="D56" i="1"/>
  <c r="H55" i="1"/>
  <c r="G55" i="1"/>
  <c r="F55" i="1"/>
  <c r="E55" i="1"/>
  <c r="D55" i="1"/>
  <c r="H54" i="1"/>
  <c r="G54" i="1"/>
  <c r="F54" i="1"/>
  <c r="E54" i="1"/>
  <c r="D54" i="1"/>
  <c r="H53" i="1"/>
  <c r="G53" i="1"/>
  <c r="F53" i="1"/>
  <c r="E53" i="1"/>
  <c r="D53" i="1"/>
  <c r="H52" i="1"/>
  <c r="G52" i="1"/>
  <c r="F52" i="1"/>
  <c r="E52" i="1"/>
  <c r="D52" i="1"/>
  <c r="H51" i="1"/>
  <c r="G51" i="1"/>
  <c r="F51" i="1"/>
  <c r="E51" i="1"/>
  <c r="D51" i="1"/>
  <c r="H50" i="1"/>
  <c r="G50" i="1"/>
  <c r="F50" i="1"/>
  <c r="E50" i="1"/>
  <c r="H49" i="1"/>
  <c r="G49" i="1"/>
  <c r="F49" i="1"/>
  <c r="E49" i="1"/>
  <c r="D49" i="1"/>
  <c r="H48" i="1"/>
  <c r="G48" i="1"/>
  <c r="F48" i="1"/>
  <c r="E48" i="1"/>
  <c r="D48" i="1"/>
  <c r="H47" i="1"/>
  <c r="G47" i="1"/>
  <c r="F47" i="1"/>
  <c r="E47" i="1"/>
  <c r="D47" i="1"/>
  <c r="H46" i="1"/>
  <c r="G46" i="1"/>
  <c r="F46" i="1"/>
  <c r="E46" i="1"/>
  <c r="D46" i="1"/>
  <c r="H45" i="1"/>
  <c r="G45" i="1"/>
  <c r="F45" i="1"/>
  <c r="E45" i="1"/>
  <c r="D45" i="1"/>
  <c r="H44" i="1"/>
  <c r="G44" i="1"/>
  <c r="F44" i="1"/>
  <c r="E44" i="1"/>
  <c r="D44" i="1"/>
  <c r="H43" i="1"/>
  <c r="G43" i="1"/>
  <c r="F43" i="1"/>
  <c r="E43" i="1"/>
  <c r="D43" i="1"/>
  <c r="H42" i="1"/>
  <c r="G42" i="1"/>
  <c r="F42" i="1"/>
  <c r="E42" i="1"/>
  <c r="D42" i="1"/>
  <c r="H41" i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H37" i="1"/>
  <c r="G37" i="1"/>
  <c r="F37" i="1"/>
  <c r="E37" i="1"/>
  <c r="D37" i="1"/>
  <c r="H36" i="1"/>
  <c r="G36" i="1"/>
  <c r="F36" i="1"/>
  <c r="E36" i="1"/>
  <c r="D36" i="1"/>
  <c r="H35" i="1"/>
  <c r="G35" i="1"/>
  <c r="F35" i="1"/>
  <c r="E35" i="1"/>
  <c r="D35" i="1"/>
  <c r="H34" i="1"/>
  <c r="G34" i="1"/>
  <c r="F34" i="1"/>
  <c r="E34" i="1"/>
  <c r="D34" i="1"/>
  <c r="H33" i="1"/>
  <c r="G33" i="1"/>
  <c r="F33" i="1"/>
  <c r="E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H28" i="1"/>
  <c r="G28" i="1"/>
  <c r="F28" i="1"/>
  <c r="E28" i="1"/>
  <c r="D28" i="1"/>
  <c r="H27" i="1"/>
  <c r="G27" i="1"/>
  <c r="F27" i="1"/>
  <c r="E27" i="1"/>
  <c r="D27" i="1"/>
  <c r="H26" i="1"/>
  <c r="G26" i="1"/>
  <c r="F26" i="1"/>
  <c r="E26" i="1"/>
  <c r="D26" i="1"/>
  <c r="H25" i="1"/>
  <c r="G25" i="1"/>
  <c r="F25" i="1"/>
  <c r="E25" i="1"/>
  <c r="D25" i="1"/>
  <c r="H24" i="1"/>
  <c r="G24" i="1"/>
  <c r="F24" i="1"/>
  <c r="E24" i="1"/>
  <c r="D24" i="1"/>
  <c r="H23" i="1"/>
  <c r="G23" i="1"/>
  <c r="F23" i="1"/>
  <c r="E23" i="1"/>
  <c r="D23" i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10" i="1"/>
  <c r="G10" i="1"/>
  <c r="F10" i="1"/>
  <c r="E10" i="1"/>
  <c r="D10" i="1"/>
  <c r="H9" i="1"/>
  <c r="G9" i="1"/>
  <c r="F9" i="1"/>
  <c r="E9" i="1"/>
  <c r="D9" i="1"/>
  <c r="H8" i="1"/>
  <c r="G8" i="1"/>
  <c r="F8" i="1"/>
  <c r="E8" i="1"/>
  <c r="D8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<sst xmlns="http://schemas.openxmlformats.org/spreadsheetml/2006/main" count="1133" uniqueCount="408">
  <si>
    <t>România</t>
  </si>
  <si>
    <t>Italia</t>
  </si>
  <si>
    <t>Germania</t>
  </si>
  <si>
    <t>Polonia</t>
  </si>
  <si>
    <t>Bulgaria</t>
  </si>
  <si>
    <t>Austria</t>
  </si>
  <si>
    <t>Grecia</t>
  </si>
  <si>
    <t>Belarus</t>
  </si>
  <si>
    <t>Ucraina</t>
  </si>
  <si>
    <t>Kazahstan</t>
  </si>
  <si>
    <t>Azerbaidjan</t>
  </si>
  <si>
    <t>Uzbekistan</t>
  </si>
  <si>
    <t>Turkmenistan</t>
  </si>
  <si>
    <t>Armenia</t>
  </si>
  <si>
    <t>Tadjikistan</t>
  </si>
  <si>
    <t>Statele Unite ale Americii</t>
  </si>
  <si>
    <t>Animale vii</t>
  </si>
  <si>
    <t>Materiale brute necomestibile, exclusiv combustibili</t>
  </si>
  <si>
    <t>Produse chimice organice</t>
  </si>
  <si>
    <t>Produse chimice anorganice</t>
  </si>
  <si>
    <t>Materiale plastice sub forme primare</t>
  </si>
  <si>
    <t>Materiale plastice prelucrate</t>
  </si>
  <si>
    <t>Cauciuc prelucrat</t>
  </si>
  <si>
    <t>Articole din minerale nemetalice</t>
  </si>
  <si>
    <t>Metale neferoase</t>
  </si>
  <si>
    <t>Articole prelucrate din metal</t>
  </si>
  <si>
    <t>Alte echipamente de transport</t>
  </si>
  <si>
    <t>Articole manufacturate diverse</t>
  </si>
  <si>
    <t>Alte articole diverse</t>
  </si>
  <si>
    <t>Coreea de Sud</t>
  </si>
  <si>
    <t>Hong Kong, RAS a Chinei</t>
  </si>
  <si>
    <t>Africa de Sud</t>
  </si>
  <si>
    <t>Spania</t>
  </si>
  <si>
    <t>Belgia</t>
  </si>
  <si>
    <t>Ungaria</t>
  </si>
  <si>
    <t>Lituania</t>
  </si>
  <si>
    <t>Slovacia</t>
  </si>
  <si>
    <t>Letonia</t>
  </si>
  <si>
    <t>Estonia</t>
  </si>
  <si>
    <t>Cipru</t>
  </si>
  <si>
    <t>Danemarca</t>
  </si>
  <si>
    <t>Finlanda</t>
  </si>
  <si>
    <t>Suedia</t>
  </si>
  <si>
    <t>Portugalia</t>
  </si>
  <si>
    <t>Slovenia</t>
  </si>
  <si>
    <t>Irlanda</t>
  </si>
  <si>
    <t>Luxemburg</t>
  </si>
  <si>
    <t>Malta</t>
  </si>
  <si>
    <t>Turcia</t>
  </si>
  <si>
    <t>Irak</t>
  </si>
  <si>
    <t>Georgia</t>
  </si>
  <si>
    <t>China</t>
  </si>
  <si>
    <t>Liban</t>
  </si>
  <si>
    <t>Israel</t>
  </si>
  <si>
    <t>Egipt</t>
  </si>
  <si>
    <t>Myanmar</t>
  </si>
  <si>
    <t>Serbia</t>
  </si>
  <si>
    <t>Iordania</t>
  </si>
  <si>
    <t>Canada</t>
  </si>
  <si>
    <t>India</t>
  </si>
  <si>
    <t>Bangladesh</t>
  </si>
  <si>
    <t>Vietnam</t>
  </si>
  <si>
    <t>Iran</t>
  </si>
  <si>
    <t>Pakistan</t>
  </si>
  <si>
    <t>Emiratele Arabe Unite</t>
  </si>
  <si>
    <t>Japonia</t>
  </si>
  <si>
    <t>Nigeria</t>
  </si>
  <si>
    <t>Norvegia</t>
  </si>
  <si>
    <t>Ecuador</t>
  </si>
  <si>
    <t>Islanda</t>
  </si>
  <si>
    <t>Argentina</t>
  </si>
  <si>
    <t>Thailanda</t>
  </si>
  <si>
    <t>Brazilia</t>
  </si>
  <si>
    <t>Maroc</t>
  </si>
  <si>
    <t>Singapore</t>
  </si>
  <si>
    <t>Filipine</t>
  </si>
  <si>
    <t>Chile</t>
  </si>
  <si>
    <t>Costa Rica</t>
  </si>
  <si>
    <t>Tunisia</t>
  </si>
  <si>
    <t>Columbia</t>
  </si>
  <si>
    <t>Australia</t>
  </si>
  <si>
    <t>Peru</t>
  </si>
  <si>
    <t>Kenya</t>
  </si>
  <si>
    <t>EXPORT - total</t>
  </si>
  <si>
    <t>Oman</t>
  </si>
  <si>
    <t>Albania</t>
  </si>
  <si>
    <t>Qatar</t>
  </si>
  <si>
    <t>Ponderea, %</t>
  </si>
  <si>
    <t>Transport maritim</t>
  </si>
  <si>
    <t>Transport feroviar</t>
  </si>
  <si>
    <t>Transport rutier</t>
  </si>
  <si>
    <t>Transport aerian</t>
  </si>
  <si>
    <t>Expedieri poștale</t>
  </si>
  <si>
    <t>Instalații fixe de transport</t>
  </si>
  <si>
    <t>Autopropulsie</t>
  </si>
  <si>
    <t>IMPORT - total</t>
  </si>
  <si>
    <t>Etiopia</t>
  </si>
  <si>
    <t xml:space="preserve">   din care:</t>
  </si>
  <si>
    <t>Macedonia de Nord</t>
  </si>
  <si>
    <t>Cote D'Ivoire</t>
  </si>
  <si>
    <t xml:space="preserve">EXPORT - total      </t>
  </si>
  <si>
    <t>Ţările Uniunii Europene (UE-27) - total</t>
  </si>
  <si>
    <t>Celelalte țări ale lumii - total</t>
  </si>
  <si>
    <t>Celelalte ţări ale lumii - total</t>
  </si>
  <si>
    <t>Cambodgia</t>
  </si>
  <si>
    <t>Ghana</t>
  </si>
  <si>
    <t>Zahăr, preparate pe bază de zahăr; miere</t>
  </si>
  <si>
    <t>Hrană destinată animalelor (exclusiv cereale nemăcinate)</t>
  </si>
  <si>
    <t>Pastă de hârtie şi deşeuri de hârtie</t>
  </si>
  <si>
    <t>Fibre textile (cu excepţia lânii în fuior şi a lânii pieptănate) şi deşeurile lor (neprelucrate în fire sau ţesături)</t>
  </si>
  <si>
    <t>Îngrăşăminte naturale şi minerale naturale (exclusiv cărbune, petrol şi pietre preţioase)</t>
  </si>
  <si>
    <t>Minereuri metalifere şi deşeuri de metale</t>
  </si>
  <si>
    <t>Alte materii brute de origine animală sau vegetală</t>
  </si>
  <si>
    <t>Combustibili minerali, lubrifianţi şi materiale derivate</t>
  </si>
  <si>
    <t>Petrol, produse petroliere şi produse înrudite</t>
  </si>
  <si>
    <t>Uleiuri, grăsimi şi ceruri de origine animală sau vegetală</t>
  </si>
  <si>
    <t>Grăsimi şi uleiuri vegetale fixate, brute, rafinate sau fracţionate</t>
  </si>
  <si>
    <t>Produse chimice şi produse derivate nespecificate în altă parte</t>
  </si>
  <si>
    <t>Produse tanante şi colorante</t>
  </si>
  <si>
    <t>Produse medicinale şi farmaceutice</t>
  </si>
  <si>
    <t>Uleiuri esenţiale, rezinoide şi substanţe parfumate, preparate pentru toaletă, produse pentru înfrumuseţare</t>
  </si>
  <si>
    <t>Îngrăşăminte minerale sau chimice</t>
  </si>
  <si>
    <t>Alte materiale şi produse chimice</t>
  </si>
  <si>
    <t>Piele, altă piele şi blană prelucrate</t>
  </si>
  <si>
    <t>Articole din lemn (exclusiv mobilă)</t>
  </si>
  <si>
    <t>Hârtie, carton şi articole din pastă de celuloză, din hârtie sau din carton</t>
  </si>
  <si>
    <t>Fire, tesături, articole textile necuprinse în altă parte şi produse conexe</t>
  </si>
  <si>
    <t>Fier şi oţel</t>
  </si>
  <si>
    <t>Maşini şi echipamente pentru transport</t>
  </si>
  <si>
    <t>Maşini  generatoare de putere şi echipamentele lor</t>
  </si>
  <si>
    <t>Maşini şi aparate specializate pentru industriile specifice</t>
  </si>
  <si>
    <t>Maşini şi aparate pentru prelucrarea metalelor</t>
  </si>
  <si>
    <t>Maşini şi aparate industriale cu aplicaţii generale; părţi şi piese detaşate ale acestor maşini</t>
  </si>
  <si>
    <t>Maşini şi aparate de birou sau pentru prelucrarea automată a datelor</t>
  </si>
  <si>
    <t>Aparate şi echipamente de telecomunicaţii şi pentru înregistrarea şi reproducerea sunetului şi imaginii</t>
  </si>
  <si>
    <t>Maşini şi aparate electrice şi părţi ale acestora (inclusiv echivalente neelectrice ale maşinilor şi aparatelor de uz casnic)</t>
  </si>
  <si>
    <t>Vehicule rutiere (inclusiv vehicule cu pernă de aer)</t>
  </si>
  <si>
    <t>Mobilă şi părţile ei</t>
  </si>
  <si>
    <t>Articole de voiaj; sacoşe şi similare</t>
  </si>
  <si>
    <t>Îmbrăcăminte şi accesorii</t>
  </si>
  <si>
    <t>Încălţăminte</t>
  </si>
  <si>
    <t>Aparate fotografice, echipamente şi furnituri de optică; ceasuri şi orologii</t>
  </si>
  <si>
    <t>Bunuri neclasificate în altă secţiune din CSCI</t>
  </si>
  <si>
    <t>Produse alimentare şi animale vii</t>
  </si>
  <si>
    <t>Carne şi preparate din carne</t>
  </si>
  <si>
    <t>Produse lactate şi ouă de păsări</t>
  </si>
  <si>
    <t>Peşte, crustacee, moluşte</t>
  </si>
  <si>
    <t>Cereale şi preparate pe bază de cereale</t>
  </si>
  <si>
    <t>Legume şi fructe</t>
  </si>
  <si>
    <t>Cafea, ceai, cacao, condimente şi înlocuitori ai acestora</t>
  </si>
  <si>
    <t>Produse şi preparate alimentare diverse</t>
  </si>
  <si>
    <t>Băuturi şi tutun</t>
  </si>
  <si>
    <t>Băuturi (alcoolice şi nealcoolice)</t>
  </si>
  <si>
    <t>Tutun brut şi prelucrat</t>
  </si>
  <si>
    <t>Seminţe şi fructe oleaginoase</t>
  </si>
  <si>
    <t>Cauciuc brut (inclusiv cauciuc sintetic şi regenerat)</t>
  </si>
  <si>
    <t>Lemn şi plută</t>
  </si>
  <si>
    <t>Cărbune, cocs şi brichete</t>
  </si>
  <si>
    <t>Gaz şi produse industriale obţinute din gaz</t>
  </si>
  <si>
    <t>Alte uleiuri şi grăsimi animale sau vegetale prelucrate; ceară de origine animală sau vegetală, amestecuri sau preparate necomestibile din uleiuri animale sau vegetale</t>
  </si>
  <si>
    <t>Piei crude, piei tăbăcite şi blănuri brute</t>
  </si>
  <si>
    <t>Uleiuri şi grăsimi de origine animală</t>
  </si>
  <si>
    <t>Construcţii prefabricate; alte instalaţii şi accesorii pentru instalaţii sanitare, de încalzit şi de iluminat</t>
  </si>
  <si>
    <t>Afganistan</t>
  </si>
  <si>
    <t>Cod           CSCI</t>
  </si>
  <si>
    <t>0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</si>
  <si>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</si>
  <si>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</si>
  <si>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</si>
  <si>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</si>
  <si>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</si>
  <si>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</si>
  <si>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</si>
  <si>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</si>
  <si>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</si>
  <si>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</si>
  <si>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</t>
  </si>
  <si>
    <t>11</t>
  </si>
  <si>
    <t>12</t>
  </si>
  <si>
    <t>2</t>
  </si>
  <si>
    <t>21</t>
  </si>
  <si>
    <t>22</t>
  </si>
  <si>
    <t>24</t>
  </si>
  <si>
    <t>25</t>
  </si>
  <si>
    <t>26</t>
  </si>
  <si>
    <t>27</t>
  </si>
  <si>
    <t>28</t>
  </si>
  <si>
    <t>29</t>
  </si>
  <si>
    <t>3</t>
  </si>
  <si>
    <t>32</t>
  </si>
  <si>
    <t>33</t>
  </si>
  <si>
    <t>4</t>
  </si>
  <si>
    <t>41</t>
  </si>
  <si>
    <t>42</t>
  </si>
  <si>
    <t>43</t>
  </si>
  <si>
    <t>5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</si>
  <si>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</si>
  <si>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</si>
  <si>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</si>
  <si>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</si>
  <si>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</si>
  <si>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</si>
  <si>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</si>
  <si>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</si>
  <si>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</si>
  <si>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</si>
  <si>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</si>
  <si>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</si>
  <si>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</si>
  <si>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</si>
  <si>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</si>
  <si>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</si>
  <si>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</si>
  <si>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</si>
  <si>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</si>
  <si>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</si>
  <si>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</si>
  <si>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</si>
  <si>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</si>
  <si>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</si>
  <si>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</si>
  <si>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</si>
  <si>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</si>
  <si>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</si>
  <si>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</si>
  <si>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</t>
  </si>
  <si>
    <t>81</t>
  </si>
  <si>
    <t>82</t>
  </si>
  <si>
    <t>83</t>
  </si>
  <si>
    <t>84</t>
  </si>
  <si>
    <t>85</t>
  </si>
  <si>
    <t>87</t>
  </si>
  <si>
    <t>88</t>
  </si>
  <si>
    <t>89</t>
  </si>
  <si>
    <t>23</t>
  </si>
  <si>
    <t>34</t>
  </si>
  <si>
    <t>9</t>
  </si>
  <si>
    <t>Cod CSCI</t>
  </si>
  <si>
    <t>conform Clasificării Standard de Comerţ Internaţional (CSCI)</t>
  </si>
  <si>
    <t xml:space="preserve">  ¹ În preţuri curente</t>
  </si>
  <si>
    <t>35</t>
  </si>
  <si>
    <t>Energie electrica</t>
  </si>
  <si>
    <t>Energie electrică</t>
  </si>
  <si>
    <t>Franța</t>
  </si>
  <si>
    <t>Croația</t>
  </si>
  <si>
    <t>Federația Rusă</t>
  </si>
  <si>
    <t>Cehia</t>
  </si>
  <si>
    <t>Kârgâzstan</t>
  </si>
  <si>
    <t>Țările Uniunii Europene - total</t>
  </si>
  <si>
    <t>Gaz și produse industriale obținute din gaz</t>
  </si>
  <si>
    <t>Kosovo</t>
  </si>
  <si>
    <t>-</t>
  </si>
  <si>
    <t>Instrumente şi aparate profesionale, ştiinţifice şi de control</t>
  </si>
  <si>
    <t>Instrumente şi aparate, profesionale, ştiinţifice şi de control</t>
  </si>
  <si>
    <t>Algeria</t>
  </si>
  <si>
    <t>Coreea de Nord</t>
  </si>
  <si>
    <t>Muntenegru</t>
  </si>
  <si>
    <t>Guatemala</t>
  </si>
  <si>
    <r>
      <rPr>
        <b/>
        <sz val="10"/>
        <rFont val="Arial"/>
        <family val="2"/>
        <charset val="204"/>
      </rPr>
      <t xml:space="preserve">Anexa 1.  </t>
    </r>
    <r>
      <rPr>
        <b/>
        <i/>
        <sz val="10"/>
        <rFont val="Arial"/>
        <family val="2"/>
        <charset val="204"/>
      </rPr>
      <t>Exporturile structurate pe principalele ţări de destinaţie a mărfurilor şi pe grupe de ţări</t>
    </r>
  </si>
  <si>
    <t>Paraguay</t>
  </si>
  <si>
    <r>
      <rPr>
        <b/>
        <sz val="10"/>
        <color indexed="8"/>
        <rFont val="Arial"/>
        <family val="2"/>
        <charset val="204"/>
      </rPr>
      <t xml:space="preserve">Anexa 2.  </t>
    </r>
    <r>
      <rPr>
        <b/>
        <i/>
        <sz val="10"/>
        <color indexed="8"/>
        <rFont val="Arial"/>
        <family val="2"/>
        <charset val="204"/>
      </rPr>
      <t>Importurile structurate pe principalele ţări de origine a mărfurilor şi pe grupe de ţări</t>
    </r>
  </si>
  <si>
    <r>
      <rPr>
        <b/>
        <sz val="10"/>
        <color indexed="8"/>
        <rFont val="Arial"/>
        <family val="2"/>
        <charset val="204"/>
      </rPr>
      <t xml:space="preserve">Anexa 3.  </t>
    </r>
    <r>
      <rPr>
        <b/>
        <i/>
        <sz val="10"/>
        <color indexed="8"/>
        <rFont val="Arial"/>
        <family val="2"/>
        <charset val="204"/>
      </rPr>
      <t>Balanţa comercială structurată pe principalele ţări şi pe grupe de ţări</t>
    </r>
  </si>
  <si>
    <r>
      <rPr>
        <b/>
        <sz val="10"/>
        <rFont val="Arial"/>
        <family val="2"/>
        <charset val="204"/>
      </rPr>
      <t xml:space="preserve">Anexa 4.  </t>
    </r>
    <r>
      <rPr>
        <b/>
        <i/>
        <sz val="10"/>
        <rFont val="Arial"/>
        <family val="2"/>
        <charset val="204"/>
      </rPr>
      <t xml:space="preserve">Exporturile structurate după modul de transport al mărfurilor </t>
    </r>
  </si>
  <si>
    <r>
      <rPr>
        <b/>
        <sz val="10"/>
        <rFont val="Arial"/>
        <family val="2"/>
        <charset val="204"/>
      </rPr>
      <t>Anexa 5.</t>
    </r>
    <r>
      <rPr>
        <b/>
        <i/>
        <sz val="10"/>
        <rFont val="Arial"/>
        <family val="2"/>
        <charset val="204"/>
      </rPr>
      <t xml:space="preserve">  Importurile structurate după modul de transport al mărfurilor </t>
    </r>
  </si>
  <si>
    <r>
      <rPr>
        <b/>
        <sz val="10"/>
        <color indexed="8"/>
        <rFont val="Arial"/>
        <family val="2"/>
        <charset val="204"/>
      </rPr>
      <t>Anexa 6.</t>
    </r>
    <r>
      <rPr>
        <b/>
        <i/>
        <sz val="10"/>
        <color indexed="8"/>
        <rFont val="Arial"/>
        <family val="2"/>
        <charset val="204"/>
      </rPr>
      <t xml:space="preserve">  Exporturile structurate pe grupe de mărfuri, </t>
    </r>
  </si>
  <si>
    <t>Gradul de influenţă a ţărilor, grupelor de ţări  la              creşterea (+),  scăderea (-) importurilor, %</t>
  </si>
  <si>
    <r>
      <rPr>
        <b/>
        <sz val="10"/>
        <color indexed="8"/>
        <rFont val="Arial"/>
        <family val="2"/>
        <charset val="204"/>
      </rPr>
      <t>Anexa 7.</t>
    </r>
    <r>
      <rPr>
        <b/>
        <i/>
        <sz val="10"/>
        <color indexed="8"/>
        <rFont val="Arial"/>
        <family val="2"/>
        <charset val="204"/>
      </rPr>
      <t xml:space="preserve">  Importurile structurate pe grupe de mărfuri, </t>
    </r>
  </si>
  <si>
    <r>
      <rPr>
        <b/>
        <sz val="10"/>
        <color indexed="8"/>
        <rFont val="Arial"/>
        <family val="2"/>
        <charset val="204"/>
      </rPr>
      <t xml:space="preserve">Anexa 8.  </t>
    </r>
    <r>
      <rPr>
        <b/>
        <i/>
        <sz val="10"/>
        <color indexed="8"/>
        <rFont val="Arial"/>
        <family val="2"/>
        <charset val="204"/>
      </rPr>
      <t xml:space="preserve">Balanţa comercială structurată pe grupe de mărfuri, </t>
    </r>
  </si>
  <si>
    <t>Mărfuri manufacturate, clasificate mai ales după materia primă</t>
  </si>
  <si>
    <r>
      <t xml:space="preserve"> </t>
    </r>
    <r>
      <rPr>
        <sz val="9"/>
        <rFont val="Arial"/>
        <family val="2"/>
        <charset val="204"/>
      </rPr>
      <t xml:space="preserve">  din care:</t>
    </r>
  </si>
  <si>
    <t xml:space="preserve">     din care:</t>
  </si>
  <si>
    <t>de 1,7 ori</t>
  </si>
  <si>
    <t>de 1,9 ori</t>
  </si>
  <si>
    <t>de 1,8 ori</t>
  </si>
  <si>
    <t>de 2,1 ori</t>
  </si>
  <si>
    <t>de 2,0 ori</t>
  </si>
  <si>
    <t>de 1,6 ori</t>
  </si>
  <si>
    <t>x</t>
  </si>
  <si>
    <t>Valoarea, mii dolari SUA</t>
  </si>
  <si>
    <t>Piei crude, piei tăbăcite și blănuri brute</t>
  </si>
  <si>
    <t>BALANŢA COMERCIALĂ – total, mii dolari SUA</t>
  </si>
  <si>
    <t>Indonezia</t>
  </si>
  <si>
    <t>Insulele Feroe</t>
  </si>
  <si>
    <t xml:space="preserve">IMPORT - total      </t>
  </si>
  <si>
    <t>BALANŢA COMERCIALĂ - total, mii dolari SUA</t>
  </si>
  <si>
    <t>Malaysia</t>
  </si>
  <si>
    <t>Taiwan</t>
  </si>
  <si>
    <t>Bahrain</t>
  </si>
  <si>
    <t>Togo</t>
  </si>
  <si>
    <t>Insulele Falkland</t>
  </si>
  <si>
    <t>Kuweit</t>
  </si>
  <si>
    <t>Liechtenstein</t>
  </si>
  <si>
    <t>Sierra Leone</t>
  </si>
  <si>
    <t xml:space="preserve">   </t>
  </si>
  <si>
    <t>Mexic</t>
  </si>
  <si>
    <t>de 3,0 ori</t>
  </si>
  <si>
    <r>
      <t xml:space="preserve">  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Faţă de anul precedent</t>
    </r>
  </si>
  <si>
    <r>
      <rPr>
        <vertAlign val="superscript"/>
        <sz val="8"/>
        <color rgb="FF000000"/>
        <rFont val="Arial"/>
        <family val="2"/>
        <charset val="204"/>
      </rPr>
      <t xml:space="preserve"> </t>
    </r>
    <r>
      <rPr>
        <sz val="8"/>
        <color indexed="8"/>
        <rFont val="Arial"/>
        <family val="2"/>
        <charset val="204"/>
      </rPr>
      <t xml:space="preserve"> </t>
    </r>
    <r>
      <rPr>
        <vertAlign val="superscript"/>
        <sz val="8"/>
        <color rgb="FF000000"/>
        <rFont val="Arial"/>
        <family val="2"/>
        <charset val="204"/>
      </rPr>
      <t xml:space="preserve">3  </t>
    </r>
    <r>
      <rPr>
        <sz val="8"/>
        <color indexed="8"/>
        <rFont val="Arial"/>
        <family val="2"/>
        <charset val="204"/>
      </rPr>
      <t xml:space="preserve">Datele privind comerțul internațional de mărfuri sunt elaborate în conformitate cu Nomenclatorul țărilor și teritoriilor al Uniunii Europene (Geonomenclature, ediția 2024). </t>
    </r>
  </si>
  <si>
    <t xml:space="preserve">    datele pe CSI, în toate perioadele de referință, nu includ Ucraina, datele pentru această țară fiind reflectate în grupa ”Celelalte țări ale lumii”.</t>
  </si>
  <si>
    <t xml:space="preserve">    În corespundere cu acesta, datele privind comerțul internațional cu Ucraina nu sunt reflectate în Comunitatea Statelor Independente (CSI). Respectiv, pentru comparabilitate, </t>
  </si>
  <si>
    <r>
      <rPr>
        <vertAlign val="superscript"/>
        <sz val="8"/>
        <color rgb="FF000000"/>
        <rFont val="Arial"/>
        <family val="2"/>
        <charset val="204"/>
      </rPr>
      <t xml:space="preserve"> </t>
    </r>
    <r>
      <rPr>
        <sz val="8"/>
        <color indexed="8"/>
        <rFont val="Arial"/>
        <family val="2"/>
        <charset val="204"/>
      </rPr>
      <t xml:space="preserve"> </t>
    </r>
    <r>
      <rPr>
        <vertAlign val="superscript"/>
        <sz val="8"/>
        <color rgb="FF000000"/>
        <rFont val="Arial"/>
        <family val="2"/>
        <charset val="204"/>
      </rPr>
      <t xml:space="preserve">2  </t>
    </r>
    <r>
      <rPr>
        <sz val="8"/>
        <color indexed="8"/>
        <rFont val="Arial"/>
        <family val="2"/>
        <charset val="204"/>
      </rPr>
      <t>Datele privind comerțul internațional de mărfuri sunt elaborate în conformitate cu Nomenclatorul țărilor și teritoriilor al Uniunii Europene</t>
    </r>
  </si>
  <si>
    <t xml:space="preserve">    (Geonomenclature, ediția 2024). În corespundere cu acesta, datele privind comerțul internațional cu Ucraina nu sunt reflectate în </t>
  </si>
  <si>
    <t xml:space="preserve">    Comunitatea Statelor Independente (CSI). Respectiv, pentru comparabilitate, datele pe CSI,  în toate perioadele de referință, nu includ </t>
  </si>
  <si>
    <t xml:space="preserve">    Ucraina, datele pentru această țară fiind reflectate în grupa ”Celelalte țări ale lumii”.</t>
  </si>
  <si>
    <r>
      <rPr>
        <vertAlign val="superscript"/>
        <sz val="8"/>
        <color rgb="FF000000"/>
        <rFont val="Arial"/>
        <family val="2"/>
        <charset val="204"/>
      </rPr>
      <t xml:space="preserve"> </t>
    </r>
    <r>
      <rPr>
        <sz val="8"/>
        <color indexed="8"/>
        <rFont val="Arial"/>
        <family val="2"/>
        <charset val="204"/>
      </rPr>
      <t xml:space="preserve"> </t>
    </r>
    <r>
      <rPr>
        <vertAlign val="superscript"/>
        <sz val="8"/>
        <color rgb="FF000000"/>
        <rFont val="Arial"/>
        <family val="2"/>
        <charset val="204"/>
      </rPr>
      <t xml:space="preserve">2  </t>
    </r>
    <r>
      <rPr>
        <sz val="8"/>
        <color indexed="8"/>
        <rFont val="Arial"/>
        <family val="2"/>
        <charset val="204"/>
      </rPr>
      <t xml:space="preserve">Datele privind comerțul internațional de mărfuri sunt elaborate în conformitate cu Nomenclatorul țărilor și teritoriilor al Uniunii Europene </t>
    </r>
  </si>
  <si>
    <t xml:space="preserve">    (Geonomenclature, ediția 2024). În corespundere cu acesta, datele privind comerțul internațional  cu Ucraina nu sunt reflectate în </t>
  </si>
  <si>
    <t xml:space="preserve">    Comunitatea Statelor Independente (CSI). Respectiv, pentru comparabilitate, datele pe CSI, în toate perioadele de referință, nu includ </t>
  </si>
  <si>
    <t>de 2,3 ori</t>
  </si>
  <si>
    <t>de 2,2 ori</t>
  </si>
  <si>
    <t>de 2,4 ori</t>
  </si>
  <si>
    <t>de 2,9 ori</t>
  </si>
  <si>
    <t>Țările de Jos (Olanda)</t>
  </si>
  <si>
    <t>Mongolia</t>
  </si>
  <si>
    <t>Mali</t>
  </si>
  <si>
    <t>Regatul Unit al Marii Britanii și Irlandei de Nord</t>
  </si>
  <si>
    <t>Elveția</t>
  </si>
  <si>
    <t>Arabia Saudită</t>
  </si>
  <si>
    <t>Bosnia și Herțegovina</t>
  </si>
  <si>
    <t>Uruguay</t>
  </si>
  <si>
    <t>Venezuela</t>
  </si>
  <si>
    <t>Mauritius</t>
  </si>
  <si>
    <t>Șri Lanka</t>
  </si>
  <si>
    <t>Sao Tome și Principe</t>
  </si>
  <si>
    <t>Republica Dominicană</t>
  </si>
  <si>
    <t>Noua Zeelandă</t>
  </si>
  <si>
    <t xml:space="preserve">Marfuri produse in UE, cu origine neidentificata </t>
  </si>
  <si>
    <t>Namibia</t>
  </si>
  <si>
    <t>Noua Caledonie</t>
  </si>
  <si>
    <t>de 3,2 ori</t>
  </si>
  <si>
    <t>de 2,6 ori</t>
  </si>
  <si>
    <t>de 15,9 ori</t>
  </si>
  <si>
    <t>Libia</t>
  </si>
  <si>
    <t>Cabo Verde</t>
  </si>
  <si>
    <t>Camerun</t>
  </si>
  <si>
    <t>Burkina Faso</t>
  </si>
  <si>
    <t>Guineea Ecuatorială</t>
  </si>
  <si>
    <t>Republica Democrată Congo</t>
  </si>
  <si>
    <t>de 5,5 ori</t>
  </si>
  <si>
    <t>de 4,0 ori</t>
  </si>
  <si>
    <t>Cuba</t>
  </si>
  <si>
    <t>Republica Arabă Siriană</t>
  </si>
  <si>
    <t>de 5,2 ori</t>
  </si>
  <si>
    <t>Uganda</t>
  </si>
  <si>
    <t>Madagascar</t>
  </si>
  <si>
    <t>Zimbabwe</t>
  </si>
  <si>
    <t>de 2,8 ori</t>
  </si>
  <si>
    <t>Panama</t>
  </si>
  <si>
    <t>de 2,5 ori</t>
  </si>
  <si>
    <t>de 3,1 ori</t>
  </si>
  <si>
    <t>de 2,7 ori</t>
  </si>
  <si>
    <t>de 3,7 ori</t>
  </si>
  <si>
    <t>Țările Uniunii Europene (UE-27) - total</t>
  </si>
  <si>
    <r>
      <t>Țările CSI</t>
    </r>
    <r>
      <rPr>
        <b/>
        <vertAlign val="superscript"/>
        <sz val="9"/>
        <rFont val="Arial"/>
        <family val="2"/>
        <charset val="204"/>
      </rPr>
      <t xml:space="preserve"> 2</t>
    </r>
    <r>
      <rPr>
        <b/>
        <sz val="9"/>
        <rFont val="Arial"/>
        <family val="2"/>
        <charset val="204"/>
      </rPr>
      <t xml:space="preserve"> - total</t>
    </r>
  </si>
  <si>
    <t xml:space="preserve">Samoa </t>
  </si>
  <si>
    <t>Zambia</t>
  </si>
  <si>
    <t>Bolivia</t>
  </si>
  <si>
    <t xml:space="preserve">Mărfuri produse în UE, cu origine neidentificată </t>
  </si>
  <si>
    <t>Congo</t>
  </si>
  <si>
    <t>Nepal</t>
  </si>
  <si>
    <t>Somalia</t>
  </si>
  <si>
    <t>de 10,8 ori</t>
  </si>
  <si>
    <t>de 3,4 ori</t>
  </si>
  <si>
    <t>San Marino</t>
  </si>
  <si>
    <t>de 14,8 ori</t>
  </si>
  <si>
    <t>de 3,5 ori</t>
  </si>
  <si>
    <t>de 3,3 ori</t>
  </si>
  <si>
    <t>de 175,7 ori</t>
  </si>
  <si>
    <t>de 4,3 ori</t>
  </si>
  <si>
    <t>ianuarie-august 2024</t>
  </si>
  <si>
    <t>ianuarie-august 2025</t>
  </si>
  <si>
    <r>
      <t xml:space="preserve"> Ianuarie-august 2025                   în % față de ianuarie-august 2024</t>
    </r>
    <r>
      <rPr>
        <b/>
        <vertAlign val="superscript"/>
        <sz val="9"/>
        <rFont val="Arial"/>
        <family val="2"/>
        <charset val="204"/>
      </rPr>
      <t>1</t>
    </r>
  </si>
  <si>
    <r>
      <t>ianuarie-august 2024</t>
    </r>
    <r>
      <rPr>
        <b/>
        <vertAlign val="superscript"/>
        <sz val="9"/>
        <rFont val="Arial"/>
        <family val="2"/>
        <charset val="204"/>
      </rPr>
      <t>1,2</t>
    </r>
  </si>
  <si>
    <r>
      <t>ianuarie-august 2025</t>
    </r>
    <r>
      <rPr>
        <b/>
        <vertAlign val="superscript"/>
        <sz val="9"/>
        <rFont val="Arial"/>
        <family val="2"/>
        <charset val="204"/>
      </rPr>
      <t>1,2</t>
    </r>
  </si>
  <si>
    <t>Gradul de influenţă a ţărilor, grupelor de ţări  la              creşterea (+), scăderea (-) exporturilor, %</t>
  </si>
  <si>
    <t>Gradul de influenţă a ţărilor, grupelor de ţări  la              creşterea (+), scăderea (-) importurilor, %</t>
  </si>
  <si>
    <r>
      <t xml:space="preserve"> Ianuarie-august 2025
în % faţă de            
ianuarie-august 2024</t>
    </r>
    <r>
      <rPr>
        <b/>
        <vertAlign val="superscript"/>
        <sz val="9"/>
        <color rgb="FF000000"/>
        <rFont val="Arial"/>
        <family val="2"/>
        <charset val="204"/>
      </rPr>
      <t>1</t>
    </r>
  </si>
  <si>
    <r>
      <t xml:space="preserve"> Ianuarie-august  2025                     în % față de ianuarie-august  2024</t>
    </r>
    <r>
      <rPr>
        <b/>
        <vertAlign val="superscript"/>
        <sz val="9"/>
        <rFont val="Arial"/>
        <family val="2"/>
        <charset val="204"/>
      </rPr>
      <t>1</t>
    </r>
  </si>
  <si>
    <r>
      <t xml:space="preserve"> Ianuarie-august  2025                      în % față de ianuarie-august 2024</t>
    </r>
    <r>
      <rPr>
        <b/>
        <vertAlign val="superscript"/>
        <sz val="9"/>
        <rFont val="Arial"/>
        <family val="2"/>
        <charset val="204"/>
      </rPr>
      <t>1</t>
    </r>
  </si>
  <si>
    <r>
      <t xml:space="preserve"> Ianuarie-august 2025                      în % față de ianuarie-august 2024</t>
    </r>
    <r>
      <rPr>
        <b/>
        <vertAlign val="superscript"/>
        <sz val="9"/>
        <rFont val="Arial"/>
        <family val="2"/>
        <charset val="204"/>
      </rPr>
      <t>1</t>
    </r>
  </si>
  <si>
    <t>Rwanda</t>
  </si>
  <si>
    <r>
      <t xml:space="preserve">Ţările CSI </t>
    </r>
    <r>
      <rPr>
        <b/>
        <vertAlign val="superscript"/>
        <sz val="9"/>
        <rFont val="Arial"/>
        <family val="2"/>
        <charset val="204"/>
      </rPr>
      <t>3</t>
    </r>
    <r>
      <rPr>
        <b/>
        <sz val="9"/>
        <rFont val="Arial"/>
        <family val="2"/>
        <charset val="204"/>
      </rPr>
      <t xml:space="preserve"> - total</t>
    </r>
  </si>
  <si>
    <t xml:space="preserve">        din care:</t>
  </si>
  <si>
    <t>de 4,6 ori</t>
  </si>
  <si>
    <t>de 42,1 ori</t>
  </si>
  <si>
    <t>de 15,7 ori</t>
  </si>
  <si>
    <t>de 13,6 ori</t>
  </si>
  <si>
    <t>de 13,0 ori</t>
  </si>
  <si>
    <t>de 1247,4 ori</t>
  </si>
  <si>
    <r>
      <t xml:space="preserve">Țările CSI </t>
    </r>
    <r>
      <rPr>
        <b/>
        <vertAlign val="superscript"/>
        <sz val="9"/>
        <rFont val="Arial"/>
        <family val="2"/>
        <charset val="204"/>
      </rPr>
      <t>3</t>
    </r>
    <r>
      <rPr>
        <b/>
        <sz val="9"/>
        <rFont val="Arial"/>
        <family val="2"/>
        <charset val="204"/>
      </rPr>
      <t xml:space="preserve"> - total</t>
    </r>
  </si>
  <si>
    <t>Trinidad și Tobago</t>
  </si>
  <si>
    <t>de 14,6 ori</t>
  </si>
  <si>
    <t>de 4,1 ori</t>
  </si>
  <si>
    <t>de 17,1 ori</t>
  </si>
  <si>
    <t>de 3,6 ori</t>
  </si>
  <si>
    <t>de 32,0 ori</t>
  </si>
  <si>
    <t>Celelalte Tari ale Lumii - total</t>
  </si>
  <si>
    <r>
      <t xml:space="preserve">Țările CSI </t>
    </r>
    <r>
      <rPr>
        <b/>
        <vertAlign val="superscript"/>
        <sz val="9"/>
        <rFont val="Arial"/>
        <family val="2"/>
        <charset val="204"/>
      </rPr>
      <t>2</t>
    </r>
    <r>
      <rPr>
        <b/>
        <sz val="9"/>
        <rFont val="Arial"/>
        <family val="2"/>
        <charset val="204"/>
      </rPr>
      <t xml:space="preserve"> - total</t>
    </r>
  </si>
  <si>
    <t>de 6,0 ori</t>
  </si>
  <si>
    <t>de 7,3 ori</t>
  </si>
  <si>
    <t>de 3,8 ori</t>
  </si>
  <si>
    <t>de 37,6 ori</t>
  </si>
  <si>
    <t>de 9,8 ori</t>
  </si>
  <si>
    <t>de 24,7 ori</t>
  </si>
  <si>
    <t>de 5,4 ori</t>
  </si>
  <si>
    <t>de 33,5 ori</t>
  </si>
  <si>
    <t>de 9,9 ori</t>
  </si>
  <si>
    <t>de 4,7 ori</t>
  </si>
  <si>
    <t>de 4,8 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</si>
</sst>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_ ;[Red]\-#,##0.00\ "/>
  </numFmts>
  <fonts count="39" x14ac:knownFonts="1">
    <font>
      <sz val="12"/>
      <color indexed="8"/>
      <name val="Times New Roman"/>
      <family val="2"/>
      <charset val="238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2"/>
      <charset val="238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2"/>
      <color rgb="FFC00000"/>
      <name val="Times New Roman"/>
      <family val="1"/>
      <charset val="204"/>
    </font>
    <font>
      <sz val="12"/>
      <color indexed="8"/>
      <name val="Times New Roman"/>
      <family val="2"/>
      <charset val="238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vertAlign val="superscript"/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Times New Roman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rgb="FFFF0000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2"/>
      <charset val="204"/>
    </font>
    <font>
      <sz val="8"/>
      <color indexed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2"/>
      <color indexed="8"/>
      <name val="Times New Roman"/>
      <family val="2"/>
      <charset val="204"/>
    </font>
    <font>
      <b/>
      <sz val="10"/>
      <name val="Times New Roman"/>
      <family val="1"/>
      <charset val="204"/>
    </font>
    <font>
      <vertAlign val="superscript"/>
      <sz val="8"/>
      <name val="Arial"/>
      <family val="2"/>
      <charset val="204"/>
    </font>
    <font>
      <vertAlign val="superscript"/>
      <sz val="8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vertAlign val="superscript"/>
      <sz val="9"/>
      <color rgb="FF000000"/>
      <name val="Arial"/>
      <family val="2"/>
      <charset val="204"/>
    </font>
    <font>
      <sz val="12"/>
      <color indexed="8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5" fillId="0" borderId="0"/>
    <xf numFmtId="0" fontId="10" fillId="0" borderId="0"/>
    <xf numFmtId="0" fontId="5" fillId="0" borderId="0"/>
    <xf numFmtId="0" fontId="5" fillId="0" borderId="0"/>
  </cellStyleXfs>
  <cellXfs count="118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" fontId="0" fillId="0" borderId="0" xfId="0" applyNumberFormat="1"/>
    <xf numFmtId="0" fontId="12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0" fontId="21" fillId="0" borderId="0" xfId="0" applyFont="1"/>
    <xf numFmtId="0" fontId="22" fillId="0" borderId="0" xfId="0" applyFont="1"/>
    <xf numFmtId="4" fontId="14" fillId="0" borderId="0" xfId="0" applyNumberFormat="1" applyFont="1" applyAlignment="1">
      <alignment horizontal="right" vertical="top" indent="1"/>
    </xf>
    <xf numFmtId="4" fontId="15" fillId="0" borderId="0" xfId="0" applyNumberFormat="1" applyFont="1" applyAlignment="1">
      <alignment horizontal="right" vertical="top" indent="1"/>
    </xf>
    <xf numFmtId="4" fontId="1" fillId="0" borderId="0" xfId="0" applyNumberFormat="1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8" fontId="14" fillId="0" borderId="0" xfId="0" applyNumberFormat="1" applyFont="1" applyAlignment="1">
      <alignment horizontal="center" vertical="top"/>
    </xf>
    <xf numFmtId="38" fontId="14" fillId="0" borderId="0" xfId="0" applyNumberFormat="1" applyFont="1" applyAlignment="1">
      <alignment horizontal="left" vertical="top" wrapText="1"/>
    </xf>
    <xf numFmtId="38" fontId="15" fillId="0" borderId="0" xfId="0" applyNumberFormat="1" applyFont="1" applyAlignment="1">
      <alignment horizontal="center" vertical="top"/>
    </xf>
    <xf numFmtId="38" fontId="15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center" vertical="top"/>
    </xf>
    <xf numFmtId="38" fontId="14" fillId="0" borderId="3" xfId="0" applyNumberFormat="1" applyFont="1" applyBorder="1" applyAlignment="1">
      <alignment horizontal="center" vertical="top"/>
    </xf>
    <xf numFmtId="38" fontId="14" fillId="0" borderId="3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4" fontId="14" fillId="0" borderId="3" xfId="0" applyNumberFormat="1" applyFont="1" applyBorder="1" applyAlignment="1">
      <alignment horizontal="right" vertical="top" indent="1"/>
    </xf>
    <xf numFmtId="164" fontId="15" fillId="0" borderId="0" xfId="0" applyNumberFormat="1" applyFont="1" applyAlignment="1">
      <alignment horizontal="right" vertical="top" indent="1"/>
    </xf>
    <xf numFmtId="0" fontId="14" fillId="0" borderId="0" xfId="0" applyFont="1" applyAlignment="1">
      <alignment horizontal="left" vertical="top" wrapText="1"/>
    </xf>
    <xf numFmtId="0" fontId="12" fillId="0" borderId="0" xfId="0" applyFont="1"/>
    <xf numFmtId="4" fontId="15" fillId="0" borderId="0" xfId="0" applyNumberFormat="1" applyFont="1" applyAlignment="1">
      <alignment horizontal="right" vertical="top" wrapText="1" indent="1"/>
    </xf>
    <xf numFmtId="4" fontId="14" fillId="0" borderId="0" xfId="0" applyNumberFormat="1" applyFont="1" applyAlignment="1">
      <alignment horizontal="right" vertical="top" wrapText="1" indent="1"/>
    </xf>
    <xf numFmtId="4" fontId="18" fillId="0" borderId="0" xfId="0" applyNumberFormat="1" applyFont="1" applyAlignment="1">
      <alignment horizontal="right" vertical="top" indent="1"/>
    </xf>
    <xf numFmtId="4" fontId="15" fillId="0" borderId="3" xfId="0" applyNumberFormat="1" applyFont="1" applyBorder="1" applyAlignment="1">
      <alignment horizontal="right" vertical="top" indent="1"/>
    </xf>
    <xf numFmtId="4" fontId="26" fillId="0" borderId="0" xfId="0" applyNumberFormat="1" applyFont="1" applyAlignment="1">
      <alignment horizontal="right" vertical="top" indent="1"/>
    </xf>
    <xf numFmtId="4" fontId="31" fillId="0" borderId="0" xfId="0" applyNumberFormat="1" applyFont="1" applyAlignment="1">
      <alignment horizontal="right" vertical="top" indent="1"/>
    </xf>
    <xf numFmtId="4" fontId="11" fillId="0" borderId="5" xfId="0" applyNumberFormat="1" applyFont="1" applyBorder="1" applyAlignment="1">
      <alignment horizontal="right" vertical="top" wrapText="1" indent="1"/>
    </xf>
    <xf numFmtId="4" fontId="11" fillId="0" borderId="5" xfId="0" applyNumberFormat="1" applyFont="1" applyBorder="1" applyAlignment="1">
      <alignment horizontal="right" vertical="top" indent="1"/>
    </xf>
    <xf numFmtId="4" fontId="11" fillId="0" borderId="0" xfId="0" applyNumberFormat="1" applyFont="1" applyAlignment="1">
      <alignment horizontal="right" vertical="top" indent="1"/>
    </xf>
    <xf numFmtId="0" fontId="11" fillId="0" borderId="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 indent="1"/>
    </xf>
    <xf numFmtId="38" fontId="15" fillId="0" borderId="0" xfId="0" applyNumberFormat="1" applyFont="1" applyAlignment="1">
      <alignment horizontal="left" vertical="top" wrapText="1" indent="1"/>
    </xf>
    <xf numFmtId="4" fontId="17" fillId="0" borderId="0" xfId="0" applyNumberFormat="1" applyFont="1" applyAlignment="1">
      <alignment horizontal="right" vertical="top" indent="1"/>
    </xf>
    <xf numFmtId="4" fontId="18" fillId="0" borderId="3" xfId="0" applyNumberFormat="1" applyFont="1" applyBorder="1" applyAlignment="1">
      <alignment horizontal="right" vertical="top" indent="1"/>
    </xf>
    <xf numFmtId="0" fontId="15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15" fillId="0" borderId="3" xfId="0" applyFont="1" applyBorder="1" applyAlignment="1">
      <alignment horizontal="left" vertical="top" wrapText="1" indent="1"/>
    </xf>
    <xf numFmtId="0" fontId="5" fillId="0" borderId="5" xfId="0" applyFont="1" applyBorder="1" applyAlignment="1">
      <alignment horizontal="center" vertical="top"/>
    </xf>
    <xf numFmtId="2" fontId="33" fillId="0" borderId="0" xfId="0" applyNumberFormat="1" applyFont="1" applyAlignment="1">
      <alignment horizontal="right" vertical="top" indent="1"/>
    </xf>
    <xf numFmtId="165" fontId="33" fillId="0" borderId="0" xfId="0" applyNumberFormat="1" applyFont="1" applyAlignment="1">
      <alignment horizontal="right" vertical="top" wrapText="1"/>
    </xf>
    <xf numFmtId="4" fontId="33" fillId="0" borderId="0" xfId="0" applyNumberFormat="1" applyFont="1" applyAlignment="1">
      <alignment horizontal="right" vertical="top"/>
    </xf>
    <xf numFmtId="0" fontId="30" fillId="0" borderId="0" xfId="0" applyFont="1" applyAlignment="1">
      <alignment horizontal="lef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right" vertical="top" indent="1"/>
    </xf>
    <xf numFmtId="4" fontId="21" fillId="0" borderId="0" xfId="0" applyNumberFormat="1" applyFont="1" applyAlignment="1">
      <alignment horizontal="right" vertical="top" indent="1"/>
    </xf>
    <xf numFmtId="38" fontId="21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right" vertical="top" indent="1"/>
    </xf>
    <xf numFmtId="2" fontId="15" fillId="0" borderId="0" xfId="0" applyNumberFormat="1" applyFont="1" applyAlignment="1">
      <alignment horizontal="right" vertical="top" indent="1"/>
    </xf>
    <xf numFmtId="0" fontId="18" fillId="0" borderId="0" xfId="0" applyFont="1" applyAlignment="1">
      <alignment horizontal="left" vertical="top" indent="1"/>
    </xf>
    <xf numFmtId="0" fontId="18" fillId="0" borderId="3" xfId="0" applyFont="1" applyBorder="1" applyAlignment="1">
      <alignment horizontal="left" vertical="top" indent="1"/>
    </xf>
    <xf numFmtId="0" fontId="14" fillId="0" borderId="0" xfId="0" applyFont="1" applyAlignment="1">
      <alignment horizontal="left" wrapText="1" indent="1"/>
    </xf>
    <xf numFmtId="4" fontId="36" fillId="0" borderId="5" xfId="0" applyNumberFormat="1" applyFont="1" applyBorder="1" applyAlignment="1">
      <alignment horizontal="right" vertical="top" indent="1"/>
    </xf>
    <xf numFmtId="0" fontId="15" fillId="0" borderId="0" xfId="0" applyFont="1" applyAlignment="1">
      <alignment horizontal="right" vertical="top"/>
    </xf>
    <xf numFmtId="38" fontId="15" fillId="0" borderId="0" xfId="0" applyNumberFormat="1" applyFont="1" applyAlignment="1">
      <alignment horizontal="left" wrapText="1"/>
    </xf>
    <xf numFmtId="0" fontId="5" fillId="0" borderId="5" xfId="0" applyFont="1" applyBorder="1" applyAlignment="1">
      <alignment horizontal="right" vertical="top"/>
    </xf>
    <xf numFmtId="0" fontId="5" fillId="0" borderId="5" xfId="0" applyFont="1" applyBorder="1"/>
    <xf numFmtId="0" fontId="11" fillId="0" borderId="5" xfId="0" applyFont="1" applyBorder="1" applyAlignment="1">
      <alignment horizontal="left" vertical="top" wrapText="1" indent="1"/>
    </xf>
    <xf numFmtId="4" fontId="17" fillId="0" borderId="0" xfId="0" applyNumberFormat="1" applyFont="1" applyAlignment="1">
      <alignment horizontal="right" vertical="top" wrapText="1" indent="1"/>
    </xf>
    <xf numFmtId="4" fontId="14" fillId="0" borderId="0" xfId="4" applyNumberFormat="1" applyFont="1" applyAlignment="1">
      <alignment horizontal="right" vertical="top" indent="1"/>
    </xf>
    <xf numFmtId="4" fontId="15" fillId="0" borderId="0" xfId="4" applyNumberFormat="1" applyFont="1" applyAlignment="1">
      <alignment horizontal="right" vertical="top" indent="1"/>
    </xf>
    <xf numFmtId="4" fontId="15" fillId="0" borderId="3" xfId="4" applyNumberFormat="1" applyFont="1" applyBorder="1" applyAlignment="1">
      <alignment horizontal="right" vertical="top" indent="1"/>
    </xf>
    <xf numFmtId="0" fontId="38" fillId="0" borderId="0" xfId="0" applyFont="1"/>
    <xf numFmtId="0" fontId="32" fillId="0" borderId="0" xfId="0" applyFont="1"/>
    <xf numFmtId="4" fontId="15" fillId="0" borderId="3" xfId="0" applyNumberFormat="1" applyFont="1" applyBorder="1" applyAlignment="1">
      <alignment horizontal="right" vertical="top" wrapText="1" indent="1"/>
    </xf>
    <xf numFmtId="2" fontId="26" fillId="0" borderId="0" xfId="0" applyNumberFormat="1" applyFont="1" applyAlignment="1">
      <alignment horizontal="right" vertical="top" indent="1"/>
    </xf>
    <xf numFmtId="4" fontId="36" fillId="0" borderId="0" xfId="0" applyNumberFormat="1" applyFont="1" applyAlignment="1">
      <alignment horizontal="right" vertical="top" indent="1"/>
    </xf>
    <xf numFmtId="4" fontId="11" fillId="0" borderId="0" xfId="0" applyNumberFormat="1" applyFont="1" applyAlignment="1">
      <alignment horizontal="right" vertical="top" wrapText="1" indent="1"/>
    </xf>
    <xf numFmtId="4" fontId="15" fillId="0" borderId="0" xfId="6" applyNumberFormat="1" applyFont="1" applyAlignment="1">
      <alignment horizontal="right" vertical="top" indent="1"/>
    </xf>
    <xf numFmtId="4" fontId="14" fillId="0" borderId="3" xfId="0" applyNumberFormat="1" applyFont="1" applyBorder="1" applyAlignment="1">
      <alignment horizontal="right" vertical="top" wrapText="1" indent="1"/>
    </xf>
    <xf numFmtId="4" fontId="11" fillId="0" borderId="5" xfId="0" applyNumberFormat="1" applyFont="1" applyBorder="1" applyAlignment="1">
      <alignment horizontal="left" vertical="top" wrapText="1" indent="1"/>
    </xf>
    <xf numFmtId="0" fontId="30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5" fillId="0" borderId="6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30" fillId="0" borderId="0" xfId="0" applyFont="1" applyAlignment="1">
      <alignment horizontal="left"/>
    </xf>
    <xf numFmtId="0" fontId="19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7">
    <cellStyle name="Normal" xfId="0" builtinId="0"/>
    <cellStyle name="Normal 2" xfId="4" xr:uid="{00000000-0005-0000-0000-000000000000}"/>
    <cellStyle name="Normal 3" xfId="3" xr:uid="{00000000-0005-0000-0000-000001000000}"/>
    <cellStyle name="Normal 4" xfId="6" xr:uid="{9F62EE14-06A2-40F3-AAFE-64047251A9C6}"/>
    <cellStyle name="Обычный 2" xfId="1" xr:uid="{00000000-0005-0000-0000-000003000000}"/>
    <cellStyle name="Обычный 3" xfId="2" xr:uid="{00000000-0005-0000-0000-000004000000}"/>
    <cellStyle name="Обычный 3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119"/>
  <sheetViews>
    <sheetView tabSelected="1" zoomScaleNormal="100" workbookViewId="0">
      <selection sqref="A1:H1"/>
    </sheetView>
  </sheetViews>
  <sheetFormatPr defaultRowHeight="15.75" x14ac:dyDescent="0.25"/>
  <cols>
    <col min="1" max="1" width="34.875" style="12" customWidth="1"/>
    <col min="2" max="4" width="12.25" style="12" customWidth="1"/>
    <col min="5" max="6" width="11.75" style="12" customWidth="1"/>
    <col min="7" max="8" width="11.375" style="12" customWidth="1"/>
    <col min="9" max="9" width="8.875" customWidth="1"/>
  </cols>
  <sheetData>
    <row r="1" spans="1:9" x14ac:dyDescent="0.25">
      <c r="A1" s="91" t="s">
        <v>258</v>
      </c>
      <c r="B1" s="91"/>
      <c r="C1" s="91"/>
      <c r="D1" s="91"/>
      <c r="E1" s="91"/>
      <c r="F1" s="91"/>
      <c r="G1" s="91"/>
      <c r="H1" s="91"/>
    </row>
    <row r="2" spans="1:9" x14ac:dyDescent="0.25">
      <c r="A2" s="98"/>
      <c r="B2" s="98"/>
      <c r="C2" s="98"/>
      <c r="D2" s="98"/>
      <c r="E2" s="98"/>
      <c r="F2" s="98"/>
      <c r="G2" s="98"/>
      <c r="H2" s="98"/>
    </row>
    <row r="3" spans="1:9" ht="51" customHeight="1" x14ac:dyDescent="0.25">
      <c r="A3" s="92"/>
      <c r="B3" s="94" t="s">
        <v>278</v>
      </c>
      <c r="C3" s="101"/>
      <c r="D3" s="99" t="s">
        <v>370</v>
      </c>
      <c r="E3" s="94" t="s">
        <v>87</v>
      </c>
      <c r="F3" s="95"/>
      <c r="G3" s="96" t="s">
        <v>373</v>
      </c>
      <c r="H3" s="97"/>
    </row>
    <row r="4" spans="1:9" ht="25.5" x14ac:dyDescent="0.25">
      <c r="A4" s="93"/>
      <c r="B4" s="10" t="s">
        <v>368</v>
      </c>
      <c r="C4" s="10" t="s">
        <v>369</v>
      </c>
      <c r="D4" s="100"/>
      <c r="E4" s="10" t="s">
        <v>368</v>
      </c>
      <c r="F4" s="10" t="s">
        <v>369</v>
      </c>
      <c r="G4" s="10" t="s">
        <v>371</v>
      </c>
      <c r="H4" s="9" t="s">
        <v>372</v>
      </c>
    </row>
    <row r="5" spans="1:9" s="13" customFormat="1" ht="12.75" x14ac:dyDescent="0.2">
      <c r="A5" s="75" t="s">
        <v>83</v>
      </c>
      <c r="B5" s="88">
        <v>2338137.0224299999</v>
      </c>
      <c r="C5" s="88">
        <v>2280846.8779899999</v>
      </c>
      <c r="D5" s="43">
        <f>IF(2338137.02243="","-",2280846.87799/2338137.02243*100)</f>
        <v>97.549752478558389</v>
      </c>
      <c r="E5" s="43">
        <v>100</v>
      </c>
      <c r="F5" s="43">
        <v>100</v>
      </c>
      <c r="G5" s="43">
        <f>IF(2668344.6178="","-",(2338137.02243-2668344.6178)/2668344.6178*100)</f>
        <v>-12.374998085601483</v>
      </c>
      <c r="H5" s="43">
        <f>IF(2338137.02243="","-",(2280846.87799-2338137.02243)/2338137.02243*100)</f>
        <v>-2.4502475214416193</v>
      </c>
    </row>
    <row r="6" spans="1:9" x14ac:dyDescent="0.25">
      <c r="A6" s="64" t="s">
        <v>381</v>
      </c>
      <c r="B6" s="36"/>
      <c r="C6" s="36"/>
      <c r="D6" s="48"/>
      <c r="E6" s="48"/>
      <c r="F6" s="48"/>
      <c r="G6" s="48"/>
      <c r="H6" s="48"/>
    </row>
    <row r="7" spans="1:9" x14ac:dyDescent="0.25">
      <c r="A7" s="46" t="s">
        <v>101</v>
      </c>
      <c r="B7" s="37">
        <v>1537105.9295399999</v>
      </c>
      <c r="C7" s="16">
        <v>1540594.1628</v>
      </c>
      <c r="D7" s="16">
        <f>IF(1537105.92954="","-",1540594.1628/1537105.92954*100)</f>
        <v>100.2269351248319</v>
      </c>
      <c r="E7" s="16">
        <f>IF(1537105.92954="","-",1537105.92954/2338137.02243*100)</f>
        <v>65.740626609748588</v>
      </c>
      <c r="F7" s="16">
        <f>IF(1540594.1628="","-",1540594.1628/2280846.87799*100)</f>
        <v>67.544830723474576</v>
      </c>
      <c r="G7" s="16">
        <f>IF(2668344.6178="","-",(1537105.92954-1682888.3485)/2668344.6178*100)</f>
        <v>-5.4634029648012641</v>
      </c>
      <c r="H7" s="16">
        <f>IF(2338137.02243="","-",(1540594.1628-1537105.92954)/2338137.02243*100)</f>
        <v>0.14918857306210576</v>
      </c>
      <c r="I7" s="7"/>
    </row>
    <row r="8" spans="1:9" x14ac:dyDescent="0.25">
      <c r="A8" s="47" t="s">
        <v>0</v>
      </c>
      <c r="B8" s="36">
        <v>747848.81048999995</v>
      </c>
      <c r="C8" s="17">
        <v>674732.65321000002</v>
      </c>
      <c r="D8" s="17">
        <f>IF(OR(747848.81049="",674732.65321=""),"-",674732.65321/747848.81049*100)</f>
        <v>90.223136514438877</v>
      </c>
      <c r="E8" s="17">
        <f>IF(747848.81049="","-",747848.81049/2338137.02243*100)</f>
        <v>31.984815402853034</v>
      </c>
      <c r="F8" s="17">
        <f>IF(674732.65321="","-",674732.65321/2280846.87799*100)</f>
        <v>29.582549346960512</v>
      </c>
      <c r="G8" s="17">
        <f>IF(OR(2668344.6178="",888755.19797="",747848.81049=""),"-",(747848.81049-888755.19797)/2668344.6178*100)</f>
        <v>-5.2806667677046413</v>
      </c>
      <c r="H8" s="17">
        <f>IF(OR(2338137.02243="",674732.65321="",747848.81049=""),"-",(674732.65321-747848.81049)/2338137.02243*100)</f>
        <v>-3.1271117380456648</v>
      </c>
    </row>
    <row r="9" spans="1:9" x14ac:dyDescent="0.25">
      <c r="A9" s="47" t="s">
        <v>1</v>
      </c>
      <c r="B9" s="36">
        <v>166403.28810000001</v>
      </c>
      <c r="C9" s="17">
        <v>213979.13281000001</v>
      </c>
      <c r="D9" s="17">
        <f>IF(OR(166403.2881="",213979.13281=""),"-",213979.13281/166403.2881*100)</f>
        <v>128.590687872351</v>
      </c>
      <c r="E9" s="17">
        <f>IF(166403.2881="","-",166403.2881/2338137.02243*100)</f>
        <v>7.1169177214027819</v>
      </c>
      <c r="F9" s="17">
        <f>IF(213979.13281="","-",213979.13281/2280846.87799*100)</f>
        <v>9.381565017576694</v>
      </c>
      <c r="G9" s="17">
        <f>IF(OR(2668344.6178="",181399.18537="",166403.2881=""),"-",(166403.2881-181399.18537)/2668344.6178*100)</f>
        <v>-0.56199252412770506</v>
      </c>
      <c r="H9" s="17">
        <f>IF(OR(2338137.02243="",213979.13281="",166403.2881=""),"-",(213979.13281-166403.2881)/2338137.02243*100)</f>
        <v>2.0347757318583048</v>
      </c>
    </row>
    <row r="10" spans="1:9" x14ac:dyDescent="0.25">
      <c r="A10" s="47" t="s">
        <v>246</v>
      </c>
      <c r="B10" s="36">
        <v>126621.09153999999</v>
      </c>
      <c r="C10" s="17">
        <v>196259.63183</v>
      </c>
      <c r="D10" s="17">
        <f>IF(OR(126621.09154="",196259.63183=""),"-",196259.63183/126621.09154*100)</f>
        <v>154.99758329598745</v>
      </c>
      <c r="E10" s="17">
        <f>IF(126621.09154="","-",126621.09154/2338137.02243*100)</f>
        <v>5.4154692528842512</v>
      </c>
      <c r="F10" s="17">
        <f>IF(196259.63183="","-",196259.63183/2280846.87799*100)</f>
        <v>8.604682485435152</v>
      </c>
      <c r="G10" s="17">
        <f>IF(OR(2668344.6178="",102630.03095="",126621.09154=""),"-",(126621.09154-102630.03095)/2668344.6178*100)</f>
        <v>0.89909903053602469</v>
      </c>
      <c r="H10" s="17">
        <f>IF(OR(2338137.02243="",196259.63183="",126621.09154=""),"-",(196259.63183-126621.09154)/2338137.02243*100)</f>
        <v>2.978377213223605</v>
      </c>
    </row>
    <row r="11" spans="1:9" x14ac:dyDescent="0.25">
      <c r="A11" s="47" t="s">
        <v>2</v>
      </c>
      <c r="B11" s="36">
        <v>121740.2745</v>
      </c>
      <c r="C11" s="17">
        <v>81244.927360000001</v>
      </c>
      <c r="D11" s="17">
        <f>IF(OR(121740.2745="",81244.92736=""),"-",81244.92736/121740.2745*100)</f>
        <v>66.736277451058328</v>
      </c>
      <c r="E11" s="17">
        <f>IF(121740.2745="","-",121740.2745/2338137.02243*100)</f>
        <v>5.2067211344815316</v>
      </c>
      <c r="F11" s="17">
        <f>IF(81244.92736="","-",81244.92736/2280846.87799*100)</f>
        <v>3.5620509269608323</v>
      </c>
      <c r="G11" s="17">
        <f>IF(OR(2668344.6178="",145244.18807="",121740.2745=""),"-",(121740.2745-145244.18807)/2668344.6178*100)</f>
        <v>-0.88084250487024929</v>
      </c>
      <c r="H11" s="17">
        <f>IF(OR(2338137.02243="",81244.92736="",121740.2745=""),"-",(81244.92736-121740.2745)/2338137.02243*100)</f>
        <v>-1.7319492720710454</v>
      </c>
    </row>
    <row r="12" spans="1:9" s="4" customFormat="1" x14ac:dyDescent="0.25">
      <c r="A12" s="47" t="s">
        <v>4</v>
      </c>
      <c r="B12" s="36">
        <v>54411.238400000002</v>
      </c>
      <c r="C12" s="17">
        <v>69026.364539999995</v>
      </c>
      <c r="D12" s="17">
        <f>IF(OR(54411.2384="",69026.36454=""),"-",69026.36454/54411.2384*100)</f>
        <v>126.86049163696298</v>
      </c>
      <c r="E12" s="17">
        <f>IF(54411.2384="","-",54411.2384/2338137.02243*100)</f>
        <v>2.3271193209819243</v>
      </c>
      <c r="F12" s="17">
        <f>IF(69026.36454="","-",69026.36454/2280846.87799*100)</f>
        <v>3.0263480291508915</v>
      </c>
      <c r="G12" s="17">
        <f>IF(OR(2668344.6178="",43884.25851="",54411.2384=""),"-",(54411.2384-43884.25851)/2668344.6178*100)</f>
        <v>0.39451350548113601</v>
      </c>
      <c r="H12" s="17">
        <f>IF(OR(2338137.02243="",69026.36454="",54411.2384=""),"-",(69026.36454-54411.2384)/2338137.02243*100)</f>
        <v>0.62507569059449963</v>
      </c>
    </row>
    <row r="13" spans="1:9" s="4" customFormat="1" x14ac:dyDescent="0.25">
      <c r="A13" s="47" t="s">
        <v>3</v>
      </c>
      <c r="B13" s="36">
        <v>93903.215240000005</v>
      </c>
      <c r="C13" s="17">
        <v>59463.053249999997</v>
      </c>
      <c r="D13" s="17">
        <f>IF(OR(93903.21524="",59463.05325=""),"-",59463.05325/93903.21524*100)</f>
        <v>63.323767027596404</v>
      </c>
      <c r="E13" s="17">
        <f>IF(93903.21524="","-",93903.21524/2338137.02243*100)</f>
        <v>4.0161553552754334</v>
      </c>
      <c r="F13" s="17">
        <f>IF(59463.05325="","-",59463.05325/2280846.87799*100)</f>
        <v>2.6070602907987364</v>
      </c>
      <c r="G13" s="17">
        <f>IF(OR(2668344.6178="",77842.97229="",93903.21524=""),"-",(93903.21524-77842.97229)/2668344.6178*100)</f>
        <v>0.60188038842004477</v>
      </c>
      <c r="H13" s="17">
        <f>IF(OR(2338137.02243="",59463.05325="",93903.21524=""),"-",(59463.05325-93903.21524)/2338137.02243*100)</f>
        <v>-1.4729744946344816</v>
      </c>
    </row>
    <row r="14" spans="1:9" s="4" customFormat="1" x14ac:dyDescent="0.25">
      <c r="A14" s="47" t="s">
        <v>6</v>
      </c>
      <c r="B14" s="36">
        <v>45460.157800000001</v>
      </c>
      <c r="C14" s="17">
        <v>58583.555009999996</v>
      </c>
      <c r="D14" s="17">
        <f>IF(OR(45460.1578="",58583.55501=""),"-",58583.55501/45460.1578*100)</f>
        <v>128.86790949502597</v>
      </c>
      <c r="E14" s="17">
        <f>IF(45460.1578="","-",45460.1578/2338137.02243*100)</f>
        <v>1.9442897214276074</v>
      </c>
      <c r="F14" s="17">
        <f>IF(58583.55501="","-",58583.55501/2280846.87799*100)</f>
        <v>2.5685001292864893</v>
      </c>
      <c r="G14" s="17">
        <f>IF(OR(2668344.6178="",23085.90922="",45460.1578=""),"-",(45460.1578-23085.90922)/2668344.6178*100)</f>
        <v>0.83850670677039996</v>
      </c>
      <c r="H14" s="17">
        <f>IF(OR(2338137.02243="",58583.55501="",45460.1578=""),"-",(58583.55501-45460.1578)/2338137.02243*100)</f>
        <v>0.5612757971028145</v>
      </c>
    </row>
    <row r="15" spans="1:9" s="4" customFormat="1" x14ac:dyDescent="0.25">
      <c r="A15" s="47" t="s">
        <v>311</v>
      </c>
      <c r="B15" s="36">
        <v>31146.4048</v>
      </c>
      <c r="C15" s="17">
        <v>45403.074639999999</v>
      </c>
      <c r="D15" s="17">
        <f>IF(OR(31146.4048="",45403.07464=""),"-",45403.07464/31146.4048*100)</f>
        <v>145.77308338328666</v>
      </c>
      <c r="E15" s="17">
        <f>IF(31146.4048="","-",31146.4048/2338137.02243*100)</f>
        <v>1.3321034867165265</v>
      </c>
      <c r="F15" s="17">
        <f>IF(45403.07464="","-",45403.07464/2280846.87799*100)</f>
        <v>1.9906235301517274</v>
      </c>
      <c r="G15" s="17">
        <f>IF(OR(2668344.6178="",29357.35167="",31146.4048=""),"-",(31146.4048-29357.35167)/2668344.6178*100)</f>
        <v>6.7047304087544765E-2</v>
      </c>
      <c r="H15" s="17">
        <f>IF(OR(2338137.02243="",45403.07464="",31146.4048=""),"-",(45403.07464-31146.4048)/2338137.02243*100)</f>
        <v>0.60974483972642457</v>
      </c>
    </row>
    <row r="16" spans="1:9" s="4" customFormat="1" x14ac:dyDescent="0.25">
      <c r="A16" s="47" t="s">
        <v>243</v>
      </c>
      <c r="B16" s="36">
        <v>23068.625410000001</v>
      </c>
      <c r="C16" s="17">
        <v>26509.39186</v>
      </c>
      <c r="D16" s="17">
        <f>IF(OR(23068.62541="",26509.39186=""),"-",26509.39186/23068.62541*100)</f>
        <v>114.91535099663312</v>
      </c>
      <c r="E16" s="17">
        <f>IF(23068.62541="","-",23068.62541/2338137.02243*100)</f>
        <v>0.98662418791970685</v>
      </c>
      <c r="F16" s="17">
        <f>IF(26509.39186="","-",26509.39186/2280846.87799*100)</f>
        <v>1.1622609178991203</v>
      </c>
      <c r="G16" s="17">
        <f>IF(OR(2668344.6178="",28832.60245="",23068.62541=""),"-",(23068.62541-28832.60245)/2668344.6178*100)</f>
        <v>-0.2160132166418702</v>
      </c>
      <c r="H16" s="17">
        <f>IF(OR(2338137.02243="",26509.39186="",23068.62541=""),"-",(26509.39186-23068.62541)/2338137.02243*100)</f>
        <v>0.14715846064590554</v>
      </c>
    </row>
    <row r="17" spans="1:8" s="4" customFormat="1" x14ac:dyDescent="0.25">
      <c r="A17" s="47" t="s">
        <v>32</v>
      </c>
      <c r="B17" s="36">
        <v>20582.715800000002</v>
      </c>
      <c r="C17" s="17">
        <v>17992.94541</v>
      </c>
      <c r="D17" s="17">
        <f>IF(OR(20582.7158="",17992.94541=""),"-",17992.94541/20582.7158*100)</f>
        <v>87.41774207463915</v>
      </c>
      <c r="E17" s="17">
        <f>IF(20582.7158="","-",20582.7158/2338137.02243*100)</f>
        <v>0.88030408836384677</v>
      </c>
      <c r="F17" s="17">
        <f>IF(17992.94541="","-",17992.94541/2280846.87799*100)</f>
        <v>0.78887125583179496</v>
      </c>
      <c r="G17" s="17">
        <f>IF(OR(2668344.6178="",41921.52225="",20582.7158=""),"-",(20582.7158-41921.52225)/2668344.6178*100)</f>
        <v>-0.79970204401834144</v>
      </c>
      <c r="H17" s="17">
        <f>IF(OR(2338137.02243="",17992.94541="",20582.7158=""),"-",(17992.94541-20582.7158)/2338137.02243*100)</f>
        <v>-0.11076213092543574</v>
      </c>
    </row>
    <row r="18" spans="1:8" s="6" customFormat="1" x14ac:dyDescent="0.25">
      <c r="A18" s="47" t="s">
        <v>36</v>
      </c>
      <c r="B18" s="36">
        <v>10951.171630000001</v>
      </c>
      <c r="C18" s="17">
        <v>15644.92778</v>
      </c>
      <c r="D18" s="17">
        <f>IF(OR(10951.17163="",15644.92778=""),"-",15644.92778/10951.17163*100)</f>
        <v>142.86076694425799</v>
      </c>
      <c r="E18" s="17">
        <f>IF(10951.17163="","-",10951.17163/2338137.02243*100)</f>
        <v>0.46837167903096494</v>
      </c>
      <c r="F18" s="17">
        <f>IF(15644.92778="","-",15644.92778/2280846.87799*100)</f>
        <v>0.68592626409832114</v>
      </c>
      <c r="G18" s="17">
        <f>IF(OR(2668344.6178="",8292.05967="",10951.17163=""),"-",(10951.17163-8292.05967)/2668344.6178*100)</f>
        <v>9.965399305103205E-2</v>
      </c>
      <c r="H18" s="17">
        <f>IF(OR(2338137.02243="",15644.92778="",10951.17163=""),"-",(15644.92778-10951.17163)/2338137.02243*100)</f>
        <v>0.20074769378236995</v>
      </c>
    </row>
    <row r="19" spans="1:8" s="4" customFormat="1" x14ac:dyDescent="0.25">
      <c r="A19" s="47" t="s">
        <v>35</v>
      </c>
      <c r="B19" s="36">
        <v>12251.350469999999</v>
      </c>
      <c r="C19" s="17">
        <v>14988.237859999999</v>
      </c>
      <c r="D19" s="17">
        <f>IF(OR(12251.35047="",14988.23786=""),"-",14988.23786/12251.35047*100)</f>
        <v>122.33947511910497</v>
      </c>
      <c r="E19" s="17">
        <f>IF(12251.35047="","-",12251.35047/2338137.02243*100)</f>
        <v>0.52397914888954233</v>
      </c>
      <c r="F19" s="17">
        <f>IF(14988.23786="","-",14988.23786/2280846.87799*100)</f>
        <v>0.65713476887183275</v>
      </c>
      <c r="G19" s="17">
        <f>IF(OR(2668344.6178="",13953.37557="",12251.35047=""),"-",(12251.35047-13953.37557)/2668344.6178*100)</f>
        <v>-6.37858052009522E-2</v>
      </c>
      <c r="H19" s="17">
        <f>IF(OR(2338137.02243="",14988.23786="",12251.35047=""),"-",(14988.23786-12251.35047)/2338137.02243*100)</f>
        <v>0.11705419159547729</v>
      </c>
    </row>
    <row r="20" spans="1:8" s="4" customFormat="1" x14ac:dyDescent="0.25">
      <c r="A20" s="47" t="s">
        <v>34</v>
      </c>
      <c r="B20" s="36">
        <v>22316.226419999999</v>
      </c>
      <c r="C20" s="17">
        <v>14537.75302</v>
      </c>
      <c r="D20" s="17">
        <f>IF(OR(22316.22642="",14537.75302=""),"-",14537.75302/22316.22642*100)</f>
        <v>65.144315828285087</v>
      </c>
      <c r="E20" s="17">
        <f>IF(22316.22642="","-",22316.22642/2338137.02243*100)</f>
        <v>0.95444476546575496</v>
      </c>
      <c r="F20" s="17">
        <f>IF(14537.75302="","-",14537.75302/2280846.87799*100)</f>
        <v>0.63738399803547607</v>
      </c>
      <c r="G20" s="17">
        <f>IF(OR(2668344.6178="",32523.57687="",22316.22642=""),"-",(22316.22642-32523.57687)/2668344.6178*100)</f>
        <v>-0.38253493877472877</v>
      </c>
      <c r="H20" s="17">
        <f>IF(OR(2338137.02243="",14537.75302="",22316.22642=""),"-",(14537.75302-22316.22642)/2338137.02243*100)</f>
        <v>-0.33267825304420856</v>
      </c>
    </row>
    <row r="21" spans="1:8" s="4" customFormat="1" x14ac:dyDescent="0.25">
      <c r="A21" s="47" t="s">
        <v>39</v>
      </c>
      <c r="B21" s="36">
        <v>13371.288710000001</v>
      </c>
      <c r="C21" s="17">
        <v>11199.37832</v>
      </c>
      <c r="D21" s="17">
        <f>IF(OR(13371.28871="",11199.37832=""),"-",11199.37832/13371.28871*100)</f>
        <v>83.756910518462661</v>
      </c>
      <c r="E21" s="17">
        <f>IF(13371.28871="","-",13371.28871/2338137.02243*100)</f>
        <v>0.57187789174576986</v>
      </c>
      <c r="F21" s="17">
        <f>IF(11199.37832="","-",11199.37832/2280846.87799*100)</f>
        <v>0.49101842074858926</v>
      </c>
      <c r="G21" s="17">
        <f>IF(OR(2668344.6178="",23287.4136="",13371.28871=""),"-",(13371.28871-23287.4136)/2668344.6178*100)</f>
        <v>-0.3716208477664949</v>
      </c>
      <c r="H21" s="17">
        <f>IF(OR(2338137.02243="",11199.37832="",13371.28871=""),"-",(11199.37832-13371.28871)/2338137.02243*100)</f>
        <v>-9.2890637681394675E-2</v>
      </c>
    </row>
    <row r="22" spans="1:8" s="4" customFormat="1" x14ac:dyDescent="0.25">
      <c r="A22" s="47" t="s">
        <v>33</v>
      </c>
      <c r="B22" s="36">
        <v>8982.1915700000009</v>
      </c>
      <c r="C22" s="17">
        <v>9729.8470899999993</v>
      </c>
      <c r="D22" s="17">
        <f>IF(OR(8982.19157="",9729.84709=""),"-",9729.84709/8982.19157*100)</f>
        <v>108.32375388760494</v>
      </c>
      <c r="E22" s="17">
        <f>IF(8982.19157="","-",8982.19157/2338137.02243*100)</f>
        <v>0.38416018752677328</v>
      </c>
      <c r="F22" s="17">
        <f>IF(9729.84709="","-",9729.84709/2280846.87799*100)</f>
        <v>0.42658922805788885</v>
      </c>
      <c r="G22" s="17">
        <f>IF(OR(2668344.6178="",9993.12233="",8982.19157=""),"-",(8982.19157-9993.12233)/2668344.6178*100)</f>
        <v>-3.7886064388245801E-2</v>
      </c>
      <c r="H22" s="17">
        <f>IF(OR(2338137.02243="",9729.84709="",8982.19157=""),"-",(9729.84709-8982.19157)/2338137.02243*100)</f>
        <v>3.1976548543890225E-2</v>
      </c>
    </row>
    <row r="23" spans="1:8" s="4" customFormat="1" x14ac:dyDescent="0.25">
      <c r="A23" s="47" t="s">
        <v>37</v>
      </c>
      <c r="B23" s="36">
        <v>6459.4713499999998</v>
      </c>
      <c r="C23" s="17">
        <v>8401.5655599999991</v>
      </c>
      <c r="D23" s="17">
        <f>IF(OR(6459.47135="",8401.56556=""),"-",8401.56556/6459.47135*100)</f>
        <v>130.06583828257089</v>
      </c>
      <c r="E23" s="17">
        <f>IF(6459.47135="","-",6459.47135/2338137.02243*100)</f>
        <v>0.27626573156464301</v>
      </c>
      <c r="F23" s="17">
        <f>IF(8401.56556="","-",8401.56556/2280846.87799*100)</f>
        <v>0.36835289738537347</v>
      </c>
      <c r="G23" s="17">
        <f>IF(OR(2668344.6178="",6680.47356="",6459.47135=""),"-",(6459.47135-6680.47356)/2668344.6178*100)</f>
        <v>-8.2823713446058822E-3</v>
      </c>
      <c r="H23" s="17">
        <f>IF(OR(2338137.02243="",8401.56556="",6459.47135=""),"-",(8401.56556-6459.47135)/2338137.02243*100)</f>
        <v>8.3061608082386995E-2</v>
      </c>
    </row>
    <row r="24" spans="1:8" s="4" customFormat="1" x14ac:dyDescent="0.25">
      <c r="A24" s="47" t="s">
        <v>5</v>
      </c>
      <c r="B24" s="36">
        <v>12174.5828</v>
      </c>
      <c r="C24" s="17">
        <v>8046.7980799999996</v>
      </c>
      <c r="D24" s="17">
        <f>IF(OR(12174.5828="",8046.79808=""),"-",8046.79808/12174.5828*100)</f>
        <v>66.095062247225428</v>
      </c>
      <c r="E24" s="17">
        <f>IF(12174.5828="","-",12174.5828/2338137.02243*100)</f>
        <v>0.52069586526400791</v>
      </c>
      <c r="F24" s="17">
        <f>IF(8046.79808="","-",8046.79808/2280846.87799*100)</f>
        <v>0.35279869760881333</v>
      </c>
      <c r="G24" s="17">
        <f>IF(OR(2668344.6178="",11293.83245="",12174.5828=""),"-",(12174.5828-11293.83245)/2668344.6178*100)</f>
        <v>3.3007368843015569E-2</v>
      </c>
      <c r="H24" s="17">
        <f>IF(OR(2338137.02243="",8046.79808="",12174.5828=""),"-",(8046.79808-12174.5828)/2338137.02243*100)</f>
        <v>-0.1765416089990329</v>
      </c>
    </row>
    <row r="25" spans="1:8" s="2" customFormat="1" x14ac:dyDescent="0.25">
      <c r="A25" s="47" t="s">
        <v>244</v>
      </c>
      <c r="B25" s="36">
        <v>7137.7190000000001</v>
      </c>
      <c r="C25" s="17">
        <v>6114.0585300000002</v>
      </c>
      <c r="D25" s="17">
        <f>IF(OR(7137.719="",6114.05853=""),"-",6114.05853/7137.719*100)</f>
        <v>85.658436960042835</v>
      </c>
      <c r="E25" s="17">
        <f>IF(7137.719="","-",7137.719/2338137.02243*100)</f>
        <v>0.30527376845441878</v>
      </c>
      <c r="F25" s="17">
        <f>IF(6114.05853="","-",6114.05853/2280846.87799*100)</f>
        <v>0.26806089391621168</v>
      </c>
      <c r="G25" s="17">
        <f>IF(OR(2668344.6178="",6158.07161="",7137.719=""),"-",(7137.719-6158.07161)/2668344.6178*100)</f>
        <v>3.6713675717332979E-2</v>
      </c>
      <c r="H25" s="17">
        <f>IF(OR(2338137.02243="",6114.05853="",7137.719=""),"-",(6114.05853-7137.719)/2338137.02243*100)</f>
        <v>-4.3781029947343328E-2</v>
      </c>
    </row>
    <row r="26" spans="1:8" s="2" customFormat="1" x14ac:dyDescent="0.25">
      <c r="A26" s="47" t="s">
        <v>38</v>
      </c>
      <c r="B26" s="36">
        <v>2539.1697399999998</v>
      </c>
      <c r="C26" s="17">
        <v>2791.0845399999998</v>
      </c>
      <c r="D26" s="17">
        <f>IF(OR(2539.16974="",2791.08454=""),"-",2791.08454/2539.16974*100)</f>
        <v>109.92114847745469</v>
      </c>
      <c r="E26" s="17">
        <f>IF(2539.16974="","-",2539.16974/2338137.02243*100)</f>
        <v>0.10859798701451076</v>
      </c>
      <c r="F26" s="17">
        <f>IF(2791.08454="","-",2791.08454/2280846.87799*100)</f>
        <v>0.12237053556438859</v>
      </c>
      <c r="G26" s="17">
        <f>IF(OR(2668344.6178="",2386.08675="",2539.16974=""),"-",(2539.16974-2386.08675)/2668344.6178*100)</f>
        <v>5.737002221482693E-3</v>
      </c>
      <c r="H26" s="17">
        <f>IF(OR(2338137.02243="",2791.08454="",2539.16974=""),"-",(2791.08454-2539.16974)/2338137.02243*100)</f>
        <v>1.077416753523657E-2</v>
      </c>
    </row>
    <row r="27" spans="1:8" s="4" customFormat="1" x14ac:dyDescent="0.25">
      <c r="A27" s="47" t="s">
        <v>40</v>
      </c>
      <c r="B27" s="36">
        <v>1982.7929099999999</v>
      </c>
      <c r="C27" s="17">
        <v>2513.5040399999998</v>
      </c>
      <c r="D27" s="17">
        <f>IF(OR(1982.79291="",2513.50404=""),"-",2513.50404/1982.79291*100)</f>
        <v>126.76583758815237</v>
      </c>
      <c r="E27" s="17">
        <f>IF(1982.79291="","-",1982.79291/2338137.02243*100)</f>
        <v>8.4802254571860178E-2</v>
      </c>
      <c r="F27" s="17">
        <f>IF(2513.50404="","-",2513.50404/2280846.87799*100)</f>
        <v>0.110200472651414</v>
      </c>
      <c r="G27" s="17">
        <f>IF(OR(2668344.6178="",1474.13203="",1982.79291=""),"-",(1982.79291-1474.13203)/2668344.6178*100)</f>
        <v>1.9062788089920006E-2</v>
      </c>
      <c r="H27" s="17">
        <f>IF(OR(2338137.02243="",2513.50404="",1982.79291=""),"-",(2513.50404-1982.79291)/2338137.02243*100)</f>
        <v>2.2698033729795602E-2</v>
      </c>
    </row>
    <row r="28" spans="1:8" s="4" customFormat="1" x14ac:dyDescent="0.25">
      <c r="A28" s="47" t="s">
        <v>42</v>
      </c>
      <c r="B28" s="36">
        <v>747.62873999999999</v>
      </c>
      <c r="C28" s="17">
        <v>943.75075000000004</v>
      </c>
      <c r="D28" s="17">
        <f>IF(OR(747.62874="",943.75075=""),"-",943.75075/747.62874*100)</f>
        <v>126.23254023113131</v>
      </c>
      <c r="E28" s="17">
        <f>IF(747.62874="","-",747.62874/2338137.02243*100)</f>
        <v>3.1975403187576995E-2</v>
      </c>
      <c r="F28" s="17">
        <f>IF(943.75075="","-",943.75075/2280846.87799*100)</f>
        <v>4.1377207698908833E-2</v>
      </c>
      <c r="G28" s="17">
        <f>IF(OR(2668344.6178="",443.61979="",747.62874=""),"-",(747.62874-443.61979)/2668344.6178*100)</f>
        <v>1.1393166683644094E-2</v>
      </c>
      <c r="H28" s="17">
        <f>IF(OR(2338137.02243="",943.75075="",747.62874=""),"-",(943.75075-747.62874)/2338137.02243*100)</f>
        <v>8.3879605052475763E-3</v>
      </c>
    </row>
    <row r="29" spans="1:8" s="2" customFormat="1" x14ac:dyDescent="0.25">
      <c r="A29" s="47" t="s">
        <v>45</v>
      </c>
      <c r="B29" s="36">
        <v>730.07458999999994</v>
      </c>
      <c r="C29" s="17">
        <v>884.52358000000004</v>
      </c>
      <c r="D29" s="17">
        <f>IF(OR(730.07459="",884.52358=""),"-",884.52358/730.07459*100)</f>
        <v>121.15523428914298</v>
      </c>
      <c r="E29" s="17">
        <f>IF(730.07459="","-",730.07459/2338137.02243*100)</f>
        <v>3.1224628111882063E-2</v>
      </c>
      <c r="F29" s="17">
        <f>IF(884.52358="","-",884.52358/2280846.87799*100)</f>
        <v>3.8780489323311691E-2</v>
      </c>
      <c r="G29" s="17">
        <f>IF(OR(2668344.6178="",507.54671="",730.07459=""),"-",(730.07459-507.54671)/2668344.6178*100)</f>
        <v>8.339547992248092E-3</v>
      </c>
      <c r="H29" s="17">
        <f>IF(OR(2338137.02243="",884.52358="",730.07459=""),"-",(884.52358-730.07459)/2338137.02243*100)</f>
        <v>6.6056432329822555E-3</v>
      </c>
    </row>
    <row r="30" spans="1:8" s="2" customFormat="1" x14ac:dyDescent="0.25">
      <c r="A30" s="47" t="s">
        <v>44</v>
      </c>
      <c r="B30" s="36">
        <v>744.20546999999999</v>
      </c>
      <c r="C30" s="17">
        <v>825.23427000000004</v>
      </c>
      <c r="D30" s="17">
        <f>IF(OR(744.20547="",825.23427=""),"-",825.23427/744.20547*100)</f>
        <v>110.88796082082008</v>
      </c>
      <c r="E30" s="17">
        <f>IF(744.20547="","-",744.20547/2338137.02243*100)</f>
        <v>3.1828993034230112E-2</v>
      </c>
      <c r="F30" s="17">
        <f>IF(825.23427="","-",825.23427/2280846.87799*100)</f>
        <v>3.6181046521072867E-2</v>
      </c>
      <c r="G30" s="17">
        <f>IF(OR(2668344.6178="",202.18255="",744.20547=""),"-",(744.20547-202.18255)/2668344.6178*100)</f>
        <v>2.0313077867988718E-2</v>
      </c>
      <c r="H30" s="17">
        <f>IF(OR(2338137.02243="",825.23427="",744.20547=""),"-",(825.23427-744.20547)/2338137.02243*100)</f>
        <v>3.465528291228532E-3</v>
      </c>
    </row>
    <row r="31" spans="1:8" s="2" customFormat="1" x14ac:dyDescent="0.25">
      <c r="A31" s="47" t="s">
        <v>43</v>
      </c>
      <c r="B31" s="36">
        <v>5197.6740399999999</v>
      </c>
      <c r="C31" s="17">
        <v>369.31599999999997</v>
      </c>
      <c r="D31" s="17">
        <f>IF(OR(5197.67404="",369.316=""),"-",369.316/5197.67404*100)</f>
        <v>7.105409018684826</v>
      </c>
      <c r="E31" s="17">
        <f>IF(5197.67404="","-",5197.67404/2338137.02243*100)</f>
        <v>0.22229980493607321</v>
      </c>
      <c r="F31" s="17">
        <f>IF(369.316="","-",369.316/2280846.87799*100)</f>
        <v>1.6192055835219432E-2</v>
      </c>
      <c r="G31" s="17">
        <f>IF(OR(2668344.6178="",2535.0431="",5197.67404=""),"-",(5197.67404-2535.0431)/2668344.6178*100)</f>
        <v>9.9785871818734148E-2</v>
      </c>
      <c r="H31" s="17">
        <f>IF(OR(2338137.02243="",369.316="",5197.67404=""),"-",(369.316-5197.67404)/2338137.02243*100)</f>
        <v>-0.2065044945476267</v>
      </c>
    </row>
    <row r="32" spans="1:8" s="2" customFormat="1" x14ac:dyDescent="0.25">
      <c r="A32" s="47" t="s">
        <v>41</v>
      </c>
      <c r="B32" s="36">
        <v>298.01920000000001</v>
      </c>
      <c r="C32" s="17">
        <v>312.29543999999999</v>
      </c>
      <c r="D32" s="17">
        <f>IF(OR(298.0192="",312.29544=""),"-",312.29544/298.0192*100)</f>
        <v>104.79037592208824</v>
      </c>
      <c r="E32" s="17">
        <f>IF(298.0192="","-",298.0192/2338137.02243*100)</f>
        <v>1.2746010911296891E-2</v>
      </c>
      <c r="F32" s="17">
        <f>IF(312.29544="","-",312.29544/2280846.87799*100)</f>
        <v>1.3692082665155095E-2</v>
      </c>
      <c r="G32" s="17">
        <f>IF(OR(2668344.6178="",198.34348="",298.0192=""),"-",(298.0192-198.34348)/2668344.6178*100)</f>
        <v>3.7354890119920409E-3</v>
      </c>
      <c r="H32" s="17">
        <f>IF(OR(2338137.02243="",312.29544="",298.0192=""),"-",(312.29544-298.0192)/2338137.02243*100)</f>
        <v>6.1058183772150503E-4</v>
      </c>
    </row>
    <row r="33" spans="1:8" s="2" customFormat="1" x14ac:dyDescent="0.25">
      <c r="A33" s="47" t="s">
        <v>46</v>
      </c>
      <c r="B33" s="36">
        <v>15.565569999999999</v>
      </c>
      <c r="C33" s="17">
        <v>80.211290000000005</v>
      </c>
      <c r="D33" s="17" t="s">
        <v>341</v>
      </c>
      <c r="E33" s="17">
        <f>IF(15.56557="","-",15.56557/2338137.02243*100)</f>
        <v>6.6572531253206353E-4</v>
      </c>
      <c r="F33" s="17">
        <f>IF(80.21129="","-",80.21129/2280846.87799*100)</f>
        <v>3.5167327878970261E-3</v>
      </c>
      <c r="G33" s="17">
        <f>IF(OR(2668344.6178="",4.53206="",15.56557=""),"-",(15.56557-4.53206)/2668344.6178*100)</f>
        <v>4.1349643994248838E-4</v>
      </c>
      <c r="H33" s="17">
        <f>IF(OR(2338137.02243="",80.21129="",15.56557=""),"-",(80.21129-15.56557)/2338137.02243*100)</f>
        <v>2.764838817393791E-3</v>
      </c>
    </row>
    <row r="34" spans="1:8" s="5" customFormat="1" ht="13.5" customHeight="1" x14ac:dyDescent="0.2">
      <c r="A34" s="47" t="s">
        <v>47</v>
      </c>
      <c r="B34" s="36">
        <v>20.975249999999999</v>
      </c>
      <c r="C34" s="17">
        <v>16.946729999999999</v>
      </c>
      <c r="D34" s="17">
        <f>IF(OR(20.97525="",16.94673=""),"-",16.94673/20.97525*100)</f>
        <v>80.793935709943867</v>
      </c>
      <c r="E34" s="17">
        <f>IF(20.97525="","-",20.97525/2338137.02243*100)</f>
        <v>8.970924201097785E-4</v>
      </c>
      <c r="F34" s="17">
        <f>IF(16.94673="","-",16.94673/2280846.87799*100)</f>
        <v>7.4300165274287654E-4</v>
      </c>
      <c r="G34" s="17">
        <f>IF(OR(2668344.6178="",1.71762="",20.97525=""),"-",(20.97525-1.71762)/2668344.6178*100)</f>
        <v>7.2170700409295528E-4</v>
      </c>
      <c r="H34" s="17">
        <f>IF(OR(2338137.02243="",16.94673="",20.97525=""),"-",(16.94673-20.97525)/2338137.02243*100)</f>
        <v>-1.7229614694750457E-4</v>
      </c>
    </row>
    <row r="35" spans="1:8" s="5" customFormat="1" ht="17.25" customHeight="1" x14ac:dyDescent="0.2">
      <c r="A35" s="46" t="s">
        <v>380</v>
      </c>
      <c r="B35" s="37">
        <v>177520.44873</v>
      </c>
      <c r="C35" s="16">
        <v>143395.66240999999</v>
      </c>
      <c r="D35" s="16">
        <f>IF(177520.44873="","-",143395.66241/177520.44873*100)</f>
        <v>80.776982841057276</v>
      </c>
      <c r="E35" s="16">
        <f>IF(177520.44873="","-",177520.44873/2338137.02243*100)</f>
        <v>7.5923885994288289</v>
      </c>
      <c r="F35" s="16">
        <f>IF(143395.66241="","-",143395.66241/2280846.87799*100)</f>
        <v>6.2869482293510055</v>
      </c>
      <c r="G35" s="16">
        <f>IF(2668344.6178="","-",(177520.44873-209870.05752)/2668344.6178*100)</f>
        <v>-1.2123474821881006</v>
      </c>
      <c r="H35" s="16">
        <f>IF(2338137.02243="","-",(143395.66241-177520.44873)/2338137.02243*100)</f>
        <v>-1.4594861632418146</v>
      </c>
    </row>
    <row r="36" spans="1:8" s="5" customFormat="1" ht="16.5" customHeight="1" x14ac:dyDescent="0.2">
      <c r="A36" s="47" t="s">
        <v>245</v>
      </c>
      <c r="B36" s="36">
        <v>86367.347599999994</v>
      </c>
      <c r="C36" s="17">
        <v>70309.699640000006</v>
      </c>
      <c r="D36" s="17">
        <f>IF(OR(86367.3476="",70309.69964=""),"-",70309.69964/86367.3476*100)</f>
        <v>81.407732891868974</v>
      </c>
      <c r="E36" s="17">
        <f>IF(86367.3476="","-",86367.3476/2338137.02243*100)</f>
        <v>3.6938531305680011</v>
      </c>
      <c r="F36" s="17">
        <f>IF(70309.69964="","-",70309.69964/2280846.87799*100)</f>
        <v>3.0826137571304457</v>
      </c>
      <c r="G36" s="17">
        <f>IF(OR(2668344.6178="",100133.68826="",86367.3476=""),"-",(86367.3476-100133.68826)/2668344.6178*100)</f>
        <v>-0.51591314585707782</v>
      </c>
      <c r="H36" s="17">
        <f>IF(OR(2338137.02243="",70309.69964="",86367.3476=""),"-",(70309.69964-86367.3476)/2338137.02243*100)</f>
        <v>-0.68677104061726246</v>
      </c>
    </row>
    <row r="37" spans="1:8" s="3" customFormat="1" ht="16.5" customHeight="1" x14ac:dyDescent="0.2">
      <c r="A37" s="47" t="s">
        <v>7</v>
      </c>
      <c r="B37" s="36">
        <v>57694.950720000001</v>
      </c>
      <c r="C37" s="17">
        <v>50272.834779999997</v>
      </c>
      <c r="D37" s="17">
        <f>IF(OR(57694.95072="",50272.83478=""),"-",50272.83478/57694.95072*100)</f>
        <v>87.135588387933012</v>
      </c>
      <c r="E37" s="17">
        <f>IF(57694.95072="","-",57694.95072/2338137.02243*100)</f>
        <v>2.4675607189196413</v>
      </c>
      <c r="F37" s="17">
        <f>IF(50272.83478="","-",50272.83478/2280846.87799*100)</f>
        <v>2.2041301967759894</v>
      </c>
      <c r="G37" s="17">
        <f>IF(OR(2668344.6178="",59484.99056="",57694.95072=""),"-",(57694.95072-59484.99056)/2668344.6178*100)</f>
        <v>-6.7084282444591123E-2</v>
      </c>
      <c r="H37" s="17">
        <f>IF(OR(2338137.02243="",50272.83478="",57694.95072=""),"-",(50272.83478-57694.95072)/2338137.02243*100)</f>
        <v>-0.31743716765950186</v>
      </c>
    </row>
    <row r="38" spans="1:8" s="5" customFormat="1" ht="16.5" customHeight="1" x14ac:dyDescent="0.2">
      <c r="A38" s="47" t="s">
        <v>9</v>
      </c>
      <c r="B38" s="36">
        <v>14402.8848</v>
      </c>
      <c r="C38" s="17">
        <v>7293.4456399999999</v>
      </c>
      <c r="D38" s="17">
        <f>IF(OR(14402.8848="",7293.44564=""),"-",7293.44564/14402.8848*100)</f>
        <v>50.638783419277225</v>
      </c>
      <c r="E38" s="17">
        <f>IF(14402.8848="","-",14402.8848/2338137.02243*100)</f>
        <v>0.61599832096372353</v>
      </c>
      <c r="F38" s="17">
        <f>IF(7293.44564="","-",7293.44564/2280846.87799*100)</f>
        <v>0.31976919232856876</v>
      </c>
      <c r="G38" s="17">
        <f>IF(OR(2668344.6178="",29874.46328="",14402.8848=""),"-",(14402.8848-29874.46328)/2668344.6178*100)</f>
        <v>-0.57981935229775627</v>
      </c>
      <c r="H38" s="17">
        <f>IF(OR(2338137.02243="",7293.44564="",14402.8848=""),"-",(7293.44564-14402.8848)/2338137.02243*100)</f>
        <v>-0.30406426534451941</v>
      </c>
    </row>
    <row r="39" spans="1:8" s="3" customFormat="1" ht="16.5" customHeight="1" x14ac:dyDescent="0.2">
      <c r="A39" s="47" t="s">
        <v>10</v>
      </c>
      <c r="B39" s="36">
        <v>4194.9602500000001</v>
      </c>
      <c r="C39" s="17">
        <v>4125.69049</v>
      </c>
      <c r="D39" s="17">
        <f>IF(OR(4194.96025="",4125.69049=""),"-",4125.69049/4194.96025*100)</f>
        <v>98.348738584590876</v>
      </c>
      <c r="E39" s="17">
        <f>IF(4194.96025="","-",4194.96025/2338137.02243*100)</f>
        <v>0.17941464549584971</v>
      </c>
      <c r="F39" s="17">
        <f>IF(4125.69049="","-",4125.69049/2280846.87799*100)</f>
        <v>0.18088415008533021</v>
      </c>
      <c r="G39" s="17">
        <f>IF(OR(2668344.6178="",3593.40203="",4194.96025=""),"-",(4194.96025-3593.40203)/2668344.6178*100)</f>
        <v>2.2544247695261092E-2</v>
      </c>
      <c r="H39" s="17">
        <f>IF(OR(2338137.02243="",4125.69049="",4194.96025=""),"-",(4125.69049-4194.96025)/2338137.02243*100)</f>
        <v>-2.9626048146660301E-3</v>
      </c>
    </row>
    <row r="40" spans="1:8" s="3" customFormat="1" ht="16.5" customHeight="1" x14ac:dyDescent="0.2">
      <c r="A40" s="47" t="s">
        <v>11</v>
      </c>
      <c r="B40" s="36">
        <v>3100.37682</v>
      </c>
      <c r="C40" s="17">
        <v>3798.2372300000002</v>
      </c>
      <c r="D40" s="17">
        <f>IF(OR(3100.37682="",3798.23723=""),"-",3798.23723/3100.37682*100)</f>
        <v>122.50889006453095</v>
      </c>
      <c r="E40" s="17">
        <f>IF(3100.37682="","-",3100.37682/2338137.02243*100)</f>
        <v>0.13260030486912236</v>
      </c>
      <c r="F40" s="17">
        <f>IF(3798.23723="","-",3798.23723/2280846.87799*100)</f>
        <v>0.16652749759980393</v>
      </c>
      <c r="G40" s="17">
        <f>IF(OR(2668344.6178="",5711.87727="",3100.37682=""),"-",(3100.37682-5711.87727)/2668344.6178*100)</f>
        <v>-9.7869684169698171E-2</v>
      </c>
      <c r="H40" s="17">
        <f>IF(OR(2338137.02243="",3798.23723="",3100.37682=""),"-",(3798.23723-3100.37682)/2338137.02243*100)</f>
        <v>2.9846856848223621E-2</v>
      </c>
    </row>
    <row r="41" spans="1:8" s="3" customFormat="1" ht="16.5" customHeight="1" x14ac:dyDescent="0.2">
      <c r="A41" s="47" t="s">
        <v>247</v>
      </c>
      <c r="B41" s="36">
        <v>6101.3012600000002</v>
      </c>
      <c r="C41" s="17">
        <v>3114.3692000000001</v>
      </c>
      <c r="D41" s="17">
        <f>IF(OR(6101.30126="",3114.3692=""),"-",3114.3692/6101.30126*100)</f>
        <v>51.044343940492453</v>
      </c>
      <c r="E41" s="17">
        <f>IF(6101.30126="","-",6101.30126/2338137.02243*100)</f>
        <v>0.2609471216387047</v>
      </c>
      <c r="F41" s="17">
        <f>IF(3114.3692="","-",3114.3692/2280846.87799*100)</f>
        <v>0.13654442260256167</v>
      </c>
      <c r="G41" s="17">
        <f>IF(OR(2668344.6178="",6357.21133="",6101.30126=""),"-",(6101.30126-6357.21133)/2668344.6178*100)</f>
        <v>-9.5905929201526054E-3</v>
      </c>
      <c r="H41" s="17">
        <f>IF(OR(2338137.02243="",3114.3692="",6101.30126=""),"-",(3114.3692-6101.30126)/2338137.02243*100)</f>
        <v>-0.12774837536662906</v>
      </c>
    </row>
    <row r="42" spans="1:8" s="3" customFormat="1" ht="16.5" customHeight="1" x14ac:dyDescent="0.2">
      <c r="A42" s="47" t="s">
        <v>13</v>
      </c>
      <c r="B42" s="36">
        <v>2598.17058</v>
      </c>
      <c r="C42" s="17">
        <v>2634.9846699999998</v>
      </c>
      <c r="D42" s="17">
        <f>IF(OR(2598.17058="",2634.98467=""),"-",2634.98467/2598.17058*100)</f>
        <v>101.41692351854741</v>
      </c>
      <c r="E42" s="17">
        <f>IF(2598.17058="","-",2598.17058/2338137.02243*100)</f>
        <v>0.11112139943362899</v>
      </c>
      <c r="F42" s="17">
        <f>IF(2634.98467="","-",2634.98467/2280846.87799*100)</f>
        <v>0.11552659213678053</v>
      </c>
      <c r="G42" s="17">
        <f>IF(OR(2668344.6178="",3341.82764="",2598.17058=""),"-",(2598.17058-3341.82764)/2668344.6178*100)</f>
        <v>-2.7869603312825886E-2</v>
      </c>
      <c r="H42" s="17">
        <f>IF(OR(2338137.02243="",2634.98467="",2598.17058=""),"-",(2634.98467-2598.17058)/2338137.02243*100)</f>
        <v>1.5745052427141065E-3</v>
      </c>
    </row>
    <row r="43" spans="1:8" s="2" customFormat="1" ht="16.5" customHeight="1" x14ac:dyDescent="0.25">
      <c r="A43" s="47" t="s">
        <v>12</v>
      </c>
      <c r="B43" s="36">
        <v>2009.6668199999999</v>
      </c>
      <c r="C43" s="17">
        <v>1501.3562099999999</v>
      </c>
      <c r="D43" s="17">
        <f>IF(OR(2009.66682="",1501.35621=""),"-",1501.35621/2009.66682*100)</f>
        <v>74.706722281457587</v>
      </c>
      <c r="E43" s="17">
        <f>IF(2009.66682="","-",2009.66682/2338137.02243*100)</f>
        <v>8.5951627330693198E-2</v>
      </c>
      <c r="F43" s="17">
        <f>IF(1501.35621="","-",1501.35621/2280846.87799*100)</f>
        <v>6.5824506874528663E-2</v>
      </c>
      <c r="G43" s="17">
        <f>IF(OR(2668344.6178="",1260.32673="",2009.66682=""),"-",(2009.66682-1260.32673)/2668344.6178*100)</f>
        <v>2.8082582924308208E-2</v>
      </c>
      <c r="H43" s="17">
        <f>IF(OR(2338137.02243="",1501.35621="",2009.66682=""),"-",(1501.35621-2009.66682)/2338137.02243*100)</f>
        <v>-2.1739983804358841E-2</v>
      </c>
    </row>
    <row r="44" spans="1:8" s="2" customFormat="1" ht="16.5" customHeight="1" x14ac:dyDescent="0.25">
      <c r="A44" s="47" t="s">
        <v>14</v>
      </c>
      <c r="B44" s="36">
        <v>1050.78988</v>
      </c>
      <c r="C44" s="17">
        <v>345.04455000000002</v>
      </c>
      <c r="D44" s="17">
        <f>IF(OR(1050.78988="",345.04455=""),"-",345.04455/1050.78988*100)</f>
        <v>32.836683771640438</v>
      </c>
      <c r="E44" s="17">
        <f>IF(1050.78988="","-",1050.78988/2338137.02243*100)</f>
        <v>4.4941330209464191E-2</v>
      </c>
      <c r="F44" s="17">
        <f>IF(345.04455="","-",345.04455/2280846.87799*100)</f>
        <v>1.5127913816997268E-2</v>
      </c>
      <c r="G44" s="17">
        <f>IF(OR(2668344.6178="",112.27042="",1050.78988=""),"-",(1050.78988-112.27042)/2668344.6178*100)</f>
        <v>3.5172348194431935E-2</v>
      </c>
      <c r="H44" s="17">
        <f>IF(OR(2338137.02243="",345.04455="",1050.78988=""),"-",(345.04455-1050.78988)/2338137.02243*100)</f>
        <v>-3.0184087725813716E-2</v>
      </c>
    </row>
    <row r="45" spans="1:8" s="4" customFormat="1" x14ac:dyDescent="0.25">
      <c r="A45" s="46" t="s">
        <v>103</v>
      </c>
      <c r="B45" s="37">
        <v>623510.64416000003</v>
      </c>
      <c r="C45" s="37">
        <v>596857.05278000003</v>
      </c>
      <c r="D45" s="37">
        <f>IF(623510.64416="","-",596857.05278/623510.64416*100)</f>
        <v>95.725238754198344</v>
      </c>
      <c r="E45" s="37">
        <f>IF(623510.64416="","-",623510.64416/2338137.02243*100)</f>
        <v>26.666984790822578</v>
      </c>
      <c r="F45" s="37">
        <f>IF(596857.05278="","-",596857.05278/2280846.87799*100)</f>
        <v>26.168221047174427</v>
      </c>
      <c r="G45" s="37">
        <f>IF(2668344.6178="","-",(623510.64416-775586.21178)/2668344.6178*100)</f>
        <v>-5.6992476386121158</v>
      </c>
      <c r="H45" s="37">
        <f>IF(2338137.02243="","-",(596857.05278-623510.64416)/2338137.02243*100)</f>
        <v>-1.1399499312619077</v>
      </c>
    </row>
    <row r="46" spans="1:8" s="2" customFormat="1" x14ac:dyDescent="0.25">
      <c r="A46" s="47" t="s">
        <v>48</v>
      </c>
      <c r="B46" s="38">
        <v>135391.69620000001</v>
      </c>
      <c r="C46" s="38">
        <v>213821.54761000001</v>
      </c>
      <c r="D46" s="36">
        <f>IF(OR(135391.6962="",213821.54761=""),"-",213821.54761/135391.6962*100)</f>
        <v>157.9281105202669</v>
      </c>
      <c r="E46" s="36">
        <f>IF(135391.6962="","-",135391.6962/2338137.02243*100)</f>
        <v>5.7905800601578479</v>
      </c>
      <c r="F46" s="36">
        <f>IF(213821.54761="","-",213821.54761/2280846.87799*100)</f>
        <v>9.3746559522851705</v>
      </c>
      <c r="G46" s="36">
        <f>IF(OR(2668344.6178="",95777.76663="",135391.6962=""),"-",(135391.6962-95777.76663)/2668344.6178*100)</f>
        <v>1.4845882089495976</v>
      </c>
      <c r="H46" s="36">
        <f>IF(OR(2338137.02243="",213821.54761="",135391.6962=""),"-",(213821.54761-135391.6962)/2338137.02243*100)</f>
        <v>3.3543736170127758</v>
      </c>
    </row>
    <row r="47" spans="1:8" s="6" customFormat="1" x14ac:dyDescent="0.25">
      <c r="A47" s="47" t="s">
        <v>8</v>
      </c>
      <c r="B47" s="38">
        <v>223439.26834000001</v>
      </c>
      <c r="C47" s="38">
        <v>180011.76293999999</v>
      </c>
      <c r="D47" s="36">
        <f>IF(OR(223439.26834="",180011.76294=""),"-",180011.76294/223439.26834*100)</f>
        <v>80.564067487941344</v>
      </c>
      <c r="E47" s="36">
        <f>IF(223439.26834="","-",223439.26834/2338137.02243*100)</f>
        <v>9.5562948705111417</v>
      </c>
      <c r="F47" s="36">
        <f>IF(180011.76294="","-",180011.76294/2280846.87799*100)</f>
        <v>7.892321254754096</v>
      </c>
      <c r="G47" s="36">
        <f>IF(OR(2668344.6178="",442130.43912="",223439.26834=""),"-",(223439.26834-442130.43912)/2668344.6178*100)</f>
        <v>-8.1957618712798332</v>
      </c>
      <c r="H47" s="36">
        <f>IF(OR(2338137.02243="",180011.76294="",223439.26834=""),"-",(180011.76294-223439.26834)/2338137.02243*100)</f>
        <v>-1.8573550216858674</v>
      </c>
    </row>
    <row r="48" spans="1:8" s="4" customFormat="1" x14ac:dyDescent="0.25">
      <c r="A48" s="47" t="s">
        <v>15</v>
      </c>
      <c r="B48" s="38">
        <v>60847.557560000001</v>
      </c>
      <c r="C48" s="38">
        <v>37256.925009999999</v>
      </c>
      <c r="D48" s="36">
        <f>IF(OR(60847.55756="",37256.92501=""),"-",37256.92501/60847.55756*100)</f>
        <v>61.229943327243717</v>
      </c>
      <c r="E48" s="36">
        <f>IF(60847.55756="","-",60847.55756/2338137.02243*100)</f>
        <v>2.602394854376918</v>
      </c>
      <c r="F48" s="36">
        <f>IF(37256.92501="","-",37256.92501/2280846.87799*100)</f>
        <v>1.6334689263679429</v>
      </c>
      <c r="G48" s="36">
        <f>IF(OR(2668344.6178="",33727.20721="",60847.55756=""),"-",(60847.55756-33727.20721)/2668344.6178*100)</f>
        <v>1.0163736036599433</v>
      </c>
      <c r="H48" s="36">
        <f>IF(OR(2338137.02243="",37256.92501="",60847.55756=""),"-",(37256.92501-60847.55756)/2338137.02243*100)</f>
        <v>-1.0089499598908245</v>
      </c>
    </row>
    <row r="49" spans="1:8" s="2" customFormat="1" x14ac:dyDescent="0.25">
      <c r="A49" s="67" t="s">
        <v>315</v>
      </c>
      <c r="B49" s="38">
        <v>17320.655650000001</v>
      </c>
      <c r="C49" s="38">
        <v>23915.1934</v>
      </c>
      <c r="D49" s="36">
        <f>IF(OR(17320.65565="",23915.1934=""),"-",23915.1934/17320.65565*100)</f>
        <v>138.07325705941162</v>
      </c>
      <c r="E49" s="36">
        <f>IF(17320.65565="","-",17320.65565/2338137.02243*100)</f>
        <v>0.74078873410074297</v>
      </c>
      <c r="F49" s="36">
        <f>IF(23915.1934="","-",23915.1934/2280846.87799*100)</f>
        <v>1.0485225304153387</v>
      </c>
      <c r="G49" s="36">
        <f>IF(OR(2668344.6178="",20325.02751="",17320.65565=""),"-",(17320.65565-20325.02751)/2668344.6178*100)</f>
        <v>-0.11259309760659952</v>
      </c>
      <c r="H49" s="36">
        <f>IF(OR(2338137.02243="",23915.1934="",17320.65565=""),"-",(23915.1934-17320.65565)/2338137.02243*100)</f>
        <v>0.28204239900133693</v>
      </c>
    </row>
    <row r="50" spans="1:8" s="6" customFormat="1" x14ac:dyDescent="0.25">
      <c r="A50" s="47" t="s">
        <v>56</v>
      </c>
      <c r="B50" s="38">
        <v>12628.429239999999</v>
      </c>
      <c r="C50" s="38">
        <v>21197.100409999999</v>
      </c>
      <c r="D50" s="36" t="s">
        <v>271</v>
      </c>
      <c r="E50" s="36">
        <f>IF(12628.42924="","-",12628.42924/2338137.02243*100)</f>
        <v>0.54010646591085631</v>
      </c>
      <c r="F50" s="36">
        <f>IF(21197.10041="","-",21197.10041/2280846.87799*100)</f>
        <v>0.92935218994972513</v>
      </c>
      <c r="G50" s="36">
        <f>IF(OR(2668344.6178="",9744.78371="",12628.42924=""),"-",(12628.42924-9744.78371)/2668344.6178*100)</f>
        <v>0.10806870712140289</v>
      </c>
      <c r="H50" s="36">
        <f>IF(OR(2338137.02243="",21197.10041="",12628.42924=""),"-",(21197.10041-12628.42924)/2338137.02243*100)</f>
        <v>0.36647429503916223</v>
      </c>
    </row>
    <row r="51" spans="1:8" s="2" customFormat="1" x14ac:dyDescent="0.25">
      <c r="A51" s="67" t="s">
        <v>314</v>
      </c>
      <c r="B51" s="38">
        <v>18820.0111</v>
      </c>
      <c r="C51" s="38">
        <v>20827.5933</v>
      </c>
      <c r="D51" s="36">
        <f>IF(OR(18820.0111="",20827.5933=""),"-",20827.5933/18820.0111*100)</f>
        <v>110.66727426106566</v>
      </c>
      <c r="E51" s="36">
        <f>IF(18820.0111="","-",18820.0111/2338137.02243*100)</f>
        <v>0.80491480693636042</v>
      </c>
      <c r="F51" s="36">
        <f>IF(20827.5933="","-",20827.5933/2280846.87799*100)</f>
        <v>0.91315175520920322</v>
      </c>
      <c r="G51" s="36">
        <f>IF(OR(2668344.6178="",27134.42145="",18820.0111=""),"-",(18820.0111-27134.42145)/2668344.6178*100)</f>
        <v>-0.31159432310715085</v>
      </c>
      <c r="H51" s="36">
        <f>IF(OR(2338137.02243="",20827.5933="",18820.0111=""),"-",(20827.5933-18820.0111)/2338137.02243*100)</f>
        <v>8.5862470023828755E-2</v>
      </c>
    </row>
    <row r="52" spans="1:8" s="2" customFormat="1" x14ac:dyDescent="0.25">
      <c r="A52" s="67" t="s">
        <v>52</v>
      </c>
      <c r="B52" s="38">
        <v>14870.52794</v>
      </c>
      <c r="C52" s="38">
        <v>17002.616419999998</v>
      </c>
      <c r="D52" s="36">
        <f>IF(OR(14870.52794="",17002.61642=""),"-",17002.61642/14870.52794*100)</f>
        <v>114.33767845097771</v>
      </c>
      <c r="E52" s="36">
        <f>IF(14870.52794="","-",14870.52794/2338137.02243*100)</f>
        <v>0.63599899395738679</v>
      </c>
      <c r="F52" s="36">
        <f>IF(17002.61642="","-",17002.61642/2280846.87799*100)</f>
        <v>0.74545190140004414</v>
      </c>
      <c r="G52" s="36">
        <f>IF(OR(2668344.6178="",26486.86745="",14870.52794=""),"-",(14870.52794-26486.86745)/2668344.6178*100)</f>
        <v>-0.43533880266100916</v>
      </c>
      <c r="H52" s="36">
        <f>IF(OR(2338137.02243="",17002.61642="",14870.52794=""),"-",(17002.61642-14870.52794)/2338137.02243*100)</f>
        <v>9.118749070506324E-2</v>
      </c>
    </row>
    <row r="53" spans="1:8" s="2" customFormat="1" x14ac:dyDescent="0.25">
      <c r="A53" s="67" t="s">
        <v>50</v>
      </c>
      <c r="B53" s="38">
        <v>20212.062140000002</v>
      </c>
      <c r="C53" s="38">
        <v>10751.593790000001</v>
      </c>
      <c r="D53" s="36">
        <f>IF(OR(20212.06214="",10751.59379=""),"-",10751.59379/20212.06214*100)</f>
        <v>53.193947829412323</v>
      </c>
      <c r="E53" s="36">
        <f>IF(20212.06214="","-",20212.06214/2338137.02243*100)</f>
        <v>0.86445156747031993</v>
      </c>
      <c r="F53" s="36">
        <f>IF(10751.59379="","-",10751.59379/2280846.87799*100)</f>
        <v>0.47138604058659395</v>
      </c>
      <c r="G53" s="36">
        <f>IF(OR(2668344.6178="",12515.34556="",20212.06214=""),"-",(20212.06214-12515.34556)/2668344.6178*100)</f>
        <v>0.28844537278493659</v>
      </c>
      <c r="H53" s="36">
        <f>IF(OR(2338137.02243="",10751.59379="",20212.06214=""),"-",(10751.59379-20212.06214)/2338137.02243*100)</f>
        <v>-0.40461565165962088</v>
      </c>
    </row>
    <row r="54" spans="1:8" s="4" customFormat="1" x14ac:dyDescent="0.25">
      <c r="A54" s="67" t="s">
        <v>316</v>
      </c>
      <c r="B54" s="38">
        <v>6747.6295899999996</v>
      </c>
      <c r="C54" s="38">
        <v>6041.7622700000002</v>
      </c>
      <c r="D54" s="36">
        <f>IF(OR(6747.62959="",6041.76227=""),"-",6041.76227/6747.62959*100)</f>
        <v>89.539032773137166</v>
      </c>
      <c r="E54" s="36">
        <f>IF(6747.62959="","-",6747.62959/2338137.02243*100)</f>
        <v>0.28858999815961439</v>
      </c>
      <c r="F54" s="36">
        <f>IF(6041.76227="","-",6041.76227/2280846.87799*100)</f>
        <v>0.26489118267002271</v>
      </c>
      <c r="G54" s="36">
        <f>IF(OR(2668344.6178="",6743.7469="",6747.62959=""),"-",(6747.62959-6743.7469)/2668344.6178*100)</f>
        <v>1.4550931592938925E-4</v>
      </c>
      <c r="H54" s="36">
        <f>IF(OR(2338137.02243="",6041.76227="",6747.62959=""),"-",(6041.76227-6747.62959)/2338137.02243*100)</f>
        <v>-3.0189305127481334E-2</v>
      </c>
    </row>
    <row r="55" spans="1:8" s="6" customFormat="1" x14ac:dyDescent="0.25">
      <c r="A55" s="67" t="s">
        <v>53</v>
      </c>
      <c r="B55" s="38">
        <v>4903.58007</v>
      </c>
      <c r="C55" s="38">
        <v>6034.3266800000001</v>
      </c>
      <c r="D55" s="36">
        <f>IF(OR(4903.58007="",6034.32668=""),"-",6034.32668/4903.58007*100)</f>
        <v>123.05961346318956</v>
      </c>
      <c r="E55" s="36">
        <f>IF(4903.58007="","-",4903.58007/2338137.02243*100)</f>
        <v>0.20972167255209723</v>
      </c>
      <c r="F55" s="36">
        <f>IF(6034.32668="","-",6034.32668/2280846.87799*100)</f>
        <v>0.2645651813907719</v>
      </c>
      <c r="G55" s="36">
        <f>IF(OR(2668344.6178="",6722.10049="",4903.58007=""),"-",(4903.58007-6722.10049)/2668344.6178*100)</f>
        <v>-6.8151632584075125E-2</v>
      </c>
      <c r="H55" s="36">
        <f>IF(OR(2338137.02243="",6034.32668="",4903.58007=""),"-",(6034.32668-4903.58007)/2338137.02243*100)</f>
        <v>4.8361007039049733E-2</v>
      </c>
    </row>
    <row r="56" spans="1:8" s="2" customFormat="1" x14ac:dyDescent="0.25">
      <c r="A56" s="67" t="s">
        <v>64</v>
      </c>
      <c r="B56" s="38">
        <v>5521.5577800000001</v>
      </c>
      <c r="C56" s="38">
        <v>5355.7697399999997</v>
      </c>
      <c r="D56" s="36">
        <f>IF(OR(5521.55778="",5355.76974=""),"-",5355.76974/5521.55778*100)</f>
        <v>96.997440820043352</v>
      </c>
      <c r="E56" s="36">
        <f>IF(5521.55778="","-",5521.55778/2338137.02243*100)</f>
        <v>0.23615201876669767</v>
      </c>
      <c r="F56" s="36">
        <f>IF(5355.76974="","-",5355.76974/2280846.87799*100)</f>
        <v>0.23481496244586925</v>
      </c>
      <c r="G56" s="36">
        <f>IF(OR(2668344.6178="",7915.56345="",5521.55778=""),"-",(5521.55778-7915.56345)/2668344.6178*100)</f>
        <v>-8.9718758740158985E-2</v>
      </c>
      <c r="H56" s="36">
        <f>IF(OR(2338137.02243="",5355.76974="",5521.55778=""),"-",(5355.76974-5521.55778)/2338137.02243*100)</f>
        <v>-7.0906041181324226E-3</v>
      </c>
    </row>
    <row r="57" spans="1:8" s="2" customFormat="1" x14ac:dyDescent="0.25">
      <c r="A57" s="67" t="s">
        <v>58</v>
      </c>
      <c r="B57" s="38">
        <v>7087.0955999999996</v>
      </c>
      <c r="C57" s="38">
        <v>5199.1158500000001</v>
      </c>
      <c r="D57" s="36">
        <f>IF(OR(7087.0956="",5199.11585=""),"-",5199.11585/7087.0956*100)</f>
        <v>73.360317730157334</v>
      </c>
      <c r="E57" s="36">
        <f>IF(7087.0956="","-",7087.0956/2338137.02243*100)</f>
        <v>0.30310865154662581</v>
      </c>
      <c r="F57" s="36">
        <f>IF(5199.11585="","-",5199.11585/2280846.87799*100)</f>
        <v>0.22794672891771364</v>
      </c>
      <c r="G57" s="36">
        <f>IF(OR(2668344.6178="",7227.24722="",7087.0956=""),"-",(7087.0956-7227.24722)/2668344.6178*100)</f>
        <v>-5.2523807856405336E-3</v>
      </c>
      <c r="H57" s="36">
        <f>IF(OR(2338137.02243="",5199.11585="",7087.0956=""),"-",(5199.11585-7087.0956)/2338137.02243*100)</f>
        <v>-8.0747181704425644E-2</v>
      </c>
    </row>
    <row r="58" spans="1:8" s="2" customFormat="1" x14ac:dyDescent="0.25">
      <c r="A58" s="67" t="s">
        <v>51</v>
      </c>
      <c r="B58" s="38">
        <v>5672.81981</v>
      </c>
      <c r="C58" s="38">
        <v>5112.3283199999996</v>
      </c>
      <c r="D58" s="36">
        <f>IF(OR(5672.81981="",5112.32832=""),"-",5112.32832/5672.81981*100)</f>
        <v>90.119702215607646</v>
      </c>
      <c r="E58" s="36">
        <f>IF(5672.81981="","-",5672.81981/2338137.02243*100)</f>
        <v>0.24262135861072426</v>
      </c>
      <c r="F58" s="36">
        <f>IF(5112.32832="","-",5112.32832/2280846.87799*100)</f>
        <v>0.22414167164545684</v>
      </c>
      <c r="G58" s="36">
        <f>IF(OR(2668344.6178="",4321.28163="",5672.81981=""),"-",(5672.81981-4321.28163)/2668344.6178*100)</f>
        <v>5.0650810655571067E-2</v>
      </c>
      <c r="H58" s="36">
        <f>IF(OR(2338137.02243="",5112.32832="",5672.81981=""),"-",(5112.32832-5672.81981)/2338137.02243*100)</f>
        <v>-2.3971712719278008E-2</v>
      </c>
    </row>
    <row r="59" spans="1:8" s="2" customFormat="1" x14ac:dyDescent="0.25">
      <c r="A59" s="67" t="s">
        <v>49</v>
      </c>
      <c r="B59" s="38">
        <v>5491.4463999999998</v>
      </c>
      <c r="C59" s="38">
        <v>4756.6221299999997</v>
      </c>
      <c r="D59" s="36">
        <f>IF(OR(5491.4464="",4756.62213=""),"-",4756.62213/5491.4464*100)</f>
        <v>86.61874820448034</v>
      </c>
      <c r="E59" s="36">
        <f>IF(5491.4464="","-",5491.4464/2338137.02243*100)</f>
        <v>0.23486418235201634</v>
      </c>
      <c r="F59" s="36">
        <f>IF(4756.62213="","-",4756.62213/2280846.87799*100)</f>
        <v>0.20854631566463508</v>
      </c>
      <c r="G59" s="36">
        <f>IF(OR(2668344.6178="",3247.39636="",5491.4464=""),"-",(5491.4464-3247.39636)/2668344.6178*100)</f>
        <v>8.4098958771306562E-2</v>
      </c>
      <c r="H59" s="36">
        <f>IF(OR(2338137.02243="",4756.62213="",5491.4464=""),"-",(4756.62213-5491.4464)/2338137.02243*100)</f>
        <v>-3.1427767618011769E-2</v>
      </c>
    </row>
    <row r="60" spans="1:8" s="2" customFormat="1" x14ac:dyDescent="0.25">
      <c r="A60" s="47" t="s">
        <v>61</v>
      </c>
      <c r="B60" s="38">
        <v>5040.3107</v>
      </c>
      <c r="C60" s="38">
        <v>4255.0061599999999</v>
      </c>
      <c r="D60" s="36">
        <f>IF(OR(5040.3107="",4255.00616=""),"-",4255.00616/5040.3107*100)</f>
        <v>84.419521201341809</v>
      </c>
      <c r="E60" s="36">
        <f>IF(5040.3107="","-",5040.3107/2338137.02243*100)</f>
        <v>0.21556951759660609</v>
      </c>
      <c r="F60" s="36">
        <f>IF(4255.00616="","-",4255.00616/2280846.87799*100)</f>
        <v>0.18655378408171491</v>
      </c>
      <c r="G60" s="36">
        <f>IF(OR(2668344.6178="",1613.46823="",5040.3107=""),"-",(5040.3107-1613.46823)/2668344.6178*100)</f>
        <v>0.12842578305441549</v>
      </c>
      <c r="H60" s="36">
        <f>IF(OR(2338137.02243="",4255.00616="",5040.3107=""),"-",(4255.00616-5040.3107)/2338137.02243*100)</f>
        <v>-3.3586762985508944E-2</v>
      </c>
    </row>
    <row r="61" spans="1:8" s="2" customFormat="1" x14ac:dyDescent="0.25">
      <c r="A61" s="67" t="s">
        <v>66</v>
      </c>
      <c r="B61" s="38">
        <v>1505.4328499999999</v>
      </c>
      <c r="C61" s="38">
        <v>3110.6911300000002</v>
      </c>
      <c r="D61" s="36" t="s">
        <v>274</v>
      </c>
      <c r="E61" s="36">
        <f>IF(1505.43285="","-",1505.43285/2338137.02243*100)</f>
        <v>6.4385997722041982E-2</v>
      </c>
      <c r="F61" s="36">
        <f>IF(3110.69113="","-",3110.69113/2280846.87799*100)</f>
        <v>0.1363831636405729</v>
      </c>
      <c r="G61" s="36">
        <f>IF(OR(2668344.6178="",1351.68264="",1505.43285=""),"-",(1505.43285-1351.68264)/2668344.6178*100)</f>
        <v>5.762007237534561E-3</v>
      </c>
      <c r="H61" s="36">
        <f>IF(OR(2338137.02243="",3110.69113="",1505.43285=""),"-",(3110.69113-1505.43285)/2338137.02243*100)</f>
        <v>6.8655440831764128E-2</v>
      </c>
    </row>
    <row r="62" spans="1:8" s="2" customFormat="1" x14ac:dyDescent="0.25">
      <c r="A62" s="67" t="s">
        <v>317</v>
      </c>
      <c r="B62" s="38">
        <v>2219.8226800000002</v>
      </c>
      <c r="C62" s="38">
        <v>2625.0529200000001</v>
      </c>
      <c r="D62" s="36">
        <f>IF(OR(2219.82268="",2625.05292=""),"-",2625.05292/2219.82268*100)</f>
        <v>118.25507251777425</v>
      </c>
      <c r="E62" s="36">
        <f>IF(2219.82268="","-",2219.82268/2338137.02243*100)</f>
        <v>9.4939802873185042E-2</v>
      </c>
      <c r="F62" s="36">
        <f>IF(2625.05292="","-",2625.05292/2280846.87799*100)</f>
        <v>0.11509115080593803</v>
      </c>
      <c r="G62" s="36">
        <f>IF(OR(2668344.6178="",1558.26378="",2219.82268=""),"-",(2219.82268-1558.26378)/2668344.6178*100)</f>
        <v>2.4792858298244964E-2</v>
      </c>
      <c r="H62" s="36">
        <f>IF(OR(2338137.02243="",2625.05292="",2219.82268=""),"-",(2625.05292-2219.82268)/2338137.02243*100)</f>
        <v>1.7331329862731851E-2</v>
      </c>
    </row>
    <row r="63" spans="1:8" s="2" customFormat="1" x14ac:dyDescent="0.25">
      <c r="A63" s="67" t="s">
        <v>30</v>
      </c>
      <c r="B63" s="38">
        <v>1666.22153</v>
      </c>
      <c r="C63" s="38">
        <v>2361.68334</v>
      </c>
      <c r="D63" s="36">
        <f>IF(OR(1666.22153="",2361.68334=""),"-",2361.68334/1666.22153*100)</f>
        <v>141.73885629721755</v>
      </c>
      <c r="E63" s="36">
        <f>IF(1666.22153="","-",1666.22153/2338137.02243*100)</f>
        <v>7.1262783746878722E-2</v>
      </c>
      <c r="F63" s="36">
        <f>IF(2361.68334="","-",2361.68334/2280846.87799*100)</f>
        <v>0.1035441424319215</v>
      </c>
      <c r="G63" s="36">
        <f>IF(OR(2668344.6178="",1879.65842="",1666.22153=""),"-",(1666.22153-1879.65842)/2668344.6178*100)</f>
        <v>-7.9988502450622223E-3</v>
      </c>
      <c r="H63" s="36">
        <f>IF(OR(2338137.02243="",2361.68334="",1666.22153=""),"-",(2361.68334-1666.22153)/2338137.02243*100)</f>
        <v>2.974427090150663E-2</v>
      </c>
    </row>
    <row r="64" spans="1:8" s="2" customFormat="1" x14ac:dyDescent="0.25">
      <c r="A64" s="67" t="s">
        <v>65</v>
      </c>
      <c r="B64" s="38">
        <v>3340.0487800000001</v>
      </c>
      <c r="C64" s="38">
        <v>2326.4207200000001</v>
      </c>
      <c r="D64" s="36">
        <f>IF(OR(3340.04878="",2326.42072=""),"-",2326.42072/3340.04878*100)</f>
        <v>69.652297712849574</v>
      </c>
      <c r="E64" s="36">
        <f>IF(3340.04878="","-",3340.04878/2338137.02243*100)</f>
        <v>0.14285085724055319</v>
      </c>
      <c r="F64" s="36">
        <f>IF(2326.42072="","-",2326.42072/2280846.87799*100)</f>
        <v>0.10199811054612146</v>
      </c>
      <c r="G64" s="36">
        <f>IF(OR(2668344.6178="",2147.51265="",3340.04878=""),"-",(3340.04878-2147.51265)/2668344.6178*100)</f>
        <v>4.4691983263512022E-2</v>
      </c>
      <c r="H64" s="36">
        <f>IF(OR(2338137.02243="",2326.42072="",3340.04878=""),"-",(2326.42072-3340.04878)/2338137.02243*100)</f>
        <v>-4.3351952870005352E-2</v>
      </c>
    </row>
    <row r="65" spans="1:8" x14ac:dyDescent="0.25">
      <c r="A65" s="67" t="s">
        <v>256</v>
      </c>
      <c r="B65" s="38">
        <v>1246.6052099999999</v>
      </c>
      <c r="C65" s="38">
        <v>1854.33626</v>
      </c>
      <c r="D65" s="36">
        <f>IF(OR(1246.60521="",1854.33626=""),"-",1854.33626/1246.60521*100)</f>
        <v>148.75088320864631</v>
      </c>
      <c r="E65" s="36">
        <f>IF(1246.60521="","-",1246.60521/2338137.02243*100)</f>
        <v>5.3316174289238918E-2</v>
      </c>
      <c r="F65" s="36">
        <f>IF(1854.33626="","-",1854.33626/2280846.87799*100)</f>
        <v>8.130033970689593E-2</v>
      </c>
      <c r="G65" s="36">
        <f>IF(OR(2668344.6178="",220.2171="",1246.60521=""),"-",(1246.60521-220.2171)/2668344.6178*100)</f>
        <v>3.8465350508070338E-2</v>
      </c>
      <c r="H65" s="36">
        <f>IF(OR(2338137.02243="",1854.33626="",1246.60521=""),"-",(1854.33626-1246.60521)/2338137.02243*100)</f>
        <v>2.5992105859065178E-2</v>
      </c>
    </row>
    <row r="66" spans="1:8" x14ac:dyDescent="0.25">
      <c r="A66" s="67" t="s">
        <v>98</v>
      </c>
      <c r="B66" s="38">
        <v>2568.9814799999999</v>
      </c>
      <c r="C66" s="38">
        <v>1508.9247700000001</v>
      </c>
      <c r="D66" s="36">
        <f>IF(OR(2568.98148="",1508.92477=""),"-",1508.92477/2568.98148*100)</f>
        <v>58.736303930069603</v>
      </c>
      <c r="E66" s="36">
        <f>IF(2568.98148="","-",2568.98148/2338137.02243*100)</f>
        <v>0.10987300809813473</v>
      </c>
      <c r="F66" s="36">
        <f>IF(1508.92477="","-",1508.92477/2280846.87799*100)</f>
        <v>6.6156338005896417E-2</v>
      </c>
      <c r="G66" s="36">
        <f>IF(OR(2668344.6178="",2485.40531="",2568.98148=""),"-",(2568.98148-2485.40531)/2668344.6178*100)</f>
        <v>3.1321355361102793E-3</v>
      </c>
      <c r="H66" s="36">
        <f>IF(OR(2338137.02243="",1508.92477="",2568.98148=""),"-",(1508.92477-2568.98148)/2338137.02243*100)</f>
        <v>-4.533766412450433E-2</v>
      </c>
    </row>
    <row r="67" spans="1:8" x14ac:dyDescent="0.25">
      <c r="A67" s="67" t="s">
        <v>105</v>
      </c>
      <c r="B67" s="38">
        <v>1090.66912</v>
      </c>
      <c r="C67" s="38">
        <v>1445.4151300000001</v>
      </c>
      <c r="D67" s="36">
        <f>IF(OR(1090.66912="",1445.41513=""),"-",1445.41513/1090.66912*100)</f>
        <v>132.52553900123257</v>
      </c>
      <c r="E67" s="36">
        <f>IF(1090.66912="","-",1090.66912/2338137.02243*100)</f>
        <v>4.6646929137903123E-2</v>
      </c>
      <c r="F67" s="36">
        <f>IF(1445.41513="","-",1445.41513/2280846.87799*100)</f>
        <v>6.3371861739082394E-2</v>
      </c>
      <c r="G67" s="36">
        <f>IF(OR(2668344.6178="",759.37446="",1090.66912=""),"-",(1090.66912-759.37446)/2668344.6178*100)</f>
        <v>1.2415737374775311E-2</v>
      </c>
      <c r="H67" s="36">
        <f>IF(OR(2338137.02243="",1445.41513="",1090.66912=""),"-",(1445.41513-1090.66912)/2338137.02243*100)</f>
        <v>1.5172165129625999E-2</v>
      </c>
    </row>
    <row r="68" spans="1:8" x14ac:dyDescent="0.25">
      <c r="A68" s="47" t="s">
        <v>85</v>
      </c>
      <c r="B68" s="36">
        <v>1250.2723599999999</v>
      </c>
      <c r="C68" s="36">
        <v>1338.88896</v>
      </c>
      <c r="D68" s="36">
        <f>IF(OR(1250.27236="",1338.88896=""),"-",1338.88896/1250.27236*100)</f>
        <v>107.08778365699455</v>
      </c>
      <c r="E68" s="36">
        <f>IF(1250.27236="","-",1250.27236/2338137.02243*100)</f>
        <v>5.3473014969011773E-2</v>
      </c>
      <c r="F68" s="36">
        <f>IF(1338.88896="","-",1338.88896/2280846.87799*100)</f>
        <v>5.8701396087575075E-2</v>
      </c>
      <c r="G68" s="36">
        <f>IF(OR(2668344.6178="",398.00468="",1250.27236=""),"-",(1250.27236-398.00468)/2668344.6178*100)</f>
        <v>3.193994037781666E-2</v>
      </c>
      <c r="H68" s="36">
        <f>IF(OR(2338137.02243="",1338.88896="",1250.27236=""),"-",(1338.88896-1250.27236)/2338137.02243*100)</f>
        <v>3.7900516158758659E-3</v>
      </c>
    </row>
    <row r="69" spans="1:8" x14ac:dyDescent="0.25">
      <c r="A69" s="67" t="s">
        <v>29</v>
      </c>
      <c r="B69" s="38">
        <v>728.33700999999996</v>
      </c>
      <c r="C69" s="38">
        <v>1195.75945</v>
      </c>
      <c r="D69" s="36" t="s">
        <v>276</v>
      </c>
      <c r="E69" s="36">
        <f>IF(728.33701="","-",728.33701/2338137.02243*100)</f>
        <v>3.1150313391088064E-2</v>
      </c>
      <c r="F69" s="36">
        <f>IF(1195.75945="","-",1195.75945/2280846.87799*100)</f>
        <v>5.2426116875226851E-2</v>
      </c>
      <c r="G69" s="36">
        <f>IF(OR(2668344.6178="",517.81358="",728.33701=""),"-",(728.33701-517.81358)/2668344.6178*100)</f>
        <v>7.8896641983812639E-3</v>
      </c>
      <c r="H69" s="36">
        <f>IF(OR(2338137.02243="",1195.75945="",728.33701=""),"-",(1195.75945-728.33701)/2338137.02243*100)</f>
        <v>1.9991233854815448E-2</v>
      </c>
    </row>
    <row r="70" spans="1:8" x14ac:dyDescent="0.25">
      <c r="A70" s="67" t="s">
        <v>99</v>
      </c>
      <c r="B70" s="38">
        <v>783.40764000000001</v>
      </c>
      <c r="C70" s="38">
        <v>1141.6200100000001</v>
      </c>
      <c r="D70" s="36">
        <f>IF(OR(783.40764="",1141.62001=""),"-",1141.62001/783.40764*100)</f>
        <v>145.72490127872638</v>
      </c>
      <c r="E70" s="36">
        <f>IF(783.40764="","-",783.40764/2338137.02243*100)</f>
        <v>3.3505634292801761E-2</v>
      </c>
      <c r="F70" s="36">
        <f>IF(1141.62001="","-",1141.62001/2280846.87799*100)</f>
        <v>5.0052461698176537E-2</v>
      </c>
      <c r="G70" s="36">
        <f>IF(OR(2668344.6178="",688.96204="",783.40764=""),"-",(783.40764-688.96204)/2668344.6178*100)</f>
        <v>3.5394828452806311E-3</v>
      </c>
      <c r="H70" s="36">
        <f>IF(OR(2338137.02243="",1141.62001="",783.40764=""),"-",(1141.62001-783.40764)/2338137.02243*100)</f>
        <v>1.5320418203194694E-2</v>
      </c>
    </row>
    <row r="71" spans="1:8" x14ac:dyDescent="0.25">
      <c r="A71" s="67" t="s">
        <v>331</v>
      </c>
      <c r="B71" s="38">
        <v>2748.2614699999999</v>
      </c>
      <c r="C71" s="38">
        <v>1061.8451500000001</v>
      </c>
      <c r="D71" s="36">
        <f>IF(OR(2748.26147="",1061.84515=""),"-",1061.84515/2748.26147*100)</f>
        <v>38.636976924906648</v>
      </c>
      <c r="E71" s="36">
        <f>IF(2748.26147="","-",2748.26147/2338137.02243*100)</f>
        <v>0.11754065068195885</v>
      </c>
      <c r="F71" s="36">
        <f>IF(1061.84515="","-",1061.84515/2280846.87799*100)</f>
        <v>4.6554863469649176E-2</v>
      </c>
      <c r="G71" s="36">
        <f>IF(OR(2668344.6178="",1726.17099="",2748.26147=""),"-",(2748.26147-1726.17099)/2668344.6178*100)</f>
        <v>3.8304290726986163E-2</v>
      </c>
      <c r="H71" s="36">
        <f>IF(OR(2338137.02243="",1061.84515="",2748.26147=""),"-",(1061.84515-2748.26147)/2338137.02243*100)</f>
        <v>-7.2126496600585274E-2</v>
      </c>
    </row>
    <row r="72" spans="1:8" x14ac:dyDescent="0.25">
      <c r="A72" s="67" t="s">
        <v>67</v>
      </c>
      <c r="B72" s="38">
        <v>694.74775</v>
      </c>
      <c r="C72" s="38">
        <v>1053.13688</v>
      </c>
      <c r="D72" s="36">
        <f>IF(OR(694.74775="",1053.13688=""),"-",1053.13688/694.74775*100)</f>
        <v>151.58550423517025</v>
      </c>
      <c r="E72" s="36">
        <f>IF(694.74775="","-",694.74775/2338137.02243*100)</f>
        <v>2.9713731202885462E-2</v>
      </c>
      <c r="F72" s="36">
        <f>IF(1053.13688="","-",1053.13688/2280846.87799*100)</f>
        <v>4.617306361784701E-2</v>
      </c>
      <c r="G72" s="36">
        <f>IF(OR(2668344.6178="",893.50271="",694.74775=""),"-",(694.74775-893.50271)/2668344.6178*100)</f>
        <v>-7.4486240897875368E-3</v>
      </c>
      <c r="H72" s="36">
        <f>IF(OR(2338137.02243="",1053.13688="",694.74775=""),"-",(1053.13688-694.74775)/2338137.02243*100)</f>
        <v>1.5327978068091587E-2</v>
      </c>
    </row>
    <row r="73" spans="1:8" x14ac:dyDescent="0.25">
      <c r="A73" s="67" t="s">
        <v>250</v>
      </c>
      <c r="B73" s="38">
        <v>676.71302000000003</v>
      </c>
      <c r="C73" s="38">
        <v>936.82739000000004</v>
      </c>
      <c r="D73" s="36">
        <f>IF(OR(676.71302="",936.82739=""),"-",936.82739/676.71302*100)</f>
        <v>138.43791419884312</v>
      </c>
      <c r="E73" s="36">
        <f>IF(676.71302="","-",676.71302/2338137.02243*100)</f>
        <v>2.8942402156427072E-2</v>
      </c>
      <c r="F73" s="36">
        <f>IF(936.82739="","-",936.82739/2280846.87799*100)</f>
        <v>4.1073664306022183E-2</v>
      </c>
      <c r="G73" s="36">
        <f>IF(OR(2668344.6178="",225.83482="",676.71302=""),"-",(676.71302-225.83482)/2668344.6178*100)</f>
        <v>1.6897300183502557E-2</v>
      </c>
      <c r="H73" s="36">
        <f>IF(OR(2338137.02243="",936.82739="",676.71302=""),"-",(936.82739-676.71302)/2338137.02243*100)</f>
        <v>1.1124855707971556E-2</v>
      </c>
    </row>
    <row r="74" spans="1:8" x14ac:dyDescent="0.25">
      <c r="A74" s="67" t="s">
        <v>57</v>
      </c>
      <c r="B74" s="38">
        <v>3924.0866900000001</v>
      </c>
      <c r="C74" s="38">
        <v>797.99405000000002</v>
      </c>
      <c r="D74" s="36">
        <f>IF(OR(3924.08669="",797.99405=""),"-",797.99405/3924.08669*100)</f>
        <v>20.335790542894454</v>
      </c>
      <c r="E74" s="36">
        <f>IF(3924.08669="","-",3924.08669/2338137.02243*100)</f>
        <v>0.16782962898905474</v>
      </c>
      <c r="F74" s="36">
        <f>IF(797.99405="","-",797.99405/2280846.87799*100)</f>
        <v>3.4986743638978232E-2</v>
      </c>
      <c r="G74" s="36">
        <f>IF(OR(2668344.6178="",510.20247="",3924.08669=""),"-",(3924.08669-510.20247)/2668344.6178*100)</f>
        <v>0.12794015425243996</v>
      </c>
      <c r="H74" s="36">
        <f>IF(OR(2338137.02243="",797.99405="",3924.08669=""),"-",(797.99405-3924.08669)/2338137.02243*100)</f>
        <v>-0.13370014716892367</v>
      </c>
    </row>
    <row r="75" spans="1:8" x14ac:dyDescent="0.25">
      <c r="A75" s="47" t="s">
        <v>292</v>
      </c>
      <c r="B75" s="38">
        <v>166.82874000000001</v>
      </c>
      <c r="C75" s="38">
        <v>774.82487000000003</v>
      </c>
      <c r="D75" s="36" t="s">
        <v>382</v>
      </c>
      <c r="E75" s="36">
        <f>IF(166.82874="","-",166.82874/2338137.02243*100)</f>
        <v>7.1351139133247529E-3</v>
      </c>
      <c r="F75" s="36">
        <f>IF(774.82487="","-",774.82487/2280846.87799*100)</f>
        <v>3.3970928845640694E-2</v>
      </c>
      <c r="G75" s="36">
        <f>IF(OR(2668344.6178="",147.2="",166.82874=""),"-",(166.82874-147.2)/2668344.6178*100)</f>
        <v>7.3561487781827629E-4</v>
      </c>
      <c r="H75" s="36">
        <f>IF(OR(2338137.02243="",774.82487="",166.82874=""),"-",(774.82487-166.82874)/2338137.02243*100)</f>
        <v>2.6003443090264932E-2</v>
      </c>
    </row>
    <row r="76" spans="1:8" x14ac:dyDescent="0.25">
      <c r="A76" s="67" t="s">
        <v>287</v>
      </c>
      <c r="B76" s="38">
        <v>382.39472999999998</v>
      </c>
      <c r="C76" s="38">
        <v>767.10987999999998</v>
      </c>
      <c r="D76" s="36" t="s">
        <v>275</v>
      </c>
      <c r="E76" s="36">
        <f>IF(382.39473="","-",382.39473/2338137.02243*100)</f>
        <v>1.6354675809486192E-2</v>
      </c>
      <c r="F76" s="36">
        <f>IF(767.10988="","-",767.10988/2280846.87799*100)</f>
        <v>3.3632677730476006E-2</v>
      </c>
      <c r="G76" s="36">
        <f>IF(OR(2668344.6178="",173.98936="",382.39473=""),"-",(382.39473-173.98936)/2668344.6178*100)</f>
        <v>7.810286895094767E-3</v>
      </c>
      <c r="H76" s="36">
        <f>IF(OR(2338137.02243="",767.10988="",382.39473=""),"-",(767.10988-382.39473)/2338137.02243*100)</f>
        <v>1.6453918068504377E-2</v>
      </c>
    </row>
    <row r="77" spans="1:8" x14ac:dyDescent="0.25">
      <c r="A77" s="47" t="s">
        <v>340</v>
      </c>
      <c r="B77" s="38" t="s">
        <v>251</v>
      </c>
      <c r="C77" s="38">
        <v>622.69899999999996</v>
      </c>
      <c r="D77" s="36" t="str">
        <f>IF(OR(""="",622.699=""),"-",622.699/""*100)</f>
        <v>-</v>
      </c>
      <c r="E77" s="36" t="str">
        <f>IF(""="","-",""/2338137.02243*100)</f>
        <v>-</v>
      </c>
      <c r="F77" s="36">
        <f>IF(622.699="","-",622.699/2280846.87799*100)</f>
        <v>2.7301218946742908E-2</v>
      </c>
      <c r="G77" s="36" t="str">
        <f>IF(OR(2668344.6178="",39.77617="",""=""),"-",(""-39.77617)/2668344.6178*100)</f>
        <v>-</v>
      </c>
      <c r="H77" s="36" t="str">
        <f>IF(OR(2338137.02243="",622.699="",""=""),"-",(622.699-"")/2338137.02243*100)</f>
        <v>-</v>
      </c>
    </row>
    <row r="78" spans="1:8" x14ac:dyDescent="0.25">
      <c r="A78" s="67" t="s">
        <v>358</v>
      </c>
      <c r="B78" s="38">
        <v>211.62666999999999</v>
      </c>
      <c r="C78" s="38">
        <v>500.05703999999997</v>
      </c>
      <c r="D78" s="36" t="s">
        <v>309</v>
      </c>
      <c r="E78" s="36">
        <f>IF(211.62667="","-",211.62667/2338137.02243*100)</f>
        <v>9.0510807523187294E-3</v>
      </c>
      <c r="F78" s="36">
        <f>IF(500.05704="","-",500.05704/2280846.87799*100)</f>
        <v>2.1924182847411312E-2</v>
      </c>
      <c r="G78" s="36">
        <f>IF(OR(2668344.6178="",430.84858="",211.62667=""),"-",(211.62667-430.84858)/2668344.6178*100)</f>
        <v>-8.215652076482699E-3</v>
      </c>
      <c r="H78" s="36">
        <f>IF(OR(2338137.02243="",500.05704="",211.62667=""),"-",(500.05704-211.62667)/2338137.02243*100)</f>
        <v>1.2335905348277557E-2</v>
      </c>
    </row>
    <row r="79" spans="1:8" x14ac:dyDescent="0.25">
      <c r="A79" s="67" t="s">
        <v>79</v>
      </c>
      <c r="B79" s="38">
        <v>11.450390000000001</v>
      </c>
      <c r="C79" s="38">
        <v>482.08433000000002</v>
      </c>
      <c r="D79" s="36" t="s">
        <v>383</v>
      </c>
      <c r="E79" s="36">
        <f>IF(11.45039="","-",11.45039/2338137.02243*100)</f>
        <v>4.8972279597624851E-4</v>
      </c>
      <c r="F79" s="36">
        <f>IF(482.08433="","-",482.08433/2280846.87799*100)</f>
        <v>2.1136198780026726E-2</v>
      </c>
      <c r="G79" s="36">
        <f>IF(OR(2668344.6178="",243.54894="",11.45039=""),"-",(11.45039-243.54894)/2668344.6178*100)</f>
        <v>-8.6982224279321483E-3</v>
      </c>
      <c r="H79" s="36">
        <f>IF(OR(2338137.02243="",482.08433="",11.45039=""),"-",(482.08433-11.45039)/2338137.02243*100)</f>
        <v>2.0128586797315898E-2</v>
      </c>
    </row>
    <row r="80" spans="1:8" x14ac:dyDescent="0.25">
      <c r="A80" s="67" t="s">
        <v>285</v>
      </c>
      <c r="B80" s="38">
        <v>2721.5421999999999</v>
      </c>
      <c r="C80" s="38">
        <v>480.23516000000001</v>
      </c>
      <c r="D80" s="36">
        <f>IF(OR(2721.5422="",480.23516=""),"-",480.23516/2721.5422*100)</f>
        <v>17.645699559609991</v>
      </c>
      <c r="E80" s="36">
        <f>IF(2721.5422="","-",2721.5422/2338137.02243*100)</f>
        <v>0.11639789173568328</v>
      </c>
      <c r="F80" s="36">
        <f>IF(480.23516="","-",480.23516/2280846.87799*100)</f>
        <v>2.1055124946537752E-2</v>
      </c>
      <c r="G80" s="36">
        <f>IF(OR(2668344.6178="",1824.37844="",2721.5422=""),"-",(2721.5422-1824.37844)/2668344.6178*100)</f>
        <v>3.3622484667654905E-2</v>
      </c>
      <c r="H80" s="36">
        <f>IF(OR(2338137.02243="",480.23516="",2721.5422=""),"-",(480.23516-2721.5422)/2338137.02243*100)</f>
        <v>-9.5858669466284491E-2</v>
      </c>
    </row>
    <row r="81" spans="1:8" x14ac:dyDescent="0.25">
      <c r="A81" s="67" t="s">
        <v>72</v>
      </c>
      <c r="B81" s="38">
        <v>1245.4662900000001</v>
      </c>
      <c r="C81" s="38">
        <v>438.70465000000002</v>
      </c>
      <c r="D81" s="36">
        <f>IF(OR(1245.46629="",438.70465=""),"-",438.70465/1245.46629*100)</f>
        <v>35.224128787941744</v>
      </c>
      <c r="E81" s="36">
        <f>IF(1245.46629="","-",1245.46629/2338137.02243*100)</f>
        <v>5.3267463713721992E-2</v>
      </c>
      <c r="F81" s="36">
        <f>IF(438.70465="","-",438.70465/2280846.87799*100)</f>
        <v>1.9234287677680897E-2</v>
      </c>
      <c r="G81" s="36">
        <f>IF(OR(2668344.6178="",356.49301="",1245.46629=""),"-",(1245.46629-356.49301)/2668344.6178*100)</f>
        <v>3.3315534810227844E-2</v>
      </c>
      <c r="H81" s="36">
        <f>IF(OR(2338137.02243="",438.70465="",1245.46629=""),"-",(438.70465-1245.46629)/2338137.02243*100)</f>
        <v>-3.450446369313042E-2</v>
      </c>
    </row>
    <row r="82" spans="1:8" x14ac:dyDescent="0.25">
      <c r="A82" s="47" t="s">
        <v>74</v>
      </c>
      <c r="B82" s="38">
        <v>555.24121000000002</v>
      </c>
      <c r="C82" s="38">
        <v>431.50387000000001</v>
      </c>
      <c r="D82" s="36">
        <f>IF(OR(555.24121="",431.50387=""),"-",431.50387/555.24121*100)</f>
        <v>77.714669269595461</v>
      </c>
      <c r="E82" s="36">
        <f>IF(555.24121="","-",555.24121/2338137.02243*100)</f>
        <v>2.3747163005140907E-2</v>
      </c>
      <c r="F82" s="36">
        <f>IF(431.50387="","-",431.50387/2280846.87799*100)</f>
        <v>1.8918581258741206E-2</v>
      </c>
      <c r="G82" s="36">
        <f>IF(OR(2668344.6178="",1252.90306="",555.24121=""),"-",(555.24121-1252.90306)/2668344.6178*100)</f>
        <v>-2.6145867566956516E-2</v>
      </c>
      <c r="H82" s="36">
        <f>IF(OR(2338137.02243="",431.50387="",555.24121=""),"-",(431.50387-555.24121)/2338137.02243*100)</f>
        <v>-5.2921338147839244E-3</v>
      </c>
    </row>
    <row r="83" spans="1:8" x14ac:dyDescent="0.25">
      <c r="A83" s="67" t="s">
        <v>80</v>
      </c>
      <c r="B83" s="38">
        <v>798.51694999999995</v>
      </c>
      <c r="C83" s="38">
        <v>409.03807999999998</v>
      </c>
      <c r="D83" s="36">
        <f>IF(OR(798.51695="",409.03808=""),"-",409.03808/798.51695*100)</f>
        <v>51.224721028151002</v>
      </c>
      <c r="E83" s="36">
        <f>IF(798.51695="","-",798.51695/2338137.02243*100)</f>
        <v>3.415184577891462E-2</v>
      </c>
      <c r="F83" s="36">
        <f>IF(409.03808="","-",409.03808/2280846.87799*100)</f>
        <v>1.7933605449238464E-2</v>
      </c>
      <c r="G83" s="36">
        <f>IF(OR(2668344.6178="",720.72833="",798.51695=""),"-",(798.51695-720.72833)/2668344.6178*100)</f>
        <v>2.9152388893506258E-3</v>
      </c>
      <c r="H83" s="36">
        <f>IF(OR(2338137.02243="",409.03808="",798.51695=""),"-",(409.03808-798.51695)/2338137.02243*100)</f>
        <v>-1.6657658052701245E-2</v>
      </c>
    </row>
    <row r="84" spans="1:8" x14ac:dyDescent="0.25">
      <c r="A84" s="67" t="s">
        <v>334</v>
      </c>
      <c r="B84" s="38">
        <v>240.65691000000001</v>
      </c>
      <c r="C84" s="38">
        <v>366.38600000000002</v>
      </c>
      <c r="D84" s="36">
        <f>IF(OR(240.65691="",366.386=""),"-",366.386/240.65691*100)</f>
        <v>152.24412214051947</v>
      </c>
      <c r="E84" s="36">
        <f>IF(240.65691="","-",240.65691/2338137.02243*100)</f>
        <v>1.0292677789682656E-2</v>
      </c>
      <c r="F84" s="36">
        <f>IF(366.386="","-",366.386/2280846.87799*100)</f>
        <v>1.6063594778570944E-2</v>
      </c>
      <c r="G84" s="36">
        <f>IF(OR(2668344.6178="",332.16578="",240.65691=""),"-",(240.65691-332.16578)/2668344.6178*100)</f>
        <v>-3.4294247223376761E-3</v>
      </c>
      <c r="H84" s="36">
        <f>IF(OR(2338137.02243="",366.386="",240.65691=""),"-",(366.386-240.65691)/2338137.02243*100)</f>
        <v>5.3773191559719265E-3</v>
      </c>
    </row>
    <row r="85" spans="1:8" x14ac:dyDescent="0.25">
      <c r="A85" s="47" t="s">
        <v>288</v>
      </c>
      <c r="B85" s="38">
        <v>160.53408999999999</v>
      </c>
      <c r="C85" s="38">
        <v>349.45542</v>
      </c>
      <c r="D85" s="36" t="s">
        <v>308</v>
      </c>
      <c r="E85" s="36">
        <f>IF(160.53409="","-",160.53409/2338137.02243*100)</f>
        <v>6.8658974414236287E-3</v>
      </c>
      <c r="F85" s="36">
        <f>IF(349.45542="","-",349.45542/2280846.87799*100)</f>
        <v>1.5321301196157374E-2</v>
      </c>
      <c r="G85" s="36">
        <f>IF(OR(2668344.6178="",196.02687="",160.53409=""),"-",(160.53409-196.02687)/2668344.6178*100)</f>
        <v>-1.3301422823436928E-3</v>
      </c>
      <c r="H85" s="36">
        <f>IF(OR(2338137.02243="",349.45542="",160.53409=""),"-",(349.45542-160.53409)/2338137.02243*100)</f>
        <v>8.0799939519222951E-3</v>
      </c>
    </row>
    <row r="86" spans="1:8" x14ac:dyDescent="0.25">
      <c r="A86" s="67" t="s">
        <v>313</v>
      </c>
      <c r="B86" s="38">
        <v>113.05096</v>
      </c>
      <c r="C86" s="38">
        <v>337.81326999999999</v>
      </c>
      <c r="D86" s="36" t="s">
        <v>295</v>
      </c>
      <c r="E86" s="36">
        <f>IF(113.05096="","-",113.05096/2338137.02243*100)</f>
        <v>4.8350870336293372E-3</v>
      </c>
      <c r="F86" s="36">
        <f>IF(337.81327="","-",337.81327/2280846.87799*100)</f>
        <v>1.4810870175454238E-2</v>
      </c>
      <c r="G86" s="36">
        <f>IF(OR(2668344.6178="",372.06125="",113.05096=""),"-",(113.05096-372.06125)/2668344.6178*100)</f>
        <v>-9.7067780627807E-3</v>
      </c>
      <c r="H86" s="36">
        <f>IF(OR(2338137.02243="",337.81327="",113.05096=""),"-",(337.81327-113.05096)/2338137.02243*100)</f>
        <v>9.6128801624468952E-3</v>
      </c>
    </row>
    <row r="87" spans="1:8" x14ac:dyDescent="0.25">
      <c r="A87" s="67" t="s">
        <v>73</v>
      </c>
      <c r="B87" s="38">
        <v>3679.8881799999999</v>
      </c>
      <c r="C87" s="38">
        <v>334.16976</v>
      </c>
      <c r="D87" s="36">
        <f>IF(OR(3679.88818="",334.16976=""),"-",334.16976/3679.88818*100)</f>
        <v>9.0809759333502349</v>
      </c>
      <c r="E87" s="36">
        <f>IF(3679.88818="","-",3679.88818/2338137.02243*100)</f>
        <v>0.15738548017923829</v>
      </c>
      <c r="F87" s="36">
        <f>IF(334.16976="","-",334.16976/2280846.87799*100)</f>
        <v>1.4651126440126821E-2</v>
      </c>
      <c r="G87" s="36">
        <f>IF(OR(2668344.6178="",2017.81247="",3679.88818=""),"-",(3679.88818-2017.81247)/2668344.6178*100)</f>
        <v>6.2288645136487276E-2</v>
      </c>
      <c r="H87" s="36">
        <f>IF(OR(2338137.02243="",334.16976="",3679.88818=""),"-",(334.16976-3679.88818)/2338137.02243*100)</f>
        <v>-0.14309334260157397</v>
      </c>
    </row>
    <row r="88" spans="1:8" x14ac:dyDescent="0.25">
      <c r="A88" s="67" t="s">
        <v>335</v>
      </c>
      <c r="B88" s="38">
        <v>213.94800000000001</v>
      </c>
      <c r="C88" s="38">
        <v>311.49599999999998</v>
      </c>
      <c r="D88" s="36">
        <f>IF(OR(213.948="",311.496=""),"-",311.496/213.948*100)</f>
        <v>145.59425654832015</v>
      </c>
      <c r="E88" s="36">
        <f>IF(213.948="","-",213.948/2338137.02243*100)</f>
        <v>9.1503619312116365E-3</v>
      </c>
      <c r="F88" s="36">
        <f>IF(311.496="","-",311.496/2280846.87799*100)</f>
        <v>1.3657032526203879E-2</v>
      </c>
      <c r="G88" s="36" t="str">
        <f>IF(OR(2668344.6178="",""="",213.948=""),"-",(213.948-"")/2668344.6178*100)</f>
        <v>-</v>
      </c>
      <c r="H88" s="36">
        <f>IF(OR(2338137.02243="",311.496="",213.948=""),"-",(311.496-213.948)/2338137.02243*100)</f>
        <v>4.1720394940164551E-3</v>
      </c>
    </row>
    <row r="89" spans="1:8" x14ac:dyDescent="0.25">
      <c r="A89" s="47" t="s">
        <v>379</v>
      </c>
      <c r="B89" s="38">
        <v>19.205919999999999</v>
      </c>
      <c r="C89" s="38">
        <v>302.06398000000002</v>
      </c>
      <c r="D89" s="36" t="s">
        <v>384</v>
      </c>
      <c r="E89" s="36">
        <f>IF(19.20592="","-",19.20592/2338137.02243*100)</f>
        <v>8.214197806097564E-4</v>
      </c>
      <c r="F89" s="36">
        <f>IF(302.06398="","-",302.06398/2280846.87799*100)</f>
        <v>1.3243501039674982E-2</v>
      </c>
      <c r="G89" s="36" t="str">
        <f>IF(OR(2668344.6178="",""="",19.20592=""),"-",(19.20592-"")/2668344.6178*100)</f>
        <v>-</v>
      </c>
      <c r="H89" s="36">
        <f>IF(OR(2338137.02243="",302.06398="",19.20592=""),"-",(302.06398-19.20592)/2338137.02243*100)</f>
        <v>1.2097582703088494E-2</v>
      </c>
    </row>
    <row r="90" spans="1:8" x14ac:dyDescent="0.25">
      <c r="A90" s="67" t="s">
        <v>63</v>
      </c>
      <c r="B90" s="38">
        <v>19.087510000000002</v>
      </c>
      <c r="C90" s="38">
        <v>259.60063000000002</v>
      </c>
      <c r="D90" s="36" t="s">
        <v>385</v>
      </c>
      <c r="E90" s="36">
        <f>IF(19.08751="","-",19.08751/2338137.02243*100)</f>
        <v>8.1635549229542431E-4</v>
      </c>
      <c r="F90" s="36">
        <f>IF(259.60063="","-",259.60063/2280846.87799*100)</f>
        <v>1.1381764927103459E-2</v>
      </c>
      <c r="G90" s="36" t="str">
        <f>IF(OR(2668344.6178="",""="",19.08751=""),"-",(19.08751-"")/2668344.6178*100)</f>
        <v>-</v>
      </c>
      <c r="H90" s="36">
        <f>IF(OR(2338137.02243="",259.60063="",19.08751=""),"-",(259.60063-19.08751)/2338137.02243*100)</f>
        <v>1.028652802178537E-2</v>
      </c>
    </row>
    <row r="91" spans="1:8" x14ac:dyDescent="0.25">
      <c r="A91" s="67" t="s">
        <v>312</v>
      </c>
      <c r="B91" s="38">
        <v>1003.5011500000001</v>
      </c>
      <c r="C91" s="38">
        <v>247.16529</v>
      </c>
      <c r="D91" s="36">
        <f>IF(OR(1003.50115="",247.16529=""),"-",247.16529/1003.50115*100)</f>
        <v>24.630294643907483</v>
      </c>
      <c r="E91" s="36">
        <f>IF(1003.50115="","-",1003.50115/2338137.02243*100)</f>
        <v>4.2918834113369136E-2</v>
      </c>
      <c r="F91" s="36">
        <f>IF(247.16529="","-",247.16529/2280846.87799*100)</f>
        <v>1.0836557788474376E-2</v>
      </c>
      <c r="G91" s="36">
        <f>IF(OR(2668344.6178="",225.3753="",1003.50115=""),"-",(1003.50115-225.3753)/2668344.6178*100)</f>
        <v>2.9161370117235838E-2</v>
      </c>
      <c r="H91" s="36">
        <f>IF(OR(2338137.02243="",247.16529="",1003.50115=""),"-",(247.16529-1003.50115)/2338137.02243*100)</f>
        <v>-3.2347798813516439E-2</v>
      </c>
    </row>
    <row r="92" spans="1:8" x14ac:dyDescent="0.25">
      <c r="A92" s="67" t="s">
        <v>84</v>
      </c>
      <c r="B92" s="38">
        <v>142.98339999999999</v>
      </c>
      <c r="C92" s="38">
        <v>245.1018</v>
      </c>
      <c r="D92" s="36" t="s">
        <v>271</v>
      </c>
      <c r="E92" s="36">
        <f>IF(142.9834="","-",142.9834/2338137.02243*100)</f>
        <v>6.1152703467908373E-3</v>
      </c>
      <c r="F92" s="36">
        <f>IF(245.1018="","-",245.1018/2280846.87799*100)</f>
        <v>1.0746087445203526E-2</v>
      </c>
      <c r="G92" s="36">
        <f>IF(OR(2668344.6178="",204.33663="",142.9834=""),"-",(142.9834-204.33663)/2668344.6178*100)</f>
        <v>-2.2992993330293522E-3</v>
      </c>
      <c r="H92" s="36">
        <f>IF(OR(2338137.02243="",245.1018="",142.9834=""),"-",(245.1018-142.9834)/2338137.02243*100)</f>
        <v>4.3675113571346423E-3</v>
      </c>
    </row>
    <row r="93" spans="1:8" x14ac:dyDescent="0.25">
      <c r="A93" s="47" t="s">
        <v>31</v>
      </c>
      <c r="B93" s="36">
        <v>529.81300999999996</v>
      </c>
      <c r="C93" s="36">
        <v>225.4579</v>
      </c>
      <c r="D93" s="36">
        <f>IF(OR(529.81301="",225.4579=""),"-",225.4579/529.81301*100)</f>
        <v>42.554240032724003</v>
      </c>
      <c r="E93" s="36">
        <f>IF(529.81301="","-",529.81301/2338137.02243*100)</f>
        <v>2.2659621951897892E-2</v>
      </c>
      <c r="F93" s="36">
        <f>IF(225.4579="","-",225.4579/2280846.87799*100)</f>
        <v>9.884832786262494E-3</v>
      </c>
      <c r="G93" s="36">
        <f>IF(OR(2668344.6178="",291.93712="",529.81301=""),"-",(529.81301-291.93712)/2668344.6178*100)</f>
        <v>8.9147364404573871E-3</v>
      </c>
      <c r="H93" s="36">
        <f>IF(OR(2338137.02243="",225.4579="",529.81301=""),"-",(225.4579-529.81301)/2338137.02243*100)</f>
        <v>-1.3016992035979441E-2</v>
      </c>
    </row>
    <row r="94" spans="1:8" x14ac:dyDescent="0.25">
      <c r="A94" s="67" t="s">
        <v>333</v>
      </c>
      <c r="B94" s="38">
        <v>16.267230000000001</v>
      </c>
      <c r="C94" s="38">
        <v>211.19839999999999</v>
      </c>
      <c r="D94" s="36" t="s">
        <v>386</v>
      </c>
      <c r="E94" s="36">
        <f>IF(16.26723="","-",16.26723/2338137.02243*100)</f>
        <v>6.9573467439875054E-4</v>
      </c>
      <c r="F94" s="36">
        <f>IF(211.1984="","-",211.1984/2280846.87799*100)</f>
        <v>9.2596483366791781E-3</v>
      </c>
      <c r="G94" s="36">
        <f>IF(OR(2668344.6178="",0.066="",16.26723=""),"-",(16.26723-0.066)/2668344.6178*100)</f>
        <v>6.0716407813011836E-4</v>
      </c>
      <c r="H94" s="36">
        <f>IF(OR(2338137.02243="",211.1984="",16.26723=""),"-",(211.1984-16.26723)/2338137.02243*100)</f>
        <v>8.3370293584167348E-3</v>
      </c>
    </row>
    <row r="95" spans="1:8" x14ac:dyDescent="0.25">
      <c r="A95" s="47" t="s">
        <v>353</v>
      </c>
      <c r="B95" s="38" t="s">
        <v>251</v>
      </c>
      <c r="C95" s="38">
        <v>181.34299999999999</v>
      </c>
      <c r="D95" s="36" t="str">
        <f>IF(OR(""="",181.343=""),"-",181.343/""*100)</f>
        <v>-</v>
      </c>
      <c r="E95" s="36" t="str">
        <f>IF(""="","-",""/2338137.02243*100)</f>
        <v>-</v>
      </c>
      <c r="F95" s="36">
        <f>IF(181.343="","-",181.343/2280846.87799*100)</f>
        <v>7.9506871658043439E-3</v>
      </c>
      <c r="G95" s="36" t="str">
        <f>IF(OR(2668344.6178="",""="",""=""),"-",(""-"")/2668344.6178*100)</f>
        <v>-</v>
      </c>
      <c r="H95" s="36" t="str">
        <f>IF(OR(2338137.02243="",181.343="",""=""),"-",(181.343-"")/2338137.02243*100)</f>
        <v>-</v>
      </c>
    </row>
    <row r="96" spans="1:8" x14ac:dyDescent="0.25">
      <c r="A96" s="67" t="s">
        <v>82</v>
      </c>
      <c r="B96" s="38">
        <v>159.37597</v>
      </c>
      <c r="C96" s="38">
        <v>172.036</v>
      </c>
      <c r="D96" s="36">
        <f>IF(OR(159.37597="",172.036=""),"-",172.036/159.37597*100)</f>
        <v>107.94349988897322</v>
      </c>
      <c r="E96" s="36">
        <f>IF(159.37597="","-",159.37597/2338137.02243*100)</f>
        <v>6.816365699319123E-3</v>
      </c>
      <c r="F96" s="36">
        <f>IF(172.036="","-",172.036/2280846.87799*100)</f>
        <v>7.5426369766482086E-3</v>
      </c>
      <c r="G96" s="36">
        <f>IF(OR(2668344.6178="",187.23601="",159.37597=""),"-",(159.37597-187.23601)/2668344.6178*100)</f>
        <v>-1.0440945226546515E-3</v>
      </c>
      <c r="H96" s="36">
        <f>IF(OR(2338137.02243="",172.036="",159.37597=""),"-",(172.036-159.37597)/2338137.02243*100)</f>
        <v>5.4145800175742383E-4</v>
      </c>
    </row>
    <row r="97" spans="1:8" x14ac:dyDescent="0.25">
      <c r="A97" s="67" t="s">
        <v>76</v>
      </c>
      <c r="B97" s="38">
        <v>0.13500000000000001</v>
      </c>
      <c r="C97" s="38">
        <v>168.40198000000001</v>
      </c>
      <c r="D97" s="36" t="s">
        <v>387</v>
      </c>
      <c r="E97" s="36">
        <f>IF(0.135="","-",0.135/2338137.02243*100)</f>
        <v>5.7738275689119366E-6</v>
      </c>
      <c r="F97" s="36">
        <f>IF(168.40198="","-",168.40198/2280846.87799*100)</f>
        <v>7.3833093148455691E-3</v>
      </c>
      <c r="G97" s="36" t="str">
        <f>IF(OR(2668344.6178="",""="",0.135=""),"-",(0.135-"")/2668344.6178*100)</f>
        <v>-</v>
      </c>
      <c r="H97" s="36">
        <f>IF(OR(2338137.02243="",168.40198="",0.135=""),"-",(168.40198-0.135)/2338137.02243*100)</f>
        <v>7.1966261337892846E-3</v>
      </c>
    </row>
    <row r="98" spans="1:8" x14ac:dyDescent="0.25">
      <c r="A98" s="47" t="s">
        <v>71</v>
      </c>
      <c r="B98" s="38">
        <v>119.85836</v>
      </c>
      <c r="C98" s="38">
        <v>163.33188000000001</v>
      </c>
      <c r="D98" s="36">
        <f>IF(OR(119.85836="",163.33188=""),"-",163.33188/119.85836*100)</f>
        <v>136.27074490256666</v>
      </c>
      <c r="E98" s="36">
        <f>IF(119.85836="","-",119.85836/2338137.02243*100)</f>
        <v>5.1262333580190502E-3</v>
      </c>
      <c r="F98" s="36">
        <f>IF(163.33188="","-",163.33188/2280846.87799*100)</f>
        <v>7.1610190748068328E-3</v>
      </c>
      <c r="G98" s="36">
        <f>IF(OR(2668344.6178="",19.95338="",119.85836=""),"-",(119.85836-19.95338)/2668344.6178*100)</f>
        <v>3.7440808557318126E-3</v>
      </c>
      <c r="H98" s="36">
        <f>IF(OR(2338137.02243="",163.33188="",119.85836=""),"-",(163.33188-119.85836)/2338137.02243*100)</f>
        <v>1.8593230243973667E-3</v>
      </c>
    </row>
    <row r="99" spans="1:8" x14ac:dyDescent="0.25">
      <c r="A99" s="67" t="s">
        <v>75</v>
      </c>
      <c r="B99" s="38">
        <v>582.31146000000001</v>
      </c>
      <c r="C99" s="38">
        <v>160.8886</v>
      </c>
      <c r="D99" s="36">
        <f>IF(OR(582.31146="",160.8886=""),"-",160.8886/582.31146*100)</f>
        <v>27.629303397188849</v>
      </c>
      <c r="E99" s="36">
        <f>IF(582.31146="","-",582.31146/2338137.02243*100)</f>
        <v>2.4904933047713778E-2</v>
      </c>
      <c r="F99" s="36">
        <f>IF(160.8886="","-",160.8886/2280846.87799*100)</f>
        <v>7.0538974603057674E-3</v>
      </c>
      <c r="G99" s="36">
        <f>IF(OR(2668344.6178="",651.79447="",582.31146=""),"-",(582.31146-651.79447)/2668344.6178*100)</f>
        <v>-2.6039743718443485E-3</v>
      </c>
      <c r="H99" s="36">
        <f>IF(OR(2338137.02243="",160.8886="",582.31146=""),"-",(160.8886-582.31146)/2338137.02243*100)</f>
        <v>-1.8023873535094187E-2</v>
      </c>
    </row>
    <row r="100" spans="1:8" x14ac:dyDescent="0.25">
      <c r="A100" s="67" t="s">
        <v>86</v>
      </c>
      <c r="B100" s="38">
        <v>173.01186000000001</v>
      </c>
      <c r="C100" s="38">
        <v>152.69758999999999</v>
      </c>
      <c r="D100" s="36">
        <f>IF(OR(173.01186="",152.69759=""),"-",152.69759/173.01186*100)</f>
        <v>88.25845233962572</v>
      </c>
      <c r="E100" s="36">
        <f>IF(173.01186="","-",173.01186/2338137.02243*100)</f>
        <v>7.3995603482720921E-3</v>
      </c>
      <c r="F100" s="36">
        <f>IF(152.69759="","-",152.69759/2280846.87799*100)</f>
        <v>6.6947760269889314E-3</v>
      </c>
      <c r="G100" s="36">
        <f>IF(OR(2668344.6178="",171.60371="",173.01186=""),"-",(173.01186-171.60371)/2668344.6178*100)</f>
        <v>5.2772418922447854E-5</v>
      </c>
      <c r="H100" s="36">
        <f>IF(OR(2338137.02243="",152.69759="",173.01186=""),"-",(152.69759-173.01186)/2338137.02243*100)</f>
        <v>-8.6882290495052456E-4</v>
      </c>
    </row>
    <row r="101" spans="1:8" x14ac:dyDescent="0.25">
      <c r="A101" s="67" t="s">
        <v>281</v>
      </c>
      <c r="B101" s="38">
        <v>3109.9898800000001</v>
      </c>
      <c r="C101" s="38">
        <v>128.33779000000001</v>
      </c>
      <c r="D101" s="36">
        <f>IF(OR(3109.98988="",128.33779=""),"-",128.33779/3109.98988*100)</f>
        <v>4.1266304699358063</v>
      </c>
      <c r="E101" s="36">
        <f>IF(3109.98988="","-",3109.98988/2338137.02243*100)</f>
        <v>0.13301144672726758</v>
      </c>
      <c r="F101" s="36">
        <f>IF(128.33779="","-",128.33779/2280846.87799*100)</f>
        <v>5.626760447553494E-3</v>
      </c>
      <c r="G101" s="36">
        <f>IF(OR(2668344.6178="",3172.23834="",3109.98988=""),"-",(3109.98988-3172.23834)/2668344.6178*100)</f>
        <v>-2.3328493472976695E-3</v>
      </c>
      <c r="H101" s="36">
        <f>IF(OR(2338137.02243="",128.33779="",3109.98988=""),"-",(128.33779-3109.98988)/2338137.02243*100)</f>
        <v>-0.12752255583811772</v>
      </c>
    </row>
    <row r="102" spans="1:8" x14ac:dyDescent="0.25">
      <c r="A102" s="67" t="s">
        <v>59</v>
      </c>
      <c r="B102" s="38">
        <v>1426.18316</v>
      </c>
      <c r="C102" s="38">
        <v>127.11574</v>
      </c>
      <c r="D102" s="36">
        <f>IF(OR(1426.18316="",127.11574=""),"-",127.11574/1426.18316*100)</f>
        <v>8.9130024505407839</v>
      </c>
      <c r="E102" s="36">
        <f>IF(1426.18316="","-",1426.18316/2338137.02243*100)</f>
        <v>6.0996560352044031E-2</v>
      </c>
      <c r="F102" s="36">
        <f>IF(127.11574="","-",127.11574/2280846.87799*100)</f>
        <v>5.5731816645237034E-3</v>
      </c>
      <c r="G102" s="36">
        <f>IF(OR(2668344.6178="",252.12608="",1426.18316=""),"-",(1426.18316-252.12608)/2668344.6178*100)</f>
        <v>4.399945464945184E-2</v>
      </c>
      <c r="H102" s="36">
        <f>IF(OR(2338137.02243="",127.11574="",1426.18316=""),"-",(127.11574-1426.18316)/2338137.02243*100)</f>
        <v>-5.5559935433120752E-2</v>
      </c>
    </row>
    <row r="103" spans="1:8" x14ac:dyDescent="0.25">
      <c r="A103" s="67" t="s">
        <v>357</v>
      </c>
      <c r="B103" s="38">
        <v>298.416</v>
      </c>
      <c r="C103" s="38">
        <v>116.94089</v>
      </c>
      <c r="D103" s="36">
        <f>IF(OR(298.416="",116.94089=""),"-",116.94089/298.416*100)</f>
        <v>39.187205109645596</v>
      </c>
      <c r="E103" s="36">
        <f>IF(298.416="","-",298.416/2338137.02243*100)</f>
        <v>1.2762981687440181E-2</v>
      </c>
      <c r="F103" s="36">
        <f>IF(116.94089="","-",116.94089/2280846.87799*100)</f>
        <v>5.1270820118821106E-3</v>
      </c>
      <c r="G103" s="36">
        <f>IF(OR(2668344.6178="",17.30472="",298.416=""),"-",(298.416-17.30472)/2668344.6178*100)</f>
        <v>1.0535044016607232E-2</v>
      </c>
      <c r="H103" s="36">
        <f>IF(OR(2338137.02243="",116.94089="",298.416=""),"-",(116.94089-298.416)/2338137.02243*100)</f>
        <v>-7.7615258754764908E-3</v>
      </c>
    </row>
    <row r="104" spans="1:8" s="15" customFormat="1" ht="13.5" customHeight="1" x14ac:dyDescent="0.2">
      <c r="A104" s="47" t="s">
        <v>163</v>
      </c>
      <c r="B104" s="36">
        <v>122.41083</v>
      </c>
      <c r="C104" s="36">
        <v>112.91526</v>
      </c>
      <c r="D104" s="36">
        <f>IF(OR(122.41083="",112.91526=""),"-",112.91526/122.41083*100)</f>
        <v>92.24286772665458</v>
      </c>
      <c r="E104" s="36">
        <f>IF(122.41083="","-",122.41083/2338137.02243*100)</f>
        <v>5.2354001850917955E-3</v>
      </c>
      <c r="F104" s="36">
        <f>IF(112.91526="","-",112.91526/2280846.87799*100)</f>
        <v>4.9505848502862573E-3</v>
      </c>
      <c r="G104" s="36">
        <f>IF(OR(2668344.6178="",248.91124="",122.41083=""),"-",(122.41083-248.91124)/2668344.6178*100)</f>
        <v>-4.7407823245970825E-3</v>
      </c>
      <c r="H104" s="36">
        <f>IF(OR(2338137.02243="",112.91526="",122.41083=""),"-",(112.91526-122.41083)/2338137.02243*100)</f>
        <v>-4.0611691739654159E-4</v>
      </c>
    </row>
    <row r="105" spans="1:8" s="15" customFormat="1" ht="13.5" customHeight="1" x14ac:dyDescent="0.2">
      <c r="A105" s="47" t="s">
        <v>286</v>
      </c>
      <c r="B105" s="38">
        <v>511.14528000000001</v>
      </c>
      <c r="C105" s="38">
        <v>111.45363</v>
      </c>
      <c r="D105" s="36">
        <f>IF(OR(511.14528="",111.45363=""),"-",111.45363/511.14528*100)</f>
        <v>21.804687309251882</v>
      </c>
      <c r="E105" s="36">
        <f>IF(511.14528="","-",511.14528/2338137.02243*100)</f>
        <v>2.1861220069505267E-2</v>
      </c>
      <c r="F105" s="36">
        <f>IF(111.45363="","-",111.45363/2280846.87799*100)</f>
        <v>4.8865020740988408E-3</v>
      </c>
      <c r="G105" s="36">
        <f>IF(OR(2668344.6178="",232.72327="",511.14528=""),"-",(511.14528-232.72327)/2668344.6178*100)</f>
        <v>1.0434259808223486E-2</v>
      </c>
      <c r="H105" s="36">
        <f>IF(OR(2338137.02243="",111.45363="",511.14528=""),"-",(111.45363-511.14528)/2338137.02243*100)</f>
        <v>-1.7094449391362225E-2</v>
      </c>
    </row>
    <row r="106" spans="1:8" s="15" customFormat="1" ht="13.5" customHeight="1" x14ac:dyDescent="0.2">
      <c r="A106" s="67" t="s">
        <v>290</v>
      </c>
      <c r="B106" s="38">
        <v>57.781869999999998</v>
      </c>
      <c r="C106" s="38">
        <v>99.719840000000005</v>
      </c>
      <c r="D106" s="36" t="s">
        <v>271</v>
      </c>
      <c r="E106" s="36">
        <f>IF(57.78187="","-",57.78187/2338137.02243*100)</f>
        <v>2.4712781776984115E-3</v>
      </c>
      <c r="F106" s="36">
        <f>IF(99.71984="","-",99.71984/2280846.87799*100)</f>
        <v>4.3720532475147247E-3</v>
      </c>
      <c r="G106" s="36">
        <f>IF(OR(2668344.6178="",92.8949="",57.78187=""),"-",(57.78187-92.8949)/2668344.6178*100)</f>
        <v>-1.315910612361234E-3</v>
      </c>
      <c r="H106" s="36">
        <f>IF(OR(2338137.02243="",99.71984="",57.78187=""),"-",(99.71984-57.78187)/2338137.02243*100)</f>
        <v>1.7936489434829761E-3</v>
      </c>
    </row>
    <row r="107" spans="1:8" s="15" customFormat="1" ht="13.5" customHeight="1" x14ac:dyDescent="0.2">
      <c r="A107" s="67" t="s">
        <v>332</v>
      </c>
      <c r="B107" s="38">
        <v>33.742339999999999</v>
      </c>
      <c r="C107" s="38">
        <v>96.045990000000003</v>
      </c>
      <c r="D107" s="36" t="s">
        <v>345</v>
      </c>
      <c r="E107" s="36">
        <f>IF(33.74234="","-",33.74234/2338137.02243*100)</f>
        <v>1.4431292809748146E-3</v>
      </c>
      <c r="F107" s="36">
        <f>IF(96.04599="","-",96.04599/2280846.87799*100)</f>
        <v>4.2109793045222166E-3</v>
      </c>
      <c r="G107" s="36" t="str">
        <f>IF(OR(2668344.6178="",""="",33.74234=""),"-",(33.74234-"")/2668344.6178*100)</f>
        <v>-</v>
      </c>
      <c r="H107" s="36">
        <f>IF(OR(2338137.02243="",96.04599="",33.74234=""),"-",(96.04599-33.74234)/2338137.02243*100)</f>
        <v>2.6646706075099274E-3</v>
      </c>
    </row>
    <row r="108" spans="1:8" ht="13.5" customHeight="1" x14ac:dyDescent="0.25">
      <c r="A108" s="67" t="s">
        <v>294</v>
      </c>
      <c r="B108" s="38">
        <v>949.28461000000004</v>
      </c>
      <c r="C108" s="38">
        <v>87.169319999999999</v>
      </c>
      <c r="D108" s="36">
        <f>IF(OR(949.28461="",87.16932=""),"-",87.16932/949.28461*100)</f>
        <v>9.1826328038753307</v>
      </c>
      <c r="E108" s="36">
        <f>IF(949.28461="","-",949.28461/2338137.02243*100)</f>
        <v>4.0600041866383822E-2</v>
      </c>
      <c r="F108" s="36">
        <f>IF(87.16932="","-",87.16932/2280846.87799*100)</f>
        <v>3.8217962302150728E-3</v>
      </c>
      <c r="G108" s="36">
        <f>IF(OR(2668344.6178="",74.85839="",949.28461=""),"-",(949.28461-74.85839)/2668344.6178*100)</f>
        <v>3.2770363099536522E-2</v>
      </c>
      <c r="H108" s="36">
        <f>IF(OR(2338137.02243="",87.16932="",949.28461=""),"-",(87.16932-949.28461)/2338137.02243*100)</f>
        <v>-3.687188910357414E-2</v>
      </c>
    </row>
    <row r="109" spans="1:8" ht="13.5" customHeight="1" x14ac:dyDescent="0.25">
      <c r="A109" s="67" t="s">
        <v>339</v>
      </c>
      <c r="B109" s="38">
        <v>34.968449999999997</v>
      </c>
      <c r="C109" s="38">
        <v>85.044120000000007</v>
      </c>
      <c r="D109" s="36" t="s">
        <v>309</v>
      </c>
      <c r="E109" s="36">
        <f>IF(34.96845="","-",34.96845/2338137.02243*100)</f>
        <v>1.495568893719397E-3</v>
      </c>
      <c r="F109" s="36">
        <f>IF(85.04412="","-",85.04412/2280846.87799*100)</f>
        <v>3.7286203129490774E-3</v>
      </c>
      <c r="G109" s="36">
        <f>IF(OR(2668344.6178="",22.42143="",34.96845=""),"-",(34.96845-22.42143)/2668344.6178*100)</f>
        <v>4.7021737433393358E-4</v>
      </c>
      <c r="H109" s="36">
        <f>IF(OR(2338137.02243="",85.04412="",34.96845=""),"-",(85.04412-34.96845)/2338137.02243*100)</f>
        <v>2.1416909924276773E-3</v>
      </c>
    </row>
    <row r="110" spans="1:8" x14ac:dyDescent="0.25">
      <c r="A110" s="67" t="s">
        <v>81</v>
      </c>
      <c r="B110" s="38">
        <v>81.489410000000007</v>
      </c>
      <c r="C110" s="38">
        <v>84.021450000000002</v>
      </c>
      <c r="D110" s="36">
        <f>IF(OR(81.48941="",84.02145=""),"-",84.02145/81.48941*100)</f>
        <v>103.10720129155433</v>
      </c>
      <c r="E110" s="36">
        <f>IF(81.48941="","-",81.48941/2338137.02243*100)</f>
        <v>3.4852281632027269E-3</v>
      </c>
      <c r="F110" s="36">
        <f>IF(84.02145="","-",84.02145/2280846.87799*100)</f>
        <v>3.6837830198423508E-3</v>
      </c>
      <c r="G110" s="36">
        <f>IF(OR(2668344.6178="",462.51196="",81.48941=""),"-",(81.48941-462.51196)/2668344.6178*100)</f>
        <v>-1.4279360599012353E-2</v>
      </c>
      <c r="H110" s="36">
        <f>IF(OR(2338137.02243="",84.02145="",81.48941=""),"-",(84.02145-81.48941)/2338137.02243*100)</f>
        <v>1.0829305450065001E-4</v>
      </c>
    </row>
    <row r="111" spans="1:8" s="15" customFormat="1" ht="14.25" customHeight="1" x14ac:dyDescent="0.2">
      <c r="A111" s="47" t="s">
        <v>78</v>
      </c>
      <c r="B111" s="38">
        <v>1008.67183</v>
      </c>
      <c r="C111" s="38">
        <v>83.668109999999999</v>
      </c>
      <c r="D111" s="36">
        <f>IF(OR(1008.67183="",83.66811=""),"-",83.66811/1008.67183*100)</f>
        <v>8.2948792175548327</v>
      </c>
      <c r="E111" s="36">
        <f>IF(1008.67183="","-",1008.67183/2338137.02243*100)</f>
        <v>4.3139979407695213E-2</v>
      </c>
      <c r="F111" s="36">
        <f>IF(83.66811="","-",83.66811/2280846.87799*100)</f>
        <v>3.6682914055910956E-3</v>
      </c>
      <c r="G111" s="36">
        <f>IF(OR(2668344.6178="",767.44655="",1008.67183=""),"-",(1008.67183-767.44655)/2668344.6178*100)</f>
        <v>9.0402595823205808E-3</v>
      </c>
      <c r="H111" s="36">
        <f>IF(OR(2338137.02243="",83.66811="",1008.67183=""),"-",(83.66811-1008.67183)/2338137.02243*100)</f>
        <v>-3.9561570221348874E-2</v>
      </c>
    </row>
    <row r="112" spans="1:8" s="15" customFormat="1" ht="14.25" customHeight="1" x14ac:dyDescent="0.2">
      <c r="A112" s="67" t="s">
        <v>54</v>
      </c>
      <c r="B112" s="38">
        <v>31267.084879999999</v>
      </c>
      <c r="C112" s="38">
        <v>73.396519999999995</v>
      </c>
      <c r="D112" s="36">
        <f>IF(OR(31267.08488="",73.39652=""),"-",73.39652/31267.08488*100)</f>
        <v>0.23474052756017591</v>
      </c>
      <c r="E112" s="36">
        <f>IF(31267.08488="","-",31267.08488/2338137.02243*100)</f>
        <v>1.3372648642937299</v>
      </c>
      <c r="F112" s="36">
        <f>IF(73.39652="","-",73.39652/2280846.87799*100)</f>
        <v>3.2179503459119009E-3</v>
      </c>
      <c r="G112" s="36">
        <f>IF(OR(2668344.6178="",18087.64878="",31267.08488=""),"-",(31267.08488-18087.64878)/2668344.6178*100)</f>
        <v>0.49391806485873613</v>
      </c>
      <c r="H112" s="36">
        <f>IF(OR(2338137.02243="",73.39652="",31267.08488=""),"-",(73.39652-31267.08488)/2338137.02243*100)</f>
        <v>-1.3341257616964102</v>
      </c>
    </row>
    <row r="113" spans="1:8" s="15" customFormat="1" ht="14.25" customHeight="1" x14ac:dyDescent="0.2">
      <c r="A113" s="47" t="s">
        <v>359</v>
      </c>
      <c r="B113" s="38">
        <v>112.91685</v>
      </c>
      <c r="C113" s="38">
        <v>70.547619999999995</v>
      </c>
      <c r="D113" s="36">
        <f>IF(OR(112.91685="",70.54762=""),"-",70.54762/112.91685*100)</f>
        <v>62.477495608494216</v>
      </c>
      <c r="E113" s="36">
        <f>IF(112.91685="","-",112.91685/2338137.02243*100)</f>
        <v>4.8293512705532872E-3</v>
      </c>
      <c r="F113" s="36">
        <f>IF(70.54762="","-",70.54762/2280846.87799*100)</f>
        <v>3.0930449860873694E-3</v>
      </c>
      <c r="G113" s="36">
        <f>IF(OR(2668344.6178="",16.07807="",112.91685=""),"-",(112.91685-16.07807)/2668344.6178*100)</f>
        <v>3.6291706608662017E-3</v>
      </c>
      <c r="H113" s="36">
        <f>IF(OR(2338137.02243="",70.54762="",112.91685=""),"-",(70.54762-112.91685)/2338137.02243*100)</f>
        <v>-1.8120935425745977E-3</v>
      </c>
    </row>
    <row r="114" spans="1:8" s="15" customFormat="1" ht="14.25" customHeight="1" x14ac:dyDescent="0.2">
      <c r="A114" s="68" t="s">
        <v>69</v>
      </c>
      <c r="B114" s="49">
        <v>19.119399999999999</v>
      </c>
      <c r="C114" s="49">
        <v>65.355059999999995</v>
      </c>
      <c r="D114" s="82" t="s">
        <v>361</v>
      </c>
      <c r="E114" s="82">
        <f>IF(19.1194="","-",19.1194/2338137.02243*100)</f>
        <v>8.1771939867448054E-4</v>
      </c>
      <c r="F114" s="82">
        <f>IF(65.35506="","-",65.35506/2280846.87799*100)</f>
        <v>2.8653856876878227E-3</v>
      </c>
      <c r="G114" s="82">
        <f>IF(OR(2668344.6178="",5.27144="",19.1194=""),"-",(19.1194-5.27144)/2668344.6178*100)</f>
        <v>5.1897194641288059E-4</v>
      </c>
      <c r="H114" s="82">
        <f>IF(OR(2338137.02243="",65.35506="",19.1194=""),"-",(65.35506-19.1194)/2338137.02243*100)</f>
        <v>1.9774572472210285E-3</v>
      </c>
    </row>
    <row r="115" spans="1:8" s="15" customFormat="1" ht="14.25" customHeight="1" x14ac:dyDescent="0.2">
      <c r="A115" s="57" t="s">
        <v>239</v>
      </c>
      <c r="B115" s="57"/>
      <c r="C115" s="57"/>
      <c r="D115" s="58"/>
      <c r="E115" s="59"/>
      <c r="F115" s="59"/>
      <c r="G115" s="14"/>
      <c r="H115" s="14"/>
    </row>
    <row r="116" spans="1:8" s="15" customFormat="1" ht="14.25" customHeight="1" x14ac:dyDescent="0.2">
      <c r="A116" s="59" t="s">
        <v>296</v>
      </c>
      <c r="B116" s="59"/>
      <c r="C116" s="59"/>
      <c r="D116" s="14"/>
      <c r="E116" s="14"/>
      <c r="F116" s="14"/>
      <c r="G116" s="14"/>
      <c r="H116" s="14"/>
    </row>
    <row r="117" spans="1:8" s="15" customFormat="1" ht="14.25" customHeight="1" x14ac:dyDescent="0.2">
      <c r="A117" s="89" t="s">
        <v>297</v>
      </c>
      <c r="B117" s="89"/>
      <c r="C117" s="89"/>
      <c r="D117" s="89"/>
      <c r="E117" s="89"/>
      <c r="F117" s="89"/>
      <c r="G117" s="89"/>
      <c r="H117" s="89"/>
    </row>
    <row r="118" spans="1:8" s="15" customFormat="1" ht="14.25" customHeight="1" x14ac:dyDescent="0.2">
      <c r="A118" s="89" t="s">
        <v>299</v>
      </c>
      <c r="B118" s="89"/>
      <c r="C118" s="89"/>
      <c r="D118" s="89"/>
      <c r="E118" s="89"/>
      <c r="F118" s="89"/>
      <c r="G118" s="89"/>
      <c r="H118" s="89"/>
    </row>
    <row r="119" spans="1:8" ht="14.25" customHeight="1" x14ac:dyDescent="0.25">
      <c r="A119" s="90" t="s">
        <v>298</v>
      </c>
      <c r="B119" s="90"/>
      <c r="C119" s="90"/>
      <c r="D119" s="90"/>
      <c r="E119" s="90"/>
      <c r="F119" s="90"/>
      <c r="G119" s="90"/>
      <c r="H119" s="90"/>
    </row>
  </sheetData>
  <mergeCells count="10">
    <mergeCell ref="A117:H117"/>
    <mergeCell ref="A118:H118"/>
    <mergeCell ref="A119:H119"/>
    <mergeCell ref="A1:H1"/>
    <mergeCell ref="A3:A4"/>
    <mergeCell ref="E3:F3"/>
    <mergeCell ref="G3:H3"/>
    <mergeCell ref="A2:H2"/>
    <mergeCell ref="D3:D4"/>
    <mergeCell ref="B3:C3"/>
  </mergeCells>
  <phoneticPr fontId="3" type="noConversion"/>
  <pageMargins left="0.59055118110236227" right="0.39370078740157483" top="0.39370078740157483" bottom="0.39370078740157483" header="0.11811023622047245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138"/>
  <sheetViews>
    <sheetView zoomScaleNormal="100" workbookViewId="0">
      <selection sqref="A1:H1"/>
    </sheetView>
  </sheetViews>
  <sheetFormatPr defaultRowHeight="15.75" x14ac:dyDescent="0.25"/>
  <cols>
    <col min="1" max="1" width="34.375" customWidth="1"/>
    <col min="2" max="3" width="12.375" customWidth="1"/>
    <col min="4" max="4" width="12.625" customWidth="1"/>
    <col min="5" max="8" width="11.625" customWidth="1"/>
    <col min="10" max="10" width="10.25" bestFit="1" customWidth="1"/>
  </cols>
  <sheetData>
    <row r="1" spans="1:15" x14ac:dyDescent="0.25">
      <c r="A1" s="102" t="s">
        <v>260</v>
      </c>
      <c r="B1" s="102"/>
      <c r="C1" s="102"/>
      <c r="D1" s="102"/>
      <c r="E1" s="102"/>
      <c r="F1" s="102"/>
      <c r="G1" s="102"/>
      <c r="H1" s="102"/>
    </row>
    <row r="2" spans="1:15" x14ac:dyDescent="0.25">
      <c r="A2" s="103"/>
      <c r="B2" s="103"/>
      <c r="C2" s="103"/>
      <c r="D2" s="103"/>
      <c r="E2" s="103"/>
      <c r="F2" s="103"/>
      <c r="G2" s="103"/>
      <c r="H2" s="103"/>
    </row>
    <row r="3" spans="1:15" ht="48.75" customHeight="1" x14ac:dyDescent="0.25">
      <c r="A3" s="92"/>
      <c r="B3" s="94" t="s">
        <v>278</v>
      </c>
      <c r="C3" s="101"/>
      <c r="D3" s="99" t="s">
        <v>370</v>
      </c>
      <c r="E3" s="94" t="s">
        <v>87</v>
      </c>
      <c r="F3" s="95"/>
      <c r="G3" s="96" t="s">
        <v>374</v>
      </c>
      <c r="H3" s="97"/>
    </row>
    <row r="4" spans="1:15" s="13" customFormat="1" ht="25.5" x14ac:dyDescent="0.2">
      <c r="A4" s="93"/>
      <c r="B4" s="10" t="s">
        <v>368</v>
      </c>
      <c r="C4" s="10" t="s">
        <v>369</v>
      </c>
      <c r="D4" s="100"/>
      <c r="E4" s="10" t="s">
        <v>368</v>
      </c>
      <c r="F4" s="10" t="s">
        <v>369</v>
      </c>
      <c r="G4" s="10" t="s">
        <v>371</v>
      </c>
      <c r="H4" s="9" t="s">
        <v>372</v>
      </c>
      <c r="J4" s="18"/>
      <c r="K4" s="18"/>
      <c r="L4" s="18"/>
      <c r="M4" s="18"/>
      <c r="N4" s="18"/>
      <c r="O4" s="18"/>
    </row>
    <row r="5" spans="1:15" s="13" customFormat="1" ht="12.75" x14ac:dyDescent="0.2">
      <c r="A5" s="75" t="s">
        <v>95</v>
      </c>
      <c r="B5" s="42">
        <v>5840607.3190799998</v>
      </c>
      <c r="C5" s="43">
        <v>6911881.2471899996</v>
      </c>
      <c r="D5" s="43">
        <f>IF(5840607.31908="","-",6911881.24719/5840607.31908*100)</f>
        <v>118.34182422451822</v>
      </c>
      <c r="E5" s="43">
        <v>100</v>
      </c>
      <c r="F5" s="43">
        <v>100</v>
      </c>
      <c r="G5" s="43">
        <f>IF(5710724.73459="","-",(5840607.31908-5710724.73459)/5710724.73459*100)</f>
        <v>2.2743625463734625</v>
      </c>
      <c r="H5" s="43">
        <f>IF(5840607.31908="","-",(6911881.24719-5840607.31908)/5840607.31908*100)</f>
        <v>18.34182422451822</v>
      </c>
      <c r="J5" s="18"/>
      <c r="K5" s="18"/>
      <c r="L5" s="18"/>
      <c r="M5" s="18"/>
      <c r="N5" s="18"/>
      <c r="O5" s="18"/>
    </row>
    <row r="6" spans="1:15" s="1" customFormat="1" ht="15" x14ac:dyDescent="0.25">
      <c r="A6" s="50" t="s">
        <v>97</v>
      </c>
      <c r="B6" s="36"/>
      <c r="C6" s="48"/>
      <c r="D6" s="48"/>
      <c r="E6" s="48"/>
      <c r="F6" s="48"/>
      <c r="G6" s="48"/>
      <c r="H6" s="48"/>
    </row>
    <row r="7" spans="1:15" x14ac:dyDescent="0.25">
      <c r="A7" s="46" t="s">
        <v>101</v>
      </c>
      <c r="B7" s="37">
        <v>2875601.1224600002</v>
      </c>
      <c r="C7" s="16">
        <v>3725991.1099</v>
      </c>
      <c r="D7" s="65">
        <f>IF(2875601.12246="","-",3725991.1099/2875601.12246*100)</f>
        <v>129.57259895324125</v>
      </c>
      <c r="E7" s="65">
        <f>IF(2875601.12246="","-",2875601.12246/5840607.31908*100)</f>
        <v>49.234625191562422</v>
      </c>
      <c r="F7" s="65">
        <f>IF(3725991.1099="","-",3725991.1099/6911881.24719*100)</f>
        <v>53.907047540997446</v>
      </c>
      <c r="G7" s="65">
        <f>IF(5710724.73459="","-",(2875601.12246-2785345.78471)/5710724.73459*100)</f>
        <v>1.5804533039969801</v>
      </c>
      <c r="H7" s="65">
        <f>IF(5840607.31908="","-",(3725991.1099-2875601.12246)/5840607.31908*100)</f>
        <v>14.559958254032242</v>
      </c>
    </row>
    <row r="8" spans="1:15" x14ac:dyDescent="0.25">
      <c r="A8" s="47" t="s">
        <v>0</v>
      </c>
      <c r="B8" s="36">
        <v>912700.87476000004</v>
      </c>
      <c r="C8" s="17">
        <v>1578434.9788800001</v>
      </c>
      <c r="D8" s="66" t="s">
        <v>271</v>
      </c>
      <c r="E8" s="66">
        <f>IF(912700.87476="","-",912700.87476/5840607.31908*100)</f>
        <v>15.62681455708217</v>
      </c>
      <c r="F8" s="66">
        <f>IF(1578434.97888="","-",1578434.97888/6911881.24719*100)</f>
        <v>22.83654655556629</v>
      </c>
      <c r="G8" s="66">
        <f>IF(OR(5710724.73459="",889939.97599="",912700.87476=""),"-",(912700.87476-889939.97599)/5710724.73459*100)</f>
        <v>0.39856410224321903</v>
      </c>
      <c r="H8" s="66">
        <f>IF(OR(5840607.31908="",1578434.97888="",912700.87476=""),"-",(1578434.97888-912700.87476)/5840607.31908*100)</f>
        <v>11.398371226656359</v>
      </c>
    </row>
    <row r="9" spans="1:15" s="2" customFormat="1" x14ac:dyDescent="0.25">
      <c r="A9" s="47" t="s">
        <v>2</v>
      </c>
      <c r="B9" s="36">
        <v>432179.78039000003</v>
      </c>
      <c r="C9" s="38">
        <v>449376.57958999998</v>
      </c>
      <c r="D9" s="66">
        <f>IF(OR(432179.78039="",449376.57959=""),"-",449376.57959/432179.78039*100)</f>
        <v>103.97908462642134</v>
      </c>
      <c r="E9" s="66">
        <f>IF(432179.78039="","-",432179.78039/5840607.31908*100)</f>
        <v>7.399569201958883</v>
      </c>
      <c r="F9" s="66">
        <f>IF(449376.57959="","-",449376.57959/6911881.24719*100)</f>
        <v>6.5015089744589059</v>
      </c>
      <c r="G9" s="66">
        <f>IF(OR(5710724.73459="",406695.31275="",432179.78039=""),"-",(432179.78039-406695.31275)/5710724.73459*100)</f>
        <v>0.44625627787030253</v>
      </c>
      <c r="H9" s="66">
        <f>IF(OR(5840607.31908="",449376.57959="",432179.78039=""),"-",(449376.57959-432179.78039)/5840607.31908*100)</f>
        <v>0.2944351205365533</v>
      </c>
    </row>
    <row r="10" spans="1:15" s="2" customFormat="1" x14ac:dyDescent="0.25">
      <c r="A10" s="47" t="s">
        <v>1</v>
      </c>
      <c r="B10" s="36">
        <v>312282.69075000001</v>
      </c>
      <c r="C10" s="17">
        <v>336282.61115000001</v>
      </c>
      <c r="D10" s="66">
        <f>IF(OR(312282.69075="",336282.61115=""),"-",336282.61115/312282.69075*100)</f>
        <v>107.68531881877928</v>
      </c>
      <c r="E10" s="66">
        <f>IF(312282.69075="","-",312282.69075/5840607.31908*100)</f>
        <v>5.3467503238890943</v>
      </c>
      <c r="F10" s="66">
        <f>IF(336282.61115="","-",336282.61115/6911881.24719*100)</f>
        <v>4.8652834029333842</v>
      </c>
      <c r="G10" s="66">
        <f>IF(OR(5710724.73459="",314039.14502="",312282.69075=""),"-",(312282.69075-314039.14502)/5710724.73459*100)</f>
        <v>-3.0757116681900301E-2</v>
      </c>
      <c r="H10" s="66">
        <f>IF(OR(5840607.31908="",336282.61115="",312282.69075=""),"-",(336282.61115-312282.69075)/5840607.31908*100)</f>
        <v>0.41091480883498976</v>
      </c>
    </row>
    <row r="11" spans="1:15" s="2" customFormat="1" x14ac:dyDescent="0.25">
      <c r="A11" s="47" t="s">
        <v>3</v>
      </c>
      <c r="B11" s="36">
        <v>228103.97055999999</v>
      </c>
      <c r="C11" s="17">
        <v>239818.17569999999</v>
      </c>
      <c r="D11" s="66">
        <f>IF(OR(228103.97056="",239818.1757=""),"-",239818.1757/228103.97056*100)</f>
        <v>105.13546744111528</v>
      </c>
      <c r="E11" s="66">
        <f>IF(228103.97056="","-",228103.97056/5840607.31908*100)</f>
        <v>3.9054837639030051</v>
      </c>
      <c r="F11" s="66">
        <f>IF(239818.1757="","-",239818.1757/6911881.24719*100)</f>
        <v>3.4696512732694473</v>
      </c>
      <c r="G11" s="66">
        <f>IF(OR(5710724.73459="",207136.96634="",228103.97056=""),"-",(228103.97056-207136.96634)/5710724.73459*100)</f>
        <v>0.36715137210172843</v>
      </c>
      <c r="H11" s="66">
        <f>IF(OR(5840607.31908="",239818.1757="",228103.97056=""),"-",(239818.1757-228103.97056)/5840607.31908*100)</f>
        <v>0.20056484711328276</v>
      </c>
    </row>
    <row r="12" spans="1:15" s="2" customFormat="1" x14ac:dyDescent="0.25">
      <c r="A12" s="47" t="s">
        <v>243</v>
      </c>
      <c r="B12" s="36">
        <v>149768.15265</v>
      </c>
      <c r="C12" s="17">
        <v>163522.71934000001</v>
      </c>
      <c r="D12" s="66">
        <f>IF(OR(149768.15265="",163522.71934=""),"-",163522.71934/149768.15265*100)</f>
        <v>109.18390622213501</v>
      </c>
      <c r="E12" s="66">
        <f>IF(149768.15265="","-",149768.15265/5840607.31908*100)</f>
        <v>2.5642564971067285</v>
      </c>
      <c r="F12" s="66">
        <f>IF(163522.71934="","-",163522.71934/6911881.24719*100)</f>
        <v>2.3658207294357028</v>
      </c>
      <c r="G12" s="66">
        <f>IF(OR(5710724.73459="",143269.53237="",149768.15265=""),"-",(149768.15265-143269.53237)/5710724.73459*100)</f>
        <v>0.11379676979767035</v>
      </c>
      <c r="H12" s="66">
        <f>IF(OR(5840607.31908="",163522.71934="",149768.15265=""),"-",(163522.71934-149768.15265)/5840607.31908*100)</f>
        <v>0.23549891198928605</v>
      </c>
    </row>
    <row r="13" spans="1:15" s="2" customFormat="1" x14ac:dyDescent="0.25">
      <c r="A13" s="67" t="s">
        <v>34</v>
      </c>
      <c r="B13" s="36">
        <v>112531.7755</v>
      </c>
      <c r="C13" s="17">
        <v>122783.4363</v>
      </c>
      <c r="D13" s="66">
        <f>IF(OR(112531.7755="",122783.4363=""),"-",122783.4363/112531.7755*100)</f>
        <v>109.11001426437103</v>
      </c>
      <c r="E13" s="66">
        <f>IF(112531.7755="","-",112531.7755/5840607.31908*100)</f>
        <v>1.926713599326958</v>
      </c>
      <c r="F13" s="66">
        <f>IF(122783.4363="","-",122783.4363/6911881.24719*100)</f>
        <v>1.7764112534473471</v>
      </c>
      <c r="G13" s="66">
        <f>IF(OR(5710724.73459="",122733.36946="",112531.7755=""),"-",(112531.7755-122733.36946)/5710724.73459*100)</f>
        <v>-0.17863921715940348</v>
      </c>
      <c r="H13" s="66">
        <f>IF(OR(5840607.31908="",122783.4363="",112531.7755=""),"-",(122783.4363-112531.7755)/5840607.31908*100)</f>
        <v>0.17552388373226258</v>
      </c>
    </row>
    <row r="14" spans="1:15" s="2" customFormat="1" x14ac:dyDescent="0.25">
      <c r="A14" s="47" t="s">
        <v>246</v>
      </c>
      <c r="B14" s="36">
        <v>112909.44199000001</v>
      </c>
      <c r="C14" s="17">
        <v>122448.98831</v>
      </c>
      <c r="D14" s="66">
        <f>IF(OR(112909.44199="",122448.98831=""),"-",122448.98831/112909.44199*100)</f>
        <v>108.4488472813858</v>
      </c>
      <c r="E14" s="66">
        <f>IF(112909.44199="","-",112909.44199/5840607.31908*100)</f>
        <v>1.9331798188374913</v>
      </c>
      <c r="F14" s="66">
        <f>IF(122448.98831="","-",122448.98831/6911881.24719*100)</f>
        <v>1.7715725130518005</v>
      </c>
      <c r="G14" s="66">
        <f>IF(OR(5710724.73459="",100964.81537="",112909.44199=""),"-",(112909.44199-100964.81537)/5710724.73459*100)</f>
        <v>0.209161309205662</v>
      </c>
      <c r="H14" s="66">
        <f>IF(OR(5840607.31908="",122448.98831="",112909.44199=""),"-",(122448.98831-112909.44199)/5840607.31908*100)</f>
        <v>0.16333141056815034</v>
      </c>
    </row>
    <row r="15" spans="1:15" s="2" customFormat="1" x14ac:dyDescent="0.25">
      <c r="A15" s="47" t="s">
        <v>4</v>
      </c>
      <c r="B15" s="36">
        <v>103657.23134</v>
      </c>
      <c r="C15" s="17">
        <v>103783.0604</v>
      </c>
      <c r="D15" s="66">
        <f>IF(OR(103657.23134="",103783.0604=""),"-",103783.0604/103657.23134*100)</f>
        <v>100.12138956286347</v>
      </c>
      <c r="E15" s="66">
        <f>IF(103657.23134="","-",103657.23134/5840607.31908*100)</f>
        <v>1.7747680279989766</v>
      </c>
      <c r="F15" s="66">
        <f>IF(103783.0604="","-",103783.0604/6911881.24719*100)</f>
        <v>1.501516832948955</v>
      </c>
      <c r="G15" s="66">
        <f>IF(OR(5710724.73459="",95527.02898="",103657.23134=""),"-",(103657.23134-95527.02898)/5710724.73459*100)</f>
        <v>0.14236726051170284</v>
      </c>
      <c r="H15" s="66">
        <f>IF(OR(5840607.31908="",103783.0604="",103657.23134=""),"-",(103783.0604-103657.23134)/5840607.31908*100)</f>
        <v>2.154383151028616E-3</v>
      </c>
    </row>
    <row r="16" spans="1:15" s="2" customFormat="1" x14ac:dyDescent="0.25">
      <c r="A16" s="67" t="s">
        <v>32</v>
      </c>
      <c r="B16" s="36">
        <v>98236.558210000003</v>
      </c>
      <c r="C16" s="17">
        <v>103750.61003</v>
      </c>
      <c r="D16" s="66">
        <f>IF(OR(98236.55821="",103750.61003=""),"-",103750.61003/98236.55821*100)</f>
        <v>105.6130344145533</v>
      </c>
      <c r="E16" s="66">
        <f>IF(98236.55821="","-",98236.55821/5840607.31908*100)</f>
        <v>1.6819579342217106</v>
      </c>
      <c r="F16" s="66">
        <f>IF(103750.61003="","-",103750.61003/6911881.24719*100)</f>
        <v>1.5010473461502167</v>
      </c>
      <c r="G16" s="66">
        <f>IF(OR(5710724.73459="",79236.53336="",98236.55821=""),"-",(98236.55821-79236.53336)/5710724.73459*100)</f>
        <v>0.33270776885666342</v>
      </c>
      <c r="H16" s="66">
        <f>IF(OR(5840607.31908="",103750.61003="",98236.55821=""),"-",(103750.61003-98236.55821)/5840607.31908*100)</f>
        <v>9.4408877686174508E-2</v>
      </c>
    </row>
    <row r="17" spans="1:8" s="2" customFormat="1" x14ac:dyDescent="0.25">
      <c r="A17" s="47" t="s">
        <v>311</v>
      </c>
      <c r="B17" s="38">
        <v>62588.155189999998</v>
      </c>
      <c r="C17" s="17">
        <v>77713.329889999994</v>
      </c>
      <c r="D17" s="66">
        <f>IF(OR(62588.15519="",77713.32989=""),"-",77713.32989/62588.15519*100)</f>
        <v>124.16619351390727</v>
      </c>
      <c r="E17" s="66">
        <f>IF(62588.15519="","-",62588.15519/5840607.31908*100)</f>
        <v>1.0716035468698271</v>
      </c>
      <c r="F17" s="66">
        <f>IF(77713.32989="","-",77713.32989/6911881.24719*100)</f>
        <v>1.124344112850522</v>
      </c>
      <c r="G17" s="66">
        <f>IF(OR(5710724.73459="",53717.07228="",62588.15519=""),"-",(62588.15519-53717.07228)/5710724.73459*100)</f>
        <v>0.1553407548479378</v>
      </c>
      <c r="H17" s="66">
        <f>IF(OR(5840607.31908="",77713.32989="",62588.15519=""),"-",(77713.32989-62588.15519)/5840607.31908*100)</f>
        <v>0.25896578683845639</v>
      </c>
    </row>
    <row r="18" spans="1:8" s="2" customFormat="1" x14ac:dyDescent="0.25">
      <c r="A18" s="47" t="s">
        <v>5</v>
      </c>
      <c r="B18" s="36">
        <v>59038.296139999999</v>
      </c>
      <c r="C18" s="38">
        <v>70654.698359999995</v>
      </c>
      <c r="D18" s="66">
        <f>IF(OR(59038.29614="",70654.69836=""),"-",70654.69836/59038.29614*100)</f>
        <v>119.67604585412413</v>
      </c>
      <c r="E18" s="66">
        <f>IF(59038.29614="","-",59038.29614/5840607.31908*100)</f>
        <v>1.0108246097479396</v>
      </c>
      <c r="F18" s="66">
        <f>IF(70654.69836="","-",70654.69836/6911881.24719*100)</f>
        <v>1.0222209530686657</v>
      </c>
      <c r="G18" s="66">
        <f>IF(OR(5710724.73459="",59948.60237="",59038.29614=""),"-",(59038.29614-59948.60237)/5710724.73459*100)</f>
        <v>-1.5940292560176379E-2</v>
      </c>
      <c r="H18" s="66">
        <f>IF(OR(5840607.31908="",70654.69836="",59038.29614=""),"-",(70654.69836-59038.29614)/5840607.31908*100)</f>
        <v>0.19889031371877589</v>
      </c>
    </row>
    <row r="19" spans="1:8" s="2" customFormat="1" x14ac:dyDescent="0.25">
      <c r="A19" s="47" t="s">
        <v>244</v>
      </c>
      <c r="B19" s="36">
        <v>4053.9235899999999</v>
      </c>
      <c r="C19" s="17">
        <v>59067.541700000002</v>
      </c>
      <c r="D19" s="66" t="s">
        <v>390</v>
      </c>
      <c r="E19" s="66">
        <f>IF(4053.92359="","-",4053.92359/5840607.31908*100)</f>
        <v>6.9409281749805526E-2</v>
      </c>
      <c r="F19" s="66">
        <f>IF(59067.5417="","-",59067.5417/6911881.24719*100)</f>
        <v>0.85457981101764013</v>
      </c>
      <c r="G19" s="66">
        <f>IF(OR(5710724.73459="",4975.24416="",4053.92359=""),"-",(4053.92359-4975.24416)/5710724.73459*100)</f>
        <v>-1.6133163701964815E-2</v>
      </c>
      <c r="H19" s="66">
        <f>IF(OR(5840607.31908="",59067.5417="",4053.92359=""),"-",(59067.5417-4053.92359)/5840607.31908*100)</f>
        <v>0.94191605606291018</v>
      </c>
    </row>
    <row r="20" spans="1:8" s="2" customFormat="1" x14ac:dyDescent="0.25">
      <c r="A20" s="47" t="s">
        <v>33</v>
      </c>
      <c r="B20" s="36">
        <v>42170.080190000001</v>
      </c>
      <c r="C20" s="17">
        <v>49180.950429999997</v>
      </c>
      <c r="D20" s="66">
        <f>IF(OR(42170.08019="",49180.95043=""),"-",49180.95043/42170.08019*100)</f>
        <v>116.62522387534496</v>
      </c>
      <c r="E20" s="66">
        <f>IF(42170.08019="","-",42170.08019/5840607.31908*100)</f>
        <v>0.72201532967709503</v>
      </c>
      <c r="F20" s="66">
        <f>IF(49180.95043="","-",49180.95043/6911881.24719*100)</f>
        <v>0.7115421789110502</v>
      </c>
      <c r="G20" s="66">
        <f>IF(OR(5710724.73459="",36562.36878="",42170.08019=""),"-",(42170.08019-36562.36878)/5710724.73459*100)</f>
        <v>9.8196142707316261E-2</v>
      </c>
      <c r="H20" s="66">
        <f>IF(OR(5840607.31908="",49180.95043="",42170.08019=""),"-",(49180.95043-42170.08019)/5840607.31908*100)</f>
        <v>0.12003666497312704</v>
      </c>
    </row>
    <row r="21" spans="1:8" s="2" customFormat="1" x14ac:dyDescent="0.25">
      <c r="A21" s="47" t="s">
        <v>36</v>
      </c>
      <c r="B21" s="36">
        <v>52101.866009999998</v>
      </c>
      <c r="C21" s="38">
        <v>46471.805330000003</v>
      </c>
      <c r="D21" s="66">
        <f>IF(OR(52101.86601="",46471.80533=""),"-",46471.80533/52101.86601*100)</f>
        <v>89.194128519467213</v>
      </c>
      <c r="E21" s="66">
        <f>IF(52101.86601="","-",52101.86601/5840607.31908*100)</f>
        <v>0.89206247165075581</v>
      </c>
      <c r="F21" s="66">
        <f>IF(46471.80533="","-",46471.80533/6911881.24719*100)</f>
        <v>0.6723466979253</v>
      </c>
      <c r="G21" s="66">
        <f>IF(OR(5710724.73459="",53923.1775="",52101.86601=""),"-",(52101.86601-53923.1775)/5710724.73459*100)</f>
        <v>-3.1892825773378146E-2</v>
      </c>
      <c r="H21" s="66">
        <f>IF(OR(5840607.31908="",46471.80533="",52101.86601=""),"-",(46471.80533-52101.86601)/5840607.31908*100)</f>
        <v>-9.63951242126449E-2</v>
      </c>
    </row>
    <row r="22" spans="1:8" s="2" customFormat="1" x14ac:dyDescent="0.25">
      <c r="A22" s="47" t="s">
        <v>6</v>
      </c>
      <c r="B22" s="36">
        <v>40421.750630000002</v>
      </c>
      <c r="C22" s="38">
        <v>44957.780250000003</v>
      </c>
      <c r="D22" s="66">
        <f>IF(OR(40421.75063="",44957.78025=""),"-",44957.78025/40421.75063*100)</f>
        <v>111.22175449925584</v>
      </c>
      <c r="E22" s="66">
        <f>IF(40421.75063="","-",40421.75063/5840607.31908*100)</f>
        <v>0.69208129260720697</v>
      </c>
      <c r="F22" s="66">
        <f>IF(44957.78025="","-",44957.78025/6911881.24719*100)</f>
        <v>0.65044202355585068</v>
      </c>
      <c r="G22" s="66">
        <f>IF(OR(5710724.73459="",85650.15524="",40421.75063=""),"-",(40421.75063-85650.15524)/5710724.73459*100)</f>
        <v>-0.79199062661960284</v>
      </c>
      <c r="H22" s="66">
        <f>IF(OR(5840607.31908="",44957.78025="",40421.75063=""),"-",(44957.78025-40421.75063)/5840607.31908*100)</f>
        <v>7.7663663591657231E-2</v>
      </c>
    </row>
    <row r="23" spans="1:8" s="2" customFormat="1" x14ac:dyDescent="0.25">
      <c r="A23" s="47" t="s">
        <v>42</v>
      </c>
      <c r="B23" s="36">
        <v>35331.619680000003</v>
      </c>
      <c r="C23" s="38">
        <v>38308.459110000003</v>
      </c>
      <c r="D23" s="66">
        <f>IF(OR(35331.61968="",38308.45911=""),"-",38308.45911/35331.61968*100)</f>
        <v>108.42542588469297</v>
      </c>
      <c r="E23" s="66">
        <f>IF(35331.61968="","-",35331.61968/5840607.31908*100)</f>
        <v>0.60493057912966086</v>
      </c>
      <c r="F23" s="66">
        <f>IF(38308.45911="","-",38308.45911/6911881.24719*100)</f>
        <v>0.55424070148158533</v>
      </c>
      <c r="G23" s="66">
        <f>IF(OR(5710724.73459="",30314.4215="",35331.61968=""),"-",(35331.61968-30314.4215)/5710724.73459*100)</f>
        <v>8.7855717324470409E-2</v>
      </c>
      <c r="H23" s="66">
        <f>IF(OR(5840607.31908="",38308.45911="",35331.61968=""),"-",(38308.45911-35331.61968)/5840607.31908*100)</f>
        <v>5.0967977598413608E-2</v>
      </c>
    </row>
    <row r="24" spans="1:8" s="2" customFormat="1" x14ac:dyDescent="0.25">
      <c r="A24" s="47" t="s">
        <v>44</v>
      </c>
      <c r="B24" s="36">
        <v>22951.543420000002</v>
      </c>
      <c r="C24" s="17">
        <v>25790.51872</v>
      </c>
      <c r="D24" s="66">
        <f>IF(OR(22951.54342="",25790.51872=""),"-",25790.51872/22951.54342*100)</f>
        <v>112.3694308833545</v>
      </c>
      <c r="E24" s="66">
        <f>IF(22951.54342="","-",22951.54342/5840607.31908*100)</f>
        <v>0.39296501487135216</v>
      </c>
      <c r="F24" s="66">
        <f>IF(25790.51872="","-",25790.51872/6911881.24719*100)</f>
        <v>0.37313312827075906</v>
      </c>
      <c r="G24" s="66">
        <f>IF(OR(5710724.73459="",20027.68275="",22951.54342=""),"-",(22951.54342-20027.68275)/5710724.73459*100)</f>
        <v>5.1199467771403974E-2</v>
      </c>
      <c r="H24" s="66">
        <f>IF(OR(5840607.31908="",25790.51872="",22951.54342=""),"-",(25790.51872-22951.54342)/5840607.31908*100)</f>
        <v>4.860753591027564E-2</v>
      </c>
    </row>
    <row r="25" spans="1:8" s="2" customFormat="1" x14ac:dyDescent="0.25">
      <c r="A25" s="47" t="s">
        <v>35</v>
      </c>
      <c r="B25" s="36">
        <v>15171.51498</v>
      </c>
      <c r="C25" s="17">
        <v>20377.100699999999</v>
      </c>
      <c r="D25" s="66">
        <f>IF(OR(15171.51498="",20377.1007=""),"-",20377.1007/15171.51498*100)</f>
        <v>134.31157486158975</v>
      </c>
      <c r="E25" s="66">
        <f>IF(15171.51498="","-",15171.51498/5840607.31908*100)</f>
        <v>0.259759202274016</v>
      </c>
      <c r="F25" s="66">
        <f>IF(20377.1007="","-",20377.1007/6911881.24719*100)</f>
        <v>0.29481265622560043</v>
      </c>
      <c r="G25" s="66">
        <f>IF(OR(5710724.73459="",10482.60126="",15171.51498=""),"-",(15171.51498-10482.60126)/5710724.73459*100)</f>
        <v>8.2107156935776221E-2</v>
      </c>
      <c r="H25" s="66">
        <f>IF(OR(5840607.31908="",20377.1007="",15171.51498=""),"-",(20377.1007-15171.51498)/5840607.31908*100)</f>
        <v>8.9127473148117281E-2</v>
      </c>
    </row>
    <row r="26" spans="1:8" s="2" customFormat="1" x14ac:dyDescent="0.25">
      <c r="A26" s="47" t="s">
        <v>43</v>
      </c>
      <c r="B26" s="36">
        <v>13940.194240000001</v>
      </c>
      <c r="C26" s="17">
        <v>14662.036599999999</v>
      </c>
      <c r="D26" s="66">
        <f>IF(OR(13940.19424="",14662.0366=""),"-",14662.0366/13940.19424*100)</f>
        <v>105.17813703003323</v>
      </c>
      <c r="E26" s="66">
        <f>IF(13940.19424="","-",13940.19424/5840607.31908*100)</f>
        <v>0.23867713541467517</v>
      </c>
      <c r="F26" s="66">
        <f>IF(14662.0366="","-",14662.0366/6911881.24719*100)</f>
        <v>0.21212801660851449</v>
      </c>
      <c r="G26" s="66">
        <f>IF(OR(5710724.73459="",21231.14041="",13940.19424=""),"-",(13940.19424-21231.14041)/5710724.73459*100)</f>
        <v>-0.12767111897091729</v>
      </c>
      <c r="H26" s="66">
        <f>IF(OR(5840607.31908="",14662.0366="",13940.19424=""),"-",(14662.0366-13940.19424)/5840607.31908*100)</f>
        <v>1.235902913112984E-2</v>
      </c>
    </row>
    <row r="27" spans="1:8" s="2" customFormat="1" x14ac:dyDescent="0.25">
      <c r="A27" s="47" t="s">
        <v>40</v>
      </c>
      <c r="B27" s="36">
        <v>15084.459860000001</v>
      </c>
      <c r="C27" s="17">
        <v>14362.42585</v>
      </c>
      <c r="D27" s="66">
        <f>IF(OR(15084.45986="",14362.42585=""),"-",14362.42585/15084.45986*100)</f>
        <v>95.213391684546536</v>
      </c>
      <c r="E27" s="66">
        <f>IF(15084.45986="","-",15084.45986/5840607.31908*100)</f>
        <v>0.25826868741410391</v>
      </c>
      <c r="F27" s="66">
        <f>IF(14362.42585="","-",14362.42585/6911881.24719*100)</f>
        <v>0.20779329586773487</v>
      </c>
      <c r="G27" s="66">
        <f>IF(OR(5710724.73459="",12354.99811="",15084.45986=""),"-",(15084.45986-12354.99811)/5710724.73459*100)</f>
        <v>4.7795365331961874E-2</v>
      </c>
      <c r="H27" s="66">
        <f>IF(OR(5840607.31908="",14362.42585="",15084.45986=""),"-",(14362.42585-15084.45986)/5840607.31908*100)</f>
        <v>-1.2362310467976034E-2</v>
      </c>
    </row>
    <row r="28" spans="1:8" s="2" customFormat="1" x14ac:dyDescent="0.25">
      <c r="A28" s="47" t="s">
        <v>37</v>
      </c>
      <c r="B28" s="36">
        <v>15228.97366</v>
      </c>
      <c r="C28" s="17">
        <v>14154.09122</v>
      </c>
      <c r="D28" s="66">
        <f>IF(OR(15228.97366="",14154.09122=""),"-",14154.09122/15228.97366*100)</f>
        <v>92.941858959128311</v>
      </c>
      <c r="E28" s="66">
        <f>IF(15228.97366="","-",15228.97366/5840607.31908*100)</f>
        <v>0.26074298147472164</v>
      </c>
      <c r="F28" s="66">
        <f>IF(14154.09122="","-",14154.09122/6911881.24719*100)</f>
        <v>0.20477914353280152</v>
      </c>
      <c r="G28" s="66">
        <f>IF(OR(5710724.73459="",12728.95995="",15228.97366=""),"-",(15228.97366-12728.95995)/5710724.73459*100)</f>
        <v>4.377752082598825E-2</v>
      </c>
      <c r="H28" s="66">
        <f>IF(OR(5840607.31908="",14154.09122="",15228.97366=""),"-",(14154.09122-15228.97366)/5840607.31908*100)</f>
        <v>-1.8403607386659793E-2</v>
      </c>
    </row>
    <row r="29" spans="1:8" s="2" customFormat="1" x14ac:dyDescent="0.25">
      <c r="A29" s="47" t="s">
        <v>41</v>
      </c>
      <c r="B29" s="36">
        <v>14526.829159999999</v>
      </c>
      <c r="C29" s="17">
        <v>14038.90041</v>
      </c>
      <c r="D29" s="66">
        <f>IF(OR(14526.82916="",14038.90041=""),"-",14038.90041/14526.82916*100)</f>
        <v>96.641188902093489</v>
      </c>
      <c r="E29" s="66">
        <f>IF(14526.82916="","-",14526.82916/5840607.31908*100)</f>
        <v>0.24872120939450926</v>
      </c>
      <c r="F29" s="66">
        <f>IF(14038.90041="","-",14038.90041/6911881.24719*100)</f>
        <v>0.20311258119064857</v>
      </c>
      <c r="G29" s="66">
        <f>IF(OR(5710724.73459="",12675.20762="",14526.82916=""),"-",(14526.82916-12675.20762)/5710724.73459*100)</f>
        <v>3.2423582400753499E-2</v>
      </c>
      <c r="H29" s="66">
        <f>IF(OR(5840607.31908="",14038.90041="",14526.82916=""),"-",(14038.90041-14526.82916)/5840607.31908*100)</f>
        <v>-8.3540755839900688E-3</v>
      </c>
    </row>
    <row r="30" spans="1:8" s="2" customFormat="1" x14ac:dyDescent="0.25">
      <c r="A30" s="47" t="s">
        <v>45</v>
      </c>
      <c r="B30" s="36">
        <v>14242.72298</v>
      </c>
      <c r="C30" s="17">
        <v>6946.3422899999996</v>
      </c>
      <c r="D30" s="66">
        <f>IF(OR(14242.72298="",6946.34229=""),"-",6946.34229/14242.72298*100)</f>
        <v>48.771167562229728</v>
      </c>
      <c r="E30" s="66">
        <f>IF(14242.72298="","-",14242.72298/5840607.31908*100)</f>
        <v>0.24385688340101391</v>
      </c>
      <c r="F30" s="66">
        <f>IF(6946.34229="","-",6946.34229/6911881.24719*100)</f>
        <v>0.10049857689357741</v>
      </c>
      <c r="G30" s="66">
        <f>IF(OR(5710724.73459="",5016.51663="",14242.72298=""),"-",(14242.72298-5016.51663)/5710724.73459*100)</f>
        <v>0.16155929026164828</v>
      </c>
      <c r="H30" s="66">
        <f>IF(OR(5840607.31908="",6946.34229="",14242.72298=""),"-",(6946.34229-14242.72298)/5840607.31908*100)</f>
        <v>-0.12492503418547425</v>
      </c>
    </row>
    <row r="31" spans="1:8" s="2" customFormat="1" x14ac:dyDescent="0.25">
      <c r="A31" s="47" t="s">
        <v>38</v>
      </c>
      <c r="B31" s="36">
        <v>3960.4331699999998</v>
      </c>
      <c r="C31" s="17">
        <v>6069.4194600000001</v>
      </c>
      <c r="D31" s="66">
        <f>IF(OR(3960.43317="",6069.41946=""),"-",6069.41946/3960.43317*100)</f>
        <v>153.25140456795035</v>
      </c>
      <c r="E31" s="66">
        <f>IF(3960.43317="","-",3960.43317/5840607.31908*100)</f>
        <v>6.7808584854902362E-2</v>
      </c>
      <c r="F31" s="66">
        <f>IF(6069.41946="","-",6069.41946/6911881.24719*100)</f>
        <v>8.7811396679702808E-2</v>
      </c>
      <c r="G31" s="66">
        <f>IF(OR(5710724.73459="",4293.60107="",3960.43317=""),"-",(3960.43317-4293.60107)/5710724.73459*100)</f>
        <v>-5.8340738782591602E-3</v>
      </c>
      <c r="H31" s="66">
        <f>IF(OR(5840607.31908="",6069.41946="",3960.43317=""),"-",(6069.41946-3960.43317)/5840607.31908*100)</f>
        <v>3.610902385288596E-2</v>
      </c>
    </row>
    <row r="32" spans="1:8" s="2" customFormat="1" x14ac:dyDescent="0.25">
      <c r="A32" s="47" t="s">
        <v>46</v>
      </c>
      <c r="B32" s="36">
        <v>1746.17913</v>
      </c>
      <c r="C32" s="17">
        <v>2672.5716200000002</v>
      </c>
      <c r="D32" s="66">
        <f>IF(OR(1746.17913="",2672.57162=""),"-",2672.57162/1746.17913*100)</f>
        <v>153.0525462184398</v>
      </c>
      <c r="E32" s="66">
        <f>IF(1746.17913="","-",1746.17913/5840607.31908*100)</f>
        <v>2.9897218467257861E-2</v>
      </c>
      <c r="F32" s="66">
        <f>IF(2672.57162="","-",2672.57162/6911881.24719*100)</f>
        <v>3.8666341686447871E-2</v>
      </c>
      <c r="G32" s="66">
        <f>IF(OR(5710724.73459="",1373.37746="",1746.17913=""),"-",(1746.17913-1373.37746)/5710724.73459*100)</f>
        <v>6.5280973488694213E-3</v>
      </c>
      <c r="H32" s="66">
        <f>IF(OR(5840607.31908="",2672.57162="",1746.17913=""),"-",(2672.57162-1746.17913)/5840607.31908*100)</f>
        <v>1.5861235645369901E-2</v>
      </c>
    </row>
    <row r="33" spans="1:8" s="2" customFormat="1" x14ac:dyDescent="0.25">
      <c r="A33" s="47" t="s">
        <v>39</v>
      </c>
      <c r="B33" s="36">
        <v>550.80411000000004</v>
      </c>
      <c r="C33" s="17">
        <v>320.67439000000002</v>
      </c>
      <c r="D33" s="66">
        <f>IF(OR(550.80411="",320.67439=""),"-",320.67439/550.80411*100)</f>
        <v>58.219316845693101</v>
      </c>
      <c r="E33" s="66">
        <f>IF(550.80411="","-",550.80411/5840607.31908*100)</f>
        <v>9.43059651006912E-3</v>
      </c>
      <c r="F33" s="66">
        <f>IF(320.67439="","-",320.67439/6911881.24719*100)</f>
        <v>4.6394661385475771E-3</v>
      </c>
      <c r="G33" s="66">
        <f>IF(OR(5710724.73459="",500.50879="",550.80411=""),"-",(550.80411-500.50879)/5710724.73459*100)</f>
        <v>8.8071693764821257E-4</v>
      </c>
      <c r="H33" s="66">
        <f>IF(OR(5840607.31908="",320.67439="",550.80411=""),"-",(320.67439-550.80411)/5840607.31908*100)</f>
        <v>-3.9401676474331024E-3</v>
      </c>
    </row>
    <row r="34" spans="1:8" s="2" customFormat="1" x14ac:dyDescent="0.25">
      <c r="A34" s="47" t="s">
        <v>47</v>
      </c>
      <c r="B34" s="36">
        <v>87.817120000000003</v>
      </c>
      <c r="C34" s="17">
        <v>30.14087</v>
      </c>
      <c r="D34" s="66">
        <f>IF(OR(87.81712="",30.14087=""),"-",30.14087/87.81712*100)</f>
        <v>34.322316650785176</v>
      </c>
      <c r="E34" s="66">
        <f>IF(87.81712="","-",87.81712/5840607.31908*100)</f>
        <v>1.5035614483637767E-3</v>
      </c>
      <c r="F34" s="66">
        <f>IF(30.14087="","-",30.14087/6911881.24719*100)</f>
        <v>4.36073319579292E-4</v>
      </c>
      <c r="G34" s="66">
        <f>IF(OR(5710724.73459="",24.6961="",87.81712=""),"-",(87.81712-24.6961)/5710724.73459*100)</f>
        <v>1.1053066455414045E-3</v>
      </c>
      <c r="H34" s="66">
        <f>IF(OR(5840607.31908="",30.14087="",87.81712=""),"-",(30.14087-87.81712)/5840607.31908*100)</f>
        <v>-9.8750432701722964E-4</v>
      </c>
    </row>
    <row r="35" spans="1:8" s="2" customFormat="1" ht="15" customHeight="1" x14ac:dyDescent="0.25">
      <c r="A35" s="47" t="s">
        <v>325</v>
      </c>
      <c r="B35" s="38">
        <v>33.483049999999999</v>
      </c>
      <c r="C35" s="17">
        <v>11.163</v>
      </c>
      <c r="D35" s="66">
        <f>IF(OR(33.48305="",11.163=""),"-",11.163/33.48305*100)</f>
        <v>33.339256728404379</v>
      </c>
      <c r="E35" s="66">
        <f>IF(33.48305="","-",33.48305/5840607.31908*100)</f>
        <v>5.7328028012802919E-4</v>
      </c>
      <c r="F35" s="66">
        <f>IF(11.163="","-",11.163/6911881.24719*100)</f>
        <v>1.6150451086725885E-4</v>
      </c>
      <c r="G35" s="66">
        <f>IF(OR(5710724.73459="",2.77309="",33.48305=""),"-",(33.48305-2.77309)/5710724.73459*100)</f>
        <v>5.3775941631346749E-4</v>
      </c>
      <c r="H35" s="66">
        <f>IF(OR(5840607.31908="",11.163="",33.48305=""),"-",(11.163-33.48305)/5840607.31908*100)</f>
        <v>-3.8215289576282971E-4</v>
      </c>
    </row>
    <row r="36" spans="1:8" s="2" customFormat="1" x14ac:dyDescent="0.25">
      <c r="A36" s="46" t="s">
        <v>388</v>
      </c>
      <c r="B36" s="37">
        <v>226368.17968</v>
      </c>
      <c r="C36" s="16">
        <v>200440.40208999999</v>
      </c>
      <c r="D36" s="16">
        <f>IF(226368.17968="","-",200440.40209/226368.17968*100)</f>
        <v>88.546191595191431</v>
      </c>
      <c r="E36" s="16">
        <f>IF(226368.17968="","-",226368.17968/5840607.31908*100)</f>
        <v>3.8757644079324449</v>
      </c>
      <c r="F36" s="16">
        <f>IF(200440.40209="","-",200440.40209/6911881.24719*100)</f>
        <v>2.8999398994519519</v>
      </c>
      <c r="G36" s="16">
        <f>IF(5710724.73459="","-",(226368.17968-382521.26012)/5710724.73459*100)</f>
        <v>-2.7343828970459207</v>
      </c>
      <c r="H36" s="16">
        <f>IF(5840607.31908="","-",(200440.40209-226368.17968)/5840607.31908*100)</f>
        <v>-0.44392262950634565</v>
      </c>
    </row>
    <row r="37" spans="1:8" s="2" customFormat="1" x14ac:dyDescent="0.25">
      <c r="A37" s="47" t="s">
        <v>245</v>
      </c>
      <c r="B37" s="36">
        <v>142323.79423999999</v>
      </c>
      <c r="C37" s="17">
        <v>125771.33318</v>
      </c>
      <c r="D37" s="17">
        <f>IF(OR(142323.79424="",125771.33318=""),"-",125771.33318/142323.79424*100)</f>
        <v>88.369856812496408</v>
      </c>
      <c r="E37" s="17">
        <f>IF(142323.79424="","-",142323.79424/5840607.31908*100)</f>
        <v>2.4367978613295738</v>
      </c>
      <c r="F37" s="17">
        <f>IF(125771.33318="","-",125771.33318/6911881.24719*100)</f>
        <v>1.8196396709091591</v>
      </c>
      <c r="G37" s="17">
        <f>IF(OR(5710724.73459="",235310.14719="",142323.79424=""),"-",(142323.79424-235310.14719)/5710724.73459*100)</f>
        <v>-1.6282758716556478</v>
      </c>
      <c r="H37" s="17">
        <f>IF(OR(5840607.31908="",125771.33318="",142323.79424=""),"-",(125771.33318-142323.79424)/5840607.31908*100)</f>
        <v>-0.28340308046265461</v>
      </c>
    </row>
    <row r="38" spans="1:8" s="2" customFormat="1" x14ac:dyDescent="0.25">
      <c r="A38" s="47" t="s">
        <v>7</v>
      </c>
      <c r="B38" s="36">
        <v>61784.971259999998</v>
      </c>
      <c r="C38" s="17">
        <v>32696.085999999999</v>
      </c>
      <c r="D38" s="17">
        <f>IF(OR(61784.97126="",32696.086=""),"-",32696.086/61784.97126*100)</f>
        <v>52.919157091471632</v>
      </c>
      <c r="E38" s="17">
        <f>IF(61784.97126="","-",61784.97126/5840607.31908*100)</f>
        <v>1.0578518274659876</v>
      </c>
      <c r="F38" s="17">
        <f>IF(32696.086="","-",32696.086/6911881.24719*100)</f>
        <v>0.47304177879636566</v>
      </c>
      <c r="G38" s="17">
        <f>IF(OR(5710724.73459="",59083.88464="",61784.97126=""),"-",(61784.97126-59083.88464)/5710724.73459*100)</f>
        <v>4.7298490919015133E-2</v>
      </c>
      <c r="H38" s="17">
        <f>IF(OR(5840607.31908="",32696.086="",61784.97126=""),"-",(32696.086-61784.97126)/5840607.31908*100)</f>
        <v>-0.49804555709425813</v>
      </c>
    </row>
    <row r="39" spans="1:8" s="2" customFormat="1" x14ac:dyDescent="0.25">
      <c r="A39" s="47" t="s">
        <v>9</v>
      </c>
      <c r="B39" s="36">
        <v>7596.1147499999997</v>
      </c>
      <c r="C39" s="17">
        <v>15680.517540000001</v>
      </c>
      <c r="D39" s="17" t="s">
        <v>274</v>
      </c>
      <c r="E39" s="17">
        <f>IF(7596.11475="","-",7596.11475/5840607.31908*100)</f>
        <v>0.13005693303819857</v>
      </c>
      <c r="F39" s="17">
        <f>IF(15680.51754="","-",15680.51754/6911881.24719*100)</f>
        <v>0.2268632370727558</v>
      </c>
      <c r="G39" s="17">
        <f>IF(OR(5710724.73459="",50567.97087="",7596.11475=""),"-",(7596.11475-50567.97087)/5710724.73459*100)</f>
        <v>-0.7524764039092694</v>
      </c>
      <c r="H39" s="17">
        <f>IF(OR(5840607.31908="",15680.51754="",7596.11475=""),"-",(15680.51754-7596.11475)/5840607.31908*100)</f>
        <v>0.13841716020849421</v>
      </c>
    </row>
    <row r="40" spans="1:8" s="2" customFormat="1" x14ac:dyDescent="0.25">
      <c r="A40" s="47" t="s">
        <v>11</v>
      </c>
      <c r="B40" s="36">
        <v>7372.8700500000004</v>
      </c>
      <c r="C40" s="17">
        <v>10030.15559</v>
      </c>
      <c r="D40" s="17">
        <f>IF(OR(7372.87005="",10030.15559=""),"-",10030.15559/7372.87005*100)</f>
        <v>136.04139937336885</v>
      </c>
      <c r="E40" s="17">
        <f>IF(7372.87005="","-",7372.87005/5840607.31908*100)</f>
        <v>0.12623464730995407</v>
      </c>
      <c r="F40" s="17">
        <f>IF(10030.15559="","-",10030.15559/6911881.24719*100)</f>
        <v>0.14511469788456977</v>
      </c>
      <c r="G40" s="17">
        <f>IF(OR(5710724.73459="",6587.97804="",7372.87005=""),"-",(7372.87005-6587.97804)/5710724.73459*100)</f>
        <v>1.3744175152514186E-2</v>
      </c>
      <c r="H40" s="17">
        <f>IF(OR(5840607.31908="",10030.15559="",7372.87005=""),"-",(10030.15559-7372.87005)/5840607.31908*100)</f>
        <v>4.5496733384544158E-2</v>
      </c>
    </row>
    <row r="41" spans="1:8" s="2" customFormat="1" x14ac:dyDescent="0.25">
      <c r="A41" s="47" t="s">
        <v>10</v>
      </c>
      <c r="B41" s="36">
        <v>3407.8276599999999</v>
      </c>
      <c r="C41" s="17">
        <v>7252.4340300000003</v>
      </c>
      <c r="D41" s="17" t="s">
        <v>274</v>
      </c>
      <c r="E41" s="17">
        <f>IF(3407.82766="","-",3407.82766/5840607.31908*100)</f>
        <v>5.8347145661845207E-2</v>
      </c>
      <c r="F41" s="17">
        <f>IF(7252.43403="","-",7252.43403/6911881.24719*100)</f>
        <v>0.10492706356823552</v>
      </c>
      <c r="G41" s="17">
        <f>IF(OR(5710724.73459="",14459.70946="",3407.82766=""),"-",(3407.82766-14459.70946)/5710724.73459*100)</f>
        <v>-0.19352853295586953</v>
      </c>
      <c r="H41" s="17">
        <f>IF(OR(5840607.31908="",7252.43403="",3407.82766=""),"-",(7252.43403-3407.82766)/5840607.31908*100)</f>
        <v>6.5825455470024566E-2</v>
      </c>
    </row>
    <row r="42" spans="1:8" s="2" customFormat="1" x14ac:dyDescent="0.25">
      <c r="A42" s="47" t="s">
        <v>12</v>
      </c>
      <c r="B42" s="36">
        <v>1110.6862000000001</v>
      </c>
      <c r="C42" s="17">
        <v>3917.221</v>
      </c>
      <c r="D42" s="17" t="s">
        <v>364</v>
      </c>
      <c r="E42" s="17">
        <f>IF(1110.6862="","-",1110.6862/5840607.31908*100)</f>
        <v>1.9016621719656256E-2</v>
      </c>
      <c r="F42" s="17">
        <f>IF(3917.221="","-",3917.221/6911881.24719*100)</f>
        <v>5.6673731215977304E-2</v>
      </c>
      <c r="G42" s="17">
        <f>IF(OR(5710724.73459="",10648.79941="",1110.6862=""),"-",(1110.6862-10648.79941)/5710724.73459*100)</f>
        <v>-0.16702106393304889</v>
      </c>
      <c r="H42" s="17">
        <f>IF(OR(5840607.31908="",3917.221="",1110.6862=""),"-",(3917.221-1110.6862)/5840607.31908*100)</f>
        <v>4.8052105657431517E-2</v>
      </c>
    </row>
    <row r="43" spans="1:8" s="2" customFormat="1" x14ac:dyDescent="0.25">
      <c r="A43" s="47" t="s">
        <v>13</v>
      </c>
      <c r="B43" s="36">
        <v>2221.7168299999998</v>
      </c>
      <c r="C43" s="17">
        <v>3397.2299499999999</v>
      </c>
      <c r="D43" s="17">
        <f>IF(OR(2221.71683="",3397.22995=""),"-",3397.22995/2221.71683*100)</f>
        <v>152.91012356421678</v>
      </c>
      <c r="E43" s="17">
        <f>IF(2221.71683="","-",2221.71683/5840607.31908*100)</f>
        <v>3.8039140600021712E-2</v>
      </c>
      <c r="F43" s="17">
        <f>IF(3397.22995="","-",3397.22995/6911881.24719*100)</f>
        <v>4.9150583300040511E-2</v>
      </c>
      <c r="G43" s="17">
        <f>IF(OR(5710724.73459="",2750.76582="",2221.71683=""),"-",(2221.71683-2750.76582)/5710724.73459*100)</f>
        <v>-9.2641304665857481E-3</v>
      </c>
      <c r="H43" s="17">
        <f>IF(OR(5840607.31908="",3397.22995="",2221.71683=""),"-",(3397.22995-2221.71683)/5840607.31908*100)</f>
        <v>2.0126556294237642E-2</v>
      </c>
    </row>
    <row r="44" spans="1:8" s="2" customFormat="1" x14ac:dyDescent="0.25">
      <c r="A44" s="47" t="s">
        <v>247</v>
      </c>
      <c r="B44" s="36">
        <v>549.87688000000003</v>
      </c>
      <c r="C44" s="17">
        <v>1638.8784800000001</v>
      </c>
      <c r="D44" s="17" t="s">
        <v>295</v>
      </c>
      <c r="E44" s="17">
        <f>IF(549.87688="","-",549.87688/5840607.31908*100)</f>
        <v>9.4147209349902932E-3</v>
      </c>
      <c r="F44" s="17">
        <f>IF(1638.87848="","-",1638.87848/6911881.24719*100)</f>
        <v>2.371103352891487E-2</v>
      </c>
      <c r="G44" s="17">
        <f>IF(OR(5710724.73459="",3112.00469="",549.87688=""),"-",(549.87688-3112.00469)/5710724.73459*100)</f>
        <v>-4.4865195383716E-2</v>
      </c>
      <c r="H44" s="17">
        <f>IF(OR(5840607.31908="",1638.87848="",549.87688=""),"-",(1638.87848-549.87688)/5840607.31908*100)</f>
        <v>1.864534868561472E-2</v>
      </c>
    </row>
    <row r="45" spans="1:8" s="2" customFormat="1" x14ac:dyDescent="0.25">
      <c r="A45" s="47" t="s">
        <v>14</v>
      </c>
      <c r="B45" s="36">
        <v>0.32180999999999998</v>
      </c>
      <c r="C45" s="17">
        <v>56.546320000000001</v>
      </c>
      <c r="D45" s="17" t="s">
        <v>366</v>
      </c>
      <c r="E45" s="17">
        <f>IF(0.32181="","-",0.32181/5840607.31908*100)</f>
        <v>5.5098722173756895E-6</v>
      </c>
      <c r="F45" s="17">
        <f>IF(56.54632="","-",56.54632/6911881.24719*100)</f>
        <v>8.1810317593330616E-4</v>
      </c>
      <c r="G45" s="17" t="str">
        <f>IF(OR(5710724.73459="",""="",0.32181=""),"-",(0.32181-"")/5710724.73459*100)</f>
        <v>-</v>
      </c>
      <c r="H45" s="17">
        <f>IF(OR(5840607.31908="",56.54632="",0.32181=""),"-",(56.54632-0.32181)/5840607.31908*100)</f>
        <v>9.6264835022081858E-4</v>
      </c>
    </row>
    <row r="46" spans="1:8" s="2" customFormat="1" x14ac:dyDescent="0.25">
      <c r="A46" s="46" t="s">
        <v>102</v>
      </c>
      <c r="B46" s="37">
        <v>2738638.01694</v>
      </c>
      <c r="C46" s="16">
        <v>2985449.7352</v>
      </c>
      <c r="D46" s="16">
        <f>IF(2738638.01694="","-",2985449.7352/2738638.01694*100)</f>
        <v>109.01220667840481</v>
      </c>
      <c r="E46" s="16">
        <f>IF(2738638.01694="","-",2738638.01694/5840607.31908*100)</f>
        <v>46.889610400505141</v>
      </c>
      <c r="F46" s="16">
        <f>IF(2985449.7352="","-",2985449.7352/6911881.24719*100)</f>
        <v>43.193012559550617</v>
      </c>
      <c r="G46" s="16">
        <f>IF(5710724.73459="","-",(2738638.01694-2542857.68976)/5710724.73459*100)</f>
        <v>3.4282921394224064</v>
      </c>
      <c r="H46" s="16">
        <f>IF(5840607.31908="","-",(2985449.7352-2738638.01694)/5840607.31908*100)</f>
        <v>4.2257885999923248</v>
      </c>
    </row>
    <row r="47" spans="1:8" s="2" customFormat="1" x14ac:dyDescent="0.25">
      <c r="A47" s="67" t="s">
        <v>51</v>
      </c>
      <c r="B47" s="38">
        <v>774058.39295999997</v>
      </c>
      <c r="C47" s="38">
        <v>931394.28131999995</v>
      </c>
      <c r="D47" s="17">
        <f>IF(OR(774058.39296="",931394.28132=""),"-",931394.28132/774058.39296*100)</f>
        <v>120.32610069097596</v>
      </c>
      <c r="E47" s="17">
        <f>IF(774058.39296="","-",774058.39296/5840607.31908*100)</f>
        <v>13.253046313031843</v>
      </c>
      <c r="F47" s="17">
        <f>IF(931394.28132="","-",931394.28132/6911881.24719*100)</f>
        <v>13.475264519318166</v>
      </c>
      <c r="G47" s="17">
        <f>IF(OR(5710724.73459="",635573.28127="",774058.39296=""),"-",(774058.39296-635573.28127)/5710724.73459*100)</f>
        <v>2.4250006457357718</v>
      </c>
      <c r="H47" s="17">
        <f>IF(OR(5840607.31908="",931394.28132="",774058.39296=""),"-",(931394.28132-774058.39296)/5840607.31908*100)</f>
        <v>2.6938275382085299</v>
      </c>
    </row>
    <row r="48" spans="1:8" s="2" customFormat="1" x14ac:dyDescent="0.25">
      <c r="A48" s="67" t="s">
        <v>8</v>
      </c>
      <c r="B48" s="38">
        <v>766977.71750999999</v>
      </c>
      <c r="C48" s="38">
        <v>715885.27200999996</v>
      </c>
      <c r="D48" s="17">
        <f>IF(OR(766977.71751="",715885.27201=""),"-",715885.27201/766977.71751*100)</f>
        <v>93.338470683884779</v>
      </c>
      <c r="E48" s="17">
        <f>IF(766977.71751="","-",766977.71751/5840607.31908*100)</f>
        <v>13.131814477656285</v>
      </c>
      <c r="F48" s="17">
        <f>IF(715885.27201="","-",715885.27201/6911881.24719*100)</f>
        <v>10.357314404107283</v>
      </c>
      <c r="G48" s="17">
        <f>IF(OR(5710724.73459="",693156.324="",766977.71751=""),"-",(766977.71751-693156.324)/5710724.73459*100)</f>
        <v>1.2926799476581663</v>
      </c>
      <c r="H48" s="17">
        <f>IF(OR(5840607.31908="",715885.27201="",766977.71751=""),"-",(715885.27201-766977.71751)/5840607.31908*100)</f>
        <v>-0.87477967116693622</v>
      </c>
    </row>
    <row r="49" spans="1:8" s="2" customFormat="1" x14ac:dyDescent="0.25">
      <c r="A49" s="67" t="s">
        <v>48</v>
      </c>
      <c r="B49" s="38">
        <v>440407.29937000002</v>
      </c>
      <c r="C49" s="38">
        <v>492819.75663000002</v>
      </c>
      <c r="D49" s="17">
        <f>IF(OR(440407.29937="",492819.75663=""),"-",492819.75663/440407.29937*100)</f>
        <v>111.90090566958715</v>
      </c>
      <c r="E49" s="17">
        <f>IF(440407.29937="","-",440407.29937/5840607.31908*100)</f>
        <v>7.5404367270383794</v>
      </c>
      <c r="F49" s="17">
        <f>IF(492819.75663="","-",492819.75663/6911881.24719*100)</f>
        <v>7.1300379593522978</v>
      </c>
      <c r="G49" s="17">
        <f>IF(OR(5710724.73459="",498515.61711="",440407.29937=""),"-",(440407.29937-498515.61711)/5710724.73459*100)</f>
        <v>-1.017529655877764</v>
      </c>
      <c r="H49" s="17">
        <f>IF(OR(5840607.31908="",492819.75663="",440407.29937=""),"-",(492819.75663-440407.29937)/5840607.31908*100)</f>
        <v>0.89738026195974252</v>
      </c>
    </row>
    <row r="50" spans="1:8" s="2" customFormat="1" x14ac:dyDescent="0.25">
      <c r="A50" s="67" t="s">
        <v>15</v>
      </c>
      <c r="B50" s="38">
        <v>89554.962920000005</v>
      </c>
      <c r="C50" s="38">
        <v>122913.24967</v>
      </c>
      <c r="D50" s="17">
        <f>IF(OR(89554.96292="",122913.24967=""),"-",122913.24967/89554.96292*100)</f>
        <v>137.24895378472678</v>
      </c>
      <c r="E50" s="17">
        <f>IF(89554.96292="","-",89554.96292/5840607.31908*100)</f>
        <v>1.5333159383518786</v>
      </c>
      <c r="F50" s="17">
        <f>IF(122913.24967="","-",122913.24967/6911881.24719*100)</f>
        <v>1.7782893726649305</v>
      </c>
      <c r="G50" s="17">
        <f>IF(OR(5710724.73459="",80001.35111="",89554.96292=""),"-",(89554.96292-80001.35111)/5710724.73459*100)</f>
        <v>0.16729245855843028</v>
      </c>
      <c r="H50" s="17">
        <f>IF(OR(5840607.31908="",122913.24967="",89554.96292=""),"-",(122913.24967-89554.96292)/5840607.31908*100)</f>
        <v>0.57114414525054091</v>
      </c>
    </row>
    <row r="51" spans="1:8" s="2" customFormat="1" x14ac:dyDescent="0.25">
      <c r="A51" s="67" t="s">
        <v>65</v>
      </c>
      <c r="B51" s="38">
        <v>71032.570129999993</v>
      </c>
      <c r="C51" s="38">
        <v>77994.027589999998</v>
      </c>
      <c r="D51" s="17">
        <f>IF(OR(71032.57013="",77994.02759=""),"-",77994.02759/71032.57013*100)</f>
        <v>109.80037389504493</v>
      </c>
      <c r="E51" s="17">
        <f>IF(71032.57013="","-",71032.57013/5840607.31908*100)</f>
        <v>1.2161846576802375</v>
      </c>
      <c r="F51" s="17">
        <f>IF(77994.02759="","-",77994.02759/6911881.24719*100)</f>
        <v>1.1284052025880535</v>
      </c>
      <c r="G51" s="17">
        <f>IF(OR(5710724.73459="",61506.7044="",71032.57013=""),"-",(71032.57013-61506.7044)/5710724.73459*100)</f>
        <v>0.16680659938486597</v>
      </c>
      <c r="H51" s="17">
        <f>IF(OR(5840607.31908="",77994.02759="",71032.57013=""),"-",(77994.02759-71032.57013)/5840607.31908*100)</f>
        <v>0.1191906437068356</v>
      </c>
    </row>
    <row r="52" spans="1:8" s="2" customFormat="1" x14ac:dyDescent="0.25">
      <c r="A52" s="67" t="s">
        <v>29</v>
      </c>
      <c r="B52" s="38">
        <v>47866.209710000003</v>
      </c>
      <c r="C52" s="38">
        <v>64095.652269999999</v>
      </c>
      <c r="D52" s="17">
        <f>IF(OR(47866.20971="",64095.65227=""),"-",64095.65227/47866.20971*100)</f>
        <v>133.90584434891949</v>
      </c>
      <c r="E52" s="17">
        <f>IF(47866.20971="","-",47866.20971/5840607.31908*100)</f>
        <v>0.81954165200648665</v>
      </c>
      <c r="F52" s="17">
        <f>IF(64095.65227="","-",64095.65227/6911881.24719*100)</f>
        <v>0.9273257160784969</v>
      </c>
      <c r="G52" s="17">
        <f>IF(OR(5710724.73459="",39454.3841="",47866.20971=""),"-",(47866.20971-39454.3841)/5710724.73459*100)</f>
        <v>0.14729874054424943</v>
      </c>
      <c r="H52" s="17">
        <f>IF(OR(5840607.31908="",64095.65227="",47866.20971=""),"-",(64095.65227-47866.20971)/5840607.31908*100)</f>
        <v>0.27787251690388293</v>
      </c>
    </row>
    <row r="53" spans="1:8" s="2" customFormat="1" x14ac:dyDescent="0.25">
      <c r="A53" s="67" t="s">
        <v>314</v>
      </c>
      <c r="B53" s="38">
        <v>55920.992279999999</v>
      </c>
      <c r="C53" s="38">
        <v>62706.55083</v>
      </c>
      <c r="D53" s="17">
        <f>IF(OR(55920.99228="",62706.55083=""),"-",62706.55083/55920.99228*100)</f>
        <v>112.13418838497049</v>
      </c>
      <c r="E53" s="17">
        <f>IF(55920.99228="","-",55920.99228/5840607.31908*100)</f>
        <v>0.95745166940633419</v>
      </c>
      <c r="F53" s="17">
        <f>IF(62706.55083="","-",62706.55083/6911881.24719*100)</f>
        <v>0.90722841708967616</v>
      </c>
      <c r="G53" s="17">
        <f>IF(OR(5710724.73459="",50823.55032="",55920.99228=""),"-",(55920.99228-50823.55032)/5710724.73459*100)</f>
        <v>8.9260859118715105E-2</v>
      </c>
      <c r="H53" s="17">
        <f>IF(OR(5840607.31908="",62706.55083="",55920.99228=""),"-",(62706.55083-55920.99228)/5840607.31908*100)</f>
        <v>0.11617898926080941</v>
      </c>
    </row>
    <row r="54" spans="1:8" s="2" customFormat="1" x14ac:dyDescent="0.25">
      <c r="A54" s="67" t="s">
        <v>61</v>
      </c>
      <c r="B54" s="38">
        <v>44254.050139999999</v>
      </c>
      <c r="C54" s="38">
        <v>49138.465499999998</v>
      </c>
      <c r="D54" s="17">
        <f>IF(OR(44254.05014="",49138.4655=""),"-",49138.4655/44254.05014*100)</f>
        <v>111.03721658141548</v>
      </c>
      <c r="E54" s="17">
        <f>IF(44254.05014="","-",44254.05014/5840607.31908*100)</f>
        <v>0.75769603608569269</v>
      </c>
      <c r="F54" s="17">
        <f>IF(49138.4655="","-",49138.4655/6911881.24719*100)</f>
        <v>0.71092751369212348</v>
      </c>
      <c r="G54" s="17">
        <f>IF(OR(5710724.73459="",35844.66499="",44254.05014=""),"-",(44254.05014-35844.66499)/5710724.73459*100)</f>
        <v>0.14725600586321647</v>
      </c>
      <c r="H54" s="17">
        <f>IF(OR(5840607.31908="",49138.4655="",44254.05014=""),"-",(49138.4655-44254.05014)/5840607.31908*100)</f>
        <v>8.362855253157786E-2</v>
      </c>
    </row>
    <row r="55" spans="1:8" s="2" customFormat="1" x14ac:dyDescent="0.25">
      <c r="A55" s="67" t="s">
        <v>59</v>
      </c>
      <c r="B55" s="38">
        <v>53846.098010000002</v>
      </c>
      <c r="C55" s="38">
        <v>48566.435969999999</v>
      </c>
      <c r="D55" s="17">
        <f>IF(OR(53846.09801="",48566.43597=""),"-",48566.43597/53846.09801*100)</f>
        <v>90.194903186820525</v>
      </c>
      <c r="E55" s="17">
        <f>IF(53846.09801="","-",53846.09801/5840607.31908*100)</f>
        <v>0.92192635231778808</v>
      </c>
      <c r="F55" s="17">
        <f>IF(48566.43597="","-",48566.43597/6911881.24719*100)</f>
        <v>0.70265148131334731</v>
      </c>
      <c r="G55" s="17">
        <f>IF(OR(5710724.73459="",147434.89976="",53846.09801=""),"-",(53846.09801-147434.89976)/5710724.73459*100)</f>
        <v>-1.6388252997580208</v>
      </c>
      <c r="H55" s="17">
        <f>IF(OR(5840607.31908="",48566.43597="",53846.09801=""),"-",(48566.43597-53846.09801)/5840607.31908*100)</f>
        <v>-9.0395771390973156E-2</v>
      </c>
    </row>
    <row r="56" spans="1:8" s="2" customFormat="1" x14ac:dyDescent="0.25">
      <c r="A56" s="67" t="s">
        <v>56</v>
      </c>
      <c r="B56" s="38">
        <v>27648.427220000001</v>
      </c>
      <c r="C56" s="38">
        <v>37817.379099999998</v>
      </c>
      <c r="D56" s="17">
        <f>IF(OR(27648.42722="",37817.3791=""),"-",37817.3791/27648.42722*100)</f>
        <v>136.7794949024952</v>
      </c>
      <c r="E56" s="17">
        <f>IF(27648.42722="","-",27648.42722/5840607.31908*100)</f>
        <v>0.47338274445670353</v>
      </c>
      <c r="F56" s="17">
        <f>IF(37817.3791="","-",37817.3791/6911881.24719*100)</f>
        <v>0.54713583390013421</v>
      </c>
      <c r="G56" s="17">
        <f>IF(OR(5710724.73459="",25410.32497="",27648.42722=""),"-",(27648.42722-25410.32497)/5710724.73459*100)</f>
        <v>3.9191212219418667E-2</v>
      </c>
      <c r="H56" s="17">
        <f>IF(OR(5840607.31908="",37817.3791="",27648.42722=""),"-",(37817.3791-27648.42722)/5840607.31908*100)</f>
        <v>0.17410778236674518</v>
      </c>
    </row>
    <row r="57" spans="1:8" s="2" customFormat="1" x14ac:dyDescent="0.25">
      <c r="A57" s="67" t="s">
        <v>53</v>
      </c>
      <c r="B57" s="38">
        <v>15028.81882</v>
      </c>
      <c r="C57" s="38">
        <v>33786.919569999998</v>
      </c>
      <c r="D57" s="17" t="s">
        <v>308</v>
      </c>
      <c r="E57" s="17">
        <f>IF(15028.81882="","-",15028.81882/5840607.31908*100)</f>
        <v>0.25731602894966249</v>
      </c>
      <c r="F57" s="17">
        <f>IF(33786.91957="","-",33786.91957/6911881.24719*100)</f>
        <v>0.48882378561894346</v>
      </c>
      <c r="G57" s="17">
        <f>IF(OR(5710724.73459="",26836.53502="",15028.81882=""),"-",(15028.81882-26836.53502)/5710724.73459*100)</f>
        <v>-0.20676388284801006</v>
      </c>
      <c r="H57" s="17">
        <f>IF(OR(5840607.31908="",33786.91957="",15028.81882=""),"-",(33786.91957-15028.81882)/5840607.31908*100)</f>
        <v>0.32116695619514329</v>
      </c>
    </row>
    <row r="58" spans="1:8" s="2" customFormat="1" x14ac:dyDescent="0.25">
      <c r="A58" s="67" t="s">
        <v>68</v>
      </c>
      <c r="B58" s="38">
        <v>20321.982319999999</v>
      </c>
      <c r="C58" s="38">
        <v>26694.10326</v>
      </c>
      <c r="D58" s="17">
        <f>IF(OR(20321.98232="",26694.10326=""),"-",26694.10326/20321.98232*100)</f>
        <v>131.35580397454061</v>
      </c>
      <c r="E58" s="17">
        <f>IF(20321.98232="","-",20321.98232/5840607.31908*100)</f>
        <v>0.34794296568462119</v>
      </c>
      <c r="F58" s="17">
        <f>IF(26694.10326="","-",26694.10326/6911881.24719*100)</f>
        <v>0.38620604586996332</v>
      </c>
      <c r="G58" s="17">
        <f>IF(OR(5710724.73459="",21204.7676="",20321.98232=""),"-",(20321.98232-21204.7676)/5710724.73459*100)</f>
        <v>-1.5458375618298463E-2</v>
      </c>
      <c r="H58" s="17">
        <f>IF(OR(5840607.31908="",26694.10326="",20321.98232=""),"-",(26694.10326-20321.98232)/5840607.31908*100)</f>
        <v>0.10910031426327295</v>
      </c>
    </row>
    <row r="59" spans="1:8" s="2" customFormat="1" x14ac:dyDescent="0.25">
      <c r="A59" s="67" t="s">
        <v>315</v>
      </c>
      <c r="B59" s="38">
        <v>24030.272809999999</v>
      </c>
      <c r="C59" s="38">
        <v>25705.14056</v>
      </c>
      <c r="D59" s="17">
        <f>IF(OR(24030.27281="",25705.14056=""),"-",25705.14056/24030.27281*100)</f>
        <v>106.96982411828057</v>
      </c>
      <c r="E59" s="17">
        <f>IF(24030.27281="","-",24030.27281/5840607.31908*100)</f>
        <v>0.41143448783995967</v>
      </c>
      <c r="F59" s="17">
        <f>IF(25705.14056="","-",25705.14056/6911881.24719*100)</f>
        <v>0.37189789061335993</v>
      </c>
      <c r="G59" s="17">
        <f>IF(OR(5710724.73459="",25740.90213="",24030.27281=""),"-",(24030.27281-25740.90213)/5710724.73459*100)</f>
        <v>-2.995468000127333E-2</v>
      </c>
      <c r="H59" s="17">
        <f>IF(OR(5840607.31908="",25705.14056="",24030.27281=""),"-",(25705.14056-24030.27281)/5840607.31908*100)</f>
        <v>2.8676260164393706E-2</v>
      </c>
    </row>
    <row r="60" spans="1:8" s="2" customFormat="1" x14ac:dyDescent="0.25">
      <c r="A60" s="67" t="s">
        <v>60</v>
      </c>
      <c r="B60" s="38">
        <v>20798.64315</v>
      </c>
      <c r="C60" s="38">
        <v>22287.71746</v>
      </c>
      <c r="D60" s="17">
        <f>IF(OR(20798.64315="",22287.71746=""),"-",22287.71746/20798.64315*100)</f>
        <v>107.15947814124596</v>
      </c>
      <c r="E60" s="17">
        <f>IF(20798.64315="","-",20798.64315/5840607.31908*100)</f>
        <v>0.35610411749571547</v>
      </c>
      <c r="F60" s="17">
        <f>IF(22287.71746="","-",22287.71746/6911881.24719*100)</f>
        <v>0.32245515602660263</v>
      </c>
      <c r="G60" s="17">
        <f>IF(OR(5710724.73459="",11988.54764="",20798.64315=""),"-",(20798.64315-11988.54764)/5710724.73459*100)</f>
        <v>0.15427280983509914</v>
      </c>
      <c r="H60" s="17">
        <f>IF(OR(5840607.31908="",22287.71746="",20798.64315=""),"-",(22287.71746-20798.64315)/5840607.31908*100)</f>
        <v>2.5495196452182574E-2</v>
      </c>
    </row>
    <row r="61" spans="1:8" s="2" customFormat="1" x14ac:dyDescent="0.25">
      <c r="A61" s="67" t="s">
        <v>64</v>
      </c>
      <c r="B61" s="38">
        <v>32272.526379999999</v>
      </c>
      <c r="C61" s="38">
        <v>17846.034019999999</v>
      </c>
      <c r="D61" s="17">
        <f>IF(OR(32272.52638="",17846.03402=""),"-",17846.03402/32272.52638*100)</f>
        <v>55.297914423766905</v>
      </c>
      <c r="E61" s="17">
        <f>IF(32272.52638="","-",32272.52638/5840607.31908*100)</f>
        <v>0.5525542913075604</v>
      </c>
      <c r="F61" s="17">
        <f>IF(17846.03402="","-",17846.03402/6911881.24719*100)</f>
        <v>0.2581935855344048</v>
      </c>
      <c r="G61" s="17">
        <f>IF(OR(5710724.73459="",6792.09895="",32272.52638=""),"-",(32272.52638-6792.09895)/5710724.73459*100)</f>
        <v>0.44618553010731593</v>
      </c>
      <c r="H61" s="17">
        <f>IF(OR(5840607.31908="",17846.03402="",32272.52638=""),"-",(17846.03402-32272.52638)/5840607.31908*100)</f>
        <v>-0.24700329215545397</v>
      </c>
    </row>
    <row r="62" spans="1:8" s="2" customFormat="1" x14ac:dyDescent="0.25">
      <c r="A62" s="67" t="s">
        <v>286</v>
      </c>
      <c r="B62" s="38">
        <v>16845.55041</v>
      </c>
      <c r="C62" s="38">
        <v>15667.79378</v>
      </c>
      <c r="D62" s="17">
        <f>IF(OR(16845.55041="",15667.79378=""),"-",15667.79378/16845.55041*100)</f>
        <v>93.00850015977602</v>
      </c>
      <c r="E62" s="17">
        <f>IF(16845.55041="","-",16845.55041/5840607.31908*100)</f>
        <v>0.2884212118655749</v>
      </c>
      <c r="F62" s="17">
        <f>IF(15667.79378="","-",15667.79378/6911881.24719*100)</f>
        <v>0.22667915173411993</v>
      </c>
      <c r="G62" s="17">
        <f>IF(OR(5710724.73459="",14872.37744="",16845.55041=""),"-",(16845.55041-14872.37744)/5710724.73459*100)</f>
        <v>3.4552058831490207E-2</v>
      </c>
      <c r="H62" s="17">
        <f>IF(OR(5840607.31908="",15667.79378="",16845.55041=""),"-",(15667.79378-16845.55041)/5840607.31908*100)</f>
        <v>-2.0164968566753733E-2</v>
      </c>
    </row>
    <row r="63" spans="1:8" s="2" customFormat="1" x14ac:dyDescent="0.25">
      <c r="A63" s="67" t="s">
        <v>54</v>
      </c>
      <c r="B63" s="38">
        <v>60105.591200000003</v>
      </c>
      <c r="C63" s="38">
        <v>15281.16358</v>
      </c>
      <c r="D63" s="17">
        <f>IF(OR(60105.5912="",15281.16358=""),"-",15281.16358/60105.5912*100)</f>
        <v>25.423863695396108</v>
      </c>
      <c r="E63" s="17">
        <f>IF(60105.5912="","-",60105.5912/5840607.31908*100)</f>
        <v>1.0290983097536459</v>
      </c>
      <c r="F63" s="17">
        <f>IF(15281.16358="","-",15281.16358/6911881.24719*100)</f>
        <v>0.22108544741292396</v>
      </c>
      <c r="G63" s="17">
        <f>IF(OR(5710724.73459="",11678.80335="",60105.5912=""),"-",(60105.5912-11678.80335)/5710724.73459*100)</f>
        <v>0.8479972350387992</v>
      </c>
      <c r="H63" s="17">
        <f>IF(OR(5840607.31908="",15281.16358="",60105.5912=""),"-",(15281.16358-60105.5912)/5840607.31908*100)</f>
        <v>-0.76746175819025364</v>
      </c>
    </row>
    <row r="64" spans="1:8" s="2" customFormat="1" x14ac:dyDescent="0.25">
      <c r="A64" s="67" t="s">
        <v>67</v>
      </c>
      <c r="B64" s="38">
        <v>9991.0838100000001</v>
      </c>
      <c r="C64" s="38">
        <v>14352.17236</v>
      </c>
      <c r="D64" s="17">
        <f>IF(OR(9991.08381="",14352.17236=""),"-",14352.17236/9991.08381*100)</f>
        <v>143.64980449503406</v>
      </c>
      <c r="E64" s="17">
        <f>IF(9991.08381="","-",9991.08381/5840607.31908*100)</f>
        <v>0.17106241293369087</v>
      </c>
      <c r="F64" s="17">
        <f>IF(14352.17236="","-",14352.17236/6911881.24719*100)</f>
        <v>0.20764495000308089</v>
      </c>
      <c r="G64" s="17">
        <f>IF(OR(5710724.73459="",10911.28084="",9991.08381=""),"-",(9991.08381-10911.28084)/5710724.73459*100)</f>
        <v>-1.6113489491558636E-2</v>
      </c>
      <c r="H64" s="17">
        <f>IF(OR(5840607.31908="",14352.17236="",9991.08381=""),"-",(14352.17236-9991.08381)/5840607.31908*100)</f>
        <v>7.4668408810043913E-2</v>
      </c>
    </row>
    <row r="65" spans="1:8" s="2" customFormat="1" x14ac:dyDescent="0.25">
      <c r="A65" s="67" t="s">
        <v>294</v>
      </c>
      <c r="B65" s="38">
        <v>11721.40583</v>
      </c>
      <c r="C65" s="38">
        <v>13417.5494</v>
      </c>
      <c r="D65" s="17">
        <f>IF(OR(11721.40583="",13417.5494=""),"-",13417.5494/11721.40583*100)</f>
        <v>114.47047900738031</v>
      </c>
      <c r="E65" s="17">
        <f>IF(11721.40583="","-",11721.40583/5840607.31908*100)</f>
        <v>0.2006881337786347</v>
      </c>
      <c r="F65" s="17">
        <f>IF(13417.5494="","-",13417.5494/6911881.24719*100)</f>
        <v>0.19412297347346436</v>
      </c>
      <c r="G65" s="17">
        <f>IF(OR(5710724.73459="",7975.09005="",11721.40583=""),"-",(11721.40583-7975.09005)/5710724.73459*100)</f>
        <v>6.5601407073754989E-2</v>
      </c>
      <c r="H65" s="17">
        <f>IF(OR(5840607.31908="",13417.5494="",11721.40583=""),"-",(13417.5494-11721.40583)/5840607.31908*100)</f>
        <v>2.904053426874062E-2</v>
      </c>
    </row>
    <row r="66" spans="1:8" s="2" customFormat="1" x14ac:dyDescent="0.25">
      <c r="A66" s="67" t="s">
        <v>71</v>
      </c>
      <c r="B66" s="38">
        <v>10943.270769999999</v>
      </c>
      <c r="C66" s="38">
        <v>12869.12869</v>
      </c>
      <c r="D66" s="17">
        <f>IF(OR(10943.27077="",12869.12869=""),"-",12869.12869/10943.27077*100)</f>
        <v>117.59855860717225</v>
      </c>
      <c r="E66" s="17">
        <f>IF(10943.27077="","-",10943.27077/5840607.31908*100)</f>
        <v>0.18736528878171116</v>
      </c>
      <c r="F66" s="17">
        <f>IF(12869.12869="","-",12869.12869/6911881.24719*100)</f>
        <v>0.18618850975241941</v>
      </c>
      <c r="G66" s="17">
        <f>IF(OR(5710724.73459="",8840.53242="",10943.27077=""),"-",(10943.27077-8840.53242)/5710724.73459*100)</f>
        <v>3.6820866837857937E-2</v>
      </c>
      <c r="H66" s="17">
        <f>IF(OR(5840607.31908="",12869.12869="",10943.27077=""),"-",(12869.12869-10943.27077)/5840607.31908*100)</f>
        <v>3.2973590155746982E-2</v>
      </c>
    </row>
    <row r="67" spans="1:8" s="2" customFormat="1" x14ac:dyDescent="0.25">
      <c r="A67" s="67" t="s">
        <v>73</v>
      </c>
      <c r="B67" s="38">
        <v>9125.2435499999992</v>
      </c>
      <c r="C67" s="38">
        <v>12297.40178</v>
      </c>
      <c r="D67" s="17">
        <f>IF(OR(9125.24355="",12297.40178=""),"-",12297.40178/9125.24355*100)</f>
        <v>134.76245003893624</v>
      </c>
      <c r="E67" s="17">
        <f>IF(9125.24355="","-",9125.24355/5840607.31908*100)</f>
        <v>0.15623792272748424</v>
      </c>
      <c r="F67" s="17">
        <f>IF(12297.40178="","-",12297.40178/6911881.24719*100)</f>
        <v>0.17791685563173504</v>
      </c>
      <c r="G67" s="17">
        <f>IF(OR(5710724.73459="",7034.99132="",9125.24355=""),"-",(9125.24355-7034.99132)/5710724.73459*100)</f>
        <v>3.6602223485563752E-2</v>
      </c>
      <c r="H67" s="17">
        <f>IF(OR(5840607.31908="",12297.40178="",9125.24355=""),"-",(12297.40178-9125.24355)/5840607.31908*100)</f>
        <v>5.4312129830013503E-2</v>
      </c>
    </row>
    <row r="68" spans="1:8" s="2" customFormat="1" x14ac:dyDescent="0.25">
      <c r="A68" s="67" t="s">
        <v>98</v>
      </c>
      <c r="B68" s="38">
        <v>5382.0320000000002</v>
      </c>
      <c r="C68" s="38">
        <v>10896.07905</v>
      </c>
      <c r="D68" s="17" t="s">
        <v>275</v>
      </c>
      <c r="E68" s="17">
        <f>IF(5382.032="","-",5382.032/5840607.31908*100)</f>
        <v>9.2148499393514549E-2</v>
      </c>
      <c r="F68" s="17">
        <f>IF(10896.07905="","-",10896.07905/6911881.24719*100)</f>
        <v>0.1576427409604261</v>
      </c>
      <c r="G68" s="17">
        <f>IF(OR(5710724.73459="",7033.10923="",5382.032=""),"-",(5382.032-7033.10923)/5710724.73459*100)</f>
        <v>-2.8911868575968731E-2</v>
      </c>
      <c r="H68" s="17">
        <f>IF(OR(5840607.31908="",10896.07905="",5382.032=""),"-",(10896.07905-5382.032)/5840607.31908*100)</f>
        <v>9.44087960165855E-2</v>
      </c>
    </row>
    <row r="69" spans="1:8" s="2" customFormat="1" x14ac:dyDescent="0.25">
      <c r="A69" s="67" t="s">
        <v>281</v>
      </c>
      <c r="B69" s="38">
        <v>8249.9387100000004</v>
      </c>
      <c r="C69" s="38">
        <v>10472.841280000001</v>
      </c>
      <c r="D69" s="17">
        <f>IF(OR(8249.93871="",10472.84128=""),"-",10472.84128/8249.93871*100)</f>
        <v>126.94447374870255</v>
      </c>
      <c r="E69" s="17">
        <f>IF(8249.93871="","-",8249.93871/5840607.31908*100)</f>
        <v>0.14125138464709375</v>
      </c>
      <c r="F69" s="17">
        <f>IF(10472.84128="","-",10472.84128/6911881.24719*100)</f>
        <v>0.15151940413122256</v>
      </c>
      <c r="G69" s="17">
        <f>IF(OR(5710724.73459="",7901.82509="",8249.93871=""),"-",(8249.93871-7901.82509)/5710724.73459*100)</f>
        <v>6.0957870704477727E-3</v>
      </c>
      <c r="H69" s="17">
        <f>IF(OR(5840607.31908="",10472.84128="",8249.93871=""),"-",(10472.84128-8249.93871)/5840607.31908*100)</f>
        <v>3.8059442255915045E-2</v>
      </c>
    </row>
    <row r="70" spans="1:8" s="2" customFormat="1" x14ac:dyDescent="0.25">
      <c r="A70" s="47" t="s">
        <v>31</v>
      </c>
      <c r="B70" s="36">
        <v>6160.4308899999996</v>
      </c>
      <c r="C70" s="17">
        <v>9727.4177799999998</v>
      </c>
      <c r="D70" s="17">
        <f>IF(OR(6160.43089="",9727.41778=""),"-",9727.41778/6160.43089*100)</f>
        <v>157.90158113436769</v>
      </c>
      <c r="E70" s="17">
        <f>IF(6160.43089="","-",6160.43089/5840607.31908*100)</f>
        <v>0.10547586155767064</v>
      </c>
      <c r="F70" s="17">
        <f>IF(9727.41778="","-",9727.41778/6911881.24719*100)</f>
        <v>0.14073473533641287</v>
      </c>
      <c r="G70" s="17">
        <f>IF(OR(5710724.73459="",6164.35676="",6160.43089=""),"-",(6160.43089-6164.35676)/5710724.73459*100)</f>
        <v>-6.8745565273369623E-5</v>
      </c>
      <c r="H70" s="17">
        <f>IF(OR(5840607.31908="",9727.41778="",6160.43089=""),"-",(9727.41778-6160.43089)/5840607.31908*100)</f>
        <v>6.107219155698803E-2</v>
      </c>
    </row>
    <row r="71" spans="1:8" x14ac:dyDescent="0.25">
      <c r="A71" s="67" t="s">
        <v>285</v>
      </c>
      <c r="B71" s="38">
        <v>7077.7605800000001</v>
      </c>
      <c r="C71" s="38">
        <v>8666.2040199999992</v>
      </c>
      <c r="D71" s="17">
        <f>IF(OR(7077.76058="",8666.20402=""),"-",8666.20402/7077.76058*100)</f>
        <v>122.44274049744699</v>
      </c>
      <c r="E71" s="17">
        <f>IF(7077.76058="","-",7077.76058/5840607.31908*100)</f>
        <v>0.12118192840800115</v>
      </c>
      <c r="F71" s="17">
        <f>IF(8666.20402="","-",8666.20402/6911881.24719*100)</f>
        <v>0.12538126322009963</v>
      </c>
      <c r="G71" s="17">
        <f>IF(OR(5710724.73459="",6452.61535="",7077.76058=""),"-",(7077.76058-6452.61535)/5710724.73459*100)</f>
        <v>1.0946863297638566E-2</v>
      </c>
      <c r="H71" s="17">
        <f>IF(OR(5840607.31908="",8666.20402="",7077.76058=""),"-",(8666.20402-7077.76058)/5840607.31908*100)</f>
        <v>2.719654572240969E-2</v>
      </c>
    </row>
    <row r="72" spans="1:8" x14ac:dyDescent="0.25">
      <c r="A72" s="67" t="s">
        <v>63</v>
      </c>
      <c r="B72" s="38">
        <v>8555.5233100000005</v>
      </c>
      <c r="C72" s="38">
        <v>8023.7465599999996</v>
      </c>
      <c r="D72" s="17">
        <f>IF(OR(8555.52331="",8023.74656=""),"-",8023.74656/8555.52331*100)</f>
        <v>93.784404171064068</v>
      </c>
      <c r="E72" s="17">
        <f>IF(8555.52331="","-",8555.52331/5840607.31908*100)</f>
        <v>0.14648345356228554</v>
      </c>
      <c r="F72" s="17">
        <f>IF(8023.74656="","-",8023.74656/6911881.24719*100)</f>
        <v>0.11608629073686741</v>
      </c>
      <c r="G72" s="17">
        <f>IF(OR(5710724.73459="",8220.51681="",8555.52331=""),"-",(8555.52331-8220.51681)/5710724.73459*100)</f>
        <v>5.8662694416149802E-3</v>
      </c>
      <c r="H72" s="17">
        <f>IF(OR(5840607.31908="",8023.74656="",8555.52331=""),"-",(8023.74656-8555.52331)/5840607.31908*100)</f>
        <v>-9.1048194296987125E-3</v>
      </c>
    </row>
    <row r="73" spans="1:8" x14ac:dyDescent="0.25">
      <c r="A73" s="47" t="s">
        <v>85</v>
      </c>
      <c r="B73" s="36">
        <v>3922.3555999999999</v>
      </c>
      <c r="C73" s="17">
        <v>7345.6079200000004</v>
      </c>
      <c r="D73" s="17" t="s">
        <v>272</v>
      </c>
      <c r="E73" s="17">
        <f>IF(3922.3556="","-",3922.3556/5840607.31908*100)</f>
        <v>6.7156639467723045E-2</v>
      </c>
      <c r="F73" s="17">
        <f>IF(7345.60792="","-",7345.60792/6911881.24719*100)</f>
        <v>0.10627508860899962</v>
      </c>
      <c r="G73" s="17">
        <f>IF(OR(5710724.73459="",1970.49481="",3922.3556=""),"-",(3922.3556-1970.49481)/5710724.73459*100)</f>
        <v>3.4178863116576627E-2</v>
      </c>
      <c r="H73" s="17">
        <f>IF(OR(5840607.31908="",7345.60792="",3922.3556=""),"-",(7345.60792-3922.3556)/5840607.31908*100)</f>
        <v>5.8611239088390277E-2</v>
      </c>
    </row>
    <row r="74" spans="1:8" x14ac:dyDescent="0.25">
      <c r="A74" s="67" t="s">
        <v>78</v>
      </c>
      <c r="B74" s="38">
        <v>6089.1887900000002</v>
      </c>
      <c r="C74" s="38">
        <v>6864.9154900000003</v>
      </c>
      <c r="D74" s="17">
        <f>IF(OR(6089.18879="",6864.91549=""),"-",6864.91549/6089.18879*100)</f>
        <v>112.73940957905495</v>
      </c>
      <c r="E74" s="17">
        <f>IF(6089.18879="","-",6089.18879/5840607.31908*100)</f>
        <v>0.10425608943282214</v>
      </c>
      <c r="F74" s="17">
        <f>IF(6864.91549="","-",6864.91549/6911881.24719*100)</f>
        <v>9.9320506885023627E-2</v>
      </c>
      <c r="G74" s="17">
        <f>IF(OR(5710724.73459="",4002.33403="",6089.18879=""),"-",(6089.18879-4002.33403)/5710724.73459*100)</f>
        <v>3.6542730686350014E-2</v>
      </c>
      <c r="H74" s="17">
        <f>IF(OR(5840607.31908="",6864.91549="",6089.18879=""),"-",(6864.91549-6089.18879)/5840607.31908*100)</f>
        <v>1.3281610243953039E-2</v>
      </c>
    </row>
    <row r="75" spans="1:8" x14ac:dyDescent="0.25">
      <c r="A75" s="67" t="s">
        <v>72</v>
      </c>
      <c r="B75" s="38">
        <v>7665.1183199999996</v>
      </c>
      <c r="C75" s="38">
        <v>6861.86283</v>
      </c>
      <c r="D75" s="17">
        <f>IF(OR(7665.11832="",6861.86283=""),"-",6861.86283/7665.11832*100)</f>
        <v>89.520638084553411</v>
      </c>
      <c r="E75" s="17">
        <f>IF(7665.11832="","-",7665.11832/5840607.31908*100)</f>
        <v>0.1312383781556366</v>
      </c>
      <c r="F75" s="17">
        <f>IF(6861.86283="","-",6861.86283/6911881.24719*100)</f>
        <v>9.9276341485028632E-2</v>
      </c>
      <c r="G75" s="17">
        <f>IF(OR(5710724.73459="",8700.49527="",7665.11832=""),"-",(7665.11832-8700.49527)/5710724.73459*100)</f>
        <v>-1.8130394969463268E-2</v>
      </c>
      <c r="H75" s="17">
        <f>IF(OR(5840607.31908="",6861.86283="",7665.11832=""),"-",(6861.86283-7665.11832)/5840607.31908*100)</f>
        <v>-1.3752944618891563E-2</v>
      </c>
    </row>
    <row r="76" spans="1:8" x14ac:dyDescent="0.25">
      <c r="A76" s="47" t="s">
        <v>70</v>
      </c>
      <c r="B76" s="36">
        <v>3893.7161500000002</v>
      </c>
      <c r="C76" s="38">
        <v>6199.55141</v>
      </c>
      <c r="D76" s="17">
        <f>IF(OR(3893.71615="",6199.55141=""),"-",6199.55141/3893.71615*100)</f>
        <v>159.21939790089732</v>
      </c>
      <c r="E76" s="17">
        <f>IF(3893.71615="","-",3893.71615/5840607.31908*100)</f>
        <v>6.6666288919648348E-2</v>
      </c>
      <c r="F76" s="17">
        <f>IF(6199.55141="","-",6199.55141/6911881.24719*100)</f>
        <v>8.969412506212264E-2</v>
      </c>
      <c r="G76" s="17">
        <f>IF(OR(5710724.73459="",5564.96746="",3893.71615=""),"-",(3893.71615-5564.96746)/5710724.73459*100)</f>
        <v>-2.9265135121593053E-2</v>
      </c>
      <c r="H76" s="17">
        <f>IF(OR(5840607.31908="",6199.55141="",3893.71615=""),"-",(6199.55141-3893.71615)/5840607.31908*100)</f>
        <v>3.9479374901088368E-2</v>
      </c>
    </row>
    <row r="77" spans="1:8" x14ac:dyDescent="0.25">
      <c r="A77" s="67" t="s">
        <v>50</v>
      </c>
      <c r="B77" s="38">
        <v>4692.9178899999997</v>
      </c>
      <c r="C77" s="38">
        <v>5944.2309599999999</v>
      </c>
      <c r="D77" s="17">
        <f>IF(OR(4692.91789="",5944.23096=""),"-",5944.23096/4692.91789*100)</f>
        <v>126.66386029609396</v>
      </c>
      <c r="E77" s="17">
        <f>IF(4692.91789="","-",4692.91789/5840607.31908*100)</f>
        <v>8.0349827228912526E-2</v>
      </c>
      <c r="F77" s="17">
        <f>IF(5944.23096="","-",5944.23096/6911881.24719*100)</f>
        <v>8.6000189346664563E-2</v>
      </c>
      <c r="G77" s="17">
        <f>IF(OR(5710724.73459="",7407.34587="",4692.91789=""),"-",(4692.91789-7407.34587)/5710724.73459*100)</f>
        <v>-4.7532110303945198E-2</v>
      </c>
      <c r="H77" s="17">
        <f>IF(OR(5840607.31908="",5944.23096="",4692.91789=""),"-",(5944.23096-4692.91789)/5840607.31908*100)</f>
        <v>2.1424365680470098E-2</v>
      </c>
    </row>
    <row r="78" spans="1:8" x14ac:dyDescent="0.25">
      <c r="A78" s="67" t="s">
        <v>58</v>
      </c>
      <c r="B78" s="38">
        <v>4398.6795000000002</v>
      </c>
      <c r="C78" s="38">
        <v>5110.3517199999997</v>
      </c>
      <c r="D78" s="17">
        <f>IF(OR(4398.6795="",5110.35172=""),"-",5110.35172/4398.6795*100)</f>
        <v>116.1792242421845</v>
      </c>
      <c r="E78" s="17">
        <f>IF(4398.6795="","-",4398.6795/5840607.31908*100)</f>
        <v>7.5312022529411743E-2</v>
      </c>
      <c r="F78" s="17">
        <f>IF(5110.35172="","-",5110.35172/6911881.24719*100)</f>
        <v>7.3935756955859092E-2</v>
      </c>
      <c r="G78" s="17">
        <f>IF(OR(5710724.73459="",3434.55335="",4398.6795=""),"-",(4398.6795-3434.55335)/5710724.73459*100)</f>
        <v>1.6882728459319082E-2</v>
      </c>
      <c r="H78" s="17">
        <f>IF(OR(5840607.31908="",5110.35172="",4398.6795=""),"-",(5110.35172-4398.6795)/5840607.31908*100)</f>
        <v>1.2184901006358027E-2</v>
      </c>
    </row>
    <row r="79" spans="1:8" x14ac:dyDescent="0.25">
      <c r="A79" s="67" t="s">
        <v>69</v>
      </c>
      <c r="B79" s="38">
        <v>4923.6635299999998</v>
      </c>
      <c r="C79" s="38">
        <v>4751.3100100000001</v>
      </c>
      <c r="D79" s="17">
        <f>IF(OR(4923.66353="",4751.31001=""),"-",4751.31001/4923.66353*100)</f>
        <v>96.499486227077753</v>
      </c>
      <c r="E79" s="17">
        <f>IF(4923.66353="","-",4923.66353/5840607.31908*100)</f>
        <v>8.4300540355032205E-2</v>
      </c>
      <c r="F79" s="17">
        <f>IF(4751.31001="","-",4751.31001/6911881.24719*100)</f>
        <v>6.8741198525822875E-2</v>
      </c>
      <c r="G79" s="17">
        <f>IF(OR(5710724.73459="",3944.96221="",4923.66353=""),"-",(4923.66353-3944.96221)/5710724.73459*100)</f>
        <v>1.7137952982954716E-2</v>
      </c>
      <c r="H79" s="17">
        <f>IF(OR(5840607.31908="",4751.31001="",4923.66353=""),"-",(4751.31001-4923.66353)/5840607.31908*100)</f>
        <v>-2.9509520257757788E-3</v>
      </c>
    </row>
    <row r="80" spans="1:8" x14ac:dyDescent="0.25">
      <c r="A80" s="67" t="s">
        <v>75</v>
      </c>
      <c r="B80" s="38">
        <v>2942.9545400000002</v>
      </c>
      <c r="C80" s="38">
        <v>4510.9224100000001</v>
      </c>
      <c r="D80" s="17">
        <f>IF(OR(2942.95454="",4510.92241=""),"-",4510.92241/2942.95454*100)</f>
        <v>153.27869828393611</v>
      </c>
      <c r="E80" s="17">
        <f>IF(2942.95454="","-",2942.95454/5840607.31908*100)</f>
        <v>5.0387817211850636E-2</v>
      </c>
      <c r="F80" s="17">
        <f>IF(4510.92241="","-",4510.92241/6911881.24719*100)</f>
        <v>6.5263308912228493E-2</v>
      </c>
      <c r="G80" s="17">
        <f>IF(OR(5710724.73459="",2268.11024="",2942.95454=""),"-",(2942.95454-2268.11024)/5710724.73459*100)</f>
        <v>1.1817139353827576E-2</v>
      </c>
      <c r="H80" s="17">
        <f>IF(OR(5840607.31908="",4510.92241="",2942.95454=""),"-",(4510.92241-2942.95454)/5840607.31908*100)</f>
        <v>2.6845973104163128E-2</v>
      </c>
    </row>
    <row r="81" spans="1:8" x14ac:dyDescent="0.25">
      <c r="A81" s="67" t="s">
        <v>81</v>
      </c>
      <c r="B81" s="38">
        <v>3244.40796</v>
      </c>
      <c r="C81" s="38">
        <v>4328.4177200000004</v>
      </c>
      <c r="D81" s="17">
        <f>IF(OR(3244.40796="",4328.41772=""),"-",4328.41772/3244.40796*100)</f>
        <v>133.41163544673341</v>
      </c>
      <c r="E81" s="17">
        <f>IF(3244.40796="","-",3244.40796/5840607.31908*100)</f>
        <v>5.5549154099116059E-2</v>
      </c>
      <c r="F81" s="17">
        <f>IF(4328.41772="","-",4328.41772/6911881.24719*100)</f>
        <v>6.2622860046383219E-2</v>
      </c>
      <c r="G81" s="17">
        <f>IF(OR(5710724.73459="",2467.52043="",3244.40796=""),"-",(3244.40796-2467.52043)/5710724.73459*100)</f>
        <v>1.3604009405222654E-2</v>
      </c>
      <c r="H81" s="17">
        <f>IF(OR(5840607.31908="",4328.41772="",3244.40796=""),"-",(4328.41772-3244.40796)/5840607.31908*100)</f>
        <v>1.8559880861340826E-2</v>
      </c>
    </row>
    <row r="82" spans="1:8" x14ac:dyDescent="0.25">
      <c r="A82" s="67" t="s">
        <v>55</v>
      </c>
      <c r="B82" s="38">
        <v>2940.9263900000001</v>
      </c>
      <c r="C82" s="38">
        <v>4218.4893199999997</v>
      </c>
      <c r="D82" s="17">
        <f>IF(OR(2940.92639="",4218.48932=""),"-",4218.48932/2940.92639*100)</f>
        <v>143.4408332811077</v>
      </c>
      <c r="E82" s="17">
        <f>IF(2940.92639="","-",2940.92639/5840607.31908*100)</f>
        <v>5.0353092227115322E-2</v>
      </c>
      <c r="F82" s="17">
        <f>IF(4218.48932="","-",4218.48932/6911881.24719*100)</f>
        <v>6.1032433416228202E-2</v>
      </c>
      <c r="G82" s="17">
        <f>IF(OR(5710724.73459="",1870.86632="",2940.92639=""),"-",(2940.92639-1870.86632)/5710724.73459*100)</f>
        <v>1.87377280420928E-2</v>
      </c>
      <c r="H82" s="17">
        <f>IF(OR(5840607.31908="",4218.48932="",2940.92639=""),"-",(4218.48932-2940.92639)/5840607.31908*100)</f>
        <v>2.1873802846263574E-2</v>
      </c>
    </row>
    <row r="83" spans="1:8" x14ac:dyDescent="0.25">
      <c r="A83" s="67" t="s">
        <v>317</v>
      </c>
      <c r="B83" s="38">
        <v>3073.7745100000002</v>
      </c>
      <c r="C83" s="38">
        <v>3752.6027899999999</v>
      </c>
      <c r="D83" s="17">
        <f>IF(OR(3073.77451="",3752.60279=""),"-",3752.60279/3073.77451*100)</f>
        <v>122.08451783927376</v>
      </c>
      <c r="E83" s="17">
        <f>IF(3073.77451="","-",3073.77451/5840607.31908*100)</f>
        <v>5.2627652264151441E-2</v>
      </c>
      <c r="F83" s="17">
        <f>IF(3752.60279="","-",3752.60279/6911881.24719*100)</f>
        <v>5.4292061101680625E-2</v>
      </c>
      <c r="G83" s="17">
        <f>IF(OR(5710724.73459="",4310.15267="",3073.77451=""),"-",(3073.77451-4310.15267)/5710724.73459*100)</f>
        <v>-2.1650109530078163E-2</v>
      </c>
      <c r="H83" s="17">
        <f>IF(OR(5840607.31908="",3752.60279="",3073.77451=""),"-",(3752.60279-3073.77451)/5840607.31908*100)</f>
        <v>1.1622563252667487E-2</v>
      </c>
    </row>
    <row r="84" spans="1:8" x14ac:dyDescent="0.25">
      <c r="A84" s="67" t="s">
        <v>76</v>
      </c>
      <c r="B84" s="38">
        <v>3438.3395</v>
      </c>
      <c r="C84" s="38">
        <v>3737.06952</v>
      </c>
      <c r="D84" s="17">
        <f>IF(OR(3438.3395="",3737.06952=""),"-",3737.06952/3438.3395*100)</f>
        <v>108.68820603666391</v>
      </c>
      <c r="E84" s="17">
        <f>IF(3438.3395="","-",3438.3395/5840607.31908*100)</f>
        <v>5.886955434870085E-2</v>
      </c>
      <c r="F84" s="17">
        <f>IF(3737.06952="","-",3737.06952/6911881.24719*100)</f>
        <v>5.406732821862778E-2</v>
      </c>
      <c r="G84" s="17">
        <f>IF(OR(5710724.73459="",3127.54777="",3438.3395=""),"-",(3438.3395-3127.54777)/5710724.73459*100)</f>
        <v>5.4422467277669122E-3</v>
      </c>
      <c r="H84" s="17">
        <f>IF(OR(5840607.31908="",3737.06952="",3438.3395=""),"-",(3737.06952-3438.3395)/5840607.31908*100)</f>
        <v>5.1147081746809727E-3</v>
      </c>
    </row>
    <row r="85" spans="1:8" x14ac:dyDescent="0.25">
      <c r="A85" s="67" t="s">
        <v>99</v>
      </c>
      <c r="B85" s="38">
        <v>1815.36808</v>
      </c>
      <c r="C85" s="38">
        <v>3664.36661</v>
      </c>
      <c r="D85" s="17" t="s">
        <v>275</v>
      </c>
      <c r="E85" s="17">
        <f>IF(1815.36808="","-",1815.36808/5840607.31908*100)</f>
        <v>3.1081837569692201E-2</v>
      </c>
      <c r="F85" s="17">
        <f>IF(3664.36661="","-",3664.36661/6911881.24719*100)</f>
        <v>5.3015474064889857E-2</v>
      </c>
      <c r="G85" s="17">
        <f>IF(OR(5710724.73459="",822.16266="",1815.36808=""),"-",(1815.36808-822.16266)/5710724.73459*100)</f>
        <v>1.7391933006053163E-2</v>
      </c>
      <c r="H85" s="17">
        <f>IF(OR(5840607.31908="",3664.36661="",1815.36808=""),"-",(3664.36661-1815.36808)/5840607.31908*100)</f>
        <v>3.1657641559974803E-2</v>
      </c>
    </row>
    <row r="86" spans="1:8" x14ac:dyDescent="0.25">
      <c r="A86" s="67" t="s">
        <v>321</v>
      </c>
      <c r="B86" s="38">
        <v>1273.2370699999999</v>
      </c>
      <c r="C86" s="38">
        <v>3387.9417400000002</v>
      </c>
      <c r="D86" s="17" t="s">
        <v>349</v>
      </c>
      <c r="E86" s="17">
        <f>IF(1273.23707="","-",1273.23707/5840607.31908*100)</f>
        <v>2.17997376033244E-2</v>
      </c>
      <c r="F86" s="17">
        <f>IF(3387.94174="","-",3387.94174/6911881.24719*100)</f>
        <v>4.9016202953101308E-2</v>
      </c>
      <c r="G86" s="17">
        <f>IF(OR(5710724.73459="",755.17008="",1273.23707=""),"-",(1273.23707-755.17008)/5710724.73459*100)</f>
        <v>9.0718256277010773E-3</v>
      </c>
      <c r="H86" s="17">
        <f>IF(OR(5840607.31908="",3387.94174="",1273.23707=""),"-",(3387.94174-1273.23707)/5840607.31908*100)</f>
        <v>3.6206931136967858E-2</v>
      </c>
    </row>
    <row r="87" spans="1:8" x14ac:dyDescent="0.25">
      <c r="A87" s="47" t="s">
        <v>316</v>
      </c>
      <c r="B87" s="36">
        <v>3741.3472000000002</v>
      </c>
      <c r="C87" s="38">
        <v>3316.5614099999998</v>
      </c>
      <c r="D87" s="17">
        <f>IF(OR(3741.3472="",3316.56141=""),"-",3316.56141/3741.3472*100)</f>
        <v>88.646180979942187</v>
      </c>
      <c r="E87" s="17">
        <f>IF(3741.3472="","-",3741.3472/5840607.31908*100)</f>
        <v>6.4057502852106304E-2</v>
      </c>
      <c r="F87" s="17">
        <f>IF(3316.56141="","-",3316.56141/6911881.24719*100)</f>
        <v>4.7983483676724566E-2</v>
      </c>
      <c r="G87" s="17">
        <f>IF(OR(5710724.73459="",3622.6907="",3741.3472=""),"-",(3741.3472-3622.6907)/5710724.73459*100)</f>
        <v>2.0777835653904789E-3</v>
      </c>
      <c r="H87" s="17">
        <f>IF(OR(5840607.31908="",3316.56141="",3741.3472=""),"-",(3316.56141-3741.3472)/5840607.31908*100)</f>
        <v>-7.2729729425965199E-3</v>
      </c>
    </row>
    <row r="88" spans="1:8" x14ac:dyDescent="0.25">
      <c r="A88" s="67" t="s">
        <v>62</v>
      </c>
      <c r="B88" s="38">
        <v>3353.5535</v>
      </c>
      <c r="C88" s="38">
        <v>3256.92929</v>
      </c>
      <c r="D88" s="17">
        <f>IF(OR(3353.5535="",3256.92929=""),"-",3256.92929/3353.5535*100)</f>
        <v>97.118751497478712</v>
      </c>
      <c r="E88" s="17">
        <f>IF(3353.5535="","-",3353.5535/5840607.31908*100)</f>
        <v>5.7417890243103092E-2</v>
      </c>
      <c r="F88" s="17">
        <f>IF(3256.92929="","-",3256.92929/6911881.24719*100)</f>
        <v>4.7120735636540234E-2</v>
      </c>
      <c r="G88" s="17">
        <f>IF(OR(5710724.73459="",2319.65609="",3353.5535=""),"-",(3353.5535-2319.65609)/5710724.73459*100)</f>
        <v>1.8104486874278115E-2</v>
      </c>
      <c r="H88" s="17">
        <f>IF(OR(5840607.31908="",3256.92929="",3353.5535=""),"-",(3256.92929-3353.5535)/5840607.31908*100)</f>
        <v>-1.6543521028087194E-3</v>
      </c>
    </row>
    <row r="89" spans="1:8" x14ac:dyDescent="0.25">
      <c r="A89" s="67" t="s">
        <v>282</v>
      </c>
      <c r="B89" s="38">
        <v>4414.7901300000003</v>
      </c>
      <c r="C89" s="38">
        <v>3141.5897</v>
      </c>
      <c r="D89" s="17">
        <f>IF(OR(4414.79013="",3141.5897=""),"-",3141.5897/4414.79013*100)</f>
        <v>71.160567263477134</v>
      </c>
      <c r="E89" s="17">
        <f>IF(4414.79013="","-",4414.79013/5840607.31908*100)</f>
        <v>7.5587860796219541E-2</v>
      </c>
      <c r="F89" s="17">
        <f>IF(3141.5897="","-",3141.5897/6911881.24719*100)</f>
        <v>4.5452020768979529E-2</v>
      </c>
      <c r="G89" s="17">
        <f>IF(OR(5710724.73459="",1180.43618="",4414.79013=""),"-",(4414.79013-1180.43618)/5710724.73459*100)</f>
        <v>5.6636488367394766E-2</v>
      </c>
      <c r="H89" s="17">
        <f>IF(OR(5840607.31908="",3141.5897="",4414.79013=""),"-",(3141.5897-4414.79013)/5840607.31908*100)</f>
        <v>-2.1799110271302269E-2</v>
      </c>
    </row>
    <row r="90" spans="1:8" x14ac:dyDescent="0.25">
      <c r="A90" s="67" t="s">
        <v>77</v>
      </c>
      <c r="B90" s="38">
        <v>2877.2165799999998</v>
      </c>
      <c r="C90" s="38">
        <v>3094.7608799999998</v>
      </c>
      <c r="D90" s="17">
        <f>IF(OR(2877.21658="",3094.76088=""),"-",3094.76088/2877.21658*100)</f>
        <v>107.5609289030303</v>
      </c>
      <c r="E90" s="17">
        <f>IF(2877.21658="","-",2877.21658/5840607.31908*100)</f>
        <v>4.9262284259391248E-2</v>
      </c>
      <c r="F90" s="17">
        <f>IF(3094.76088="","-",3094.76088/6911881.24719*100)</f>
        <v>4.477450883951694E-2</v>
      </c>
      <c r="G90" s="17">
        <f>IF(OR(5710724.73459="",1985.49573="",2877.21658=""),"-",(2877.21658-1985.49573)/5710724.73459*100)</f>
        <v>1.5614845600923901E-2</v>
      </c>
      <c r="H90" s="17">
        <f>IF(OR(5840607.31908="",3094.76088="",2877.21658=""),"-",(3094.76088-2877.21658)/5840607.31908*100)</f>
        <v>3.7246862888612609E-3</v>
      </c>
    </row>
    <row r="91" spans="1:8" x14ac:dyDescent="0.25">
      <c r="A91" s="67" t="s">
        <v>30</v>
      </c>
      <c r="B91" s="38">
        <v>1727.11149</v>
      </c>
      <c r="C91" s="38">
        <v>3022.098</v>
      </c>
      <c r="D91" s="17" t="s">
        <v>271</v>
      </c>
      <c r="E91" s="17">
        <f>IF(1727.11149="","-",1727.11149/5840607.31908*100)</f>
        <v>2.957075173257926E-2</v>
      </c>
      <c r="F91" s="17">
        <f>IF(3022.098="","-",3022.098/6911881.24719*100)</f>
        <v>4.3723233833460648E-2</v>
      </c>
      <c r="G91" s="17">
        <f>IF(OR(5710724.73459="",2583.54008="",1727.11149=""),"-",(1727.11149-2583.54008)/5710724.73459*100)</f>
        <v>-1.4996845931175621E-2</v>
      </c>
      <c r="H91" s="17">
        <f>IF(OR(5840607.31908="",3022.098="",1727.11149=""),"-",(3022.098-1727.11149)/5840607.31908*100)</f>
        <v>2.217212079588983E-2</v>
      </c>
    </row>
    <row r="92" spans="1:8" x14ac:dyDescent="0.25">
      <c r="A92" s="67" t="s">
        <v>79</v>
      </c>
      <c r="B92" s="38">
        <v>2636.34638</v>
      </c>
      <c r="C92" s="38">
        <v>2943.8057100000001</v>
      </c>
      <c r="D92" s="17">
        <f>IF(OR(2636.34638="",2943.80571=""),"-",2943.80571/2636.34638*100)</f>
        <v>111.66232678423691</v>
      </c>
      <c r="E92" s="17">
        <f>IF(2636.34638="","-",2636.34638/5840607.31908*100)</f>
        <v>4.5138223406795852E-2</v>
      </c>
      <c r="F92" s="17">
        <f>IF(2943.80571="","-",2943.80571/6911881.24719*100)</f>
        <v>4.2590513417700766E-2</v>
      </c>
      <c r="G92" s="17">
        <f>IF(OR(5710724.73459="",920.43261="",2636.34638=""),"-",(2636.34638-920.43261)/5710724.73459*100)</f>
        <v>3.0047215541779988E-2</v>
      </c>
      <c r="H92" s="17">
        <f>IF(OR(5840607.31908="",2943.80571="",2636.34638=""),"-",(2943.80571-2636.34638)/5840607.31908*100)</f>
        <v>5.2641671182994459E-3</v>
      </c>
    </row>
    <row r="93" spans="1:8" x14ac:dyDescent="0.25">
      <c r="A93" s="67" t="s">
        <v>104</v>
      </c>
      <c r="B93" s="38">
        <v>2371.8460300000002</v>
      </c>
      <c r="C93" s="38">
        <v>2830.02855</v>
      </c>
      <c r="D93" s="17">
        <f>IF(OR(2371.84603="",2830.02855=""),"-",2830.02855/2371.84603*100)</f>
        <v>119.31754904006142</v>
      </c>
      <c r="E93" s="17">
        <f>IF(2371.84603="","-",2371.84603/5840607.31908*100)</f>
        <v>4.0609578771914567E-2</v>
      </c>
      <c r="F93" s="17">
        <f>IF(2830.02855="","-",2830.02855/6911881.24719*100)</f>
        <v>4.0944403539203429E-2</v>
      </c>
      <c r="G93" s="17">
        <f>IF(OR(5710724.73459="",1541.31126="",2371.84603=""),"-",(2371.84603-1541.31126)/5710724.73459*100)</f>
        <v>1.4543421520029335E-2</v>
      </c>
      <c r="H93" s="17">
        <f>IF(OR(5840607.31908="",2830.02855="",2371.84603=""),"-",(2830.02855-2371.84603)/5840607.31908*100)</f>
        <v>7.8447752942269675E-3</v>
      </c>
    </row>
    <row r="94" spans="1:8" x14ac:dyDescent="0.25">
      <c r="A94" s="47" t="s">
        <v>80</v>
      </c>
      <c r="B94" s="36">
        <v>1763.53088</v>
      </c>
      <c r="C94" s="38">
        <v>2041.30205</v>
      </c>
      <c r="D94" s="17">
        <f>IF(OR(1763.53088="",2041.30205=""),"-",2041.30205/1763.53088*100)</f>
        <v>115.75085376446599</v>
      </c>
      <c r="E94" s="17">
        <f>IF(1763.53088="","-",1763.53088/5840607.31908*100)</f>
        <v>3.0194306579025203E-2</v>
      </c>
      <c r="F94" s="17">
        <f>IF(2041.30205="","-",2041.30205/6911881.24719*100)</f>
        <v>2.9533233818649359E-2</v>
      </c>
      <c r="G94" s="17">
        <f>IF(OR(5710724.73459="",1070.95048="",1763.53088=""),"-",(1763.53088-1070.95048)/5710724.73459*100)</f>
        <v>1.2127714645481397E-2</v>
      </c>
      <c r="H94" s="17">
        <f>IF(OR(5840607.31908="",2041.30205="",1763.53088=""),"-",(2041.30205-1763.53088)/5840607.31908*100)</f>
        <v>4.7558610744567898E-3</v>
      </c>
    </row>
    <row r="95" spans="1:8" x14ac:dyDescent="0.25">
      <c r="A95" s="67" t="s">
        <v>74</v>
      </c>
      <c r="B95" s="38">
        <v>1613.78054</v>
      </c>
      <c r="C95" s="38">
        <v>1792.6898000000001</v>
      </c>
      <c r="D95" s="17">
        <f>IF(OR(1613.78054="",1792.6898=""),"-",1792.6898/1613.78054*100)</f>
        <v>111.08634387176339</v>
      </c>
      <c r="E95" s="17">
        <f>IF(1613.78054="","-",1613.78054/5840607.31908*100)</f>
        <v>2.7630355061332889E-2</v>
      </c>
      <c r="F95" s="17">
        <f>IF(1792.6898="","-",1792.6898/6911881.24719*100)</f>
        <v>2.5936351275259707E-2</v>
      </c>
      <c r="G95" s="17">
        <f>IF(OR(5710724.73459="",1615.02762="",1613.78054=""),"-",(1613.78054-1615.02762)/5710724.73459*100)</f>
        <v>-2.1837508511774387E-5</v>
      </c>
      <c r="H95" s="17">
        <f>IF(OR(5840607.31908="",1792.6898="",1613.78054=""),"-",(1792.6898-1613.78054)/5840607.31908*100)</f>
        <v>3.0631961750885446E-3</v>
      </c>
    </row>
    <row r="96" spans="1:8" x14ac:dyDescent="0.25">
      <c r="A96" s="47" t="s">
        <v>254</v>
      </c>
      <c r="B96" s="36">
        <v>1411.55647</v>
      </c>
      <c r="C96" s="17">
        <v>1536.89877</v>
      </c>
      <c r="D96" s="17">
        <f>IF(OR(1411.55647="",1536.89877=""),"-",1536.89877/1411.55647*100)</f>
        <v>108.87972267946178</v>
      </c>
      <c r="E96" s="17">
        <f>IF(1411.55647="","-",1411.55647/5840607.31908*100)</f>
        <v>2.4167974200024551E-2</v>
      </c>
      <c r="F96" s="17">
        <f>IF(1536.89877="","-",1536.89877/6911881.24719*100)</f>
        <v>2.2235607283108642E-2</v>
      </c>
      <c r="G96" s="17">
        <f>IF(OR(5710724.73459="",1304.12369="",1411.55647=""),"-",(1411.55647-1304.12369)/5710724.73459*100)</f>
        <v>1.8812459887845253E-3</v>
      </c>
      <c r="H96" s="17">
        <f>IF(OR(5840607.31908="",1536.89877="",1411.55647=""),"-",(1536.89877-1411.55647)/5840607.31908*100)</f>
        <v>2.1460490862060502E-3</v>
      </c>
    </row>
    <row r="97" spans="1:8" x14ac:dyDescent="0.25">
      <c r="A97" s="67" t="s">
        <v>96</v>
      </c>
      <c r="B97" s="38">
        <v>534.74075000000005</v>
      </c>
      <c r="C97" s="38">
        <v>1473.9289000000001</v>
      </c>
      <c r="D97" s="17" t="s">
        <v>345</v>
      </c>
      <c r="E97" s="17">
        <f>IF(534.74075="","-",534.74075/5840607.31908*100)</f>
        <v>9.1555675769045084E-3</v>
      </c>
      <c r="F97" s="17">
        <f>IF(1473.9289="","-",1473.9289/6911881.24719*100)</f>
        <v>2.1324569206093068E-2</v>
      </c>
      <c r="G97" s="17">
        <f>IF(OR(5710724.73459="",408.26361="",534.74075=""),"-",(534.74075-408.26361)/5710724.73459*100)</f>
        <v>2.2147301065646692E-3</v>
      </c>
      <c r="H97" s="17">
        <f>IF(OR(5840607.31908="",1473.9289="",534.74075=""),"-",(1473.9289-534.74075)/5840607.31908*100)</f>
        <v>1.6080316629605892E-2</v>
      </c>
    </row>
    <row r="98" spans="1:8" x14ac:dyDescent="0.25">
      <c r="A98" s="67" t="s">
        <v>57</v>
      </c>
      <c r="B98" s="38">
        <v>1262.44904</v>
      </c>
      <c r="C98" s="38">
        <v>1307.9188099999999</v>
      </c>
      <c r="D98" s="17">
        <f>IF(OR(1262.44904="",1307.91881=""),"-",1307.91881/1262.44904*100)</f>
        <v>103.6017113213536</v>
      </c>
      <c r="E98" s="17">
        <f>IF(1262.44904="","-",1262.44904/5840607.31908*100)</f>
        <v>2.161503027049691E-2</v>
      </c>
      <c r="F98" s="17">
        <f>IF(1307.91881="","-",1307.91881/6911881.24719*100)</f>
        <v>1.8922761593042844E-2</v>
      </c>
      <c r="G98" s="17">
        <f>IF(OR(5710724.73459="",1966.51254="",1262.44904=""),"-",(1262.44904-1966.51254)/5710724.73459*100)</f>
        <v>-1.2328794202519868E-2</v>
      </c>
      <c r="H98" s="17">
        <f>IF(OR(5840607.31908="",1307.91881="",1262.44904=""),"-",(1307.91881-1262.44904)/5840607.31908*100)</f>
        <v>7.7851099236649643E-4</v>
      </c>
    </row>
    <row r="99" spans="1:8" x14ac:dyDescent="0.25">
      <c r="A99" s="67" t="s">
        <v>324</v>
      </c>
      <c r="B99" s="38">
        <v>1013.4340099999999</v>
      </c>
      <c r="C99" s="38">
        <v>1280.0445299999999</v>
      </c>
      <c r="D99" s="17">
        <f>IF(OR(1013.43401="",1280.04453=""),"-",1280.04453/1013.43401*100)</f>
        <v>126.30763496875342</v>
      </c>
      <c r="E99" s="17">
        <f>IF(1013.43401="","-",1013.43401/5840607.31908*100)</f>
        <v>1.7351517652784677E-2</v>
      </c>
      <c r="F99" s="17">
        <f>IF(1280.04453="","-",1280.04453/6911881.24719*100)</f>
        <v>1.8519480937558026E-2</v>
      </c>
      <c r="G99" s="17">
        <f>IF(OR(5710724.73459="",927.64164="",1013.43401=""),"-",(1013.43401-927.64164)/5710724.73459*100)</f>
        <v>1.5023026671265279E-3</v>
      </c>
      <c r="H99" s="17">
        <f>IF(OR(5840607.31908="",1280.04453="",1013.43401=""),"-",(1280.04453-1013.43401)/5840607.31908*100)</f>
        <v>4.5647739256334027E-3</v>
      </c>
    </row>
    <row r="100" spans="1:8" x14ac:dyDescent="0.25">
      <c r="A100" s="67" t="s">
        <v>323</v>
      </c>
      <c r="B100" s="38">
        <v>264.09573999999998</v>
      </c>
      <c r="C100" s="38">
        <v>1078.68786</v>
      </c>
      <c r="D100" s="17" t="s">
        <v>391</v>
      </c>
      <c r="E100" s="17">
        <f>IF(264.09574="","-",264.09574/5840607.31908*100)</f>
        <v>4.5217171018715188E-3</v>
      </c>
      <c r="F100" s="17">
        <f>IF(1078.68786="","-",1078.68786/6911881.24719*100)</f>
        <v>1.560628461952434E-2</v>
      </c>
      <c r="G100" s="17">
        <f>IF(OR(5710724.73459="",311.51219="",264.09574=""),"-",(264.09574-311.51219)/5710724.73459*100)</f>
        <v>-8.3030529755352071E-4</v>
      </c>
      <c r="H100" s="17">
        <f>IF(OR(5840607.31908="",1078.68786="",264.09574=""),"-",(1078.68786-264.09574)/5840607.31908*100)</f>
        <v>1.3947044810543999E-2</v>
      </c>
    </row>
    <row r="101" spans="1:8" x14ac:dyDescent="0.25">
      <c r="A101" s="67" t="s">
        <v>82</v>
      </c>
      <c r="B101" s="38">
        <v>873.29974000000004</v>
      </c>
      <c r="C101" s="38">
        <v>1050.46893</v>
      </c>
      <c r="D101" s="17">
        <f>IF(OR(873.29974="",1050.46893=""),"-",1050.46893/873.29974*100)</f>
        <v>120.28732883854975</v>
      </c>
      <c r="E101" s="17">
        <f>IF(873.29974="","-",873.29974/5840607.31908*100)</f>
        <v>1.4952207746395118E-2</v>
      </c>
      <c r="F101" s="17">
        <f>IF(1050.46893="","-",1050.46893/6911881.24719*100)</f>
        <v>1.5198017622583784E-2</v>
      </c>
      <c r="G101" s="17">
        <f>IF(OR(5710724.73459="",804.44309="",873.29974=""),"-",(873.29974-804.44309)/5710724.73459*100)</f>
        <v>1.2057427594598222E-3</v>
      </c>
      <c r="H101" s="17">
        <f>IF(OR(5840607.31908="",1050.46893="",873.29974=""),"-",(1050.46893-873.29974)/5840607.31908*100)</f>
        <v>3.0334035541342858E-3</v>
      </c>
    </row>
    <row r="102" spans="1:8" x14ac:dyDescent="0.25">
      <c r="A102" s="67" t="s">
        <v>49</v>
      </c>
      <c r="B102" s="38">
        <v>844.53923999999995</v>
      </c>
      <c r="C102" s="38">
        <v>1010.15227</v>
      </c>
      <c r="D102" s="17">
        <f>IF(OR(844.53924="",1010.15227=""),"-",1010.15227/844.53924*100)</f>
        <v>119.60986797960982</v>
      </c>
      <c r="E102" s="17">
        <f>IF(844.53924="","-",844.53924/5840607.31908*100)</f>
        <v>1.4459784639879368E-2</v>
      </c>
      <c r="F102" s="17">
        <f>IF(1010.15227="","-",1010.15227/6911881.24719*100)</f>
        <v>1.4614722589608638E-2</v>
      </c>
      <c r="G102" s="17" t="str">
        <f>IF(OR(5710724.73459="",""="",844.53924=""),"-",(844.53924-"")/5710724.73459*100)</f>
        <v>-</v>
      </c>
      <c r="H102" s="17">
        <f>IF(OR(5840607.31908="",1010.15227="",844.53924=""),"-",(1010.15227-844.53924)/5840607.31908*100)</f>
        <v>2.8355446780162427E-3</v>
      </c>
    </row>
    <row r="103" spans="1:8" x14ac:dyDescent="0.25">
      <c r="A103" s="67" t="s">
        <v>318</v>
      </c>
      <c r="B103" s="38">
        <v>1456.9321199999999</v>
      </c>
      <c r="C103" s="38">
        <v>926.57057999999995</v>
      </c>
      <c r="D103" s="17">
        <f>IF(OR(1456.93212="",926.57058=""),"-",926.57058/1456.93212*100)</f>
        <v>63.59737473561912</v>
      </c>
      <c r="E103" s="17">
        <f>IF(1456.93212="","-",1456.93212/5840607.31908*100)</f>
        <v>2.4944873716137669E-2</v>
      </c>
      <c r="F103" s="17">
        <f>IF(926.57058="","-",926.57058/6911881.24719*100)</f>
        <v>1.340547597481791E-2</v>
      </c>
      <c r="G103" s="17">
        <f>IF(OR(5710724.73459="",10.86558="",1456.93212=""),"-",(1456.93212-10.86558)/5710724.73459*100)</f>
        <v>2.532194436270303E-2</v>
      </c>
      <c r="H103" s="17">
        <f>IF(OR(5840607.31908="",926.57058="",1456.93212=""),"-",(926.57058-1456.93212)/5840607.31908*100)</f>
        <v>-9.0805889015586391E-3</v>
      </c>
    </row>
    <row r="104" spans="1:8" x14ac:dyDescent="0.25">
      <c r="A104" s="67" t="s">
        <v>84</v>
      </c>
      <c r="B104" s="38">
        <v>744.52587000000005</v>
      </c>
      <c r="C104" s="38">
        <v>893.84457999999995</v>
      </c>
      <c r="D104" s="17">
        <f>IF(OR(744.52587="",893.84458=""),"-",893.84458/744.52587*100)</f>
        <v>120.05554353672088</v>
      </c>
      <c r="E104" s="17">
        <f>IF(744.52587="","-",744.52587/5840607.31908*100)</f>
        <v>1.2747405009883049E-2</v>
      </c>
      <c r="F104" s="17">
        <f>IF(893.84458="","-",893.84458/6911881.24719*100)</f>
        <v>1.2932001405021092E-2</v>
      </c>
      <c r="G104" s="17">
        <f>IF(OR(5710724.73459="",497.97="",744.52587=""),"-",(744.52587-497.97)/5710724.73459*100)</f>
        <v>4.3174182167563619E-3</v>
      </c>
      <c r="H104" s="17">
        <f>IF(OR(5840607.31908="",893.84458="",744.52587=""),"-",(893.84458-744.52587)/5840607.31908*100)</f>
        <v>2.5565613615592337E-3</v>
      </c>
    </row>
    <row r="105" spans="1:8" x14ac:dyDescent="0.25">
      <c r="A105" s="67" t="s">
        <v>354</v>
      </c>
      <c r="B105" s="38">
        <v>45.253830000000001</v>
      </c>
      <c r="C105" s="38">
        <v>775.13327000000004</v>
      </c>
      <c r="D105" s="17" t="s">
        <v>392</v>
      </c>
      <c r="E105" s="17">
        <f>IF(45.25383="","-",45.25383/5840607.31908*100)</f>
        <v>7.7481377411156441E-4</v>
      </c>
      <c r="F105" s="17">
        <f>IF(775.13327="","-",775.13327/6911881.24719*100)</f>
        <v>1.1214505028064937E-2</v>
      </c>
      <c r="G105" s="17">
        <f>IF(OR(5710724.73459="",4.29906="",45.25383=""),"-",(45.25383-4.29906)/5710724.73459*100)</f>
        <v>7.1715538575928836E-4</v>
      </c>
      <c r="H105" s="17">
        <f>IF(OR(5840607.31908="",775.13327="",45.25383=""),"-",(775.13327-45.25383)/5840607.31908*100)</f>
        <v>1.2496636053850802E-2</v>
      </c>
    </row>
    <row r="106" spans="1:8" x14ac:dyDescent="0.25">
      <c r="A106" s="67" t="s">
        <v>105</v>
      </c>
      <c r="B106" s="38">
        <v>48.191870000000002</v>
      </c>
      <c r="C106" s="38">
        <v>711.33104000000003</v>
      </c>
      <c r="D106" s="17" t="s">
        <v>363</v>
      </c>
      <c r="E106" s="17">
        <f>IF(48.19187="","-",48.19187/5840607.31908*100)</f>
        <v>8.2511744699164411E-4</v>
      </c>
      <c r="F106" s="17">
        <f>IF(711.33104="","-",711.33104/6911881.24719*100)</f>
        <v>1.029142449878156E-2</v>
      </c>
      <c r="G106" s="17">
        <f>IF(OR(5710724.73459="",10.24125="",48.19187=""),"-",(48.19187-10.24125)/5710724.73459*100)</f>
        <v>6.6454997857158418E-4</v>
      </c>
      <c r="H106" s="17">
        <f>IF(OR(5840607.31908="",711.33104="",48.19187=""),"-",(711.33104-48.19187)/5840607.31908*100)</f>
        <v>1.1353942043555434E-2</v>
      </c>
    </row>
    <row r="107" spans="1:8" x14ac:dyDescent="0.25">
      <c r="A107" s="67" t="s">
        <v>322</v>
      </c>
      <c r="B107" s="38">
        <v>178.53583</v>
      </c>
      <c r="C107" s="38">
        <v>655.06146000000001</v>
      </c>
      <c r="D107" s="17" t="s">
        <v>350</v>
      </c>
      <c r="E107" s="17">
        <f>IF(178.53583="","-",178.53583/5840607.31908*100)</f>
        <v>3.0568024906718538E-3</v>
      </c>
      <c r="F107" s="17">
        <f>IF(655.06146="","-",655.06146/6911881.24719*100)</f>
        <v>9.477325153210826E-3</v>
      </c>
      <c r="G107" s="17" t="str">
        <f>IF(OR(5710724.73459="",""="",178.53583=""),"-",(178.53583-"")/5710724.73459*100)</f>
        <v>-</v>
      </c>
      <c r="H107" s="17">
        <f>IF(OR(5840607.31908="",655.06146="",178.53583=""),"-",(655.06146-178.53583)/5840607.31908*100)</f>
        <v>8.1588369833269555E-3</v>
      </c>
    </row>
    <row r="108" spans="1:8" x14ac:dyDescent="0.25">
      <c r="A108" s="67" t="s">
        <v>289</v>
      </c>
      <c r="B108" s="38">
        <v>189.89519000000001</v>
      </c>
      <c r="C108" s="38">
        <v>617.06619999999998</v>
      </c>
      <c r="D108" s="17" t="s">
        <v>328</v>
      </c>
      <c r="E108" s="17">
        <f>IF(189.89519="","-",189.89519/5840607.31908*100)</f>
        <v>3.2512918541819018E-3</v>
      </c>
      <c r="F108" s="17">
        <f>IF(617.0662="","-",617.0662/6911881.24719*100)</f>
        <v>8.9276157667041219E-3</v>
      </c>
      <c r="G108" s="17">
        <f>IF(OR(5710724.73459="",34.28336="",189.89519=""),"-",(189.89519-34.28336)/5710724.73459*100)</f>
        <v>2.7249051080584456E-3</v>
      </c>
      <c r="H108" s="17">
        <f>IF(OR(5840607.31908="",617.0662="",189.89519=""),"-",(617.0662-189.89519)/5840607.31908*100)</f>
        <v>7.3138115038914667E-3</v>
      </c>
    </row>
    <row r="109" spans="1:8" x14ac:dyDescent="0.25">
      <c r="A109" s="67" t="s">
        <v>290</v>
      </c>
      <c r="B109" s="38">
        <v>190.41118</v>
      </c>
      <c r="C109" s="38">
        <v>427.25225999999998</v>
      </c>
      <c r="D109" s="17" t="s">
        <v>308</v>
      </c>
      <c r="E109" s="17">
        <f>IF(190.41118="","-",190.41118/5840607.31908*100)</f>
        <v>3.2601263806585302E-3</v>
      </c>
      <c r="F109" s="17">
        <f>IF(427.25226="","-",427.25226/6911881.24719*100)</f>
        <v>6.1814178328613188E-3</v>
      </c>
      <c r="G109" s="17">
        <f>IF(OR(5710724.73459="",10.9197="",190.41118=""),"-",(190.41118-10.9197)/5710724.73459*100)</f>
        <v>3.143059564976328E-3</v>
      </c>
      <c r="H109" s="17">
        <f>IF(OR(5840607.31908="",427.25226="",190.41118=""),"-",(427.25226-190.41118)/5840607.31908*100)</f>
        <v>4.0550762456892358E-3</v>
      </c>
    </row>
    <row r="110" spans="1:8" x14ac:dyDescent="0.25">
      <c r="A110" s="47" t="s">
        <v>163</v>
      </c>
      <c r="B110" s="36">
        <v>572.42861000000005</v>
      </c>
      <c r="C110" s="17">
        <v>398.87459999999999</v>
      </c>
      <c r="D110" s="17">
        <f>IF(OR(572.42861="",398.8746=""),"-",398.8746/572.42861*100)</f>
        <v>69.681108356900594</v>
      </c>
      <c r="E110" s="17">
        <f>IF(572.42861="","-",572.42861/5840607.31908*100)</f>
        <v>9.8008405415306674E-3</v>
      </c>
      <c r="F110" s="17">
        <f>IF(398.8746="","-",398.8746/6911881.24719*100)</f>
        <v>5.7708543554934634E-3</v>
      </c>
      <c r="G110" s="17">
        <f>IF(OR(5710724.73459="",287.89039="",572.42861=""),"-",(572.42861-287.89039)/5710724.73459*100)</f>
        <v>4.9825238165752423E-3</v>
      </c>
      <c r="H110" s="17">
        <f>IF(OR(5840607.31908="",398.8746="",572.42861=""),"-",(398.8746-572.42861)/5840607.31908*100)</f>
        <v>-2.9715062238996393E-3</v>
      </c>
    </row>
    <row r="111" spans="1:8" x14ac:dyDescent="0.25">
      <c r="A111" s="67" t="s">
        <v>255</v>
      </c>
      <c r="B111" s="38">
        <v>425.91433999999998</v>
      </c>
      <c r="C111" s="38">
        <v>358.79678000000001</v>
      </c>
      <c r="D111" s="17">
        <f>IF(OR(425.91434="",358.79678=""),"-",358.79678/425.91434*100)</f>
        <v>84.241535516273075</v>
      </c>
      <c r="E111" s="17">
        <f>IF(425.91434="","-",425.91434/5840607.31908*100)</f>
        <v>7.292295419495675E-3</v>
      </c>
      <c r="F111" s="17">
        <f>IF(358.79678="","-",358.79678/6911881.24719*100)</f>
        <v>5.1910148217009303E-3</v>
      </c>
      <c r="G111" s="17">
        <f>IF(OR(5710724.73459="",374.98702="",425.91434=""),"-",(425.91434-374.98702)/5710724.73459*100)</f>
        <v>8.9178383422216069E-4</v>
      </c>
      <c r="H111" s="17">
        <f>IF(OR(5840607.31908="",358.79678="",425.91434=""),"-",(358.79678-425.91434)/5840607.31908*100)</f>
        <v>-1.1491537837296721E-3</v>
      </c>
    </row>
    <row r="112" spans="1:8" x14ac:dyDescent="0.25">
      <c r="A112" s="67" t="s">
        <v>256</v>
      </c>
      <c r="B112" s="38">
        <v>391.94911000000002</v>
      </c>
      <c r="C112" s="38">
        <v>338.06871999999998</v>
      </c>
      <c r="D112" s="17">
        <f>IF(OR(391.94911="",338.06872=""),"-",338.06872/391.94911*100)</f>
        <v>86.253217924133054</v>
      </c>
      <c r="E112" s="17">
        <f>IF(391.94911="","-",391.94911/5840607.31908*100)</f>
        <v>6.7107594910479108E-3</v>
      </c>
      <c r="F112" s="17">
        <f>IF(338.06872="","-",338.06872/6911881.24719*100)</f>
        <v>4.8911245420693618E-3</v>
      </c>
      <c r="G112" s="17">
        <f>IF(OR(5710724.73459="",99.15327="",391.94911=""),"-",(391.94911-99.15327)/5710724.73459*100)</f>
        <v>5.1271222762065277E-3</v>
      </c>
      <c r="H112" s="17">
        <f>IF(OR(5840607.31908="",338.06872="",391.94911=""),"-",(338.06872-391.94911)/5840607.31908*100)</f>
        <v>-9.2251348286991432E-4</v>
      </c>
    </row>
    <row r="113" spans="1:8" x14ac:dyDescent="0.25">
      <c r="A113" s="67" t="s">
        <v>86</v>
      </c>
      <c r="B113" s="38">
        <v>435.70328000000001</v>
      </c>
      <c r="C113" s="38">
        <v>337.88132999999999</v>
      </c>
      <c r="D113" s="17">
        <f>IF(OR(435.70328="",337.88133=""),"-",337.88133/435.70328*100)</f>
        <v>77.548493552768292</v>
      </c>
      <c r="E113" s="17">
        <f>IF(435.70328="","-",435.70328/5840607.31908*100)</f>
        <v>7.4598968257402224E-3</v>
      </c>
      <c r="F113" s="17">
        <f>IF(337.88133="","-",337.88133/6911881.24719*100)</f>
        <v>4.8884134133144203E-3</v>
      </c>
      <c r="G113" s="17">
        <f>IF(OR(5710724.73459="",333.48416="",435.70328=""),"-",(435.70328-333.48416)/5710724.73459*100)</f>
        <v>1.7899500457596268E-3</v>
      </c>
      <c r="H113" s="17">
        <f>IF(OR(5840607.31908="",337.88133="",435.70328=""),"-",(337.88133-435.70328)/5840607.31908*100)</f>
        <v>-1.6748592167878996E-3</v>
      </c>
    </row>
    <row r="114" spans="1:8" x14ac:dyDescent="0.25">
      <c r="A114" s="67" t="s">
        <v>52</v>
      </c>
      <c r="B114" s="38">
        <v>251.42496</v>
      </c>
      <c r="C114" s="38">
        <v>278.62392999999997</v>
      </c>
      <c r="D114" s="17">
        <f>IF(OR(251.42496="",278.62393=""),"-",278.62393/251.42496*100)</f>
        <v>110.81792754386835</v>
      </c>
      <c r="E114" s="17">
        <f>IF(251.42496="","-",251.42496/5840607.31908*100)</f>
        <v>4.3047742514489727E-3</v>
      </c>
      <c r="F114" s="17">
        <f>IF(278.62393="","-",278.62393/6911881.24719*100)</f>
        <v>4.0310867625695038E-3</v>
      </c>
      <c r="G114" s="17">
        <f>IF(OR(5710724.73459="",159.41178="",251.42496=""),"-",(251.42496-159.41178)/5710724.73459*100)</f>
        <v>1.6112347254749282E-3</v>
      </c>
      <c r="H114" s="17">
        <f>IF(OR(5840607.31908="",278.62393="",251.42496=""),"-",(278.62393-251.42496)/5840607.31908*100)</f>
        <v>4.6568735944885095E-4</v>
      </c>
    </row>
    <row r="115" spans="1:8" x14ac:dyDescent="0.25">
      <c r="A115" s="67" t="s">
        <v>291</v>
      </c>
      <c r="B115" s="38">
        <v>205.91199</v>
      </c>
      <c r="C115" s="38">
        <v>256.10926000000001</v>
      </c>
      <c r="D115" s="17">
        <f>IF(OR(205.91199="",256.10926=""),"-",256.10926/205.91199*100)</f>
        <v>124.37802189178007</v>
      </c>
      <c r="E115" s="17">
        <f>IF(205.91199="","-",205.91199/5840607.31908*100)</f>
        <v>3.525523609973403E-3</v>
      </c>
      <c r="F115" s="17">
        <f>IF(256.10926="","-",256.10926/6911881.24719*100)</f>
        <v>3.7053480932433599E-3</v>
      </c>
      <c r="G115" s="17">
        <f>IF(OR(5710724.73459="",216.01931="",205.91199=""),"-",(205.91199-216.01931)/5710724.73459*100)</f>
        <v>-1.7698839411361752E-4</v>
      </c>
      <c r="H115" s="17">
        <f>IF(OR(5840607.31908="",256.10926="",205.91199=""),"-",(256.10926-205.91199)/5840607.31908*100)</f>
        <v>8.5945291743919148E-4</v>
      </c>
    </row>
    <row r="116" spans="1:8" x14ac:dyDescent="0.25">
      <c r="A116" s="67" t="s">
        <v>259</v>
      </c>
      <c r="B116" s="38">
        <v>109.46617000000001</v>
      </c>
      <c r="C116" s="38">
        <v>232.58649</v>
      </c>
      <c r="D116" s="17" t="s">
        <v>274</v>
      </c>
      <c r="E116" s="17">
        <f>IF(109.46617="","-",109.46617/5840607.31908*100)</f>
        <v>1.8742258128259665E-3</v>
      </c>
      <c r="F116" s="17">
        <f>IF(232.58649="","-",232.58649/6911881.24719*100)</f>
        <v>3.3650243932439837E-3</v>
      </c>
      <c r="G116" s="17">
        <f>IF(OR(5710724.73459="",92.90352="",109.46617=""),"-",(109.46617-92.90352)/5710724.73459*100)</f>
        <v>2.900271116147418E-4</v>
      </c>
      <c r="H116" s="17">
        <f>IF(OR(5840607.31908="",232.58649="",109.46617=""),"-",(232.58649-109.46617)/5840607.31908*100)</f>
        <v>2.10800543973899E-3</v>
      </c>
    </row>
    <row r="117" spans="1:8" x14ac:dyDescent="0.25">
      <c r="A117" s="67" t="s">
        <v>343</v>
      </c>
      <c r="B117" s="38">
        <v>219.04361</v>
      </c>
      <c r="C117" s="38">
        <v>220.96442999999999</v>
      </c>
      <c r="D117" s="17">
        <f>IF(OR(219.04361="",220.96443=""),"-",220.96443/219.04361*100)</f>
        <v>100.87691213635495</v>
      </c>
      <c r="E117" s="17">
        <f>IF(219.04361="","-",219.04361/5840607.31908*100)</f>
        <v>3.7503567357530087E-3</v>
      </c>
      <c r="F117" s="17">
        <f>IF(220.96443="","-",220.96443/6911881.24719*100)</f>
        <v>3.1968782752138905E-3</v>
      </c>
      <c r="G117" s="17">
        <f>IF(OR(5710724.73459="",29.32163="",219.04361=""),"-",(219.04361-29.32163)/5710724.73459*100)</f>
        <v>3.322204953267128E-3</v>
      </c>
      <c r="H117" s="17">
        <f>IF(OR(5840607.31908="",220.96443="",219.04361=""),"-",(220.96443-219.04361)/5840607.31908*100)</f>
        <v>3.288733337242326E-5</v>
      </c>
    </row>
    <row r="118" spans="1:8" x14ac:dyDescent="0.25">
      <c r="A118" s="67" t="s">
        <v>257</v>
      </c>
      <c r="B118" s="38">
        <v>172.55774</v>
      </c>
      <c r="C118" s="38">
        <v>219.34537</v>
      </c>
      <c r="D118" s="17">
        <f>IF(OR(172.55774="",219.34537=""),"-",219.34537/172.55774*100)</f>
        <v>127.11418798136786</v>
      </c>
      <c r="E118" s="17">
        <f>IF(172.55774="","-",172.55774/5840607.31908*100)</f>
        <v>2.9544485799668676E-3</v>
      </c>
      <c r="F118" s="17">
        <f>IF(219.34537="","-",219.34537/6911881.24719*100)</f>
        <v>3.1734539723056445E-3</v>
      </c>
      <c r="G118" s="17">
        <f>IF(OR(5710724.73459="",68.48441="",172.55774=""),"-",(172.55774-68.48441)/5710724.73459*100)</f>
        <v>1.8224189544564333E-3</v>
      </c>
      <c r="H118" s="17">
        <f>IF(OR(5840607.31908="",219.34537="",172.55774=""),"-",(219.34537-172.55774)/5840607.31908*100)</f>
        <v>8.0107474178507004E-4</v>
      </c>
    </row>
    <row r="119" spans="1:8" x14ac:dyDescent="0.25">
      <c r="A119" s="67" t="s">
        <v>342</v>
      </c>
      <c r="B119" s="38">
        <v>55.875680000000003</v>
      </c>
      <c r="C119" s="38">
        <v>200.73167000000001</v>
      </c>
      <c r="D119" s="17" t="s">
        <v>393</v>
      </c>
      <c r="E119" s="17">
        <f>IF(55.87568="","-",55.87568/5840607.31908*100)</f>
        <v>9.566758548801294E-4</v>
      </c>
      <c r="F119" s="17">
        <f>IF(200.73167="","-",200.73167/6911881.24719*100)</f>
        <v>2.9041539173087902E-3</v>
      </c>
      <c r="G119" s="17">
        <f>IF(OR(5710724.73459="",46.31833="",55.87568=""),"-",(55.87568-46.31833)/5710724.73459*100)</f>
        <v>1.6735791767568303E-4</v>
      </c>
      <c r="H119" s="17">
        <f>IF(OR(5840607.31908="",200.73167="",55.87568=""),"-",(200.73167-55.87568)/5840607.31908*100)</f>
        <v>2.480152869150899E-3</v>
      </c>
    </row>
    <row r="120" spans="1:8" x14ac:dyDescent="0.25">
      <c r="A120" s="67" t="s">
        <v>250</v>
      </c>
      <c r="B120" s="38">
        <v>236.61955</v>
      </c>
      <c r="C120" s="38">
        <v>148.47647000000001</v>
      </c>
      <c r="D120" s="17">
        <f>IF(OR(236.61955="",148.47647=""),"-",148.47647/236.61955*100)</f>
        <v>62.749028979220022</v>
      </c>
      <c r="E120" s="17">
        <f>IF(236.61955="","-",236.61955/5840607.31908*100)</f>
        <v>4.0512833182093097E-3</v>
      </c>
      <c r="F120" s="17">
        <f>IF(148.47647="","-",148.47647/6911881.24719*100)</f>
        <v>2.1481339839332829E-3</v>
      </c>
      <c r="G120" s="17">
        <f>IF(OR(5710724.73459="",161.40224="",236.61955=""),"-",(236.61955-161.40224)/5710724.73459*100)</f>
        <v>1.3171237188934516E-3</v>
      </c>
      <c r="H120" s="17">
        <f>IF(OR(5840607.31908="",148.47647="",236.61955=""),"-",(148.47647-236.61955)/5840607.31908*100)</f>
        <v>-1.5091423748358433E-3</v>
      </c>
    </row>
    <row r="121" spans="1:8" x14ac:dyDescent="0.25">
      <c r="A121" s="67" t="s">
        <v>340</v>
      </c>
      <c r="B121" s="38">
        <v>524.08231999999998</v>
      </c>
      <c r="C121" s="38">
        <v>139.39523</v>
      </c>
      <c r="D121" s="17">
        <f>IF(OR(524.08232="",139.39523=""),"-",139.39523/524.08232*100)</f>
        <v>26.59796460983458</v>
      </c>
      <c r="E121" s="17">
        <f>IF(524.08232="","-",524.08232/5840607.31908*100)</f>
        <v>8.9730791914042311E-3</v>
      </c>
      <c r="F121" s="17">
        <f>IF(139.39523="","-",139.39523/6911881.24719*100)</f>
        <v>2.0167480460789259E-3</v>
      </c>
      <c r="G121" s="17">
        <f>IF(OR(5710724.73459="",555.75567="",524.08232=""),"-",(524.08232-555.75567)/5710724.73459*100)</f>
        <v>-5.5462925411469712E-4</v>
      </c>
      <c r="H121" s="17">
        <f>IF(OR(5840607.31908="",139.39523="",524.08232=""),"-",(139.39523-524.08232)/5840607.31908*100)</f>
        <v>-6.5864227636621038E-3</v>
      </c>
    </row>
    <row r="122" spans="1:8" x14ac:dyDescent="0.25">
      <c r="A122" s="67" t="s">
        <v>319</v>
      </c>
      <c r="B122" s="38">
        <v>236.27351999999999</v>
      </c>
      <c r="C122" s="38">
        <v>122.21996</v>
      </c>
      <c r="D122" s="17">
        <f>IF(OR(236.27352="",122.21996=""),"-",122.21996/236.27352*100)</f>
        <v>51.728166575755083</v>
      </c>
      <c r="E122" s="17">
        <f>IF(236.27352="","-",236.27352/5840607.31908*100)</f>
        <v>4.0453587630886519E-3</v>
      </c>
      <c r="F122" s="17">
        <f>IF(122.21996="","-",122.21996/6911881.24719*100)</f>
        <v>1.7682589678416143E-3</v>
      </c>
      <c r="G122" s="17">
        <f>IF(OR(5710724.73459="",208.8574="",236.27352=""),"-",(236.27352-208.8574)/5710724.73459*100)</f>
        <v>4.8008127294141615E-4</v>
      </c>
      <c r="H122" s="17">
        <f>IF(OR(5840607.31908="",122.21996="",236.27352=""),"-",(122.21996-236.27352)/5840607.31908*100)</f>
        <v>-1.9527688435312489E-3</v>
      </c>
    </row>
    <row r="123" spans="1:8" x14ac:dyDescent="0.25">
      <c r="A123" s="67" t="s">
        <v>320</v>
      </c>
      <c r="B123" s="38">
        <v>84.998099999999994</v>
      </c>
      <c r="C123" s="38">
        <v>119.7334</v>
      </c>
      <c r="D123" s="17">
        <f>IF(OR(84.9981="",119.7334=""),"-",119.7334/84.9981*100)</f>
        <v>140.86597229820433</v>
      </c>
      <c r="E123" s="17">
        <f>IF(84.9981="","-",84.9981/5840607.31908*100)</f>
        <v>1.4552955772652203E-3</v>
      </c>
      <c r="F123" s="17">
        <f>IF(119.7334="","-",119.7334/6911881.24719*100)</f>
        <v>1.7322838127272109E-3</v>
      </c>
      <c r="G123" s="17">
        <f>IF(OR(5710724.73459="",88.23014="",84.9981=""),"-",(84.9981-88.23014)/5710724.73459*100)</f>
        <v>-5.6595968991877096E-5</v>
      </c>
      <c r="H123" s="17">
        <f>IF(OR(5840607.31908="",119.7334="",84.9981=""),"-",(119.7334-84.9981)/5840607.31908*100)</f>
        <v>5.9472068746219771E-4</v>
      </c>
    </row>
    <row r="124" spans="1:8" x14ac:dyDescent="0.25">
      <c r="A124" s="67" t="s">
        <v>339</v>
      </c>
      <c r="B124" s="38">
        <v>365.31180000000001</v>
      </c>
      <c r="C124" s="38">
        <v>112.65734</v>
      </c>
      <c r="D124" s="17">
        <f>IF(OR(365.3118="",112.65734=""),"-",112.65734/365.3118*100)</f>
        <v>30.838680820055636</v>
      </c>
      <c r="E124" s="17">
        <f>IF(365.3118="","-",365.3118/5840607.31908*100)</f>
        <v>6.2546885973074314E-3</v>
      </c>
      <c r="F124" s="17">
        <f>IF(112.65734="","-",112.65734/6911881.24719*100)</f>
        <v>1.6299085006097353E-3</v>
      </c>
      <c r="G124" s="17">
        <f>IF(OR(5710724.73459="",91.32401="",365.3118=""),"-",(365.3118-91.32401)/5710724.73459*100)</f>
        <v>4.7977761621121268E-3</v>
      </c>
      <c r="H124" s="17">
        <f>IF(OR(5840607.31908="",112.65734="",365.3118=""),"-",(112.65734-365.3118)/5840607.31908*100)</f>
        <v>-4.3258251444953776E-3</v>
      </c>
    </row>
    <row r="125" spans="1:8" x14ac:dyDescent="0.25">
      <c r="A125" s="67" t="s">
        <v>344</v>
      </c>
      <c r="B125" s="38">
        <v>464.02348999999998</v>
      </c>
      <c r="C125" s="38">
        <v>105.62801</v>
      </c>
      <c r="D125" s="17">
        <f>IF(OR(464.02349="",105.62801=""),"-",105.62801/464.02349*100)</f>
        <v>22.763504925149373</v>
      </c>
      <c r="E125" s="17">
        <f>IF(464.02349="","-",464.02349/5840607.31908*100)</f>
        <v>7.944781503870936E-3</v>
      </c>
      <c r="F125" s="17">
        <f>IF(105.62801="","-",105.62801/6911881.24719*100)</f>
        <v>1.5282092707096595E-3</v>
      </c>
      <c r="G125" s="17">
        <f>IF(OR(5710724.73459="",227.33794="",464.02349=""),"-",(464.02349-227.33794)/5710724.73459*100)</f>
        <v>4.1445799088579739E-3</v>
      </c>
      <c r="H125" s="17">
        <f>IF(OR(5840607.31908="",105.62801="",464.02349=""),"-",(105.62801-464.02349)/5840607.31908*100)</f>
        <v>-6.1362707749449191E-3</v>
      </c>
    </row>
    <row r="126" spans="1:8" x14ac:dyDescent="0.25">
      <c r="A126" s="67" t="s">
        <v>326</v>
      </c>
      <c r="B126" s="38">
        <v>90.222110000000001</v>
      </c>
      <c r="C126" s="38">
        <v>83.455060000000003</v>
      </c>
      <c r="D126" s="17">
        <f>IF(OR(90.22211="",83.45506=""),"-",83.45506/90.22211*100)</f>
        <v>92.499565793794886</v>
      </c>
      <c r="E126" s="17">
        <f>IF(90.22211="","-",90.22211/5840607.31908*100)</f>
        <v>1.5447385018551734E-3</v>
      </c>
      <c r="F126" s="17">
        <f>IF(83.45506="","-",83.45506/6911881.24719*100)</f>
        <v>1.2074145520646548E-3</v>
      </c>
      <c r="G126" s="17">
        <f>IF(OR(5710724.73459="",16.33885="",90.22211=""),"-",(90.22211-16.33885)/5710724.73459*100)</f>
        <v>1.2937632863389001E-3</v>
      </c>
      <c r="H126" s="17">
        <f>IF(OR(5840607.31908="",83.45506="",90.22211=""),"-",(83.45506-90.22211)/5840607.31908*100)</f>
        <v>-1.1586209498956572E-4</v>
      </c>
    </row>
    <row r="127" spans="1:8" s="15" customFormat="1" ht="14.25" customHeight="1" x14ac:dyDescent="0.2">
      <c r="A127" s="67" t="s">
        <v>362</v>
      </c>
      <c r="B127" s="38">
        <v>62.0901</v>
      </c>
      <c r="C127" s="38">
        <v>74.308809999999994</v>
      </c>
      <c r="D127" s="17">
        <f>IF(OR(62.0901="",74.30881=""),"-",74.30881/62.0901*100)</f>
        <v>119.67899874537164</v>
      </c>
      <c r="E127" s="17">
        <f>IF(62.0901="","-",62.0901/5840607.31908*100)</f>
        <v>1.063076091370928E-3</v>
      </c>
      <c r="F127" s="17">
        <f>IF(74.30881="","-",74.30881/6911881.24719*100)</f>
        <v>1.0750880598564968E-3</v>
      </c>
      <c r="G127" s="17">
        <f>IF(OR(5710724.73459="",166.2935="",62.0901=""),"-",(62.0901-166.2935)/5710724.73459*100)</f>
        <v>-1.8246965988193658E-3</v>
      </c>
      <c r="H127" s="17">
        <f>IF(OR(5840607.31908="",74.30881="",62.0901=""),"-",(74.30881-62.0901)/5840607.31908*100)</f>
        <v>2.0920273068323074E-4</v>
      </c>
    </row>
    <row r="128" spans="1:8" s="15" customFormat="1" ht="14.25" customHeight="1" x14ac:dyDescent="0.2">
      <c r="A128" s="67" t="s">
        <v>346</v>
      </c>
      <c r="B128" s="38">
        <v>108.04349000000001</v>
      </c>
      <c r="C128" s="38">
        <v>59.13006</v>
      </c>
      <c r="D128" s="17">
        <f>IF(OR(108.04349="",59.13006=""),"-",59.13006/108.04349*100)</f>
        <v>54.728017393736536</v>
      </c>
      <c r="E128" s="17">
        <f>IF(108.04349="","-",108.04349/5840607.31908*100)</f>
        <v>1.8498673870274639E-3</v>
      </c>
      <c r="F128" s="17">
        <f>IF(59.13006="","-",59.13006/6911881.24719*100)</f>
        <v>8.5548431585162296E-4</v>
      </c>
      <c r="G128" s="17">
        <f>IF(OR(5710724.73459="",13.98748="",108.04349=""),"-",(108.04349-13.98748)/5710724.73459*100)</f>
        <v>1.6470065424498653E-3</v>
      </c>
      <c r="H128" s="17">
        <f>IF(OR(5840607.31908="",59.13006="",108.04349=""),"-",(59.13006-108.04349)/5840607.31908*100)</f>
        <v>-8.374716416940139E-4</v>
      </c>
    </row>
    <row r="129" spans="1:8" s="15" customFormat="1" ht="14.25" customHeight="1" x14ac:dyDescent="0.2">
      <c r="A129" s="67" t="s">
        <v>379</v>
      </c>
      <c r="B129" s="38">
        <v>49.091859999999997</v>
      </c>
      <c r="C129" s="38">
        <v>57.97251</v>
      </c>
      <c r="D129" s="17">
        <f>IF(OR(49.09186="",57.97251=""),"-",57.97251/49.09186*100)</f>
        <v>118.08986255562533</v>
      </c>
      <c r="E129" s="17">
        <f>IF(49.09186="","-",49.09186/5840607.31908*100)</f>
        <v>8.4052663221558346E-4</v>
      </c>
      <c r="F129" s="17">
        <f>IF(57.97251="","-",57.97251/6911881.24719*100)</f>
        <v>8.3873706631705394E-4</v>
      </c>
      <c r="G129" s="17">
        <f>IF(OR(5710724.73459="",31.22165="",49.09186=""),"-",(49.09186-31.22165)/5710724.73459*100)</f>
        <v>3.1292368010245173E-4</v>
      </c>
      <c r="H129" s="17">
        <f>IF(OR(5840607.31908="",57.97251="",49.09186=""),"-",(57.97251-49.09186)/5840607.31908*100)</f>
        <v>1.5205011251122536E-4</v>
      </c>
    </row>
    <row r="130" spans="1:8" s="15" customFormat="1" ht="14.25" customHeight="1" x14ac:dyDescent="0.2">
      <c r="A130" s="67" t="s">
        <v>389</v>
      </c>
      <c r="B130" s="38">
        <v>39.141970000000001</v>
      </c>
      <c r="C130" s="38">
        <v>56.726370000000003</v>
      </c>
      <c r="D130" s="17">
        <f>IF(OR(39.14197="",56.72637=""),"-",56.72637/39.14197*100)</f>
        <v>144.92466781820127</v>
      </c>
      <c r="E130" s="17">
        <f>IF(39.14197="","-",39.14197/5840607.31908*100)</f>
        <v>6.7016951939452693E-4</v>
      </c>
      <c r="F130" s="17">
        <f>IF(56.72637="","-",56.72637/6911881.24719*100)</f>
        <v>8.2070811073413493E-4</v>
      </c>
      <c r="G130" s="17">
        <f>IF(OR(5710724.73459="",62.42761="",39.14197=""),"-",(39.14197-62.42761)/5710724.73459*100)</f>
        <v>-4.0775279990223152E-4</v>
      </c>
      <c r="H130" s="17">
        <f>IF(OR(5840607.31908="",56.72637="",39.14197=""),"-",(56.72637-39.14197)/5840607.31908*100)</f>
        <v>3.0107143040682729E-4</v>
      </c>
    </row>
    <row r="131" spans="1:8" s="15" customFormat="1" ht="14.25" customHeight="1" x14ac:dyDescent="0.2">
      <c r="A131" s="67" t="s">
        <v>66</v>
      </c>
      <c r="B131" s="38">
        <v>1.75708</v>
      </c>
      <c r="C131" s="38">
        <v>56.191899999999997</v>
      </c>
      <c r="D131" s="17" t="s">
        <v>394</v>
      </c>
      <c r="E131" s="17">
        <f>IF(1.75708="","-",1.75708/5840607.31908*100)</f>
        <v>3.0083857790952662E-5</v>
      </c>
      <c r="F131" s="17">
        <f>IF(56.1919="","-",56.1919/6911881.24719*100)</f>
        <v>8.1297548366943671E-4</v>
      </c>
      <c r="G131" s="17">
        <f>IF(OR(5710724.73459="",592.66714="",1.75708=""),"-",(1.75708-592.66714)/5710724.73459*100)</f>
        <v>-1.0347374238174068E-2</v>
      </c>
      <c r="H131" s="17">
        <f>IF(OR(5840607.31908="",56.1919="",1.75708=""),"-",(56.1919-1.75708)/5840607.31908*100)</f>
        <v>9.3200616008155899E-4</v>
      </c>
    </row>
    <row r="132" spans="1:8" s="15" customFormat="1" ht="14.25" customHeight="1" x14ac:dyDescent="0.2">
      <c r="A132" s="68" t="s">
        <v>355</v>
      </c>
      <c r="B132" s="49">
        <v>30.19652</v>
      </c>
      <c r="C132" s="49">
        <v>51.071829999999999</v>
      </c>
      <c r="D132" s="39" t="s">
        <v>271</v>
      </c>
      <c r="E132" s="39">
        <f>IF(30.19652="","-",30.19652/5840607.31908*100)</f>
        <v>5.1700993321969284E-4</v>
      </c>
      <c r="F132" s="39">
        <f>IF(51.07183="","-",51.07183/6911881.24719*100)</f>
        <v>7.388991241821909E-4</v>
      </c>
      <c r="G132" s="39">
        <f>IF(OR(5710724.73459="",15.78971="",30.19652=""),"-",(30.19652-15.78971)/5710724.73459*100)</f>
        <v>2.5227638644071917E-4</v>
      </c>
      <c r="H132" s="39">
        <f>IF(OR(5840607.31908="",51.07183="",30.19652=""),"-",(51.07183-30.19652)/5840607.31908*100)</f>
        <v>3.574167695165001E-4</v>
      </c>
    </row>
    <row r="133" spans="1:8" s="15" customFormat="1" ht="14.25" customHeight="1" x14ac:dyDescent="0.2">
      <c r="A133" s="57" t="s">
        <v>239</v>
      </c>
      <c r="B133" s="57"/>
      <c r="C133" s="57"/>
      <c r="D133" s="58"/>
      <c r="E133" s="59"/>
      <c r="F133" s="59"/>
      <c r="G133" s="14"/>
      <c r="H133" s="14"/>
    </row>
    <row r="134" spans="1:8" s="15" customFormat="1" ht="14.25" customHeight="1" x14ac:dyDescent="0.2">
      <c r="A134" s="59" t="s">
        <v>296</v>
      </c>
      <c r="B134" s="59"/>
      <c r="C134" s="59"/>
      <c r="D134" s="14"/>
      <c r="E134" s="14"/>
      <c r="F134" s="14"/>
      <c r="G134" s="14"/>
      <c r="H134" s="14"/>
    </row>
    <row r="135" spans="1:8" s="15" customFormat="1" ht="14.25" customHeight="1" x14ac:dyDescent="0.2">
      <c r="A135" s="89" t="s">
        <v>297</v>
      </c>
      <c r="B135" s="89"/>
      <c r="C135" s="89"/>
      <c r="D135" s="89"/>
      <c r="E135" s="89"/>
      <c r="F135" s="89"/>
      <c r="G135" s="89"/>
      <c r="H135" s="89"/>
    </row>
    <row r="136" spans="1:8" s="15" customFormat="1" ht="14.25" customHeight="1" x14ac:dyDescent="0.2">
      <c r="A136" s="89" t="s">
        <v>299</v>
      </c>
      <c r="B136" s="89"/>
      <c r="C136" s="89"/>
      <c r="D136" s="89"/>
      <c r="E136" s="89"/>
      <c r="F136" s="89"/>
      <c r="G136" s="89"/>
      <c r="H136" s="89"/>
    </row>
    <row r="137" spans="1:8" ht="14.25" customHeight="1" x14ac:dyDescent="0.25">
      <c r="A137" s="90" t="s">
        <v>298</v>
      </c>
      <c r="B137" s="90"/>
      <c r="C137" s="90"/>
      <c r="D137" s="90"/>
      <c r="E137" s="90"/>
      <c r="F137" s="90"/>
      <c r="G137" s="90"/>
      <c r="H137" s="90"/>
    </row>
    <row r="138" spans="1:8" x14ac:dyDescent="0.25">
      <c r="A138" s="12"/>
      <c r="B138" s="12"/>
      <c r="C138" s="12"/>
      <c r="D138" s="12"/>
      <c r="E138" s="12"/>
      <c r="F138" s="12"/>
      <c r="G138" s="12"/>
      <c r="H138" s="12"/>
    </row>
  </sheetData>
  <mergeCells count="10">
    <mergeCell ref="A135:H135"/>
    <mergeCell ref="A136:H136"/>
    <mergeCell ref="A137:H137"/>
    <mergeCell ref="A1:H1"/>
    <mergeCell ref="A2:H2"/>
    <mergeCell ref="G3:H3"/>
    <mergeCell ref="B3:C3"/>
    <mergeCell ref="A3:A4"/>
    <mergeCell ref="D3:D4"/>
    <mergeCell ref="E3:F3"/>
  </mergeCells>
  <phoneticPr fontId="3" type="noConversion"/>
  <pageMargins left="0.59055118110236227" right="0.39370078740157483" top="0.39370078740157483" bottom="0.39370078740157483" header="0.11811023622047245" footer="0.1181102362204724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154"/>
  <sheetViews>
    <sheetView workbookViewId="0">
      <selection sqref="A1:D1"/>
    </sheetView>
  </sheetViews>
  <sheetFormatPr defaultRowHeight="15.75" x14ac:dyDescent="0.25"/>
  <cols>
    <col min="1" max="1" width="47.75" style="19" customWidth="1"/>
    <col min="2" max="4" width="14.875" style="19" customWidth="1"/>
  </cols>
  <sheetData>
    <row r="1" spans="1:4" x14ac:dyDescent="0.25">
      <c r="A1" s="102" t="s">
        <v>261</v>
      </c>
      <c r="B1" s="102"/>
      <c r="C1" s="102"/>
      <c r="D1" s="102"/>
    </row>
    <row r="2" spans="1:4" x14ac:dyDescent="0.25">
      <c r="A2" s="103"/>
      <c r="B2" s="103"/>
      <c r="C2" s="103"/>
      <c r="D2" s="103"/>
    </row>
    <row r="3" spans="1:4" ht="26.25" customHeight="1" x14ac:dyDescent="0.25">
      <c r="A3" s="106"/>
      <c r="B3" s="94" t="s">
        <v>278</v>
      </c>
      <c r="C3" s="101"/>
      <c r="D3" s="104" t="s">
        <v>375</v>
      </c>
    </row>
    <row r="4" spans="1:4" ht="36" customHeight="1" x14ac:dyDescent="0.25">
      <c r="A4" s="107"/>
      <c r="B4" s="10" t="s">
        <v>368</v>
      </c>
      <c r="C4" s="10" t="s">
        <v>369</v>
      </c>
      <c r="D4" s="105"/>
    </row>
    <row r="5" spans="1:4" s="20" customFormat="1" ht="14.25" customHeight="1" x14ac:dyDescent="0.2">
      <c r="A5" s="51" t="s">
        <v>280</v>
      </c>
      <c r="B5" s="43">
        <v>-3502470.2966499999</v>
      </c>
      <c r="C5" s="43">
        <v>-4631034.3691999996</v>
      </c>
      <c r="D5" s="43">
        <f>IF(-3502470.29665="","-",-4631034.3692/-3502470.29665*100)</f>
        <v>132.2219455688014</v>
      </c>
    </row>
    <row r="6" spans="1:4" s="19" customFormat="1" ht="12" x14ac:dyDescent="0.2">
      <c r="A6" s="50" t="s">
        <v>270</v>
      </c>
      <c r="B6" s="40"/>
      <c r="C6" s="40"/>
      <c r="D6" s="83"/>
    </row>
    <row r="7" spans="1:4" s="19" customFormat="1" ht="14.25" customHeight="1" x14ac:dyDescent="0.2">
      <c r="A7" s="69" t="s">
        <v>248</v>
      </c>
      <c r="B7" s="16">
        <v>-1338495.1929200001</v>
      </c>
      <c r="C7" s="16">
        <v>-2185396.9471</v>
      </c>
      <c r="D7" s="16" t="s">
        <v>276</v>
      </c>
    </row>
    <row r="8" spans="1:4" s="19" customFormat="1" ht="14.25" customHeight="1" x14ac:dyDescent="0.2">
      <c r="A8" s="47" t="s">
        <v>0</v>
      </c>
      <c r="B8" s="17">
        <v>-164852.06427</v>
      </c>
      <c r="C8" s="17">
        <v>-903702.32567000005</v>
      </c>
      <c r="D8" s="17" t="s">
        <v>337</v>
      </c>
    </row>
    <row r="9" spans="1:4" s="19" customFormat="1" ht="14.25" customHeight="1" x14ac:dyDescent="0.2">
      <c r="A9" s="47" t="s">
        <v>2</v>
      </c>
      <c r="B9" s="17">
        <v>-310439.50588999997</v>
      </c>
      <c r="C9" s="17">
        <v>-368131.65223000001</v>
      </c>
      <c r="D9" s="17">
        <f>IF(OR(-310439.50589="",-368131.65223="",-310439.50589=0),"-",-368131.65223/-310439.50589*100)</f>
        <v>118.58402208655829</v>
      </c>
    </row>
    <row r="10" spans="1:4" s="19" customFormat="1" ht="14.25" customHeight="1" x14ac:dyDescent="0.2">
      <c r="A10" s="47" t="s">
        <v>3</v>
      </c>
      <c r="B10" s="17">
        <v>-134200.75532</v>
      </c>
      <c r="C10" s="17">
        <v>-180355.12245</v>
      </c>
      <c r="D10" s="17">
        <f>IF(OR(-134200.75532="",-180355.12245="",-134200.75532=0),"-",-180355.12245/-134200.75532*100)</f>
        <v>134.39203231006076</v>
      </c>
    </row>
    <row r="11" spans="1:4" s="19" customFormat="1" ht="14.25" customHeight="1" x14ac:dyDescent="0.2">
      <c r="A11" s="47" t="s">
        <v>243</v>
      </c>
      <c r="B11" s="17">
        <v>-126699.52724</v>
      </c>
      <c r="C11" s="17">
        <v>-137013.32748000001</v>
      </c>
      <c r="D11" s="17">
        <f>IF(OR(-126699.52724="",-137013.32748="",-126699.52724=0),"-",-137013.32748/-126699.52724*100)</f>
        <v>108.14036205554511</v>
      </c>
    </row>
    <row r="12" spans="1:4" s="19" customFormat="1" ht="14.25" customHeight="1" x14ac:dyDescent="0.2">
      <c r="A12" s="47" t="s">
        <v>1</v>
      </c>
      <c r="B12" s="17">
        <v>-145879.40265</v>
      </c>
      <c r="C12" s="17">
        <v>-122303.47834</v>
      </c>
      <c r="D12" s="17">
        <f>IF(OR(-145879.40265="",-122303.47834="",-145879.40265=0),"-",-122303.47834/-145879.40265*100)</f>
        <v>83.838757301080847</v>
      </c>
    </row>
    <row r="13" spans="1:4" s="19" customFormat="1" ht="14.25" customHeight="1" x14ac:dyDescent="0.2">
      <c r="A13" s="47" t="s">
        <v>34</v>
      </c>
      <c r="B13" s="17">
        <v>-90215.549079999997</v>
      </c>
      <c r="C13" s="17">
        <v>-108245.68328</v>
      </c>
      <c r="D13" s="17">
        <f>IF(OR(-90215.54908="",-108245.68328="",-90215.54908=0),"-",-108245.68328/-90215.54908*100)</f>
        <v>119.98561709579742</v>
      </c>
    </row>
    <row r="14" spans="1:4" s="19" customFormat="1" ht="14.25" customHeight="1" x14ac:dyDescent="0.2">
      <c r="A14" s="47" t="s">
        <v>32</v>
      </c>
      <c r="B14" s="17">
        <v>-77653.842409999997</v>
      </c>
      <c r="C14" s="17">
        <v>-85757.664619999996</v>
      </c>
      <c r="D14" s="17">
        <f>IF(OR(-77653.84241="",-85757.66462="",-77653.84241=0),"-",-85757.66462/-77653.84241*100)</f>
        <v>110.43582900536086</v>
      </c>
    </row>
    <row r="15" spans="1:4" s="19" customFormat="1" ht="14.25" customHeight="1" x14ac:dyDescent="0.2">
      <c r="A15" s="47" t="s">
        <v>5</v>
      </c>
      <c r="B15" s="17">
        <v>-46863.713340000002</v>
      </c>
      <c r="C15" s="17">
        <v>-62607.900280000002</v>
      </c>
      <c r="D15" s="17">
        <f>IF(OR(-46863.71334="",-62607.90028="",-46863.71334=0),"-",-62607.90028/-46863.71334*100)</f>
        <v>133.59568804497982</v>
      </c>
    </row>
    <row r="16" spans="1:4" s="19" customFormat="1" ht="14.25" customHeight="1" x14ac:dyDescent="0.2">
      <c r="A16" s="47" t="s">
        <v>244</v>
      </c>
      <c r="B16" s="17">
        <v>3083.7954100000002</v>
      </c>
      <c r="C16" s="17">
        <v>-52953.48317</v>
      </c>
      <c r="D16" s="17" t="s">
        <v>277</v>
      </c>
    </row>
    <row r="17" spans="1:4" s="19" customFormat="1" ht="14.25" customHeight="1" x14ac:dyDescent="0.2">
      <c r="A17" s="47" t="s">
        <v>33</v>
      </c>
      <c r="B17" s="17">
        <v>-33187.888619999998</v>
      </c>
      <c r="C17" s="17">
        <v>-39451.103340000001</v>
      </c>
      <c r="D17" s="17">
        <f>IF(OR(-33187.88862="",-39451.10334="",-33187.88862=0),"-",-39451.10334/-33187.88862*100)</f>
        <v>118.87198909130244</v>
      </c>
    </row>
    <row r="18" spans="1:4" s="19" customFormat="1" ht="14.25" customHeight="1" x14ac:dyDescent="0.2">
      <c r="A18" s="47" t="s">
        <v>42</v>
      </c>
      <c r="B18" s="17">
        <v>-34583.990940000003</v>
      </c>
      <c r="C18" s="17">
        <v>-37364.708359999997</v>
      </c>
      <c r="D18" s="17">
        <f>IF(OR(-34583.99094="",-37364.70836="",-34583.99094=0),"-",-37364.70836/-34583.99094*100)</f>
        <v>108.04047579362449</v>
      </c>
    </row>
    <row r="19" spans="1:4" s="19" customFormat="1" ht="14.25" customHeight="1" x14ac:dyDescent="0.2">
      <c r="A19" s="47" t="s">
        <v>4</v>
      </c>
      <c r="B19" s="17">
        <v>-49245.992939999996</v>
      </c>
      <c r="C19" s="17">
        <v>-34756.69586</v>
      </c>
      <c r="D19" s="17">
        <f>IF(OR(-49245.99294="",-34756.69586="",-49245.99294=0),"-",-34756.69586/-49245.99294*100)</f>
        <v>70.577713606763155</v>
      </c>
    </row>
    <row r="20" spans="1:4" s="19" customFormat="1" ht="14.25" customHeight="1" x14ac:dyDescent="0.2">
      <c r="A20" s="47" t="s">
        <v>311</v>
      </c>
      <c r="B20" s="17">
        <v>-31441.750390000001</v>
      </c>
      <c r="C20" s="17">
        <v>-32310.255249999998</v>
      </c>
      <c r="D20" s="17">
        <f>IF(OR(-31441.75039="",-32310.25525="",-31441.75039=0),"-",-32310.25525/-31441.75039*100)</f>
        <v>102.76226625180583</v>
      </c>
    </row>
    <row r="21" spans="1:4" s="19" customFormat="1" ht="14.25" customHeight="1" x14ac:dyDescent="0.2">
      <c r="A21" s="47" t="s">
        <v>36</v>
      </c>
      <c r="B21" s="17">
        <v>-41150.694380000001</v>
      </c>
      <c r="C21" s="17">
        <v>-30826.877550000001</v>
      </c>
      <c r="D21" s="17">
        <f>IF(OR(-41150.69438="",-30826.87755="",-41150.69438=0),"-",-30826.87755/-41150.69438*100)</f>
        <v>74.912168590239958</v>
      </c>
    </row>
    <row r="22" spans="1:4" s="19" customFormat="1" ht="14.25" customHeight="1" x14ac:dyDescent="0.2">
      <c r="A22" s="47" t="s">
        <v>44</v>
      </c>
      <c r="B22" s="17">
        <v>-22207.337950000001</v>
      </c>
      <c r="C22" s="17">
        <v>-24965.284449999999</v>
      </c>
      <c r="D22" s="17">
        <f>IF(OR(-22207.33795="",-24965.28445="",-22207.33795=0),"-",-24965.28445/-22207.33795*100)</f>
        <v>112.41907745182938</v>
      </c>
    </row>
    <row r="23" spans="1:4" s="19" customFormat="1" ht="14.25" customHeight="1" x14ac:dyDescent="0.2">
      <c r="A23" s="47" t="s">
        <v>43</v>
      </c>
      <c r="B23" s="17">
        <v>-8742.5202000000008</v>
      </c>
      <c r="C23" s="17">
        <v>-14292.720600000001</v>
      </c>
      <c r="D23" s="17" t="s">
        <v>276</v>
      </c>
    </row>
    <row r="24" spans="1:4" s="19" customFormat="1" ht="14.25" customHeight="1" x14ac:dyDescent="0.2">
      <c r="A24" s="47" t="s">
        <v>41</v>
      </c>
      <c r="B24" s="17">
        <v>-14228.809960000001</v>
      </c>
      <c r="C24" s="17">
        <v>-13726.60497</v>
      </c>
      <c r="D24" s="17">
        <f>IF(OR(-14228.80996="",-13726.60497="",-14228.80996=0),"-",-13726.60497/-14228.80996*100)</f>
        <v>96.470506026773862</v>
      </c>
    </row>
    <row r="25" spans="1:4" s="19" customFormat="1" ht="14.25" customHeight="1" x14ac:dyDescent="0.2">
      <c r="A25" s="47" t="s">
        <v>40</v>
      </c>
      <c r="B25" s="17">
        <v>-13101.666950000001</v>
      </c>
      <c r="C25" s="17">
        <v>-11848.92181</v>
      </c>
      <c r="D25" s="17">
        <f>IF(OR(-13101.66695="",-11848.92181="",-13101.66695=0),"-",-11848.92181/-13101.66695*100)</f>
        <v>90.438276711040956</v>
      </c>
    </row>
    <row r="26" spans="1:4" s="19" customFormat="1" ht="14.25" customHeight="1" x14ac:dyDescent="0.2">
      <c r="A26" s="47" t="s">
        <v>45</v>
      </c>
      <c r="B26" s="17">
        <v>-13512.64839</v>
      </c>
      <c r="C26" s="17">
        <v>-6061.8187099999996</v>
      </c>
      <c r="D26" s="17">
        <f>IF(OR(-13512.64839="",-6061.81871="",-13512.64839=0),"-",-6061.81871/-13512.64839*100)</f>
        <v>44.860330373770637</v>
      </c>
    </row>
    <row r="27" spans="1:4" s="19" customFormat="1" ht="14.25" customHeight="1" x14ac:dyDescent="0.2">
      <c r="A27" s="47" t="s">
        <v>37</v>
      </c>
      <c r="B27" s="17">
        <v>-8769.5023099999999</v>
      </c>
      <c r="C27" s="17">
        <v>-5752.5256600000002</v>
      </c>
      <c r="D27" s="17">
        <f>IF(OR(-8769.50231="",-5752.52566="",-8769.50231=0),"-",-5752.52566/-8769.50231*100)</f>
        <v>65.596945603632548</v>
      </c>
    </row>
    <row r="28" spans="1:4" s="19" customFormat="1" ht="14.25" customHeight="1" x14ac:dyDescent="0.2">
      <c r="A28" s="47" t="s">
        <v>35</v>
      </c>
      <c r="B28" s="17">
        <v>-2920.1645100000001</v>
      </c>
      <c r="C28" s="17">
        <v>-5388.8628399999998</v>
      </c>
      <c r="D28" s="17" t="s">
        <v>273</v>
      </c>
    </row>
    <row r="29" spans="1:4" s="19" customFormat="1" ht="14.25" customHeight="1" x14ac:dyDescent="0.2">
      <c r="A29" s="47" t="s">
        <v>38</v>
      </c>
      <c r="B29" s="17">
        <v>-1421.26343</v>
      </c>
      <c r="C29" s="17">
        <v>-3278.3349199999998</v>
      </c>
      <c r="D29" s="17" t="s">
        <v>307</v>
      </c>
    </row>
    <row r="30" spans="1:4" s="19" customFormat="1" ht="14.25" customHeight="1" x14ac:dyDescent="0.2">
      <c r="A30" s="47" t="s">
        <v>46</v>
      </c>
      <c r="B30" s="17">
        <v>-1730.61356</v>
      </c>
      <c r="C30" s="17">
        <v>-2592.36033</v>
      </c>
      <c r="D30" s="17">
        <f>IF(OR(-1730.61356="",-2592.36033="",-1730.61356=0),"-",-2592.36033/-1730.61356*100)</f>
        <v>149.79429203131863</v>
      </c>
    </row>
    <row r="31" spans="1:4" s="19" customFormat="1" ht="14.25" customHeight="1" x14ac:dyDescent="0.2">
      <c r="A31" s="47" t="s">
        <v>47</v>
      </c>
      <c r="B31" s="17">
        <v>-66.84187</v>
      </c>
      <c r="C31" s="17">
        <v>-13.194140000000001</v>
      </c>
      <c r="D31" s="17">
        <f>IF(OR(-66.84187="",-13.19414="",-66.84187=0),"-",-13.19414/-66.84187*100)</f>
        <v>19.739334043167851</v>
      </c>
    </row>
    <row r="32" spans="1:4" s="19" customFormat="1" ht="14.25" customHeight="1" x14ac:dyDescent="0.2">
      <c r="A32" s="47" t="s">
        <v>356</v>
      </c>
      <c r="B32" s="38">
        <v>-33.483049999999999</v>
      </c>
      <c r="C32" s="17">
        <v>-11.163</v>
      </c>
      <c r="D32" s="17">
        <f>IF(OR(-33.48305="",-11.163="",-33.48305=0),"-",-11.163/-33.48305*100)</f>
        <v>33.339256728404379</v>
      </c>
    </row>
    <row r="33" spans="1:4" s="19" customFormat="1" ht="14.25" customHeight="1" x14ac:dyDescent="0.2">
      <c r="A33" s="47" t="s">
        <v>39</v>
      </c>
      <c r="B33" s="17">
        <v>12820.4846</v>
      </c>
      <c r="C33" s="17">
        <v>10878.70393</v>
      </c>
      <c r="D33" s="17">
        <f>IF(OR(12820.4846="",10878.70393="",12820.4846=0),"-",10878.70393/12820.4846*100)</f>
        <v>84.854077434795244</v>
      </c>
    </row>
    <row r="34" spans="1:4" s="19" customFormat="1" ht="14.25" customHeight="1" x14ac:dyDescent="0.2">
      <c r="A34" s="47" t="s">
        <v>6</v>
      </c>
      <c r="B34" s="17">
        <v>5038.4071700000004</v>
      </c>
      <c r="C34" s="17">
        <v>13625.77476</v>
      </c>
      <c r="D34" s="17" t="s">
        <v>349</v>
      </c>
    </row>
    <row r="35" spans="1:4" s="19" customFormat="1" ht="14.25" customHeight="1" x14ac:dyDescent="0.2">
      <c r="A35" s="47" t="s">
        <v>246</v>
      </c>
      <c r="B35" s="17">
        <v>13711.64955</v>
      </c>
      <c r="C35" s="17">
        <v>73810.643519999998</v>
      </c>
      <c r="D35" s="17" t="s">
        <v>403</v>
      </c>
    </row>
    <row r="36" spans="1:4" s="19" customFormat="1" ht="14.25" customHeight="1" x14ac:dyDescent="0.2">
      <c r="A36" s="69" t="s">
        <v>396</v>
      </c>
      <c r="B36" s="16">
        <v>-48847.730949999997</v>
      </c>
      <c r="C36" s="16">
        <v>-57044.739679999999</v>
      </c>
      <c r="D36" s="16">
        <f>IF(-48847.73095="","-",-57044.73968/-48847.73095*100)</f>
        <v>116.78073591256546</v>
      </c>
    </row>
    <row r="37" spans="1:4" s="19" customFormat="1" ht="14.25" customHeight="1" x14ac:dyDescent="0.2">
      <c r="A37" s="47" t="s">
        <v>245</v>
      </c>
      <c r="B37" s="17">
        <v>-55956.446640000002</v>
      </c>
      <c r="C37" s="17">
        <v>-55461.633540000003</v>
      </c>
      <c r="D37" s="17">
        <f>IF(OR(-55956.44664="",-55461.63354="",-55956.44664=0),"-",-55461.63354/-55956.44664*100)</f>
        <v>99.115717437914853</v>
      </c>
    </row>
    <row r="38" spans="1:4" s="19" customFormat="1" ht="14.25" customHeight="1" x14ac:dyDescent="0.2">
      <c r="A38" s="47" t="s">
        <v>9</v>
      </c>
      <c r="B38" s="17">
        <v>6806.7700500000001</v>
      </c>
      <c r="C38" s="17">
        <v>-8387.0719000000008</v>
      </c>
      <c r="D38" s="17" t="s">
        <v>277</v>
      </c>
    </row>
    <row r="39" spans="1:4" s="19" customFormat="1" ht="14.25" customHeight="1" x14ac:dyDescent="0.2">
      <c r="A39" s="47" t="s">
        <v>11</v>
      </c>
      <c r="B39" s="17">
        <v>-4272.49323</v>
      </c>
      <c r="C39" s="17">
        <v>-6231.9183599999997</v>
      </c>
      <c r="D39" s="17">
        <f>IF(OR(-4272.49323="",-6231.91836="",-4272.49323=0),"-",-6231.91836/-4272.49323*100)</f>
        <v>145.86139812326863</v>
      </c>
    </row>
    <row r="40" spans="1:4" s="19" customFormat="1" ht="14.25" customHeight="1" x14ac:dyDescent="0.2">
      <c r="A40" s="47" t="s">
        <v>10</v>
      </c>
      <c r="B40" s="17">
        <v>787.13259000000005</v>
      </c>
      <c r="C40" s="17">
        <v>-3126.7435399999999</v>
      </c>
      <c r="D40" s="17" t="s">
        <v>277</v>
      </c>
    </row>
    <row r="41" spans="1:4" s="19" customFormat="1" ht="14.25" customHeight="1" x14ac:dyDescent="0.2">
      <c r="A41" s="47" t="s">
        <v>12</v>
      </c>
      <c r="B41" s="17">
        <v>898.98062000000004</v>
      </c>
      <c r="C41" s="17">
        <v>-2415.8647900000001</v>
      </c>
      <c r="D41" s="17" t="s">
        <v>277</v>
      </c>
    </row>
    <row r="42" spans="1:4" s="19" customFormat="1" ht="14.25" customHeight="1" x14ac:dyDescent="0.2">
      <c r="A42" s="47" t="s">
        <v>13</v>
      </c>
      <c r="B42" s="17">
        <v>376.45375000000001</v>
      </c>
      <c r="C42" s="17">
        <v>-762.24527999999998</v>
      </c>
      <c r="D42" s="17" t="s">
        <v>277</v>
      </c>
    </row>
    <row r="43" spans="1:4" s="19" customFormat="1" ht="14.25" customHeight="1" x14ac:dyDescent="0.2">
      <c r="A43" s="47" t="s">
        <v>14</v>
      </c>
      <c r="B43" s="17">
        <v>1050.4680699999999</v>
      </c>
      <c r="C43" s="17">
        <v>288.49822999999998</v>
      </c>
      <c r="D43" s="17">
        <f>IF(OR(1050.46807="",288.49823="",1050.46807=0),"-",288.49823/1050.46807*100)</f>
        <v>27.463779075169796</v>
      </c>
    </row>
    <row r="44" spans="1:4" s="19" customFormat="1" ht="14.25" customHeight="1" x14ac:dyDescent="0.2">
      <c r="A44" s="47" t="s">
        <v>247</v>
      </c>
      <c r="B44" s="17">
        <v>5551.4243800000004</v>
      </c>
      <c r="C44" s="17">
        <v>1475.49072</v>
      </c>
      <c r="D44" s="17">
        <f>IF(OR(5551.42438="",1475.49072="",5551.42438=0),"-",1475.49072/5551.42438*100)</f>
        <v>26.578597113125046</v>
      </c>
    </row>
    <row r="45" spans="1:4" s="19" customFormat="1" ht="14.25" customHeight="1" x14ac:dyDescent="0.2">
      <c r="A45" s="47" t="s">
        <v>7</v>
      </c>
      <c r="B45" s="17">
        <v>-4090.02054</v>
      </c>
      <c r="C45" s="17">
        <v>17576.748780000002</v>
      </c>
      <c r="D45" s="17" t="s">
        <v>277</v>
      </c>
    </row>
    <row r="46" spans="1:4" s="19" customFormat="1" ht="14.25" customHeight="1" x14ac:dyDescent="0.2">
      <c r="A46" s="46" t="s">
        <v>395</v>
      </c>
      <c r="B46" s="16">
        <v>-2115127.3727799999</v>
      </c>
      <c r="C46" s="16">
        <v>-2388592.68242</v>
      </c>
      <c r="D46" s="16">
        <f>IF(-2115127.37278="","-",-2388592.68242/-2115127.37278*100)</f>
        <v>112.92902324272667</v>
      </c>
    </row>
    <row r="47" spans="1:4" s="19" customFormat="1" ht="14.25" customHeight="1" x14ac:dyDescent="0.2">
      <c r="A47" s="67" t="s">
        <v>51</v>
      </c>
      <c r="B47" s="38">
        <v>-768385.57314999995</v>
      </c>
      <c r="C47" s="38">
        <v>-926281.95299999998</v>
      </c>
      <c r="D47" s="17">
        <f>IF(OR(-768385.57315="",-926281.953="",-768385.57315=0),"-",-926281.953/-768385.57315*100)</f>
        <v>120.54910781350347</v>
      </c>
    </row>
    <row r="48" spans="1:4" s="19" customFormat="1" ht="14.25" customHeight="1" x14ac:dyDescent="0.2">
      <c r="A48" s="67" t="s">
        <v>8</v>
      </c>
      <c r="B48" s="38">
        <v>-543538.44917000004</v>
      </c>
      <c r="C48" s="38">
        <v>-535873.50907000003</v>
      </c>
      <c r="D48" s="17">
        <f>IF(OR(-543538.44917="",-535873.50907="",-543538.44917=0),"-",-535873.50907/-543538.44917*100)</f>
        <v>98.589807195479068</v>
      </c>
    </row>
    <row r="49" spans="1:4" s="19" customFormat="1" ht="14.25" customHeight="1" x14ac:dyDescent="0.2">
      <c r="A49" s="67" t="s">
        <v>48</v>
      </c>
      <c r="B49" s="38">
        <v>-305015.60317000002</v>
      </c>
      <c r="C49" s="38">
        <v>-278998.20902000001</v>
      </c>
      <c r="D49" s="17">
        <f>IF(OR(-305015.60317="",-278998.20902="",-305015.60317=0),"-",-278998.20902/-305015.60317*100)</f>
        <v>91.47014320592011</v>
      </c>
    </row>
    <row r="50" spans="1:4" s="19" customFormat="1" ht="14.25" customHeight="1" x14ac:dyDescent="0.2">
      <c r="A50" s="67" t="s">
        <v>15</v>
      </c>
      <c r="B50" s="38">
        <v>-28707.405360000001</v>
      </c>
      <c r="C50" s="38">
        <v>-85656.324659999998</v>
      </c>
      <c r="D50" s="17" t="s">
        <v>295</v>
      </c>
    </row>
    <row r="51" spans="1:4" s="19" customFormat="1" ht="14.25" customHeight="1" x14ac:dyDescent="0.2">
      <c r="A51" s="67" t="s">
        <v>65</v>
      </c>
      <c r="B51" s="38">
        <v>-67692.521349999995</v>
      </c>
      <c r="C51" s="38">
        <v>-75667.606870000003</v>
      </c>
      <c r="D51" s="17">
        <f>IF(OR(-67692.52135="",-75667.60687="",-67692.52135=0),"-",-75667.60687/-67692.52135*100)</f>
        <v>111.78133915084257</v>
      </c>
    </row>
    <row r="52" spans="1:4" s="19" customFormat="1" ht="14.25" customHeight="1" x14ac:dyDescent="0.2">
      <c r="A52" s="67" t="s">
        <v>29</v>
      </c>
      <c r="B52" s="38">
        <v>-47137.8727</v>
      </c>
      <c r="C52" s="38">
        <v>-62899.892820000001</v>
      </c>
      <c r="D52" s="17">
        <f>IF(OR(-47137.8727="",-62899.89282="",-47137.8727=0),"-",-62899.89282/-47137.8727*100)</f>
        <v>133.43812356640353</v>
      </c>
    </row>
    <row r="53" spans="1:4" s="19" customFormat="1" ht="14.25" customHeight="1" x14ac:dyDescent="0.2">
      <c r="A53" s="67" t="s">
        <v>59</v>
      </c>
      <c r="B53" s="38">
        <v>-52419.914850000001</v>
      </c>
      <c r="C53" s="38">
        <v>-48439.320229999998</v>
      </c>
      <c r="D53" s="17">
        <f>IF(OR(-52419.91485="",-48439.32023="",-52419.91485=0),"-",-48439.32023/-52419.91485*100)</f>
        <v>92.406331388766077</v>
      </c>
    </row>
    <row r="54" spans="1:4" s="19" customFormat="1" ht="14.25" customHeight="1" x14ac:dyDescent="0.2">
      <c r="A54" s="67" t="s">
        <v>61</v>
      </c>
      <c r="B54" s="38">
        <v>-39213.739439999998</v>
      </c>
      <c r="C54" s="38">
        <v>-44883.459340000001</v>
      </c>
      <c r="D54" s="17">
        <f>IF(OR(-39213.73944="",-44883.45934="",-39213.73944=0),"-",-44883.45934/-39213.73944*100)</f>
        <v>114.45850352699749</v>
      </c>
    </row>
    <row r="55" spans="1:4" s="19" customFormat="1" ht="14.25" customHeight="1" x14ac:dyDescent="0.2">
      <c r="A55" s="67" t="s">
        <v>314</v>
      </c>
      <c r="B55" s="38">
        <v>-37100.981180000002</v>
      </c>
      <c r="C55" s="38">
        <v>-41878.95753</v>
      </c>
      <c r="D55" s="17">
        <f>IF(OR(-37100.98118="",-41878.95753="",-37100.98118=0),"-",-41878.95753/-37100.98118*100)</f>
        <v>112.87830186166521</v>
      </c>
    </row>
    <row r="56" spans="1:4" s="19" customFormat="1" ht="14.25" customHeight="1" x14ac:dyDescent="0.2">
      <c r="A56" s="67" t="s">
        <v>53</v>
      </c>
      <c r="B56" s="38">
        <v>-10125.23875</v>
      </c>
      <c r="C56" s="38">
        <v>-27752.59289</v>
      </c>
      <c r="D56" s="17" t="s">
        <v>349</v>
      </c>
    </row>
    <row r="57" spans="1:4" s="19" customFormat="1" ht="14.25" customHeight="1" x14ac:dyDescent="0.2">
      <c r="A57" s="67" t="s">
        <v>68</v>
      </c>
      <c r="B57" s="38">
        <v>-20279.18232</v>
      </c>
      <c r="C57" s="38">
        <v>-26683.0821</v>
      </c>
      <c r="D57" s="17">
        <f>IF(OR(-20279.18232="",-26683.0821="",-20279.18232=0),"-",-26683.0821/-20279.18232*100)</f>
        <v>131.57868832652221</v>
      </c>
    </row>
    <row r="58" spans="1:4" s="19" customFormat="1" ht="14.25" customHeight="1" x14ac:dyDescent="0.2">
      <c r="A58" s="67" t="s">
        <v>60</v>
      </c>
      <c r="B58" s="38">
        <v>-20675.363089999999</v>
      </c>
      <c r="C58" s="38">
        <v>-22235.7022</v>
      </c>
      <c r="D58" s="17">
        <f>IF(OR(-20675.36309="",-22235.7022="",-20675.36309=0),"-",-22235.7022/-20675.36309*100)</f>
        <v>107.54685227634376</v>
      </c>
    </row>
    <row r="59" spans="1:4" s="19" customFormat="1" ht="14.25" customHeight="1" x14ac:dyDescent="0.2">
      <c r="A59" s="67" t="s">
        <v>56</v>
      </c>
      <c r="B59" s="38">
        <v>-15019.99798</v>
      </c>
      <c r="C59" s="38">
        <v>-16620.278689999999</v>
      </c>
      <c r="D59" s="17">
        <f>IF(OR(-15019.99798="",-16620.27869="",-15019.99798=0),"-",-16620.27869/-15019.99798*100)</f>
        <v>110.65433372315275</v>
      </c>
    </row>
    <row r="60" spans="1:4" s="19" customFormat="1" ht="14.25" customHeight="1" x14ac:dyDescent="0.2">
      <c r="A60" s="67" t="s">
        <v>286</v>
      </c>
      <c r="B60" s="38">
        <v>-16334.405129999999</v>
      </c>
      <c r="C60" s="38">
        <v>-15556.34015</v>
      </c>
      <c r="D60" s="17">
        <f>IF(OR(-16334.40513="",-15556.34015="",-16334.40513=0),"-",-15556.34015/-16334.40513*100)</f>
        <v>95.236649429179437</v>
      </c>
    </row>
    <row r="61" spans="1:4" s="19" customFormat="1" ht="14.25" customHeight="1" x14ac:dyDescent="0.2">
      <c r="A61" s="67" t="s">
        <v>54</v>
      </c>
      <c r="B61" s="38">
        <v>-28838.50632</v>
      </c>
      <c r="C61" s="38">
        <v>-15207.76706</v>
      </c>
      <c r="D61" s="17">
        <f>IF(OR(-28838.50632="",-15207.76706="",-28838.50632=0),"-",-15207.76706/-28838.50632*100)</f>
        <v>52.734239739223774</v>
      </c>
    </row>
    <row r="62" spans="1:4" s="19" customFormat="1" ht="14.25" customHeight="1" x14ac:dyDescent="0.2">
      <c r="A62" s="67" t="s">
        <v>294</v>
      </c>
      <c r="B62" s="38">
        <v>-10772.121220000001</v>
      </c>
      <c r="C62" s="38">
        <v>-13330.380080000001</v>
      </c>
      <c r="D62" s="17">
        <f>IF(OR(-10772.12122="",-13330.38008="",-10772.12122=0),"-",-13330.38008/-10772.12122*100)</f>
        <v>123.74888666542503</v>
      </c>
    </row>
    <row r="63" spans="1:4" s="19" customFormat="1" ht="14.25" customHeight="1" x14ac:dyDescent="0.2">
      <c r="A63" s="67" t="s">
        <v>67</v>
      </c>
      <c r="B63" s="38">
        <v>-9296.3360599999996</v>
      </c>
      <c r="C63" s="38">
        <v>-13299.03548</v>
      </c>
      <c r="D63" s="17">
        <f>IF(OR(-9296.33606="",-13299.03548="",-9296.33606=0),"-",-13299.03548/-9296.33606*100)</f>
        <v>143.05674186223428</v>
      </c>
    </row>
    <row r="64" spans="1:4" s="19" customFormat="1" ht="14.25" customHeight="1" x14ac:dyDescent="0.2">
      <c r="A64" s="67" t="s">
        <v>71</v>
      </c>
      <c r="B64" s="38">
        <v>-10823.412410000001</v>
      </c>
      <c r="C64" s="38">
        <v>-12705.79681</v>
      </c>
      <c r="D64" s="17">
        <f>IF(OR(-10823.41241="",-12705.79681="",-10823.41241=0),"-",-12705.79681/-10823.41241*100)</f>
        <v>117.39178300422905</v>
      </c>
    </row>
    <row r="65" spans="1:4" s="19" customFormat="1" ht="14.25" customHeight="1" x14ac:dyDescent="0.2">
      <c r="A65" s="67" t="s">
        <v>64</v>
      </c>
      <c r="B65" s="38">
        <v>-26750.9686</v>
      </c>
      <c r="C65" s="38">
        <v>-12490.264279999999</v>
      </c>
      <c r="D65" s="17">
        <f>IF(OR(-26750.9686="",-12490.26428="",-26750.9686=0),"-",-12490.26428/-26750.9686*100)</f>
        <v>46.690886101223263</v>
      </c>
    </row>
    <row r="66" spans="1:4" s="19" customFormat="1" ht="14.25" customHeight="1" x14ac:dyDescent="0.2">
      <c r="A66" s="67" t="s">
        <v>73</v>
      </c>
      <c r="B66" s="38">
        <v>-5445.3553700000002</v>
      </c>
      <c r="C66" s="38">
        <v>-11963.232019999999</v>
      </c>
      <c r="D66" s="17" t="s">
        <v>308</v>
      </c>
    </row>
    <row r="67" spans="1:4" s="19" customFormat="1" ht="14.25" customHeight="1" x14ac:dyDescent="0.2">
      <c r="A67" s="67" t="s">
        <v>281</v>
      </c>
      <c r="B67" s="38">
        <v>-5139.9488300000003</v>
      </c>
      <c r="C67" s="38">
        <v>-10344.503489999999</v>
      </c>
      <c r="D67" s="17" t="s">
        <v>275</v>
      </c>
    </row>
    <row r="68" spans="1:4" s="19" customFormat="1" ht="14.25" customHeight="1" x14ac:dyDescent="0.2">
      <c r="A68" s="47" t="s">
        <v>31</v>
      </c>
      <c r="B68" s="38">
        <v>-5630.6178799999998</v>
      </c>
      <c r="C68" s="17">
        <v>-9501.9598800000003</v>
      </c>
      <c r="D68" s="17" t="s">
        <v>271</v>
      </c>
    </row>
    <row r="69" spans="1:4" s="19" customFormat="1" ht="14.25" customHeight="1" x14ac:dyDescent="0.2">
      <c r="A69" s="67" t="s">
        <v>98</v>
      </c>
      <c r="B69" s="38">
        <v>-2813.0505199999998</v>
      </c>
      <c r="C69" s="38">
        <v>-9387.1542800000007</v>
      </c>
      <c r="D69" s="17" t="s">
        <v>365</v>
      </c>
    </row>
    <row r="70" spans="1:4" s="19" customFormat="1" ht="14.25" customHeight="1" x14ac:dyDescent="0.2">
      <c r="A70" s="67" t="s">
        <v>285</v>
      </c>
      <c r="B70" s="38">
        <v>-4356.2183800000003</v>
      </c>
      <c r="C70" s="38">
        <v>-8185.9688599999999</v>
      </c>
      <c r="D70" s="17" t="s">
        <v>272</v>
      </c>
    </row>
    <row r="71" spans="1:4" s="19" customFormat="1" ht="14.25" customHeight="1" x14ac:dyDescent="0.2">
      <c r="A71" s="67" t="s">
        <v>63</v>
      </c>
      <c r="B71" s="38">
        <v>-8536.4357999999993</v>
      </c>
      <c r="C71" s="38">
        <v>-7764.1459299999997</v>
      </c>
      <c r="D71" s="17">
        <f>IF(OR(-8536.4358="",-7764.14593="",-8536.4358=0),"-",-7764.14593/-8536.4358*100)</f>
        <v>90.953017300264833</v>
      </c>
    </row>
    <row r="72" spans="1:4" s="19" customFormat="1" ht="14.25" customHeight="1" x14ac:dyDescent="0.2">
      <c r="A72" s="67" t="s">
        <v>78</v>
      </c>
      <c r="B72" s="38">
        <v>-5080.5169599999999</v>
      </c>
      <c r="C72" s="38">
        <v>-6781.2473799999998</v>
      </c>
      <c r="D72" s="17">
        <f>IF(OR(-5080.51696="",-6781.24738="",-5080.51696=0),"-",-6781.24738/-5080.51696*100)</f>
        <v>133.47553867825292</v>
      </c>
    </row>
    <row r="73" spans="1:4" s="19" customFormat="1" ht="14.25" customHeight="1" x14ac:dyDescent="0.2">
      <c r="A73" s="67" t="s">
        <v>72</v>
      </c>
      <c r="B73" s="38">
        <v>-6419.6520300000002</v>
      </c>
      <c r="C73" s="38">
        <v>-6423.1581800000004</v>
      </c>
      <c r="D73" s="17">
        <f>IF(OR(-6419.65203="",-6423.15818="",-6419.65203=0),"-",-6423.15818/-6419.65203*100)</f>
        <v>100.05461588858111</v>
      </c>
    </row>
    <row r="74" spans="1:4" s="19" customFormat="1" ht="14.25" customHeight="1" x14ac:dyDescent="0.2">
      <c r="A74" s="47" t="s">
        <v>70</v>
      </c>
      <c r="B74" s="38">
        <v>-3841.8319700000002</v>
      </c>
      <c r="C74" s="17">
        <v>-6182.8305899999996</v>
      </c>
      <c r="D74" s="17" t="s">
        <v>276</v>
      </c>
    </row>
    <row r="75" spans="1:4" s="19" customFormat="1" ht="14.25" customHeight="1" x14ac:dyDescent="0.2">
      <c r="A75" s="47" t="s">
        <v>85</v>
      </c>
      <c r="B75" s="38">
        <v>-2672.0832399999999</v>
      </c>
      <c r="C75" s="17">
        <v>-6006.7189600000002</v>
      </c>
      <c r="D75" s="17" t="s">
        <v>308</v>
      </c>
    </row>
    <row r="76" spans="1:4" s="19" customFormat="1" ht="14.25" customHeight="1" x14ac:dyDescent="0.2">
      <c r="A76" s="67" t="s">
        <v>69</v>
      </c>
      <c r="B76" s="38">
        <v>-4904.5441300000002</v>
      </c>
      <c r="C76" s="38">
        <v>-4685.9549500000003</v>
      </c>
      <c r="D76" s="17">
        <f>IF(OR(-4904.54413="",-4685.95495="",-4904.54413=0),"-",-4685.95495/-4904.54413*100)</f>
        <v>95.543129509979551</v>
      </c>
    </row>
    <row r="77" spans="1:4" s="19" customFormat="1" ht="14.25" customHeight="1" x14ac:dyDescent="0.2">
      <c r="A77" s="67" t="s">
        <v>75</v>
      </c>
      <c r="B77" s="38">
        <v>-2360.6430799999998</v>
      </c>
      <c r="C77" s="38">
        <v>-4350.0338099999999</v>
      </c>
      <c r="D77" s="17" t="s">
        <v>273</v>
      </c>
    </row>
    <row r="78" spans="1:4" s="19" customFormat="1" ht="14.25" customHeight="1" x14ac:dyDescent="0.2">
      <c r="A78" s="67" t="s">
        <v>81</v>
      </c>
      <c r="B78" s="38">
        <v>-3162.9185499999999</v>
      </c>
      <c r="C78" s="38">
        <v>-4244.3962700000002</v>
      </c>
      <c r="D78" s="17">
        <f>IF(OR(-3162.91855="",-4244.39627="",-3162.91855=0),"-",-4244.39627/-3162.91855*100)</f>
        <v>134.19239866293745</v>
      </c>
    </row>
    <row r="79" spans="1:4" s="19" customFormat="1" ht="14.25" customHeight="1" x14ac:dyDescent="0.2">
      <c r="A79" s="67" t="s">
        <v>55</v>
      </c>
      <c r="B79" s="38">
        <v>-2904.4708099999998</v>
      </c>
      <c r="C79" s="38">
        <v>-4216.7314699999997</v>
      </c>
      <c r="D79" s="17">
        <f>IF(OR(-2904.47081="",-4216.73147="",-2904.47081=0),"-",-4216.73147/-2904.47081*100)</f>
        <v>145.18071434844271</v>
      </c>
    </row>
    <row r="80" spans="1:4" s="19" customFormat="1" ht="14.25" customHeight="1" x14ac:dyDescent="0.2">
      <c r="A80" s="67" t="s">
        <v>76</v>
      </c>
      <c r="B80" s="38">
        <v>-3438.2044999999998</v>
      </c>
      <c r="C80" s="38">
        <v>-3568.6675399999999</v>
      </c>
      <c r="D80" s="17">
        <f>IF(OR(-3438.2045="",-3568.66754="",-3438.2045=0),"-",-3568.66754/-3438.2045*100)</f>
        <v>103.79451076862938</v>
      </c>
    </row>
    <row r="81" spans="1:4" s="19" customFormat="1" ht="14.25" customHeight="1" x14ac:dyDescent="0.2">
      <c r="A81" s="67" t="s">
        <v>321</v>
      </c>
      <c r="B81" s="38">
        <v>-1147.68138</v>
      </c>
      <c r="C81" s="38">
        <v>-3369.8667599999999</v>
      </c>
      <c r="D81" s="17" t="s">
        <v>310</v>
      </c>
    </row>
    <row r="82" spans="1:4" s="19" customFormat="1" ht="14.25" customHeight="1" x14ac:dyDescent="0.2">
      <c r="A82" s="67" t="s">
        <v>62</v>
      </c>
      <c r="B82" s="38">
        <v>-3353.5535</v>
      </c>
      <c r="C82" s="38">
        <v>-3256.92929</v>
      </c>
      <c r="D82" s="17">
        <f>IF(OR(-3353.5535="",-3256.92929="",-3353.5535=0),"-",-3256.92929/-3353.5535*100)</f>
        <v>97.118751497478712</v>
      </c>
    </row>
    <row r="83" spans="1:4" s="19" customFormat="1" ht="14.25" customHeight="1" x14ac:dyDescent="0.2">
      <c r="A83" s="67" t="s">
        <v>282</v>
      </c>
      <c r="B83" s="38">
        <v>-4414.7901300000003</v>
      </c>
      <c r="C83" s="38">
        <v>-3141.5897</v>
      </c>
      <c r="D83" s="17">
        <f>IF(OR(-4414.79013="",-3141.5897="",-4414.79013=0),"-",-3141.5897/-4414.79013*100)</f>
        <v>71.160567263477134</v>
      </c>
    </row>
    <row r="84" spans="1:4" s="19" customFormat="1" ht="14.25" customHeight="1" x14ac:dyDescent="0.2">
      <c r="A84" s="67" t="s">
        <v>77</v>
      </c>
      <c r="B84" s="38">
        <v>-2877.2165799999998</v>
      </c>
      <c r="C84" s="38">
        <v>-3094.7608799999998</v>
      </c>
      <c r="D84" s="17">
        <f>IF(OR(-2877.21658="",-3094.76088="",-2877.21658=0),"-",-3094.76088/-2877.21658*100)</f>
        <v>107.5609289030303</v>
      </c>
    </row>
    <row r="85" spans="1:4" s="19" customFormat="1" ht="14.25" customHeight="1" x14ac:dyDescent="0.2">
      <c r="A85" s="67" t="s">
        <v>104</v>
      </c>
      <c r="B85" s="38">
        <v>-2371.8460300000002</v>
      </c>
      <c r="C85" s="38">
        <v>-2830.02855</v>
      </c>
      <c r="D85" s="17">
        <f>IF(OR(-2371.84603="",-2830.02855="",-2371.84603=0),"-",-2830.02855/-2371.84603*100)</f>
        <v>119.31754904006142</v>
      </c>
    </row>
    <row r="86" spans="1:4" s="19" customFormat="1" ht="14.25" customHeight="1" x14ac:dyDescent="0.2">
      <c r="A86" s="67" t="s">
        <v>99</v>
      </c>
      <c r="B86" s="38">
        <v>-1031.9604400000001</v>
      </c>
      <c r="C86" s="38">
        <v>-2522.7465999999999</v>
      </c>
      <c r="D86" s="17" t="s">
        <v>309</v>
      </c>
    </row>
    <row r="87" spans="1:4" s="19" customFormat="1" ht="14.25" customHeight="1" x14ac:dyDescent="0.2">
      <c r="A87" s="67" t="s">
        <v>79</v>
      </c>
      <c r="B87" s="38">
        <v>-2624.89599</v>
      </c>
      <c r="C87" s="38">
        <v>-2461.72138</v>
      </c>
      <c r="D87" s="17">
        <f>IF(OR(-2624.89599="",-2461.72138="",-2624.89599=0),"-",-2461.72138/-2624.89599*100)</f>
        <v>93.783578068554249</v>
      </c>
    </row>
    <row r="88" spans="1:4" s="19" customFormat="1" ht="14.25" customHeight="1" x14ac:dyDescent="0.2">
      <c r="A88" s="67" t="s">
        <v>315</v>
      </c>
      <c r="B88" s="38">
        <v>-6709.6171599999998</v>
      </c>
      <c r="C88" s="38">
        <v>-1789.9471599999999</v>
      </c>
      <c r="D88" s="17">
        <f>IF(OR(-6709.61716="",-1789.94716="",-6709.61716=0),"-",-1789.94716/-6709.61716*100)</f>
        <v>26.677336684288555</v>
      </c>
    </row>
    <row r="89" spans="1:4" s="19" customFormat="1" ht="14.25" customHeight="1" x14ac:dyDescent="0.2">
      <c r="A89" s="67" t="s">
        <v>80</v>
      </c>
      <c r="B89" s="38">
        <v>-965.01392999999996</v>
      </c>
      <c r="C89" s="38">
        <v>-1632.26397</v>
      </c>
      <c r="D89" s="17" t="s">
        <v>271</v>
      </c>
    </row>
    <row r="90" spans="1:4" s="19" customFormat="1" ht="14.25" customHeight="1" x14ac:dyDescent="0.2">
      <c r="A90" s="47" t="s">
        <v>254</v>
      </c>
      <c r="B90" s="38">
        <v>-1411.55647</v>
      </c>
      <c r="C90" s="17">
        <v>-1536.2875899999999</v>
      </c>
      <c r="D90" s="17">
        <f>IF(OR(-1411.55647="",-1536.28759="",-1411.55647=0),"-",-1536.28759/-1411.55647*100)</f>
        <v>108.83642437627734</v>
      </c>
    </row>
    <row r="91" spans="1:4" s="19" customFormat="1" ht="14.25" customHeight="1" x14ac:dyDescent="0.2">
      <c r="A91" s="67" t="s">
        <v>96</v>
      </c>
      <c r="B91" s="38">
        <v>-534.74075000000005</v>
      </c>
      <c r="C91" s="38">
        <v>-1473.9289000000001</v>
      </c>
      <c r="D91" s="17" t="s">
        <v>345</v>
      </c>
    </row>
    <row r="92" spans="1:4" s="19" customFormat="1" ht="14.25" customHeight="1" x14ac:dyDescent="0.2">
      <c r="A92" s="67" t="s">
        <v>74</v>
      </c>
      <c r="B92" s="38">
        <v>-1058.5393300000001</v>
      </c>
      <c r="C92" s="38">
        <v>-1361.1859300000001</v>
      </c>
      <c r="D92" s="17">
        <f>IF(OR(-1058.53933="",-1361.18593="",-1058.53933=0),"-",-1361.18593/-1058.53933*100)</f>
        <v>128.59096411656239</v>
      </c>
    </row>
    <row r="93" spans="1:4" s="19" customFormat="1" ht="14.25" customHeight="1" x14ac:dyDescent="0.2">
      <c r="A93" s="67" t="s">
        <v>324</v>
      </c>
      <c r="B93" s="38">
        <v>-1009.54236</v>
      </c>
      <c r="C93" s="38">
        <v>-1277.68418</v>
      </c>
      <c r="D93" s="17">
        <f>IF(OR(-1009.54236="",-1277.68418="",-1009.54236=0),"-",-1277.68418/-1009.54236*100)</f>
        <v>126.56072995292638</v>
      </c>
    </row>
    <row r="94" spans="1:4" s="19" customFormat="1" ht="14.25" customHeight="1" x14ac:dyDescent="0.2">
      <c r="A94" s="67" t="s">
        <v>317</v>
      </c>
      <c r="B94" s="38">
        <v>-853.95182999999997</v>
      </c>
      <c r="C94" s="38">
        <v>-1127.5498700000001</v>
      </c>
      <c r="D94" s="17">
        <f>IF(OR(-853.95183="",-1127.54987="",-853.95183=0),"-",-1127.54987/-853.95183*100)</f>
        <v>132.03904838519992</v>
      </c>
    </row>
    <row r="95" spans="1:4" s="19" customFormat="1" ht="14.25" customHeight="1" x14ac:dyDescent="0.2">
      <c r="A95" s="67" t="s">
        <v>323</v>
      </c>
      <c r="B95" s="38">
        <v>-227.1046</v>
      </c>
      <c r="C95" s="38">
        <v>-1034.47668</v>
      </c>
      <c r="D95" s="17" t="s">
        <v>382</v>
      </c>
    </row>
    <row r="96" spans="1:4" s="19" customFormat="1" ht="14.25" customHeight="1" x14ac:dyDescent="0.2">
      <c r="A96" s="67" t="s">
        <v>318</v>
      </c>
      <c r="B96" s="38">
        <v>-1452.75721</v>
      </c>
      <c r="C96" s="38">
        <v>-926.57057999999995</v>
      </c>
      <c r="D96" s="17">
        <f>IF(OR(-1452.75721="",-926.57058="",-1452.75721=0),"-",-926.57058/-1452.75721*100)</f>
        <v>63.780139834928093</v>
      </c>
    </row>
    <row r="97" spans="1:4" s="19" customFormat="1" ht="14.25" customHeight="1" x14ac:dyDescent="0.2">
      <c r="A97" s="67" t="s">
        <v>82</v>
      </c>
      <c r="B97" s="38">
        <v>-713.92376999999999</v>
      </c>
      <c r="C97" s="38">
        <v>-878.43293000000006</v>
      </c>
      <c r="D97" s="17">
        <f>IF(OR(-713.92377="",-878.43293="",-713.92377=0),"-",-878.43293/-713.92377*100)</f>
        <v>123.04295877415596</v>
      </c>
    </row>
    <row r="98" spans="1:4" s="19" customFormat="1" ht="14.25" customHeight="1" x14ac:dyDescent="0.2">
      <c r="A98" s="67" t="s">
        <v>354</v>
      </c>
      <c r="B98" s="38">
        <v>-22.30011</v>
      </c>
      <c r="C98" s="38">
        <v>-747.95708999999999</v>
      </c>
      <c r="D98" s="17" t="s">
        <v>404</v>
      </c>
    </row>
    <row r="99" spans="1:4" s="19" customFormat="1" ht="14.25" customHeight="1" x14ac:dyDescent="0.2">
      <c r="A99" s="67" t="s">
        <v>30</v>
      </c>
      <c r="B99" s="38">
        <v>-60.889960000000002</v>
      </c>
      <c r="C99" s="38">
        <v>-660.41466000000003</v>
      </c>
      <c r="D99" s="17" t="s">
        <v>360</v>
      </c>
    </row>
    <row r="100" spans="1:4" s="19" customFormat="1" ht="14.25" customHeight="1" x14ac:dyDescent="0.2">
      <c r="A100" s="67" t="s">
        <v>322</v>
      </c>
      <c r="B100" s="38">
        <v>-178.53583</v>
      </c>
      <c r="C100" s="38">
        <v>-655.06146000000001</v>
      </c>
      <c r="D100" s="17" t="s">
        <v>350</v>
      </c>
    </row>
    <row r="101" spans="1:4" s="19" customFormat="1" ht="14.25" customHeight="1" x14ac:dyDescent="0.2">
      <c r="A101" s="67" t="s">
        <v>84</v>
      </c>
      <c r="B101" s="38">
        <v>-601.54246999999998</v>
      </c>
      <c r="C101" s="38">
        <v>-648.74278000000004</v>
      </c>
      <c r="D101" s="17">
        <f>IF(OR(-601.54247="",-648.74278="",-601.54247=0),"-",-648.74278/-601.54247*100)</f>
        <v>107.846546562207</v>
      </c>
    </row>
    <row r="102" spans="1:4" s="19" customFormat="1" ht="14.25" customHeight="1" x14ac:dyDescent="0.2">
      <c r="A102" s="67" t="s">
        <v>289</v>
      </c>
      <c r="B102" s="38">
        <v>-189.89519000000001</v>
      </c>
      <c r="C102" s="38">
        <v>-617.06619999999998</v>
      </c>
      <c r="D102" s="17" t="s">
        <v>328</v>
      </c>
    </row>
    <row r="103" spans="1:4" s="19" customFormat="1" ht="14.25" customHeight="1" x14ac:dyDescent="0.2">
      <c r="A103" s="67" t="s">
        <v>57</v>
      </c>
      <c r="B103" s="38">
        <v>2661.6376500000001</v>
      </c>
      <c r="C103" s="38">
        <v>-509.92475999999999</v>
      </c>
      <c r="D103" s="17" t="s">
        <v>277</v>
      </c>
    </row>
    <row r="104" spans="1:4" s="19" customFormat="1" ht="14.25" customHeight="1" x14ac:dyDescent="0.2">
      <c r="A104" s="67" t="s">
        <v>255</v>
      </c>
      <c r="B104" s="38">
        <v>-425.91433999999998</v>
      </c>
      <c r="C104" s="38">
        <v>-358.79678000000001</v>
      </c>
      <c r="D104" s="17">
        <f>IF(OR(-425.91434="",-358.79678="",-425.91434=0),"-",-358.79678/-425.91434*100)</f>
        <v>84.241535516273075</v>
      </c>
    </row>
    <row r="105" spans="1:4" s="19" customFormat="1" ht="14.25" customHeight="1" x14ac:dyDescent="0.2">
      <c r="A105" s="67" t="s">
        <v>290</v>
      </c>
      <c r="B105" s="38">
        <v>-132.62931</v>
      </c>
      <c r="C105" s="38">
        <v>-327.53242</v>
      </c>
      <c r="D105" s="17" t="s">
        <v>347</v>
      </c>
    </row>
    <row r="106" spans="1:4" s="19" customFormat="1" ht="14.25" customHeight="1" x14ac:dyDescent="0.2">
      <c r="A106" s="47" t="s">
        <v>163</v>
      </c>
      <c r="B106" s="38">
        <v>-450.01778000000002</v>
      </c>
      <c r="C106" s="17">
        <v>-285.95934</v>
      </c>
      <c r="D106" s="17">
        <f>IF(OR(-450.01778="",-285.95934="",-450.01778=0),"-",-285.95934/-450.01778*100)</f>
        <v>63.544009305587878</v>
      </c>
    </row>
    <row r="107" spans="1:4" s="19" customFormat="1" ht="14.25" customHeight="1" x14ac:dyDescent="0.2">
      <c r="A107" s="67" t="s">
        <v>291</v>
      </c>
      <c r="B107" s="38">
        <v>-205.91199</v>
      </c>
      <c r="C107" s="38">
        <v>-256.10926000000001</v>
      </c>
      <c r="D107" s="17">
        <f>IF(OR(-205.91199="",-256.10926="",-205.91199=0),"-",-256.10926/-205.91199*100)</f>
        <v>124.37802189178007</v>
      </c>
    </row>
    <row r="108" spans="1:4" s="19" customFormat="1" ht="14.25" customHeight="1" x14ac:dyDescent="0.2">
      <c r="A108" s="67" t="s">
        <v>343</v>
      </c>
      <c r="B108" s="38">
        <v>-219.04361</v>
      </c>
      <c r="C108" s="38">
        <v>-220.96442999999999</v>
      </c>
      <c r="D108" s="17">
        <f>IF(OR(-219.04361="",-220.96443="",-219.04361=0),"-",-220.96443/-219.04361*100)</f>
        <v>100.87691213635495</v>
      </c>
    </row>
    <row r="109" spans="1:4" s="19" customFormat="1" ht="14.25" customHeight="1" x14ac:dyDescent="0.2">
      <c r="A109" s="67" t="s">
        <v>257</v>
      </c>
      <c r="B109" s="38">
        <v>-167.24365</v>
      </c>
      <c r="C109" s="38">
        <v>-216.09327999999999</v>
      </c>
      <c r="D109" s="17">
        <f>IF(OR(-167.24365="",-216.09328="",-167.24365=0),"-",-216.09328/-167.24365*100)</f>
        <v>129.20866053808319</v>
      </c>
    </row>
    <row r="110" spans="1:4" s="19" customFormat="1" ht="14.25" customHeight="1" x14ac:dyDescent="0.2">
      <c r="A110" s="67" t="s">
        <v>259</v>
      </c>
      <c r="B110" s="38">
        <v>-20.903220000000001</v>
      </c>
      <c r="C110" s="38">
        <v>-206.63049000000001</v>
      </c>
      <c r="D110" s="17" t="s">
        <v>405</v>
      </c>
    </row>
    <row r="111" spans="1:4" s="19" customFormat="1" ht="14.25" customHeight="1" x14ac:dyDescent="0.2">
      <c r="A111" s="67" t="s">
        <v>86</v>
      </c>
      <c r="B111" s="38">
        <v>-262.69141999999999</v>
      </c>
      <c r="C111" s="38">
        <v>-185.18374</v>
      </c>
      <c r="D111" s="17">
        <f>IF(OR(-262.69142="",-185.18374="",-262.69142=0),"-",-185.18374/-262.69142*100)</f>
        <v>70.49478052994651</v>
      </c>
    </row>
    <row r="112" spans="1:4" s="19" customFormat="1" ht="14.25" customHeight="1" x14ac:dyDescent="0.2">
      <c r="A112" s="67" t="s">
        <v>342</v>
      </c>
      <c r="B112" s="38">
        <v>-30.537610000000001</v>
      </c>
      <c r="C112" s="38">
        <v>-142.41557</v>
      </c>
      <c r="D112" s="17" t="s">
        <v>406</v>
      </c>
    </row>
    <row r="113" spans="1:4" s="19" customFormat="1" ht="14.25" customHeight="1" x14ac:dyDescent="0.2">
      <c r="A113" s="67" t="s">
        <v>319</v>
      </c>
      <c r="B113" s="38">
        <v>-236.27351999999999</v>
      </c>
      <c r="C113" s="38">
        <v>-122.21996</v>
      </c>
      <c r="D113" s="17">
        <f>IF(OR(-236.27352="",-122.21996="",-236.27352=0),"-",-122.21996/-236.27352*100)</f>
        <v>51.728166575755083</v>
      </c>
    </row>
    <row r="114" spans="1:4" s="19" customFormat="1" ht="14.25" customHeight="1" x14ac:dyDescent="0.2">
      <c r="A114" s="67" t="s">
        <v>320</v>
      </c>
      <c r="B114" s="38">
        <v>-84.998099999999994</v>
      </c>
      <c r="C114" s="38">
        <v>-119.7334</v>
      </c>
      <c r="D114" s="17">
        <f>IF(OR(-84.9981="",-119.7334="",-84.9981=0),"-",-119.7334/-84.9981*100)</f>
        <v>140.86597229820433</v>
      </c>
    </row>
    <row r="115" spans="1:4" s="19" customFormat="1" ht="14.25" customHeight="1" x14ac:dyDescent="0.2">
      <c r="A115" s="67" t="s">
        <v>344</v>
      </c>
      <c r="B115" s="38">
        <v>-464.02348999999998</v>
      </c>
      <c r="C115" s="38">
        <v>-105.62801</v>
      </c>
      <c r="D115" s="17">
        <f>IF(OR(-464.02349="",-105.62801="",-464.02349=0),"-",-105.62801/-464.02349*100)</f>
        <v>22.763504925149373</v>
      </c>
    </row>
    <row r="116" spans="1:4" s="19" customFormat="1" ht="14.25" customHeight="1" x14ac:dyDescent="0.2">
      <c r="A116" s="67" t="s">
        <v>326</v>
      </c>
      <c r="B116" s="38">
        <v>-84.439549999999997</v>
      </c>
      <c r="C116" s="38">
        <v>-83.455060000000003</v>
      </c>
      <c r="D116" s="17">
        <f>IF(OR(-84.43955="",-83.45506="",-84.43955=0),"-",-83.45506/-84.43955*100)</f>
        <v>98.834089002132302</v>
      </c>
    </row>
    <row r="117" spans="1:4" s="19" customFormat="1" ht="14.25" customHeight="1" x14ac:dyDescent="0.2">
      <c r="A117" s="67" t="s">
        <v>362</v>
      </c>
      <c r="B117" s="38">
        <v>-62.0901</v>
      </c>
      <c r="C117" s="38">
        <v>-74.308809999999994</v>
      </c>
      <c r="D117" s="17">
        <f>IF(OR(-62.0901="",-74.30881="",-62.0901=0),"-",-74.30881/-62.0901*100)</f>
        <v>119.67899874537164</v>
      </c>
    </row>
    <row r="118" spans="1:4" s="19" customFormat="1" ht="14.25" customHeight="1" x14ac:dyDescent="0.2">
      <c r="A118" s="67" t="s">
        <v>389</v>
      </c>
      <c r="B118" s="38">
        <v>-39.141970000000001</v>
      </c>
      <c r="C118" s="38">
        <v>-56.726370000000003</v>
      </c>
      <c r="D118" s="17">
        <f>IF(OR(-39.14197="",-56.72637="",-39.14197=0),"-",-56.72637/-39.14197*100)</f>
        <v>144.92466781820127</v>
      </c>
    </row>
    <row r="119" spans="1:4" s="19" customFormat="1" ht="14.25" customHeight="1" x14ac:dyDescent="0.2">
      <c r="A119" s="67" t="s">
        <v>346</v>
      </c>
      <c r="B119" s="38">
        <v>-108.04349000000001</v>
      </c>
      <c r="C119" s="38">
        <v>-54.085329999999999</v>
      </c>
      <c r="D119" s="17">
        <f>IF(OR(-108.04349="",-54.08533="",-108.04349=0),"-",-54.08533/-108.04349*100)</f>
        <v>50.058851301452776</v>
      </c>
    </row>
    <row r="120" spans="1:4" s="19" customFormat="1" ht="14.25" customHeight="1" x14ac:dyDescent="0.2">
      <c r="A120" s="67" t="s">
        <v>327</v>
      </c>
      <c r="B120" s="38">
        <v>-0.59477000000000002</v>
      </c>
      <c r="C120" s="38">
        <v>56.269950000000001</v>
      </c>
      <c r="D120" s="17" t="s">
        <v>277</v>
      </c>
    </row>
    <row r="121" spans="1:4" s="19" customFormat="1" ht="14.25" customHeight="1" x14ac:dyDescent="0.2">
      <c r="A121" s="67" t="s">
        <v>336</v>
      </c>
      <c r="B121" s="38">
        <v>-0.12163</v>
      </c>
      <c r="C121" s="38">
        <v>59.559109999999997</v>
      </c>
      <c r="D121" s="17" t="s">
        <v>277</v>
      </c>
    </row>
    <row r="122" spans="1:4" s="19" customFormat="1" ht="14.25" customHeight="1" x14ac:dyDescent="0.2">
      <c r="A122" s="67" t="s">
        <v>359</v>
      </c>
      <c r="B122" s="38">
        <v>112.91685</v>
      </c>
      <c r="C122" s="38">
        <v>70.547619999999995</v>
      </c>
      <c r="D122" s="17">
        <f>IF(OR(112.91685="",70.54762="",112.91685=0),"-",70.54762/112.91685*100)</f>
        <v>62.477495608494216</v>
      </c>
    </row>
    <row r="123" spans="1:4" s="19" customFormat="1" ht="14.25" customHeight="1" x14ac:dyDescent="0.2">
      <c r="A123" s="67" t="s">
        <v>58</v>
      </c>
      <c r="B123" s="38">
        <v>2688.4160999999999</v>
      </c>
      <c r="C123" s="38">
        <v>88.764129999999994</v>
      </c>
      <c r="D123" s="17">
        <f>IF(OR(2688.4161="",88.76413="",2688.4161=0),"-",88.76413/2688.4161*100)</f>
        <v>3.3017258749491942</v>
      </c>
    </row>
    <row r="124" spans="1:4" s="19" customFormat="1" ht="14.25" customHeight="1" x14ac:dyDescent="0.2">
      <c r="A124" s="67" t="s">
        <v>332</v>
      </c>
      <c r="B124" s="38">
        <v>33.707949999999997</v>
      </c>
      <c r="C124" s="38">
        <v>96.045990000000003</v>
      </c>
      <c r="D124" s="17" t="s">
        <v>345</v>
      </c>
    </row>
    <row r="125" spans="1:4" s="19" customFormat="1" ht="14.25" customHeight="1" x14ac:dyDescent="0.2">
      <c r="A125" s="67" t="s">
        <v>357</v>
      </c>
      <c r="B125" s="38">
        <v>298.416</v>
      </c>
      <c r="C125" s="38">
        <v>116.94089</v>
      </c>
      <c r="D125" s="17">
        <f>IF(OR(298.416="",116.94089="",298.416=0),"-",116.94089/298.416*100)</f>
        <v>39.187205109645596</v>
      </c>
    </row>
    <row r="126" spans="1:4" s="19" customFormat="1" ht="14.25" customHeight="1" x14ac:dyDescent="0.2">
      <c r="A126" s="67" t="s">
        <v>333</v>
      </c>
      <c r="B126" s="38">
        <v>-185.84110999999999</v>
      </c>
      <c r="C126" s="38">
        <v>202.69621000000001</v>
      </c>
      <c r="D126" s="17" t="s">
        <v>277</v>
      </c>
    </row>
    <row r="127" spans="1:4" s="19" customFormat="1" ht="14.25" customHeight="1" x14ac:dyDescent="0.2">
      <c r="A127" s="67" t="s">
        <v>379</v>
      </c>
      <c r="B127" s="38">
        <v>-29.885940000000002</v>
      </c>
      <c r="C127" s="38">
        <v>244.09146999999999</v>
      </c>
      <c r="D127" s="17" t="s">
        <v>277</v>
      </c>
    </row>
    <row r="128" spans="1:4" s="19" customFormat="1" ht="14.25" customHeight="1" x14ac:dyDescent="0.2">
      <c r="A128" s="67" t="s">
        <v>312</v>
      </c>
      <c r="B128" s="38">
        <v>1003.5011</v>
      </c>
      <c r="C128" s="38">
        <v>247.16529</v>
      </c>
      <c r="D128" s="17">
        <f>IF(OR(1003.5011="",247.16529="",1003.5011=0),"-",247.16529/1003.5011*100)</f>
        <v>24.630295871125604</v>
      </c>
    </row>
    <row r="129" spans="1:4" s="19" customFormat="1" ht="14.25" customHeight="1" x14ac:dyDescent="0.2">
      <c r="A129" s="67" t="s">
        <v>335</v>
      </c>
      <c r="B129" s="38">
        <v>213.94800000000001</v>
      </c>
      <c r="C129" s="38">
        <v>311.49599999999998</v>
      </c>
      <c r="D129" s="17">
        <f>IF(OR(213.948="",311.496="",213.948=0),"-",311.496/213.948*100)</f>
        <v>145.59425654832015</v>
      </c>
    </row>
    <row r="130" spans="1:4" s="19" customFormat="1" ht="14.25" customHeight="1" x14ac:dyDescent="0.2">
      <c r="A130" s="67" t="s">
        <v>313</v>
      </c>
      <c r="B130" s="38">
        <v>88.720929999999996</v>
      </c>
      <c r="C130" s="38">
        <v>327.58692000000002</v>
      </c>
      <c r="D130" s="17" t="s">
        <v>350</v>
      </c>
    </row>
    <row r="131" spans="1:4" s="19" customFormat="1" ht="14.25" customHeight="1" x14ac:dyDescent="0.2">
      <c r="A131" s="67" t="s">
        <v>288</v>
      </c>
      <c r="B131" s="38">
        <v>160.48871</v>
      </c>
      <c r="C131" s="38">
        <v>348.34141</v>
      </c>
      <c r="D131" s="17" t="s">
        <v>308</v>
      </c>
    </row>
    <row r="132" spans="1:4" s="19" customFormat="1" ht="14.25" customHeight="1" x14ac:dyDescent="0.2">
      <c r="A132" s="67" t="s">
        <v>334</v>
      </c>
      <c r="B132" s="38">
        <v>222.90478999999999</v>
      </c>
      <c r="C132" s="38">
        <v>365.11721</v>
      </c>
      <c r="D132" s="17" t="s">
        <v>276</v>
      </c>
    </row>
    <row r="133" spans="1:4" s="19" customFormat="1" ht="14.25" customHeight="1" x14ac:dyDescent="0.2">
      <c r="A133" s="67" t="s">
        <v>358</v>
      </c>
      <c r="B133" s="38">
        <v>210.95007000000001</v>
      </c>
      <c r="C133" s="38">
        <v>476.82751999999999</v>
      </c>
      <c r="D133" s="17" t="s">
        <v>307</v>
      </c>
    </row>
    <row r="134" spans="1:4" s="19" customFormat="1" ht="14.25" customHeight="1" x14ac:dyDescent="0.2">
      <c r="A134" s="67" t="s">
        <v>340</v>
      </c>
      <c r="B134" s="38">
        <v>-524.08231999999998</v>
      </c>
      <c r="C134" s="38">
        <v>483.30376999999999</v>
      </c>
      <c r="D134" s="17" t="s">
        <v>277</v>
      </c>
    </row>
    <row r="135" spans="1:4" s="19" customFormat="1" ht="14.25" customHeight="1" x14ac:dyDescent="0.2">
      <c r="A135" s="67" t="s">
        <v>105</v>
      </c>
      <c r="B135" s="38">
        <v>1042.4772499999999</v>
      </c>
      <c r="C135" s="38">
        <v>734.08408999999995</v>
      </c>
      <c r="D135" s="17">
        <f>IF(OR(1042.47725="",734.08409="",1042.47725=0),"-",734.08409/1042.47725*100)</f>
        <v>70.417276731938273</v>
      </c>
    </row>
    <row r="136" spans="1:4" s="19" customFormat="1" ht="14.25" customHeight="1" x14ac:dyDescent="0.2">
      <c r="A136" s="67" t="s">
        <v>292</v>
      </c>
      <c r="B136" s="38">
        <v>157.52046999999999</v>
      </c>
      <c r="C136" s="38">
        <v>759.44985999999994</v>
      </c>
      <c r="D136" s="17" t="s">
        <v>407</v>
      </c>
    </row>
    <row r="137" spans="1:4" s="19" customFormat="1" ht="14.25" customHeight="1" x14ac:dyDescent="0.2">
      <c r="A137" s="67" t="s">
        <v>287</v>
      </c>
      <c r="B137" s="38">
        <v>379.63189999999997</v>
      </c>
      <c r="C137" s="38">
        <v>765.78593999999998</v>
      </c>
      <c r="D137" s="17" t="s">
        <v>275</v>
      </c>
    </row>
    <row r="138" spans="1:4" s="19" customFormat="1" ht="14.25" customHeight="1" x14ac:dyDescent="0.2">
      <c r="A138" s="67" t="s">
        <v>250</v>
      </c>
      <c r="B138" s="38">
        <v>440.09347000000002</v>
      </c>
      <c r="C138" s="38">
        <v>788.35091999999997</v>
      </c>
      <c r="D138" s="17" t="s">
        <v>273</v>
      </c>
    </row>
    <row r="139" spans="1:4" s="19" customFormat="1" ht="14.25" customHeight="1" x14ac:dyDescent="0.2">
      <c r="A139" s="67" t="s">
        <v>331</v>
      </c>
      <c r="B139" s="38">
        <v>2748.2614699999999</v>
      </c>
      <c r="C139" s="38">
        <v>1061.8451500000001</v>
      </c>
      <c r="D139" s="17">
        <f>IF(OR(2748.26147="",1061.84515="",2748.26147=0),"-",1061.84515/2748.26147*100)</f>
        <v>38.636976924906648</v>
      </c>
    </row>
    <row r="140" spans="1:4" s="19" customFormat="1" ht="14.25" customHeight="1" x14ac:dyDescent="0.2">
      <c r="A140" s="67" t="s">
        <v>256</v>
      </c>
      <c r="B140" s="38">
        <v>854.65610000000004</v>
      </c>
      <c r="C140" s="38">
        <v>1516.2675400000001</v>
      </c>
      <c r="D140" s="17" t="s">
        <v>273</v>
      </c>
    </row>
    <row r="141" spans="1:4" s="19" customFormat="1" ht="14.25" customHeight="1" x14ac:dyDescent="0.2">
      <c r="A141" s="47" t="s">
        <v>316</v>
      </c>
      <c r="B141" s="38">
        <v>3006.2823899999999</v>
      </c>
      <c r="C141" s="17">
        <v>2725.2008599999999</v>
      </c>
      <c r="D141" s="17">
        <f>IF(OR(3006.28239="",2725.20086="",3006.28239=0),"-",2725.20086/3006.28239*100)</f>
        <v>90.650195373030144</v>
      </c>
    </row>
    <row r="142" spans="1:4" s="19" customFormat="1" ht="14.25" customHeight="1" x14ac:dyDescent="0.2">
      <c r="A142" s="67" t="s">
        <v>66</v>
      </c>
      <c r="B142" s="38">
        <v>1503.6757700000001</v>
      </c>
      <c r="C142" s="38">
        <v>3054.4992299999999</v>
      </c>
      <c r="D142" s="17" t="s">
        <v>275</v>
      </c>
    </row>
    <row r="143" spans="1:4" s="19" customFormat="1" ht="14.25" customHeight="1" x14ac:dyDescent="0.2">
      <c r="A143" s="67" t="s">
        <v>49</v>
      </c>
      <c r="B143" s="38">
        <v>4646.9071599999997</v>
      </c>
      <c r="C143" s="38">
        <v>3746.4698600000002</v>
      </c>
      <c r="D143" s="17">
        <f>IF(OR(4646.90716="",3746.46986="",4646.90716=0),"-",3746.46986/4646.90716*100)</f>
        <v>80.622868738354569</v>
      </c>
    </row>
    <row r="144" spans="1:4" s="19" customFormat="1" ht="14.25" customHeight="1" x14ac:dyDescent="0.2">
      <c r="A144" s="67" t="s">
        <v>50</v>
      </c>
      <c r="B144" s="38">
        <v>15519.144249999999</v>
      </c>
      <c r="C144" s="38">
        <v>4807.36283</v>
      </c>
      <c r="D144" s="17">
        <f>IF(OR(15519.14425="",4807.36283="",15519.14425=0),"-",4807.36283/15519.14425*100)</f>
        <v>30.976983991884733</v>
      </c>
    </row>
    <row r="145" spans="1:5" s="19" customFormat="1" ht="14.25" customHeight="1" x14ac:dyDescent="0.2">
      <c r="A145" s="68" t="s">
        <v>52</v>
      </c>
      <c r="B145" s="49">
        <v>14619.10298</v>
      </c>
      <c r="C145" s="49">
        <v>16723.992490000001</v>
      </c>
      <c r="D145" s="39">
        <f>IF(OR(14619.10298="",16723.99249="",14619.10298=0),"-",16723.99249/14619.10298*100)</f>
        <v>114.3982124818441</v>
      </c>
    </row>
    <row r="146" spans="1:5" s="15" customFormat="1" ht="13.5" customHeight="1" x14ac:dyDescent="0.2">
      <c r="A146" s="57" t="s">
        <v>239</v>
      </c>
      <c r="B146" s="61"/>
      <c r="C146" s="61"/>
      <c r="D146" s="62"/>
      <c r="E146" s="59"/>
    </row>
    <row r="147" spans="1:5" s="15" customFormat="1" ht="13.5" customHeight="1" x14ac:dyDescent="0.2">
      <c r="A147" s="89" t="s">
        <v>300</v>
      </c>
      <c r="B147" s="89"/>
      <c r="C147" s="89"/>
      <c r="D147" s="89"/>
      <c r="E147" s="89"/>
    </row>
    <row r="148" spans="1:5" s="15" customFormat="1" ht="13.5" customHeight="1" x14ac:dyDescent="0.2">
      <c r="A148" s="89" t="s">
        <v>301</v>
      </c>
      <c r="B148" s="89"/>
      <c r="C148" s="89"/>
      <c r="D148" s="89"/>
      <c r="E148" s="60"/>
    </row>
    <row r="149" spans="1:5" s="15" customFormat="1" ht="13.5" customHeight="1" x14ac:dyDescent="0.2">
      <c r="A149" s="89" t="s">
        <v>302</v>
      </c>
      <c r="B149" s="89"/>
      <c r="C149" s="89"/>
      <c r="D149" s="89"/>
      <c r="E149" s="89"/>
    </row>
    <row r="150" spans="1:5" ht="13.5" customHeight="1" x14ac:dyDescent="0.25">
      <c r="A150" s="90" t="s">
        <v>303</v>
      </c>
      <c r="B150" s="90"/>
      <c r="C150" s="90"/>
      <c r="D150" s="90"/>
      <c r="E150" s="12"/>
    </row>
    <row r="151" spans="1:5" ht="13.5" customHeight="1" x14ac:dyDescent="0.25">
      <c r="A151" s="35" t="s">
        <v>293</v>
      </c>
      <c r="B151" s="12"/>
      <c r="C151" s="12"/>
      <c r="D151" s="12"/>
      <c r="E151" s="12"/>
    </row>
    <row r="152" spans="1:5" ht="15.75" customHeight="1" x14ac:dyDescent="0.25"/>
    <row r="153" spans="1:5" ht="15.75" customHeight="1" x14ac:dyDescent="0.25"/>
    <row r="154" spans="1:5" ht="15.75" customHeight="1" x14ac:dyDescent="0.25"/>
  </sheetData>
  <sortState xmlns:xlrd2="http://schemas.microsoft.com/office/spreadsheetml/2017/richdata2" ref="A48:E90">
    <sortCondition ref="C48:C90"/>
  </sortState>
  <mergeCells count="9">
    <mergeCell ref="A150:D150"/>
    <mergeCell ref="A149:E149"/>
    <mergeCell ref="A148:D148"/>
    <mergeCell ref="A1:D1"/>
    <mergeCell ref="A2:D2"/>
    <mergeCell ref="B3:C3"/>
    <mergeCell ref="D3:D4"/>
    <mergeCell ref="A3:A4"/>
    <mergeCell ref="A147:E147"/>
  </mergeCells>
  <phoneticPr fontId="3" type="noConversion"/>
  <pageMargins left="0.59055118110236227" right="0.39370078740157483" top="0.39370078740157483" bottom="0.39370078740157483" header="0.11811023622047245" footer="0.1181102362204724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43"/>
  <sheetViews>
    <sheetView workbookViewId="0">
      <selection sqref="A1:F1"/>
    </sheetView>
  </sheetViews>
  <sheetFormatPr defaultRowHeight="15.75" x14ac:dyDescent="0.25"/>
  <cols>
    <col min="1" max="1" width="29.5" style="19" customWidth="1"/>
    <col min="2" max="3" width="12.125" style="19" customWidth="1"/>
    <col min="4" max="4" width="12.375" style="19" customWidth="1"/>
    <col min="5" max="6" width="10.5" style="19" customWidth="1"/>
  </cols>
  <sheetData>
    <row r="1" spans="1:6" s="21" customFormat="1" ht="15" customHeight="1" x14ac:dyDescent="0.2">
      <c r="A1" s="91" t="s">
        <v>262</v>
      </c>
      <c r="B1" s="91"/>
      <c r="C1" s="91"/>
      <c r="D1" s="91"/>
      <c r="E1" s="91"/>
      <c r="F1" s="91"/>
    </row>
    <row r="2" spans="1:6" x14ac:dyDescent="0.25">
      <c r="A2" s="109"/>
      <c r="B2" s="109"/>
      <c r="C2" s="109"/>
      <c r="D2" s="109"/>
      <c r="E2" s="109"/>
      <c r="F2" s="109"/>
    </row>
    <row r="3" spans="1:6" ht="23.25" customHeight="1" x14ac:dyDescent="0.25">
      <c r="A3" s="92"/>
      <c r="B3" s="94" t="s">
        <v>278</v>
      </c>
      <c r="C3" s="101"/>
      <c r="D3" s="99" t="s">
        <v>376</v>
      </c>
      <c r="E3" s="94" t="s">
        <v>87</v>
      </c>
      <c r="F3" s="108"/>
    </row>
    <row r="4" spans="1:6" ht="63" customHeight="1" x14ac:dyDescent="0.25">
      <c r="A4" s="93"/>
      <c r="B4" s="10" t="s">
        <v>368</v>
      </c>
      <c r="C4" s="10" t="s">
        <v>369</v>
      </c>
      <c r="D4" s="110"/>
      <c r="E4" s="10" t="s">
        <v>368</v>
      </c>
      <c r="F4" s="9" t="s">
        <v>369</v>
      </c>
    </row>
    <row r="5" spans="1:6" s="21" customFormat="1" ht="15.75" customHeight="1" x14ac:dyDescent="0.2">
      <c r="A5" s="51" t="s">
        <v>100</v>
      </c>
      <c r="B5" s="85">
        <v>2338137.0224299999</v>
      </c>
      <c r="C5" s="43">
        <v>2280846.8779899999</v>
      </c>
      <c r="D5" s="43">
        <v>97.549752478558389</v>
      </c>
      <c r="E5" s="43">
        <v>100</v>
      </c>
      <c r="F5" s="43">
        <v>100</v>
      </c>
    </row>
    <row r="6" spans="1:6" ht="15.75" customHeight="1" x14ac:dyDescent="0.25">
      <c r="A6" s="50" t="s">
        <v>97</v>
      </c>
      <c r="B6" s="36"/>
      <c r="C6" s="38"/>
      <c r="D6" s="36"/>
      <c r="E6" s="16"/>
      <c r="F6" s="16"/>
    </row>
    <row r="7" spans="1:6" x14ac:dyDescent="0.25">
      <c r="A7" s="50" t="s">
        <v>88</v>
      </c>
      <c r="B7" s="36">
        <v>324748.52166000003</v>
      </c>
      <c r="C7" s="17">
        <v>335821.83111999999</v>
      </c>
      <c r="D7" s="17">
        <v>103.40981058309275</v>
      </c>
      <c r="E7" s="17">
        <f>IF(324748.52166="","-",324748.52166/2338137.02243*100)</f>
        <v>13.88919975795484</v>
      </c>
      <c r="F7" s="17">
        <f>IF(335821.83112="","-",335821.83112/2280846.87799*100)</f>
        <v>14.723558795667316</v>
      </c>
    </row>
    <row r="8" spans="1:6" x14ac:dyDescent="0.25">
      <c r="A8" s="50" t="s">
        <v>89</v>
      </c>
      <c r="B8" s="36">
        <v>34317.396580000001</v>
      </c>
      <c r="C8" s="17">
        <v>63305.732759999999</v>
      </c>
      <c r="D8" s="17" t="s">
        <v>273</v>
      </c>
      <c r="E8" s="17">
        <f>IF(34317.39658="","-",34317.39658/2338137.02243*100)</f>
        <v>1.4677239293843571</v>
      </c>
      <c r="F8" s="17">
        <f>IF(63305.73276="","-",63305.73276/2280846.87799*100)</f>
        <v>2.7755362874595195</v>
      </c>
    </row>
    <row r="9" spans="1:6" x14ac:dyDescent="0.25">
      <c r="A9" s="50" t="s">
        <v>90</v>
      </c>
      <c r="B9" s="36">
        <v>1906643.7264099999</v>
      </c>
      <c r="C9" s="17">
        <v>1825043.40447</v>
      </c>
      <c r="D9" s="17">
        <v>95.720211342596002</v>
      </c>
      <c r="E9" s="17">
        <f>IF(1906643.72641="","-",1906643.72641/2338137.02243*100)</f>
        <v>81.545423049178112</v>
      </c>
      <c r="F9" s="17">
        <f>IF(1825043.40447="","-",1825043.40447/2280846.87799*100)</f>
        <v>80.016042378010155</v>
      </c>
    </row>
    <row r="10" spans="1:6" x14ac:dyDescent="0.25">
      <c r="A10" s="50" t="s">
        <v>91</v>
      </c>
      <c r="B10" s="36">
        <v>29644.375650000002</v>
      </c>
      <c r="C10" s="17">
        <v>20665.4702</v>
      </c>
      <c r="D10" s="17">
        <v>69.711268147420057</v>
      </c>
      <c r="E10" s="17">
        <f>IF(29644.37565="","-",29644.37565/2338137.02243*100)</f>
        <v>1.2678630621566795</v>
      </c>
      <c r="F10" s="17">
        <f>IF(20665.4702="","-",20665.4702/2280846.87799*100)</f>
        <v>0.90604373311598541</v>
      </c>
    </row>
    <row r="11" spans="1:6" x14ac:dyDescent="0.25">
      <c r="A11" s="50" t="s">
        <v>92</v>
      </c>
      <c r="B11" s="36">
        <v>1512.5607</v>
      </c>
      <c r="C11" s="17">
        <v>758.03904</v>
      </c>
      <c r="D11" s="17">
        <v>50.116272358524192</v>
      </c>
      <c r="E11" s="17">
        <f>IF(1512.5607="","-",1512.5607/2338137.02243*100)</f>
        <v>6.4690849402316564E-2</v>
      </c>
      <c r="F11" s="17">
        <f>IF(758.03904="","-",758.03904/2280846.87799*100)</f>
        <v>3.3234981590172463E-2</v>
      </c>
    </row>
    <row r="12" spans="1:6" x14ac:dyDescent="0.25">
      <c r="A12" s="50" t="s">
        <v>93</v>
      </c>
      <c r="B12" s="36">
        <v>40460.724600000001</v>
      </c>
      <c r="C12" s="17">
        <v>32702.88349</v>
      </c>
      <c r="D12" s="17">
        <v>80.826242765805532</v>
      </c>
      <c r="E12" s="17">
        <f>IF(40460.7246="","-",40460.7246/2338137.02243*100)</f>
        <v>1.7304684974343214</v>
      </c>
      <c r="F12" s="17">
        <f>IF(32702.88349="","-",32702.88349/2280846.87799*100)</f>
        <v>1.4338044261357636</v>
      </c>
    </row>
    <row r="13" spans="1:6" x14ac:dyDescent="0.25">
      <c r="A13" s="50" t="s">
        <v>94</v>
      </c>
      <c r="B13" s="36">
        <v>809.71682999999996</v>
      </c>
      <c r="C13" s="17">
        <v>2549.5169099999998</v>
      </c>
      <c r="D13" s="17" t="s">
        <v>348</v>
      </c>
      <c r="E13" s="17">
        <f>IF(809.71683="","-",809.71683/2338137.02243*100)</f>
        <v>3.4630854489377624E-2</v>
      </c>
      <c r="F13" s="17">
        <f>IF(2549.51691="","-",2549.51691/2280846.87799*100)</f>
        <v>0.11177939802108793</v>
      </c>
    </row>
    <row r="14" spans="1:6" ht="16.5" customHeight="1" x14ac:dyDescent="0.25">
      <c r="A14" s="46" t="s">
        <v>351</v>
      </c>
      <c r="B14" s="37">
        <v>1537105.9295399999</v>
      </c>
      <c r="C14" s="16">
        <v>1540594.1628</v>
      </c>
      <c r="D14" s="16">
        <v>100.2269351248319</v>
      </c>
      <c r="E14" s="16">
        <f>IF(1537105.92954="","-",1537105.92954/2338137.02243*100)</f>
        <v>65.740626609748588</v>
      </c>
      <c r="F14" s="16">
        <f>IF(1540594.1628="","-",1540594.1628/2280846.87799*100)</f>
        <v>67.544830723474576</v>
      </c>
    </row>
    <row r="15" spans="1:6" x14ac:dyDescent="0.25">
      <c r="A15" s="50" t="s">
        <v>97</v>
      </c>
      <c r="B15" s="36"/>
      <c r="C15" s="16"/>
      <c r="D15" s="16"/>
      <c r="E15" s="16"/>
      <c r="F15" s="16"/>
    </row>
    <row r="16" spans="1:6" x14ac:dyDescent="0.25">
      <c r="A16" s="50" t="s">
        <v>88</v>
      </c>
      <c r="B16" s="36">
        <v>193217.8302</v>
      </c>
      <c r="C16" s="17">
        <v>165077.93317999999</v>
      </c>
      <c r="D16" s="17">
        <v>85.436179988734807</v>
      </c>
      <c r="E16" s="17">
        <f>IF(193217.8302="","-",193217.8302/2338137.02243*100)</f>
        <v>8.2637513689933737</v>
      </c>
      <c r="F16" s="17">
        <f>IF(165077.93318="","-",165077.93318/2280846.87799*100)</f>
        <v>7.2375719200174977</v>
      </c>
    </row>
    <row r="17" spans="1:6" x14ac:dyDescent="0.25">
      <c r="A17" s="50" t="s">
        <v>89</v>
      </c>
      <c r="B17" s="36">
        <v>12915.92597</v>
      </c>
      <c r="C17" s="17">
        <v>38971.986960000002</v>
      </c>
      <c r="D17" s="17" t="s">
        <v>295</v>
      </c>
      <c r="E17" s="17">
        <f>IF(12915.92597="","-",12915.92597/2338137.02243*100)</f>
        <v>0.55240244032304919</v>
      </c>
      <c r="F17" s="17">
        <f>IF(38971.98696="","-",38971.98696/2280846.87799*100)</f>
        <v>1.7086630117995529</v>
      </c>
    </row>
    <row r="18" spans="1:6" x14ac:dyDescent="0.25">
      <c r="A18" s="50" t="s">
        <v>90</v>
      </c>
      <c r="B18" s="36">
        <v>1314384.26263</v>
      </c>
      <c r="C18" s="17">
        <v>1320235.99664</v>
      </c>
      <c r="D18" s="17">
        <v>100.4452072484717</v>
      </c>
      <c r="E18" s="17">
        <f>IF(1314384.26263="","-",1314384.26263/2338137.02243*100)</f>
        <v>56.215022901608002</v>
      </c>
      <c r="F18" s="17">
        <f>IF(1320235.99664="","-",1320235.99664/2280846.87799*100)</f>
        <v>57.883587424485953</v>
      </c>
    </row>
    <row r="19" spans="1:6" x14ac:dyDescent="0.25">
      <c r="A19" s="50" t="s">
        <v>91</v>
      </c>
      <c r="B19" s="36">
        <v>8849.6073199999992</v>
      </c>
      <c r="C19" s="17">
        <v>4174.3412600000001</v>
      </c>
      <c r="D19" s="17">
        <v>47.169790806039977</v>
      </c>
      <c r="E19" s="17">
        <f>IF(8849.60732="","-",8849.60732/2338137.02243*100)</f>
        <v>0.37848967939452499</v>
      </c>
      <c r="F19" s="17">
        <f>IF(4174.34126="","-",4174.34126/2280846.87799*100)</f>
        <v>0.18301716350545397</v>
      </c>
    </row>
    <row r="20" spans="1:6" x14ac:dyDescent="0.25">
      <c r="A20" s="50" t="s">
        <v>92</v>
      </c>
      <c r="B20" s="36">
        <v>253.03478000000001</v>
      </c>
      <c r="C20" s="17">
        <v>162.51854</v>
      </c>
      <c r="D20" s="17">
        <v>64.227747663779652</v>
      </c>
      <c r="E20" s="17">
        <f>IF(253.03478="","-",253.03478/2338137.02243*100)</f>
        <v>1.0822068064130124E-2</v>
      </c>
      <c r="F20" s="17">
        <f>IF(162.51854="","-",162.51854/2280846.87799*100)</f>
        <v>7.1253595130954042E-3</v>
      </c>
    </row>
    <row r="21" spans="1:6" x14ac:dyDescent="0.25">
      <c r="A21" s="50" t="s">
        <v>93</v>
      </c>
      <c r="B21" s="36">
        <v>7357.0005799999999</v>
      </c>
      <c r="C21" s="17">
        <v>11205.03968</v>
      </c>
      <c r="D21" s="17">
        <v>152.30445557474727</v>
      </c>
      <c r="E21" s="17">
        <f>IF(7357.00058="","-",7357.00058/2338137.02243*100)</f>
        <v>0.31465224276522302</v>
      </c>
      <c r="F21" s="17">
        <f>IF(11205.03968="","-",11205.03968/2280846.87799*100)</f>
        <v>0.49126663381605251</v>
      </c>
    </row>
    <row r="22" spans="1:6" x14ac:dyDescent="0.25">
      <c r="A22" s="50" t="s">
        <v>94</v>
      </c>
      <c r="B22" s="36">
        <v>128.26805999999999</v>
      </c>
      <c r="C22" s="17">
        <v>766.34654</v>
      </c>
      <c r="D22" s="17" t="s">
        <v>397</v>
      </c>
      <c r="E22" s="17">
        <f>IF(128.26806="","-",128.26806/2338137.02243*100)</f>
        <v>5.4859086002877807E-3</v>
      </c>
      <c r="F22" s="17">
        <f>IF(766.34654="","-",766.34654/2280846.87799*100)</f>
        <v>3.3599210336966771E-2</v>
      </c>
    </row>
    <row r="23" spans="1:6" x14ac:dyDescent="0.25">
      <c r="A23" s="46" t="s">
        <v>352</v>
      </c>
      <c r="B23" s="37">
        <v>177520.44873</v>
      </c>
      <c r="C23" s="16">
        <v>143395.66240999999</v>
      </c>
      <c r="D23" s="41">
        <v>80.776982841057276</v>
      </c>
      <c r="E23" s="16">
        <f>IF(177520.44873="","-",177520.44873/2338137.02243*100)</f>
        <v>7.5923885994288289</v>
      </c>
      <c r="F23" s="16">
        <f>IF(143395.66241="","-",143395.66241/2280846.87799*100)</f>
        <v>6.2869482293510055</v>
      </c>
    </row>
    <row r="24" spans="1:6" x14ac:dyDescent="0.25">
      <c r="A24" s="50" t="s">
        <v>97</v>
      </c>
      <c r="B24" s="36"/>
      <c r="C24" s="16"/>
      <c r="D24" s="38"/>
      <c r="E24" s="16"/>
      <c r="F24" s="16"/>
    </row>
    <row r="25" spans="1:6" x14ac:dyDescent="0.25">
      <c r="A25" s="50" t="s">
        <v>90</v>
      </c>
      <c r="B25" s="36">
        <v>168451.34992000001</v>
      </c>
      <c r="C25" s="17">
        <v>137617.92199999999</v>
      </c>
      <c r="D25" s="38">
        <v>81.695944891719023</v>
      </c>
      <c r="E25" s="17">
        <f>IF(168451.34992="","-",168451.34992/2338137.02243*100)</f>
        <v>7.204511468063167</v>
      </c>
      <c r="F25" s="17">
        <f>IF(137617.922="","-",137617.922/2280846.87799*100)</f>
        <v>6.0336326532044984</v>
      </c>
    </row>
    <row r="26" spans="1:6" x14ac:dyDescent="0.25">
      <c r="A26" s="50" t="s">
        <v>91</v>
      </c>
      <c r="B26" s="36">
        <v>8652.4733300000007</v>
      </c>
      <c r="C26" s="17">
        <v>5759.7039699999996</v>
      </c>
      <c r="D26" s="38">
        <v>66.567139248263928</v>
      </c>
      <c r="E26" s="17">
        <f>IF(8652.47333="","-",8652.47333/2338137.02243*100)</f>
        <v>0.37005843742243905</v>
      </c>
      <c r="F26" s="17">
        <f>IF(5759.70397="","-",5759.70397/2280846.87799*100)</f>
        <v>0.25252479794153249</v>
      </c>
    </row>
    <row r="27" spans="1:6" x14ac:dyDescent="0.25">
      <c r="A27" s="50" t="s">
        <v>92</v>
      </c>
      <c r="B27" s="36">
        <v>273.49898000000002</v>
      </c>
      <c r="C27" s="17">
        <v>18.036439999999999</v>
      </c>
      <c r="D27" s="17">
        <v>6.5947010113163858</v>
      </c>
      <c r="E27" s="17">
        <f>IF(273.49898="","-",273.49898/2338137.02243*100)</f>
        <v>1.1697303339209588E-2</v>
      </c>
      <c r="F27" s="17">
        <f>IF(18.03644="","-",18.03644/2280846.87799*100)</f>
        <v>7.9077820497510309E-4</v>
      </c>
    </row>
    <row r="28" spans="1:6" x14ac:dyDescent="0.25">
      <c r="A28" s="50" t="s">
        <v>94</v>
      </c>
      <c r="B28" s="36">
        <v>143.12649999999999</v>
      </c>
      <c r="C28" s="17" t="s">
        <v>251</v>
      </c>
      <c r="D28" s="17" t="s">
        <v>251</v>
      </c>
      <c r="E28" s="17">
        <f>IF(143.1265="","-",143.1265/2338137.02243*100)</f>
        <v>6.1213906040138832E-3</v>
      </c>
      <c r="F28" s="17" t="s">
        <v>251</v>
      </c>
    </row>
    <row r="29" spans="1:6" s="80" customFormat="1" x14ac:dyDescent="0.25">
      <c r="A29" s="46" t="s">
        <v>102</v>
      </c>
      <c r="B29" s="41">
        <v>623510.64416000003</v>
      </c>
      <c r="C29" s="16">
        <v>596857.05278000003</v>
      </c>
      <c r="D29" s="16">
        <v>95.725238754198344</v>
      </c>
      <c r="E29" s="16">
        <f>IF(623510.64416="","-",623510.64416/2338137.02243*100)</f>
        <v>26.666984790822578</v>
      </c>
      <c r="F29" s="16">
        <f>IF(596857.05278="","-",596857.05278/2280846.87799*100)</f>
        <v>26.168221047174427</v>
      </c>
    </row>
    <row r="30" spans="1:6" x14ac:dyDescent="0.25">
      <c r="A30" s="50" t="s">
        <v>97</v>
      </c>
      <c r="B30" s="36"/>
      <c r="C30" s="16"/>
      <c r="D30" s="16"/>
      <c r="E30" s="16"/>
      <c r="F30" s="16"/>
    </row>
    <row r="31" spans="1:6" x14ac:dyDescent="0.25">
      <c r="A31" s="50" t="s">
        <v>88</v>
      </c>
      <c r="B31" s="36">
        <v>131530.69146</v>
      </c>
      <c r="C31" s="17">
        <v>170743.89794</v>
      </c>
      <c r="D31" s="17">
        <v>129.81297067986995</v>
      </c>
      <c r="E31" s="17">
        <f>IF(131530.69146="","-",131530.69146/2338137.02243*100)</f>
        <v>5.6254483889614653</v>
      </c>
      <c r="F31" s="17">
        <f>IF(170743.89794="","-",170743.89794/2280846.87799*100)</f>
        <v>7.4859868756498162</v>
      </c>
    </row>
    <row r="32" spans="1:6" x14ac:dyDescent="0.25">
      <c r="A32" s="50" t="s">
        <v>89</v>
      </c>
      <c r="B32" s="36">
        <v>21401.47061</v>
      </c>
      <c r="C32" s="17">
        <v>24333.745800000001</v>
      </c>
      <c r="D32" s="17">
        <v>113.701278960848</v>
      </c>
      <c r="E32" s="17">
        <f>IF(21401.47061="","-",21401.47061/2338137.02243*100)</f>
        <v>0.91532148906130784</v>
      </c>
      <c r="F32" s="17">
        <f>IF(24333.7458="","-",24333.7458/2280846.87799*100)</f>
        <v>1.0668732756599668</v>
      </c>
    </row>
    <row r="33" spans="1:6" x14ac:dyDescent="0.25">
      <c r="A33" s="50" t="s">
        <v>90</v>
      </c>
      <c r="B33" s="36">
        <v>423808.11385999998</v>
      </c>
      <c r="C33" s="17">
        <v>367189.48583000002</v>
      </c>
      <c r="D33" s="17">
        <v>86.640503997357811</v>
      </c>
      <c r="E33" s="17">
        <f>IF(423808.11386="","-",423808.11386/2338137.02243*100)</f>
        <v>18.125888679506939</v>
      </c>
      <c r="F33" s="17">
        <f>IF(367189.48583="","-",367189.48583/2280846.87799*100)</f>
        <v>16.098822300319711</v>
      </c>
    </row>
    <row r="34" spans="1:6" x14ac:dyDescent="0.25">
      <c r="A34" s="50" t="s">
        <v>91</v>
      </c>
      <c r="B34" s="36">
        <v>12142.295</v>
      </c>
      <c r="C34" s="17">
        <v>10731.42497</v>
      </c>
      <c r="D34" s="17">
        <v>88.380532428177702</v>
      </c>
      <c r="E34" s="17">
        <f>IF(12142.295="","-",12142.295/2338137.02243*100)</f>
        <v>0.51931494533971523</v>
      </c>
      <c r="F34" s="17">
        <f>IF(10731.42497="","-",10731.42497/2280846.87799*100)</f>
        <v>0.47050177166899892</v>
      </c>
    </row>
    <row r="35" spans="1:6" x14ac:dyDescent="0.25">
      <c r="A35" s="50" t="s">
        <v>92</v>
      </c>
      <c r="B35" s="36">
        <v>986.02693999999997</v>
      </c>
      <c r="C35" s="17">
        <v>577.48406</v>
      </c>
      <c r="D35" s="17">
        <v>58.566762891894207</v>
      </c>
      <c r="E35" s="17">
        <f>IF(986.02694="","-",986.02694/2338137.02243*100)</f>
        <v>4.2171477998976858E-2</v>
      </c>
      <c r="F35" s="17">
        <f>IF(577.48406="","-",577.48406/2280846.87799*100)</f>
        <v>2.5318843872101964E-2</v>
      </c>
    </row>
    <row r="36" spans="1:6" x14ac:dyDescent="0.25">
      <c r="A36" s="50" t="s">
        <v>93</v>
      </c>
      <c r="B36" s="36">
        <v>33103.724020000001</v>
      </c>
      <c r="C36" s="17">
        <v>21497.843809999998</v>
      </c>
      <c r="D36" s="17">
        <v>64.940862233541523</v>
      </c>
      <c r="E36" s="17">
        <f>IF(33103.72402="","-",33103.72402/2338137.02243*100)</f>
        <v>1.4158162546690984</v>
      </c>
      <c r="F36" s="17">
        <f>IF(21497.84381="","-",21497.84381/2280846.87799*100)</f>
        <v>0.94253779231971091</v>
      </c>
    </row>
    <row r="37" spans="1:6" x14ac:dyDescent="0.25">
      <c r="A37" s="52" t="s">
        <v>94</v>
      </c>
      <c r="B37" s="82">
        <v>538.32227</v>
      </c>
      <c r="C37" s="49">
        <v>1783.17037</v>
      </c>
      <c r="D37" s="39" t="s">
        <v>365</v>
      </c>
      <c r="E37" s="39">
        <f>IF(538.32227="","-",538.32227/2338137.02243*100)</f>
        <v>2.3023555285075964E-2</v>
      </c>
      <c r="F37" s="39">
        <f>IF(1783.17037="","-",1783.17037/2280846.87799*100)</f>
        <v>7.8180187684121161E-2</v>
      </c>
    </row>
    <row r="38" spans="1:6" s="15" customFormat="1" ht="14.25" customHeight="1" x14ac:dyDescent="0.2">
      <c r="A38" s="63" t="s">
        <v>239</v>
      </c>
      <c r="B38" s="63"/>
      <c r="C38" s="63"/>
      <c r="D38" s="63"/>
      <c r="E38" s="22"/>
      <c r="F38" s="22"/>
    </row>
    <row r="39" spans="1:6" s="15" customFormat="1" ht="11.25" x14ac:dyDescent="0.2">
      <c r="A39" s="89" t="s">
        <v>304</v>
      </c>
      <c r="B39" s="89"/>
      <c r="C39" s="89"/>
      <c r="D39" s="89"/>
      <c r="E39" s="89"/>
      <c r="F39" s="89"/>
    </row>
    <row r="40" spans="1:6" s="15" customFormat="1" ht="11.25" customHeight="1" x14ac:dyDescent="0.2">
      <c r="A40" s="89" t="s">
        <v>305</v>
      </c>
      <c r="B40" s="89"/>
      <c r="C40" s="89"/>
      <c r="D40" s="89"/>
      <c r="E40" s="89"/>
      <c r="F40" s="89"/>
    </row>
    <row r="41" spans="1:6" s="15" customFormat="1" ht="11.25" x14ac:dyDescent="0.2">
      <c r="A41" s="89" t="s">
        <v>306</v>
      </c>
      <c r="B41" s="89"/>
      <c r="C41" s="89"/>
      <c r="D41" s="89"/>
      <c r="E41" s="89"/>
      <c r="F41" s="89"/>
    </row>
    <row r="42" spans="1:6" ht="12.75" customHeight="1" x14ac:dyDescent="0.25">
      <c r="A42" s="90" t="s">
        <v>303</v>
      </c>
      <c r="B42" s="90"/>
      <c r="C42" s="90"/>
      <c r="D42" s="90"/>
      <c r="E42" s="90"/>
      <c r="F42" s="90"/>
    </row>
    <row r="43" spans="1:6" ht="12" customHeight="1" x14ac:dyDescent="0.25">
      <c r="A43" s="14" t="s">
        <v>293</v>
      </c>
      <c r="B43" s="12"/>
      <c r="C43" s="12"/>
      <c r="D43" s="12"/>
      <c r="E43" s="12"/>
      <c r="F43" s="12"/>
    </row>
  </sheetData>
  <mergeCells count="10">
    <mergeCell ref="A42:F42"/>
    <mergeCell ref="A39:F39"/>
    <mergeCell ref="A41:F41"/>
    <mergeCell ref="A1:F1"/>
    <mergeCell ref="A3:A4"/>
    <mergeCell ref="E3:F3"/>
    <mergeCell ref="A2:F2"/>
    <mergeCell ref="B3:C3"/>
    <mergeCell ref="D3:D4"/>
    <mergeCell ref="A40:F40"/>
  </mergeCells>
  <pageMargins left="0.78740157480314965" right="0.59055118110236227" top="0.39370078740157483" bottom="0.39370078740157483" header="0.11811023622047245" footer="0.11811023622047245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F44"/>
  <sheetViews>
    <sheetView workbookViewId="0">
      <selection sqref="A1:F1"/>
    </sheetView>
  </sheetViews>
  <sheetFormatPr defaultRowHeight="15.75" x14ac:dyDescent="0.25"/>
  <cols>
    <col min="1" max="1" width="30.125" style="19" customWidth="1"/>
    <col min="2" max="3" width="12" style="19" customWidth="1"/>
    <col min="4" max="4" width="12.375" style="19" customWidth="1"/>
    <col min="5" max="6" width="10.875" style="19" customWidth="1"/>
  </cols>
  <sheetData>
    <row r="1" spans="1:6" x14ac:dyDescent="0.25">
      <c r="A1" s="91" t="s">
        <v>263</v>
      </c>
      <c r="B1" s="91"/>
      <c r="C1" s="91"/>
      <c r="D1" s="91"/>
      <c r="E1" s="91"/>
      <c r="F1" s="91"/>
    </row>
    <row r="2" spans="1:6" x14ac:dyDescent="0.25">
      <c r="A2" s="109"/>
      <c r="B2" s="109"/>
      <c r="C2" s="109"/>
      <c r="D2" s="109"/>
      <c r="E2" s="109"/>
      <c r="F2" s="109"/>
    </row>
    <row r="3" spans="1:6" ht="15.75" customHeight="1" x14ac:dyDescent="0.25">
      <c r="A3" s="92"/>
      <c r="B3" s="94" t="s">
        <v>278</v>
      </c>
      <c r="C3" s="101"/>
      <c r="D3" s="99" t="s">
        <v>376</v>
      </c>
      <c r="E3" s="94" t="s">
        <v>87</v>
      </c>
      <c r="F3" s="108"/>
    </row>
    <row r="4" spans="1:6" ht="73.5" customHeight="1" x14ac:dyDescent="0.25">
      <c r="A4" s="93"/>
      <c r="B4" s="10" t="s">
        <v>368</v>
      </c>
      <c r="C4" s="10" t="s">
        <v>369</v>
      </c>
      <c r="D4" s="110"/>
      <c r="E4" s="10" t="s">
        <v>368</v>
      </c>
      <c r="F4" s="9" t="s">
        <v>369</v>
      </c>
    </row>
    <row r="5" spans="1:6" s="20" customFormat="1" ht="15.75" customHeight="1" x14ac:dyDescent="0.2">
      <c r="A5" s="51" t="s">
        <v>283</v>
      </c>
      <c r="B5" s="84">
        <v>5840607.3190799998</v>
      </c>
      <c r="C5" s="44">
        <v>6911881.2471899996</v>
      </c>
      <c r="D5" s="44">
        <v>118.34182422451822</v>
      </c>
      <c r="E5" s="44">
        <v>100</v>
      </c>
      <c r="F5" s="44">
        <v>100</v>
      </c>
    </row>
    <row r="6" spans="1:6" ht="15.75" customHeight="1" x14ac:dyDescent="0.25">
      <c r="A6" s="50" t="s">
        <v>97</v>
      </c>
      <c r="B6" s="38"/>
      <c r="C6" s="76"/>
      <c r="D6" s="16"/>
      <c r="E6" s="76"/>
      <c r="F6" s="76"/>
    </row>
    <row r="7" spans="1:6" x14ac:dyDescent="0.25">
      <c r="A7" s="50" t="s">
        <v>88</v>
      </c>
      <c r="B7" s="38">
        <v>236714.59831</v>
      </c>
      <c r="C7" s="17">
        <v>212591.55949000001</v>
      </c>
      <c r="D7" s="17">
        <v>89.809230612634792</v>
      </c>
      <c r="E7" s="17">
        <f>IF(236714.59831="","-",236714.59831/5840607.31908*100)</f>
        <v>4.0529106885289936</v>
      </c>
      <c r="F7" s="17">
        <f>IF(212591.55949="","-",212591.55949/6911881.24719*100)</f>
        <v>3.0757409146233283</v>
      </c>
    </row>
    <row r="8" spans="1:6" x14ac:dyDescent="0.25">
      <c r="A8" s="50" t="s">
        <v>89</v>
      </c>
      <c r="B8" s="38">
        <v>147272.8119</v>
      </c>
      <c r="C8" s="17">
        <v>112143.52671000001</v>
      </c>
      <c r="D8" s="17">
        <v>76.14679536786926</v>
      </c>
      <c r="E8" s="17">
        <f>IF(147272.8119="","-",147272.8119/5840607.31908*100)</f>
        <v>2.5215325026027959</v>
      </c>
      <c r="F8" s="17">
        <f>IF(112143.52671="","-",112143.52671/6911881.24719*100)</f>
        <v>1.6224747315442025</v>
      </c>
    </row>
    <row r="9" spans="1:6" x14ac:dyDescent="0.25">
      <c r="A9" s="50" t="s">
        <v>90</v>
      </c>
      <c r="B9" s="38">
        <v>4950954.9939700002</v>
      </c>
      <c r="C9" s="17">
        <v>5522703.6918000001</v>
      </c>
      <c r="D9" s="17">
        <v>111.54825076225414</v>
      </c>
      <c r="E9" s="17">
        <f>IF(4950954.99397="","-",4950954.99397/5840607.31908*100)</f>
        <v>84.767811350650163</v>
      </c>
      <c r="F9" s="17">
        <f>IF(5522703.6918="","-",5522703.6918/6911881.24719*100)</f>
        <v>79.901599785807022</v>
      </c>
    </row>
    <row r="10" spans="1:6" x14ac:dyDescent="0.25">
      <c r="A10" s="50" t="s">
        <v>91</v>
      </c>
      <c r="B10" s="38">
        <v>122436.37234</v>
      </c>
      <c r="C10" s="17">
        <v>128404.51995</v>
      </c>
      <c r="D10" s="17">
        <v>104.87448908844404</v>
      </c>
      <c r="E10" s="17">
        <f>IF(122436.37234="","-",122436.37234/5840607.31908*100)</f>
        <v>2.0962952249850266</v>
      </c>
      <c r="F10" s="17">
        <f>IF(128404.51995="","-",128404.51995/6911881.24719*100)</f>
        <v>1.8577361988417034</v>
      </c>
    </row>
    <row r="11" spans="1:6" x14ac:dyDescent="0.25">
      <c r="A11" s="50" t="s">
        <v>92</v>
      </c>
      <c r="B11" s="38">
        <v>5053.9117699999997</v>
      </c>
      <c r="C11" s="17">
        <v>4246.7497599999997</v>
      </c>
      <c r="D11" s="17">
        <v>84.02896515148305</v>
      </c>
      <c r="E11" s="17">
        <f>IF(5053.91177="","-",5053.91177/5840607.31908*100)</f>
        <v>8.6530586528047584E-2</v>
      </c>
      <c r="F11" s="17">
        <f>IF(4246.74976="","-",4246.74976/6911881.24719*100)</f>
        <v>6.1441300973255293E-2</v>
      </c>
    </row>
    <row r="12" spans="1:6" x14ac:dyDescent="0.25">
      <c r="A12" s="50" t="s">
        <v>93</v>
      </c>
      <c r="B12" s="38">
        <v>329425.79275000002</v>
      </c>
      <c r="C12" s="17">
        <v>890335.70996000001</v>
      </c>
      <c r="D12" s="17" t="s">
        <v>349</v>
      </c>
      <c r="E12" s="17">
        <f>IF(329425.79275="","-",329425.79275/5840607.31908*100)</f>
        <v>5.640266067431674</v>
      </c>
      <c r="F12" s="17">
        <f>IF(890335.70996="","-",890335.70996/6911881.24719*100)</f>
        <v>12.88123563063186</v>
      </c>
    </row>
    <row r="13" spans="1:6" x14ac:dyDescent="0.25">
      <c r="A13" s="50" t="s">
        <v>94</v>
      </c>
      <c r="B13" s="38">
        <v>48748.838040000002</v>
      </c>
      <c r="C13" s="17">
        <v>41455.489520000003</v>
      </c>
      <c r="D13" s="17">
        <v>85.038928488889169</v>
      </c>
      <c r="E13" s="17">
        <f>IF(48748.83804="","-",48748.83804/5840607.31908*100)</f>
        <v>0.83465357927330774</v>
      </c>
      <c r="F13" s="17">
        <f>IF(41455.48952="","-",41455.48952/6911881.24719*100)</f>
        <v>0.5997714375786416</v>
      </c>
    </row>
    <row r="14" spans="1:6" ht="16.5" customHeight="1" x14ac:dyDescent="0.25">
      <c r="A14" s="46" t="s">
        <v>351</v>
      </c>
      <c r="B14" s="41">
        <v>2875601.1224600002</v>
      </c>
      <c r="C14" s="77">
        <v>3725991.1099</v>
      </c>
      <c r="D14" s="16">
        <v>129.57259895324125</v>
      </c>
      <c r="E14" s="16">
        <f>IF(2875601.12246="","-",2875601.12246/5840607.31908*100)</f>
        <v>49.234625191562422</v>
      </c>
      <c r="F14" s="16">
        <f>IF(3725991.1099="","-",3725991.1099/6911881.24719*100)</f>
        <v>53.907047540997446</v>
      </c>
    </row>
    <row r="15" spans="1:6" x14ac:dyDescent="0.25">
      <c r="A15" s="50" t="s">
        <v>97</v>
      </c>
      <c r="B15" s="38"/>
      <c r="C15" s="77"/>
      <c r="D15" s="16"/>
      <c r="E15" s="17"/>
      <c r="F15" s="17"/>
    </row>
    <row r="16" spans="1:6" x14ac:dyDescent="0.25">
      <c r="A16" s="50" t="s">
        <v>88</v>
      </c>
      <c r="B16" s="38">
        <v>79188.012499999997</v>
      </c>
      <c r="C16" s="78">
        <v>80069.007740000001</v>
      </c>
      <c r="D16" s="17">
        <v>101.11253611776152</v>
      </c>
      <c r="E16" s="17">
        <f>IF(79188.0125="","-",79188.0125/5840607.31908*100)</f>
        <v>1.3558181225659514</v>
      </c>
      <c r="F16" s="17">
        <f>IF(80069.00774="","-",80069.00774/6911881.24719*100)</f>
        <v>1.1584256858080682</v>
      </c>
    </row>
    <row r="17" spans="1:6" x14ac:dyDescent="0.25">
      <c r="A17" s="50" t="s">
        <v>89</v>
      </c>
      <c r="B17" s="38">
        <v>103619.1033</v>
      </c>
      <c r="C17" s="78">
        <v>52481.49611</v>
      </c>
      <c r="D17" s="17">
        <v>50.648475463114728</v>
      </c>
      <c r="E17" s="17">
        <f>IF(103619.1033="","-",103619.1033/5840607.31908*100)</f>
        <v>1.7741152184893312</v>
      </c>
      <c r="F17" s="17">
        <f>IF(52481.49611="","-",52481.49611/6911881.24719*100)</f>
        <v>0.75929394955007601</v>
      </c>
    </row>
    <row r="18" spans="1:6" x14ac:dyDescent="0.25">
      <c r="A18" s="50" t="s">
        <v>90</v>
      </c>
      <c r="B18" s="38">
        <v>2506566.1918600001</v>
      </c>
      <c r="C18" s="78">
        <v>2719312.9171799999</v>
      </c>
      <c r="D18" s="17">
        <v>108.48757659027272</v>
      </c>
      <c r="E18" s="17">
        <f>IF(2506566.19186="","-",2506566.19186/5840607.31908*100)</f>
        <v>42.916190987050115</v>
      </c>
      <c r="F18" s="17">
        <f>IF(2719312.91718="","-",2719312.91718/6911881.24719*100)</f>
        <v>39.342587349652838</v>
      </c>
    </row>
    <row r="19" spans="1:6" x14ac:dyDescent="0.25">
      <c r="A19" s="50" t="s">
        <v>91</v>
      </c>
      <c r="B19" s="38">
        <v>27800.993470000001</v>
      </c>
      <c r="C19" s="78">
        <v>32591.98127</v>
      </c>
      <c r="D19" s="17">
        <v>117.23315321508186</v>
      </c>
      <c r="E19" s="17">
        <f>IF(27800.99347="","-",27800.99347/5840607.31908*100)</f>
        <v>0.47599490859760718</v>
      </c>
      <c r="F19" s="17">
        <f>IF(32591.98127="","-",32591.98127/6911881.24719*100)</f>
        <v>0.47153560809873796</v>
      </c>
    </row>
    <row r="20" spans="1:6" x14ac:dyDescent="0.25">
      <c r="A20" s="50" t="s">
        <v>92</v>
      </c>
      <c r="B20" s="38">
        <v>3199.6298200000001</v>
      </c>
      <c r="C20" s="78">
        <v>2624.84312</v>
      </c>
      <c r="D20" s="17">
        <v>82.035837508227743</v>
      </c>
      <c r="E20" s="17">
        <f>IF(3199.62982="","-",3199.62982/5840607.31908*100)</f>
        <v>5.4782484854742797E-2</v>
      </c>
      <c r="F20" s="17">
        <f>IF(2624.84312="","-",2624.84312/6911881.24719*100)</f>
        <v>3.7975813329650603E-2</v>
      </c>
    </row>
    <row r="21" spans="1:6" x14ac:dyDescent="0.25">
      <c r="A21" s="50" t="s">
        <v>93</v>
      </c>
      <c r="B21" s="38">
        <v>109914.95426</v>
      </c>
      <c r="C21" s="78">
        <v>802218.67951000005</v>
      </c>
      <c r="D21" s="17" t="s">
        <v>398</v>
      </c>
      <c r="E21" s="17">
        <f>IF(109914.95426="","-",109914.95426/5840607.31908*100)</f>
        <v>1.8819096757443636</v>
      </c>
      <c r="F21" s="17">
        <f>IF(802218.67951="","-",802218.67951/6911881.24719*100)</f>
        <v>11.606372430604752</v>
      </c>
    </row>
    <row r="22" spans="1:6" x14ac:dyDescent="0.25">
      <c r="A22" s="50" t="s">
        <v>94</v>
      </c>
      <c r="B22" s="38">
        <v>45312.237249999998</v>
      </c>
      <c r="C22" s="78">
        <v>36692.184970000002</v>
      </c>
      <c r="D22" s="17">
        <v>80.976326036516781</v>
      </c>
      <c r="E22" s="17">
        <f>IF(45312.23725="","-",45312.23725/5840607.31908*100)</f>
        <v>0.77581379426031138</v>
      </c>
      <c r="F22" s="17">
        <f>IF(36692.18497="","-",36692.18497/6911881.24719*100)</f>
        <v>0.53085670395331341</v>
      </c>
    </row>
    <row r="23" spans="1:6" x14ac:dyDescent="0.25">
      <c r="A23" s="46" t="s">
        <v>352</v>
      </c>
      <c r="B23" s="41">
        <v>226368.17968</v>
      </c>
      <c r="C23" s="77">
        <v>200440.40208999999</v>
      </c>
      <c r="D23" s="41">
        <v>88.546191595191431</v>
      </c>
      <c r="E23" s="16">
        <f>IF(226368.17968="","-",226368.17968/5840607.31908*100)</f>
        <v>3.8757644079324449</v>
      </c>
      <c r="F23" s="16">
        <f>IF(200440.40209="","-",200440.40209/6911881.24719*100)</f>
        <v>2.8999398994519519</v>
      </c>
    </row>
    <row r="24" spans="1:6" x14ac:dyDescent="0.25">
      <c r="A24" s="50" t="s">
        <v>97</v>
      </c>
      <c r="B24" s="38"/>
      <c r="C24" s="16"/>
      <c r="D24" s="38"/>
      <c r="E24" s="17"/>
      <c r="F24" s="17"/>
    </row>
    <row r="25" spans="1:6" x14ac:dyDescent="0.25">
      <c r="A25" s="50" t="s">
        <v>88</v>
      </c>
      <c r="B25" s="38">
        <v>47870.933599999997</v>
      </c>
      <c r="C25" s="38">
        <v>57946.337249999997</v>
      </c>
      <c r="D25" s="38">
        <v>121.04701724471904</v>
      </c>
      <c r="E25" s="17">
        <f>IF(47870.9336="","-",47870.9336/5840607.31908*100)</f>
        <v>0.81962253212291836</v>
      </c>
      <c r="F25" s="17">
        <f>IF(57946.33725="","-",57946.33725/6911881.24719*100)</f>
        <v>0.83835840312733778</v>
      </c>
    </row>
    <row r="26" spans="1:6" x14ac:dyDescent="0.25">
      <c r="A26" s="50" t="s">
        <v>90</v>
      </c>
      <c r="B26" s="38">
        <v>160358.99182</v>
      </c>
      <c r="C26" s="38">
        <v>127134.82195</v>
      </c>
      <c r="D26" s="38">
        <v>79.281380175242361</v>
      </c>
      <c r="E26" s="17">
        <f>IF(160358.99182="","-",160358.99182/5840607.31908*100)</f>
        <v>2.7455876257275831</v>
      </c>
      <c r="F26" s="17">
        <f>IF(127134.82195="","-",127134.82195/6911881.24719*100)</f>
        <v>1.8393664098567404</v>
      </c>
    </row>
    <row r="27" spans="1:6" x14ac:dyDescent="0.25">
      <c r="A27" s="50" t="s">
        <v>91</v>
      </c>
      <c r="B27" s="38">
        <v>18095.69038</v>
      </c>
      <c r="C27" s="78">
        <v>15277.392519999999</v>
      </c>
      <c r="D27" s="38">
        <v>84.425585314418925</v>
      </c>
      <c r="E27" s="17">
        <f>IF(18095.69038="","-",18095.69038/5840607.31908*100)</f>
        <v>0.30982549230600209</v>
      </c>
      <c r="F27" s="17">
        <f>IF(15277.39252="","-",15277.39252/6911881.24719*100)</f>
        <v>0.22103088831583972</v>
      </c>
    </row>
    <row r="28" spans="1:6" x14ac:dyDescent="0.25">
      <c r="A28" s="50" t="s">
        <v>92</v>
      </c>
      <c r="B28" s="38">
        <v>42.563879999999997</v>
      </c>
      <c r="C28" s="78">
        <v>2.5848300000000002</v>
      </c>
      <c r="D28" s="38">
        <v>6.0728251277844034</v>
      </c>
      <c r="E28" s="17">
        <f>IF(42.56388="","-",42.56388/5840607.31908*100)</f>
        <v>7.2875777594143363E-4</v>
      </c>
      <c r="F28" s="17">
        <f>IF(2.58483="","-",2.58483/6911881.24719*100)</f>
        <v>3.7396909865181115E-5</v>
      </c>
    </row>
    <row r="29" spans="1:6" x14ac:dyDescent="0.25">
      <c r="A29" s="50" t="s">
        <v>94</v>
      </c>
      <c r="B29" s="38" t="s">
        <v>251</v>
      </c>
      <c r="C29" s="78">
        <v>79.265540000000001</v>
      </c>
      <c r="D29" s="38" t="s">
        <v>251</v>
      </c>
      <c r="E29" s="17" t="s">
        <v>251</v>
      </c>
      <c r="F29" s="17">
        <f>IF(79.26554="","-",79.26554/6911881.24719*100)</f>
        <v>1.1468012421686948E-3</v>
      </c>
    </row>
    <row r="30" spans="1:6" s="81" customFormat="1" x14ac:dyDescent="0.25">
      <c r="A30" s="46" t="s">
        <v>102</v>
      </c>
      <c r="B30" s="41">
        <v>2738638.01694</v>
      </c>
      <c r="C30" s="77">
        <v>2985449.7352</v>
      </c>
      <c r="D30" s="16">
        <v>109.01220667840481</v>
      </c>
      <c r="E30" s="16">
        <f>IF(2738638.01694="","-",2738638.01694/5840607.31908*100)</f>
        <v>46.889610400505141</v>
      </c>
      <c r="F30" s="16">
        <f>IF(2985449.7352="","-",2985449.7352/6911881.24719*100)</f>
        <v>43.193012559550617</v>
      </c>
    </row>
    <row r="31" spans="1:6" x14ac:dyDescent="0.25">
      <c r="A31" s="50" t="s">
        <v>97</v>
      </c>
      <c r="B31" s="38"/>
      <c r="C31" s="77"/>
      <c r="D31" s="16"/>
      <c r="E31" s="17"/>
      <c r="F31" s="17"/>
    </row>
    <row r="32" spans="1:6" s="80" customFormat="1" x14ac:dyDescent="0.25">
      <c r="A32" s="50" t="s">
        <v>88</v>
      </c>
      <c r="B32" s="38">
        <v>109655.65221</v>
      </c>
      <c r="C32" s="78">
        <v>74576.214500000002</v>
      </c>
      <c r="D32" s="17">
        <v>68.009457786252682</v>
      </c>
      <c r="E32" s="17">
        <f>IF(109655.65221="","-",109655.65221/5840607.31908*100)</f>
        <v>1.8774700338401236</v>
      </c>
      <c r="F32" s="17">
        <f>IF(74576.2145="","-",74576.2145/6911881.24719*100)</f>
        <v>1.0789568256879223</v>
      </c>
    </row>
    <row r="33" spans="1:6" x14ac:dyDescent="0.25">
      <c r="A33" s="50" t="s">
        <v>89</v>
      </c>
      <c r="B33" s="38">
        <v>43653.708599999998</v>
      </c>
      <c r="C33" s="78">
        <v>59662.030599999998</v>
      </c>
      <c r="D33" s="17">
        <v>136.67116154250408</v>
      </c>
      <c r="E33" s="17">
        <f>IF(43653.7086="","-",43653.7086/5840607.31908*100)</f>
        <v>0.74741728411346509</v>
      </c>
      <c r="F33" s="17">
        <f>IF(59662.0306="","-",59662.0306/6911881.24719*100)</f>
        <v>0.86318078199412607</v>
      </c>
    </row>
    <row r="34" spans="1:6" x14ac:dyDescent="0.25">
      <c r="A34" s="50" t="s">
        <v>90</v>
      </c>
      <c r="B34" s="38">
        <v>2284029.8102899999</v>
      </c>
      <c r="C34" s="78">
        <v>2676255.95267</v>
      </c>
      <c r="D34" s="17">
        <v>117.17254917658889</v>
      </c>
      <c r="E34" s="17">
        <f>IF(2284029.81029="","-",2284029.81029/5840607.31908*100)</f>
        <v>39.106032737872468</v>
      </c>
      <c r="F34" s="17">
        <f>IF(2676255.95267="","-",2676255.95267/6911881.24719*100)</f>
        <v>38.719646026297433</v>
      </c>
    </row>
    <row r="35" spans="1:6" x14ac:dyDescent="0.25">
      <c r="A35" s="50" t="s">
        <v>91</v>
      </c>
      <c r="B35" s="38">
        <v>76539.68849</v>
      </c>
      <c r="C35" s="78">
        <v>80535.146160000004</v>
      </c>
      <c r="D35" s="17">
        <v>105.220112269626</v>
      </c>
      <c r="E35" s="17">
        <f>IF(76539.68849="","-",76539.68849/5840607.31908*100)</f>
        <v>1.3104748240814172</v>
      </c>
      <c r="F35" s="17">
        <f>IF(80535.14616="","-",80535.14616/6911881.24719*100)</f>
        <v>1.1651697024271255</v>
      </c>
    </row>
    <row r="36" spans="1:6" x14ac:dyDescent="0.25">
      <c r="A36" s="50" t="s">
        <v>92</v>
      </c>
      <c r="B36" s="38">
        <v>1811.7180699999999</v>
      </c>
      <c r="C36" s="78">
        <v>1619.3218099999999</v>
      </c>
      <c r="D36" s="17">
        <v>89.38045255573347</v>
      </c>
      <c r="E36" s="17">
        <f>IF(1811.71807="","-",1811.71807/5840607.31908*100)</f>
        <v>3.1019343897363365E-2</v>
      </c>
      <c r="F36" s="17">
        <f>IF(1619.32181="","-",1619.32181/6911881.24719*100)</f>
        <v>2.3428090733739519E-2</v>
      </c>
    </row>
    <row r="37" spans="1:6" x14ac:dyDescent="0.25">
      <c r="A37" s="50" t="s">
        <v>93</v>
      </c>
      <c r="B37" s="38">
        <v>219510.83848999999</v>
      </c>
      <c r="C37" s="78">
        <v>88117.030450000006</v>
      </c>
      <c r="D37" s="17">
        <v>40.142450849420932</v>
      </c>
      <c r="E37" s="17">
        <f>IF(219510.83849="","-",219510.83849/5840607.31908*100)</f>
        <v>3.7583563916873097</v>
      </c>
      <c r="F37" s="17">
        <f>IF(88117.03045="","-",88117.03045/6911881.24719*100)</f>
        <v>1.2748632000271078</v>
      </c>
    </row>
    <row r="38" spans="1:6" x14ac:dyDescent="0.25">
      <c r="A38" s="52" t="s">
        <v>94</v>
      </c>
      <c r="B38" s="49">
        <v>3436.60079</v>
      </c>
      <c r="C38" s="79">
        <v>4684.0390100000004</v>
      </c>
      <c r="D38" s="39">
        <v>136.29860714779153</v>
      </c>
      <c r="E38" s="39">
        <f>IF(3436.60079="","-",3436.60079/5840607.31908*100)</f>
        <v>5.8839785012996325E-2</v>
      </c>
      <c r="F38" s="39">
        <f>IF(4684.03901="","-",4684.03901/6911881.24719*100)</f>
        <v>6.7767932383159507E-2</v>
      </c>
    </row>
    <row r="39" spans="1:6" s="15" customFormat="1" ht="14.25" customHeight="1" x14ac:dyDescent="0.2">
      <c r="A39" s="63" t="s">
        <v>239</v>
      </c>
      <c r="B39" s="63"/>
      <c r="C39" s="14"/>
      <c r="D39" s="14"/>
      <c r="E39" s="14"/>
      <c r="F39" s="14"/>
    </row>
    <row r="40" spans="1:6" s="15" customFormat="1" ht="11.25" x14ac:dyDescent="0.2">
      <c r="A40" s="89" t="s">
        <v>304</v>
      </c>
      <c r="B40" s="89"/>
      <c r="C40" s="89"/>
      <c r="D40" s="89"/>
      <c r="E40" s="89"/>
      <c r="F40" s="89"/>
    </row>
    <row r="41" spans="1:6" s="15" customFormat="1" ht="11.25" customHeight="1" x14ac:dyDescent="0.2">
      <c r="A41" s="89" t="s">
        <v>301</v>
      </c>
      <c r="B41" s="89"/>
      <c r="C41" s="89"/>
      <c r="D41" s="89"/>
      <c r="E41" s="89"/>
      <c r="F41" s="89"/>
    </row>
    <row r="42" spans="1:6" s="15" customFormat="1" ht="11.25" x14ac:dyDescent="0.2">
      <c r="A42" s="89" t="s">
        <v>306</v>
      </c>
      <c r="B42" s="89"/>
      <c r="C42" s="89"/>
      <c r="D42" s="89"/>
      <c r="E42" s="89"/>
      <c r="F42" s="89"/>
    </row>
    <row r="43" spans="1:6" ht="12.75" customHeight="1" x14ac:dyDescent="0.25">
      <c r="A43" s="90" t="s">
        <v>303</v>
      </c>
      <c r="B43" s="90"/>
      <c r="C43" s="90"/>
      <c r="D43" s="90"/>
      <c r="E43" s="90"/>
      <c r="F43" s="90"/>
    </row>
    <row r="44" spans="1:6" ht="12" customHeight="1" x14ac:dyDescent="0.25">
      <c r="A44" s="14" t="s">
        <v>293</v>
      </c>
      <c r="B44" s="12"/>
      <c r="C44" s="12"/>
      <c r="D44" s="12"/>
      <c r="E44" s="12"/>
      <c r="F44" s="12"/>
    </row>
  </sheetData>
  <mergeCells count="10">
    <mergeCell ref="A43:F43"/>
    <mergeCell ref="A40:F40"/>
    <mergeCell ref="A42:F42"/>
    <mergeCell ref="A1:F1"/>
    <mergeCell ref="A3:A4"/>
    <mergeCell ref="E3:F3"/>
    <mergeCell ref="A2:F2"/>
    <mergeCell ref="B3:C3"/>
    <mergeCell ref="D3:D4"/>
    <mergeCell ref="A41:F41"/>
  </mergeCells>
  <pageMargins left="0.78740157480314965" right="0.59055118110236227" top="0.39370078740157483" bottom="0.39370078740157483" header="0.11811023622047245" footer="0.11811023622047245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82"/>
  <sheetViews>
    <sheetView zoomScaleNormal="100" workbookViewId="0">
      <selection sqref="A1:I1"/>
    </sheetView>
  </sheetViews>
  <sheetFormatPr defaultRowHeight="15.75" x14ac:dyDescent="0.25"/>
  <cols>
    <col min="1" max="1" width="6.75" style="19" customWidth="1"/>
    <col min="2" max="2" width="41.875" style="19" customWidth="1"/>
    <col min="3" max="4" width="12.125" style="19" customWidth="1"/>
    <col min="5" max="5" width="12.5" style="19" customWidth="1"/>
    <col min="6" max="7" width="10.875" style="19" customWidth="1"/>
    <col min="8" max="9" width="11.375" style="19" customWidth="1"/>
    <col min="10" max="10" width="9" style="19"/>
  </cols>
  <sheetData>
    <row r="1" spans="1:10" s="21" customFormat="1" ht="15.75" customHeight="1" x14ac:dyDescent="0.2">
      <c r="A1" s="102" t="s">
        <v>264</v>
      </c>
      <c r="B1" s="102"/>
      <c r="C1" s="102"/>
      <c r="D1" s="102"/>
      <c r="E1" s="102"/>
      <c r="F1" s="102"/>
      <c r="G1" s="102"/>
      <c r="H1" s="102"/>
      <c r="I1" s="102"/>
      <c r="J1" s="20"/>
    </row>
    <row r="2" spans="1:10" s="21" customFormat="1" ht="15.75" customHeight="1" x14ac:dyDescent="0.2">
      <c r="A2" s="102" t="s">
        <v>238</v>
      </c>
      <c r="B2" s="102"/>
      <c r="C2" s="102"/>
      <c r="D2" s="102"/>
      <c r="E2" s="102"/>
      <c r="F2" s="102"/>
      <c r="G2" s="102"/>
      <c r="H2" s="102"/>
      <c r="I2" s="102"/>
      <c r="J2" s="20"/>
    </row>
    <row r="3" spans="1:10" x14ac:dyDescent="0.25">
      <c r="A3" s="113"/>
      <c r="B3" s="113"/>
      <c r="C3" s="113"/>
      <c r="D3" s="113"/>
      <c r="E3" s="113"/>
      <c r="F3" s="113"/>
      <c r="G3" s="113"/>
      <c r="H3" s="113"/>
      <c r="I3" s="113"/>
    </row>
    <row r="4" spans="1:10" ht="48" customHeight="1" x14ac:dyDescent="0.25">
      <c r="A4" s="111" t="s">
        <v>164</v>
      </c>
      <c r="B4" s="92"/>
      <c r="C4" s="94" t="s">
        <v>278</v>
      </c>
      <c r="D4" s="101"/>
      <c r="E4" s="99" t="s">
        <v>377</v>
      </c>
      <c r="F4" s="94" t="s">
        <v>87</v>
      </c>
      <c r="G4" s="95"/>
      <c r="H4" s="96" t="s">
        <v>373</v>
      </c>
      <c r="I4" s="97"/>
    </row>
    <row r="5" spans="1:10" ht="34.5" customHeight="1" x14ac:dyDescent="0.25">
      <c r="A5" s="112"/>
      <c r="B5" s="93"/>
      <c r="C5" s="10" t="s">
        <v>368</v>
      </c>
      <c r="D5" s="10" t="s">
        <v>369</v>
      </c>
      <c r="E5" s="100"/>
      <c r="F5" s="10" t="s">
        <v>368</v>
      </c>
      <c r="G5" s="10" t="s">
        <v>369</v>
      </c>
      <c r="H5" s="10" t="s">
        <v>371</v>
      </c>
      <c r="I5" s="9" t="s">
        <v>372</v>
      </c>
    </row>
    <row r="6" spans="1:10" s="21" customFormat="1" ht="12.75" x14ac:dyDescent="0.2">
      <c r="A6" s="73"/>
      <c r="B6" s="45" t="s">
        <v>83</v>
      </c>
      <c r="C6" s="42">
        <v>2338137.0224299999</v>
      </c>
      <c r="D6" s="43">
        <v>2280846.8779899999</v>
      </c>
      <c r="E6" s="43">
        <f>IF(2338137.02243="","-",2280846.87799/2338137.02243*100)</f>
        <v>97.549752478558389</v>
      </c>
      <c r="F6" s="43">
        <v>100</v>
      </c>
      <c r="G6" s="43">
        <v>100</v>
      </c>
      <c r="H6" s="43">
        <f>IF(2668344.6178="","-",(2338137.02243-2668344.6178)/2668344.6178*100)</f>
        <v>-12.374998085601483</v>
      </c>
      <c r="I6" s="43">
        <f>IF(2338137.02243="","-",(2280846.87799-2338137.02243)/2338137.02243*100)</f>
        <v>-2.4502475214416193</v>
      </c>
      <c r="J6" s="20"/>
    </row>
    <row r="7" spans="1:10" s="21" customFormat="1" ht="12.75" x14ac:dyDescent="0.2">
      <c r="A7" s="71"/>
      <c r="B7" s="34" t="s">
        <v>269</v>
      </c>
      <c r="C7" s="37"/>
      <c r="D7" s="16"/>
      <c r="E7" s="16"/>
      <c r="F7" s="16"/>
      <c r="G7" s="16"/>
      <c r="H7" s="16"/>
      <c r="I7" s="16"/>
      <c r="J7" s="20"/>
    </row>
    <row r="8" spans="1:10" x14ac:dyDescent="0.25">
      <c r="A8" s="23" t="s">
        <v>165</v>
      </c>
      <c r="B8" s="24" t="s">
        <v>143</v>
      </c>
      <c r="C8" s="37">
        <v>568920.58826999995</v>
      </c>
      <c r="D8" s="16">
        <v>506413.72730999999</v>
      </c>
      <c r="E8" s="16">
        <f>IF(568920.58827="","-",506413.72731/568920.58827*100)</f>
        <v>89.013078055397202</v>
      </c>
      <c r="F8" s="16">
        <f>IF(568920.58827="","-",568920.58827/2338137.02243*100)</f>
        <v>24.332217607962388</v>
      </c>
      <c r="G8" s="16">
        <f>IF(506413.72731="","-",506413.72731/2280846.87799*100)</f>
        <v>22.20288140325658</v>
      </c>
      <c r="H8" s="16">
        <f>IF(2668344.6178="","-",(568920.58827-549250.89186)/2668344.6178*100)</f>
        <v>0.73714977738584864</v>
      </c>
      <c r="I8" s="16">
        <f>IF(2338137.02243="","-",(506413.72731-568920.58827)/2338137.02243*100)</f>
        <v>-2.6733617559777261</v>
      </c>
    </row>
    <row r="9" spans="1:10" x14ac:dyDescent="0.25">
      <c r="A9" s="25" t="s">
        <v>166</v>
      </c>
      <c r="B9" s="26" t="s">
        <v>16</v>
      </c>
      <c r="C9" s="36">
        <v>10583.46198</v>
      </c>
      <c r="D9" s="17">
        <v>6812.4372700000004</v>
      </c>
      <c r="E9" s="17">
        <f>IF(OR(10583.46198="",6812.43727=""),"-",6812.43727/10583.46198*100)</f>
        <v>64.368703576143048</v>
      </c>
      <c r="F9" s="17">
        <f>IF(10583.46198="","-",10583.46198/2338137.02243*100)</f>
        <v>0.45264507077522453</v>
      </c>
      <c r="G9" s="17">
        <f>IF(6812.43727="","-",6812.43727/2280846.87799*100)</f>
        <v>0.29868016725451874</v>
      </c>
      <c r="H9" s="17">
        <f>IF(OR(2668344.6178="",6314.32544="",10583.46198=""),"-",(10583.46198-6314.32544)/2668344.6178*100)</f>
        <v>0.15999194824841714</v>
      </c>
      <c r="I9" s="17">
        <f>IF(OR(2338137.02243="",6812.43727="",10583.46198=""),"-",(6812.43727-10583.46198)/2338137.02243*100)</f>
        <v>-0.16128330691589732</v>
      </c>
      <c r="J9" s="23"/>
    </row>
    <row r="10" spans="1:10" x14ac:dyDescent="0.25">
      <c r="A10" s="25" t="s">
        <v>167</v>
      </c>
      <c r="B10" s="26" t="s">
        <v>144</v>
      </c>
      <c r="C10" s="36">
        <v>1949.3849</v>
      </c>
      <c r="D10" s="17">
        <v>5645.2503100000004</v>
      </c>
      <c r="E10" s="17" t="s">
        <v>310</v>
      </c>
      <c r="F10" s="17">
        <f>IF(1949.3849="","-",1949.3849/2338137.02243*100)</f>
        <v>8.3373424281782502E-2</v>
      </c>
      <c r="G10" s="17">
        <f>IF(5645.25031="","-",5645.25031/2280846.87799*100)</f>
        <v>0.24750676446000119</v>
      </c>
      <c r="H10" s="17">
        <f>IF(OR(2668344.6178="",2347.18083="",1949.3849=""),"-",(1949.3849-2347.18083)/2668344.6178*100)</f>
        <v>-1.4907966810073245E-2</v>
      </c>
      <c r="I10" s="17">
        <f>IF(OR(2338137.02243="",5645.25031="",1949.3849=""),"-",(5645.25031-1949.3849)/2338137.02243*100)</f>
        <v>0.15806881181663718</v>
      </c>
      <c r="J10" s="25"/>
    </row>
    <row r="11" spans="1:10" s="2" customFormat="1" x14ac:dyDescent="0.25">
      <c r="A11" s="25" t="s">
        <v>168</v>
      </c>
      <c r="B11" s="26" t="s">
        <v>145</v>
      </c>
      <c r="C11" s="36">
        <v>10118.732249999999</v>
      </c>
      <c r="D11" s="17">
        <v>12984.25452</v>
      </c>
      <c r="E11" s="17">
        <f>IF(OR(10118.73225="",12984.25452=""),"-",12984.25452/10118.73225*100)</f>
        <v>128.31898501909663</v>
      </c>
      <c r="F11" s="17">
        <f>IF(10118.73225="","-",10118.73225/2338137.02243*100)</f>
        <v>0.43276900168509852</v>
      </c>
      <c r="G11" s="17">
        <f>IF(12984.25452="","-",12984.25452/2280846.87799*100)</f>
        <v>0.56927339775839736</v>
      </c>
      <c r="H11" s="17">
        <f>IF(OR(2668344.6178="",12405.23845="",10118.73225=""),"-",(10118.73225-12405.23845)/2668344.6178*100)</f>
        <v>-8.5690063597751581E-2</v>
      </c>
      <c r="I11" s="17">
        <f>IF(OR(2338137.02243="",12984.25452="",10118.73225=""),"-",(12984.25452-10118.73225)/2338137.02243*100)</f>
        <v>0.12255578875449719</v>
      </c>
      <c r="J11" s="25"/>
    </row>
    <row r="12" spans="1:10" s="2" customFormat="1" x14ac:dyDescent="0.25">
      <c r="A12" s="25" t="s">
        <v>169</v>
      </c>
      <c r="B12" s="26" t="s">
        <v>146</v>
      </c>
      <c r="C12" s="36">
        <v>265.1635</v>
      </c>
      <c r="D12" s="17">
        <v>84.753060000000005</v>
      </c>
      <c r="E12" s="17">
        <f>IF(OR(265.1635="",84.75306=""),"-",84.75306/265.1635*100)</f>
        <v>31.962566491994565</v>
      </c>
      <c r="F12" s="17">
        <f>IF(265.1635="","-",265.1635/2338137.02243*100)</f>
        <v>1.1340802419030965E-2</v>
      </c>
      <c r="G12" s="17">
        <f>IF(84.75306="","-",84.75306/2280846.87799*100)</f>
        <v>3.7158592634104742E-3</v>
      </c>
      <c r="H12" s="17">
        <f>IF(OR(2668344.6178="",214.27247="",265.1635=""),"-",(265.1635-214.27247)/2668344.6178*100)</f>
        <v>1.9072135458259771E-3</v>
      </c>
      <c r="I12" s="17">
        <f>IF(OR(2338137.02243="",84.75306="",265.1635=""),"-",(84.75306-265.1635)/2338137.02243*100)</f>
        <v>-7.7159909051224647E-3</v>
      </c>
      <c r="J12" s="25"/>
    </row>
    <row r="13" spans="1:10" s="2" customFormat="1" x14ac:dyDescent="0.25">
      <c r="A13" s="25" t="s">
        <v>170</v>
      </c>
      <c r="B13" s="26" t="s">
        <v>147</v>
      </c>
      <c r="C13" s="36">
        <v>244547.39528</v>
      </c>
      <c r="D13" s="17">
        <v>204070.45146000001</v>
      </c>
      <c r="E13" s="17">
        <f>IF(OR(244547.39528="",204070.45146=""),"-",204070.45146/244547.39528*100)</f>
        <v>83.448221244125293</v>
      </c>
      <c r="F13" s="17">
        <f>IF(244547.39528="","-",244547.39528/2338137.02243*100)</f>
        <v>10.459070316839028</v>
      </c>
      <c r="G13" s="17">
        <f>IF(204070.45146="","-",204070.45146/2280846.87799*100)</f>
        <v>8.9471350939541114</v>
      </c>
      <c r="H13" s="17">
        <f>IF(OR(2668344.6178="",250647.7909="",244547.39528=""),"-",(244547.39528-250647.7909)/2668344.6178*100)</f>
        <v>-0.22862098018769619</v>
      </c>
      <c r="I13" s="17">
        <f>IF(OR(2338137.02243="",204070.45146="",244547.39528=""),"-",(204070.45146-244547.39528)/2338137.02243*100)</f>
        <v>-1.7311621787645597</v>
      </c>
      <c r="J13" s="25"/>
    </row>
    <row r="14" spans="1:10" s="2" customFormat="1" x14ac:dyDescent="0.25">
      <c r="A14" s="25" t="s">
        <v>171</v>
      </c>
      <c r="B14" s="26" t="s">
        <v>148</v>
      </c>
      <c r="C14" s="36">
        <v>249779.44128999999</v>
      </c>
      <c r="D14" s="17">
        <v>232680.24872999999</v>
      </c>
      <c r="E14" s="17">
        <f>IF(OR(249779.44129="",232680.24873=""),"-",232680.24873/249779.44129*100)</f>
        <v>93.154283446351599</v>
      </c>
      <c r="F14" s="17">
        <f>IF(249779.44129="","-",249779.44129/2338137.02243*100)</f>
        <v>10.682840179760165</v>
      </c>
      <c r="G14" s="17">
        <f>IF(232680.24873="","-",232680.24873/2280846.87799*100)</f>
        <v>10.201484850883539</v>
      </c>
      <c r="H14" s="17">
        <f>IF(OR(2668344.6178="",207703.47294="",249779.44129=""),"-",(249779.44129-207703.47294)/2668344.6178*100)</f>
        <v>1.5768566050021988</v>
      </c>
      <c r="I14" s="17">
        <f>IF(OR(2338137.02243="",232680.24873="",249779.44129=""),"-",(232680.24873-249779.44129)/2338137.02243*100)</f>
        <v>-0.73131695858564327</v>
      </c>
      <c r="J14" s="25"/>
    </row>
    <row r="15" spans="1:10" s="2" customFormat="1" x14ac:dyDescent="0.25">
      <c r="A15" s="25" t="s">
        <v>172</v>
      </c>
      <c r="B15" s="26" t="s">
        <v>106</v>
      </c>
      <c r="C15" s="36">
        <v>10698.474319999999</v>
      </c>
      <c r="D15" s="17">
        <v>12365.69636</v>
      </c>
      <c r="E15" s="17">
        <f>IF(OR(10698.47432="",12365.69636=""),"-",12365.69636/10698.47432*100)</f>
        <v>115.58373642943884</v>
      </c>
      <c r="F15" s="17">
        <f>IF(10698.47432="","-",10698.47432/2338137.02243*100)</f>
        <v>0.45756404425268432</v>
      </c>
      <c r="G15" s="17">
        <f>IF(12365.69636="","-",12365.69636/2280846.87799*100)</f>
        <v>0.54215372716722177</v>
      </c>
      <c r="H15" s="17">
        <f>IF(OR(2668344.6178="",12728.1451="",10698.47432=""),"-",(10698.47432-12728.1451)/2668344.6178*100)</f>
        <v>-7.6064791873600851E-2</v>
      </c>
      <c r="I15" s="17">
        <f>IF(OR(2338137.02243="",12365.69636="",10698.47432=""),"-",(12365.69636-10698.47432)/2338137.02243*100)</f>
        <v>7.1305574652219275E-2</v>
      </c>
      <c r="J15" s="25"/>
    </row>
    <row r="16" spans="1:10" s="2" customFormat="1" x14ac:dyDescent="0.25">
      <c r="A16" s="25" t="s">
        <v>173</v>
      </c>
      <c r="B16" s="26" t="s">
        <v>149</v>
      </c>
      <c r="C16" s="36">
        <v>8230.7249100000008</v>
      </c>
      <c r="D16" s="17">
        <v>7138.7058399999996</v>
      </c>
      <c r="E16" s="17">
        <f>IF(OR(8230.72491="",7138.70584=""),"-",7138.70584/8230.72491*100)</f>
        <v>86.732407145897412</v>
      </c>
      <c r="F16" s="17">
        <f>IF(8230.72491="","-",8230.72491/2338137.02243*100)</f>
        <v>0.35202063998139427</v>
      </c>
      <c r="G16" s="17">
        <f>IF(7138.70584="","-",7138.70584/2280846.87799*100)</f>
        <v>0.31298487894509586</v>
      </c>
      <c r="H16" s="17">
        <f>IF(OR(2668344.6178="",7440.76497="",8230.72491=""),"-",(8230.72491-7440.76497)/2668344.6178*100)</f>
        <v>2.9604869428421419E-2</v>
      </c>
      <c r="I16" s="17">
        <f>IF(OR(2338137.02243="",7138.70584="",8230.72491=""),"-",(7138.70584-8230.72491)/2338137.02243*100)</f>
        <v>-4.6704665275137634E-2</v>
      </c>
      <c r="J16" s="25"/>
    </row>
    <row r="17" spans="1:10" s="2" customFormat="1" ht="15" customHeight="1" x14ac:dyDescent="0.25">
      <c r="A17" s="25" t="s">
        <v>174</v>
      </c>
      <c r="B17" s="26" t="s">
        <v>107</v>
      </c>
      <c r="C17" s="36">
        <v>23100.419689999999</v>
      </c>
      <c r="D17" s="17">
        <v>14656.87916</v>
      </c>
      <c r="E17" s="17">
        <f>IF(OR(23100.41969="",14656.87916=""),"-",14656.87916/23100.41969*100)</f>
        <v>63.44854057497863</v>
      </c>
      <c r="F17" s="17">
        <f>IF(23100.41969="","-",23100.41969/2338137.02243*100)</f>
        <v>0.9879840004411713</v>
      </c>
      <c r="G17" s="17">
        <f>IF(14656.87916="","-",14656.87916/2280846.87799*100)</f>
        <v>0.64260688875863503</v>
      </c>
      <c r="H17" s="17">
        <f>IF(OR(2668344.6178="",42473.20716="",23100.41969=""),"-",(23100.41969-42473.20716)/2668344.6178*100)</f>
        <v>-0.72602269364938687</v>
      </c>
      <c r="I17" s="17">
        <f>IF(OR(2338137.02243="",14656.87916="",23100.41969=""),"-",(14656.87916-23100.41969)/2338137.02243*100)</f>
        <v>-0.36112257104695772</v>
      </c>
      <c r="J17" s="25"/>
    </row>
    <row r="18" spans="1:10" s="2" customFormat="1" x14ac:dyDescent="0.25">
      <c r="A18" s="25" t="s">
        <v>175</v>
      </c>
      <c r="B18" s="26" t="s">
        <v>150</v>
      </c>
      <c r="C18" s="36">
        <v>9647.3901499999993</v>
      </c>
      <c r="D18" s="17">
        <v>9975.0506000000005</v>
      </c>
      <c r="E18" s="17">
        <f>IF(OR(9647.39015="",9975.0506=""),"-",9975.0506/9647.39015*100)</f>
        <v>103.39636362690278</v>
      </c>
      <c r="F18" s="17">
        <f>IF(9647.39015="","-",9647.39015/2338137.02243*100)</f>
        <v>0.41261012752681081</v>
      </c>
      <c r="G18" s="17">
        <f>IF(9975.0506="","-",9975.0506/2280846.87799*100)</f>
        <v>0.43733977481164932</v>
      </c>
      <c r="H18" s="17">
        <f>IF(OR(2668344.6178="",6976.4936="",9647.39015=""),"-",(9647.39015-6976.4936)/2668344.6178*100)</f>
        <v>0.10009563727949441</v>
      </c>
      <c r="I18" s="17">
        <f>IF(OR(2338137.02243="",9975.0506="",9647.39015=""),"-",(9975.0506-9647.39015)/2338137.02243*100)</f>
        <v>1.4013740292237765E-2</v>
      </c>
      <c r="J18" s="25"/>
    </row>
    <row r="19" spans="1:10" s="2" customFormat="1" x14ac:dyDescent="0.25">
      <c r="A19" s="23" t="s">
        <v>176</v>
      </c>
      <c r="B19" s="24" t="s">
        <v>151</v>
      </c>
      <c r="C19" s="37">
        <v>152462.21322000001</v>
      </c>
      <c r="D19" s="16">
        <v>146251.92138000001</v>
      </c>
      <c r="E19" s="16">
        <f>IF(152462.21322="","-",146251.92138/152462.21322*100)</f>
        <v>95.926668182995172</v>
      </c>
      <c r="F19" s="16">
        <f>IF(152462.21322="","-",152462.21322/2338137.02243*100)</f>
        <v>6.5206705919034516</v>
      </c>
      <c r="G19" s="16">
        <f>IF(146251.92138="","-",146251.92138/2280846.87799*100)</f>
        <v>6.4121762311762351</v>
      </c>
      <c r="H19" s="16">
        <f>IF(2668344.6178="","-",(152462.21322-141270.8802)/2668344.6178*100)</f>
        <v>0.41941108151266587</v>
      </c>
      <c r="I19" s="16">
        <f>IF(2338137.02243="","-",(146251.92138-152462.21322)/2338137.02243*100)</f>
        <v>-0.26560854990207988</v>
      </c>
      <c r="J19" s="25"/>
    </row>
    <row r="20" spans="1:10" s="2" customFormat="1" x14ac:dyDescent="0.25">
      <c r="A20" s="25" t="s">
        <v>177</v>
      </c>
      <c r="B20" s="26" t="s">
        <v>152</v>
      </c>
      <c r="C20" s="36">
        <v>152119.09039999999</v>
      </c>
      <c r="D20" s="17">
        <v>144949.15909</v>
      </c>
      <c r="E20" s="17">
        <f>IF(OR(152119.0904="",144949.15909=""),"-",144949.15909/152119.0904*100)</f>
        <v>95.286632801217436</v>
      </c>
      <c r="F20" s="17">
        <f>IF(152119.0904="","-",152119.0904/2338137.02243*100)</f>
        <v>6.5059955400690885</v>
      </c>
      <c r="G20" s="17">
        <f>IF(144949.15909="","-",144949.15909/2280846.87799*100)</f>
        <v>6.3550587498331614</v>
      </c>
      <c r="H20" s="17">
        <f>IF(OR(2668344.6178="",133684.26872="",152119.0904=""),"-",(152119.0904-133684.26872)/2668344.6178*100)</f>
        <v>0.69087109502366895</v>
      </c>
      <c r="I20" s="17">
        <f>IF(OR(2338137.02243="",144949.15909="",152119.0904=""),"-",(144949.15909-152119.0904)/2338137.02243*100)</f>
        <v>-0.30665145973987251</v>
      </c>
      <c r="J20" s="23"/>
    </row>
    <row r="21" spans="1:10" s="2" customFormat="1" x14ac:dyDescent="0.25">
      <c r="A21" s="25" t="s">
        <v>178</v>
      </c>
      <c r="B21" s="26" t="s">
        <v>153</v>
      </c>
      <c r="C21" s="36">
        <v>343.12281999999999</v>
      </c>
      <c r="D21" s="17">
        <v>1302.7622899999999</v>
      </c>
      <c r="E21" s="17" t="s">
        <v>399</v>
      </c>
      <c r="F21" s="17">
        <f>IF(343.12282="","-",343.12282/2338137.02243*100)</f>
        <v>1.467505183436154E-2</v>
      </c>
      <c r="G21" s="17">
        <f>IF(1302.76229="","-",1302.76229/2280846.87799*100)</f>
        <v>5.7117481343072936E-2</v>
      </c>
      <c r="H21" s="17">
        <f>IF(OR(2668344.6178="",7586.61148="",343.12282=""),"-",(343.12282-7586.61148)/2668344.6178*100)</f>
        <v>-0.27146001351100291</v>
      </c>
      <c r="I21" s="17">
        <f>IF(OR(2338137.02243="",1302.76229="",343.12282=""),"-",(1302.76229-343.12282)/2338137.02243*100)</f>
        <v>4.1042909837792879E-2</v>
      </c>
      <c r="J21" s="25"/>
    </row>
    <row r="22" spans="1:10" s="2" customFormat="1" x14ac:dyDescent="0.25">
      <c r="A22" s="23" t="s">
        <v>179</v>
      </c>
      <c r="B22" s="24" t="s">
        <v>17</v>
      </c>
      <c r="C22" s="37">
        <v>241037.09956</v>
      </c>
      <c r="D22" s="16">
        <v>382791.67051999999</v>
      </c>
      <c r="E22" s="16">
        <f>IF(241037.09956="","-",382791.67052/241037.09956*100)</f>
        <v>158.8102707918263</v>
      </c>
      <c r="F22" s="16">
        <f>IF(241037.09956="","-",241037.09956/2338137.02243*100)</f>
        <v>10.308938152371105</v>
      </c>
      <c r="G22" s="16">
        <f>IF(382791.67052="","-",382791.67052/2280846.87799*100)</f>
        <v>16.782874563562803</v>
      </c>
      <c r="H22" s="16">
        <f>IF(2668344.6178="","-",(241037.09956-220079.52956)/2668344.6178*100)</f>
        <v>0.78541466721337994</v>
      </c>
      <c r="I22" s="16">
        <f>IF(2338137.02243="","-",(382791.67052-241037.09956)/2338137.02243*100)</f>
        <v>6.0627144431713429</v>
      </c>
      <c r="J22" s="25"/>
    </row>
    <row r="23" spans="1:10" s="2" customFormat="1" x14ac:dyDescent="0.25">
      <c r="A23" s="25" t="s">
        <v>180</v>
      </c>
      <c r="B23" s="26" t="s">
        <v>160</v>
      </c>
      <c r="C23" s="36">
        <v>743.62491999999997</v>
      </c>
      <c r="D23" s="17">
        <v>483.34629999999999</v>
      </c>
      <c r="E23" s="17">
        <f>IF(OR(743.62492="",483.3463=""),"-",483.3463/743.62492*100)</f>
        <v>64.998668952621969</v>
      </c>
      <c r="F23" s="17">
        <f>IF(743.62492="","-",743.62492/2338137.02243*100)</f>
        <v>3.1804163437229131E-2</v>
      </c>
      <c r="G23" s="17">
        <f>IF(483.3463="","-",483.3463/2280846.87799*100)</f>
        <v>2.1191527790149146E-2</v>
      </c>
      <c r="H23" s="17">
        <f>IF(OR(2668344.6178="",889.10537="",743.62492=""),"-",(743.62492-889.10537)/2668344.6178*100)</f>
        <v>-5.4520862496368972E-3</v>
      </c>
      <c r="I23" s="17">
        <f>IF(OR(2338137.02243="",483.3463="",743.62492=""),"-",(483.3463-743.62492)/2338137.02243*100)</f>
        <v>-1.1131880531513731E-2</v>
      </c>
      <c r="J23" s="23"/>
    </row>
    <row r="24" spans="1:10" s="2" customFormat="1" x14ac:dyDescent="0.25">
      <c r="A24" s="25" t="s">
        <v>181</v>
      </c>
      <c r="B24" s="26" t="s">
        <v>154</v>
      </c>
      <c r="C24" s="36">
        <v>189524.16776000001</v>
      </c>
      <c r="D24" s="17">
        <v>319515.43757000001</v>
      </c>
      <c r="E24" s="17" t="s">
        <v>271</v>
      </c>
      <c r="F24" s="17">
        <f>IF(189524.16776="","-",189524.16776/2338137.02243*100)</f>
        <v>8.1057767762057704</v>
      </c>
      <c r="G24" s="17">
        <f>IF(319515.43757="","-",319515.43757/2280846.87799*100)</f>
        <v>14.008631647012336</v>
      </c>
      <c r="H24" s="17">
        <f>IF(OR(2668344.6178="",171183.24876="",189524.16776=""),"-",(189524.16776-171183.24876)/2668344.6178*100)</f>
        <v>0.68735195887560296</v>
      </c>
      <c r="I24" s="17">
        <f>IF(OR(2338137.02243="",319515.43757="",189524.16776=""),"-",(319515.43757-189524.16776)/2338137.02243*100)</f>
        <v>5.5596087210877627</v>
      </c>
      <c r="J24" s="25"/>
    </row>
    <row r="25" spans="1:10" s="2" customFormat="1" x14ac:dyDescent="0.25">
      <c r="A25" s="25" t="s">
        <v>234</v>
      </c>
      <c r="B25" s="26" t="s">
        <v>155</v>
      </c>
      <c r="C25" s="36" t="s">
        <v>251</v>
      </c>
      <c r="D25" s="17">
        <v>5.1860000000000003E-2</v>
      </c>
      <c r="E25" s="17" t="str">
        <f>IF(OR(""="",0.05186=""),"-",0.05186/""*100)</f>
        <v>-</v>
      </c>
      <c r="F25" s="17" t="str">
        <f>IF(""="","-",""/2338137.02243*100)</f>
        <v>-</v>
      </c>
      <c r="G25" s="17">
        <f>IF(0.05186="","-",0.05186/2280846.87799*100)</f>
        <v>2.273716859314191E-6</v>
      </c>
      <c r="H25" s="17" t="str">
        <f>IF(OR(2668344.6178="",20.30773="",""=""),"-",(""-20.30773)/2668344.6178*100)</f>
        <v>-</v>
      </c>
      <c r="I25" s="17" t="str">
        <f>IF(OR(2338137.02243="",0.05186="",""=""),"-",(0.05186-"")/2338137.02243*100)</f>
        <v>-</v>
      </c>
      <c r="J25" s="25"/>
    </row>
    <row r="26" spans="1:10" x14ac:dyDescent="0.25">
      <c r="A26" s="25" t="s">
        <v>182</v>
      </c>
      <c r="B26" s="26" t="s">
        <v>156</v>
      </c>
      <c r="C26" s="36">
        <v>713.36622999999997</v>
      </c>
      <c r="D26" s="17">
        <v>804.64952000000005</v>
      </c>
      <c r="E26" s="17">
        <f>IF(OR(713.36623="",804.64952=""),"-",804.64952/713.36623*100)</f>
        <v>112.79613278021306</v>
      </c>
      <c r="F26" s="17">
        <f>IF(713.36623="","-",713.36623/2338137.02243*100)</f>
        <v>3.051002670744276E-2</v>
      </c>
      <c r="G26" s="17">
        <f>IF(804.64952="","-",804.64952/2280846.87799*100)</f>
        <v>3.5278541833071178E-2</v>
      </c>
      <c r="H26" s="17">
        <f>IF(OR(2668344.6178="",2358.19008="",713.36623=""),"-",(713.36623-2358.19008)/2668344.6178*100)</f>
        <v>-6.1642107208630573E-2</v>
      </c>
      <c r="I26" s="17">
        <f>IF(OR(2338137.02243="",804.64952="",713.36623=""),"-",(804.64952-713.36623)/2338137.02243*100)</f>
        <v>3.9041035287628425E-3</v>
      </c>
      <c r="J26"/>
    </row>
    <row r="27" spans="1:10" s="2" customFormat="1" x14ac:dyDescent="0.25">
      <c r="A27" s="25" t="s">
        <v>183</v>
      </c>
      <c r="B27" s="26" t="s">
        <v>108</v>
      </c>
      <c r="C27" s="36">
        <v>3426.7037</v>
      </c>
      <c r="D27" s="17">
        <v>3593.5266099999999</v>
      </c>
      <c r="E27" s="17">
        <f>IF(OR(3426.7037="",3593.52661=""),"-",3593.52661/3426.7037*100)</f>
        <v>104.86832024607205</v>
      </c>
      <c r="F27" s="17">
        <f>IF(3426.7037="","-",3426.7037/2338137.02243*100)</f>
        <v>0.14655700958187065</v>
      </c>
      <c r="G27" s="17">
        <f>IF(3593.52661="","-",3593.52661/2280846.87799*100)</f>
        <v>0.15755229536350115</v>
      </c>
      <c r="H27" s="17">
        <f>IF(OR(2668344.6178="",2237.95789="",3426.7037=""),"-",(3426.7037-2237.95789)/2668344.6178*100)</f>
        <v>4.4549935644373345E-2</v>
      </c>
      <c r="I27" s="17">
        <f>IF(OR(2338137.02243="",3593.52661="",3426.7037=""),"-",(3593.52661-3426.7037)/2338137.02243*100)</f>
        <v>7.1348645695119561E-3</v>
      </c>
      <c r="J27" s="25"/>
    </row>
    <row r="28" spans="1:10" s="2" customFormat="1" ht="24" x14ac:dyDescent="0.25">
      <c r="A28" s="25" t="s">
        <v>184</v>
      </c>
      <c r="B28" s="26" t="s">
        <v>109</v>
      </c>
      <c r="C28" s="36">
        <v>111.25067</v>
      </c>
      <c r="D28" s="17">
        <v>152.05100999999999</v>
      </c>
      <c r="E28" s="17">
        <f>IF(OR(111.25067="",152.05101=""),"-",152.05101/111.25067*100)</f>
        <v>136.67424205175573</v>
      </c>
      <c r="F28" s="17">
        <f>IF(111.25067="","-",111.25067/2338137.02243*100)</f>
        <v>4.758090263006845E-3</v>
      </c>
      <c r="G28" s="17">
        <f>IF(152.05101="","-",152.05101/2280846.87799*100)</f>
        <v>6.6664277846654567E-3</v>
      </c>
      <c r="H28" s="17">
        <f>IF(OR(2668344.6178="",195.69441="",111.25067=""),"-",(111.25067-195.69441)/2668344.6178*100)</f>
        <v>-3.1646489526387439E-3</v>
      </c>
      <c r="I28" s="17">
        <f>IF(OR(2338137.02243="",152.05101="",111.25067=""),"-",(152.05101-111.25067)/2338137.02243*100)</f>
        <v>1.744993540096151E-3</v>
      </c>
      <c r="J28" s="25"/>
    </row>
    <row r="29" spans="1:10" s="2" customFormat="1" ht="24" x14ac:dyDescent="0.25">
      <c r="A29" s="25" t="s">
        <v>185</v>
      </c>
      <c r="B29" s="26" t="s">
        <v>110</v>
      </c>
      <c r="C29" s="36">
        <v>9398.9140499999994</v>
      </c>
      <c r="D29" s="17">
        <v>6873.4943999999996</v>
      </c>
      <c r="E29" s="17">
        <f>IF(OR(9398.91405="",6873.4944=""),"-",6873.4944/9398.91405*100)</f>
        <v>73.130729395275196</v>
      </c>
      <c r="F29" s="17">
        <f>IF(9398.91405="","-",9398.91405/2338137.02243*100)</f>
        <v>0.40198303007202774</v>
      </c>
      <c r="G29" s="17">
        <f>IF(6873.4944="","-",6873.4944/2280846.87799*100)</f>
        <v>0.30135711723258152</v>
      </c>
      <c r="H29" s="17">
        <f>IF(OR(2668344.6178="",14994.08871="",9398.91405=""),"-",(9398.91405-14994.08871)/2668344.6178*100)</f>
        <v>-0.20968710797981993</v>
      </c>
      <c r="I29" s="17">
        <f>IF(OR(2338137.02243="",6873.4944="",9398.91405=""),"-",(6873.4944-9398.91405)/2338137.02243*100)</f>
        <v>-0.10800990813512543</v>
      </c>
      <c r="J29" s="25"/>
    </row>
    <row r="30" spans="1:10" s="2" customFormat="1" x14ac:dyDescent="0.25">
      <c r="A30" s="25" t="s">
        <v>186</v>
      </c>
      <c r="B30" s="26" t="s">
        <v>111</v>
      </c>
      <c r="C30" s="36">
        <v>33830.860419999997</v>
      </c>
      <c r="D30" s="17">
        <v>48503.210729999999</v>
      </c>
      <c r="E30" s="17">
        <f>IF(OR(33830.86042="",48503.21073=""),"-",48503.21073/33830.86042*100)</f>
        <v>143.36972257828256</v>
      </c>
      <c r="F30" s="17">
        <f>IF(33830.86042="","-",33830.86042/2338137.02243*100)</f>
        <v>1.4469152190593157</v>
      </c>
      <c r="G30" s="17">
        <f>IF(48503.21073="","-",48503.21073/2280846.87799*100)</f>
        <v>2.1265439253310827</v>
      </c>
      <c r="H30" s="17">
        <f>IF(OR(2668344.6178="",24992.92634="",33830.86042=""),"-",(33830.86042-24992.92634)/2668344.6178*100)</f>
        <v>0.33121411758600755</v>
      </c>
      <c r="I30" s="17">
        <f>IF(OR(2338137.02243="",48503.21073="",33830.86042=""),"-",(48503.21073-33830.86042)/2338137.02243*100)</f>
        <v>0.62752311644897485</v>
      </c>
      <c r="J30" s="25"/>
    </row>
    <row r="31" spans="1:10" s="2" customFormat="1" x14ac:dyDescent="0.25">
      <c r="A31" s="25" t="s">
        <v>187</v>
      </c>
      <c r="B31" s="26" t="s">
        <v>112</v>
      </c>
      <c r="C31" s="36">
        <v>3288.2118099999998</v>
      </c>
      <c r="D31" s="17">
        <v>2865.9025200000001</v>
      </c>
      <c r="E31" s="17">
        <f>IF(OR(3288.21181="",2865.90252=""),"-",2865.90252/3288.21181*100)</f>
        <v>87.156870834303106</v>
      </c>
      <c r="F31" s="17">
        <f>IF(3288.21181="","-",3288.21181/2338137.02243*100)</f>
        <v>0.14063383704444307</v>
      </c>
      <c r="G31" s="17">
        <f>IF(2865.90252="","-",2865.90252/2280846.87799*100)</f>
        <v>0.12565080749855428</v>
      </c>
      <c r="H31" s="17">
        <f>IF(OR(2668344.6178="",3208.01027="",3288.21181=""),"-",(3288.21181-3208.01027)/2668344.6178*100)</f>
        <v>3.0056664894403417E-3</v>
      </c>
      <c r="I31" s="17">
        <f>IF(OR(2338137.02243="",2865.90252="",3288.21181=""),"-",(2865.90252-3288.21181)/2338137.02243*100)</f>
        <v>-1.8061785342293513E-2</v>
      </c>
      <c r="J31" s="25"/>
    </row>
    <row r="32" spans="1:10" s="2" customFormat="1" x14ac:dyDescent="0.25">
      <c r="A32" s="23" t="s">
        <v>188</v>
      </c>
      <c r="B32" s="24" t="s">
        <v>113</v>
      </c>
      <c r="C32" s="37">
        <v>133017.32428999999</v>
      </c>
      <c r="D32" s="16">
        <v>84864.129289999997</v>
      </c>
      <c r="E32" s="16">
        <f>IF(133017.32429="","-",84864.12929/133017.32429*100)</f>
        <v>63.799305649076224</v>
      </c>
      <c r="F32" s="16">
        <f>IF(133017.32429="","-",133017.32429/2338137.02243*100)</f>
        <v>5.6890303268777869</v>
      </c>
      <c r="G32" s="16">
        <f>IF(84864.12929="","-",84864.12929/2280846.87799*100)</f>
        <v>3.7207289147260361</v>
      </c>
      <c r="H32" s="16">
        <f>IF(2668344.6178="","-",(133017.32429-346503.96169)/2668344.6178*100)</f>
        <v>-8.000714599451392</v>
      </c>
      <c r="I32" s="16">
        <f>IF(2338137.02243="","-",(84864.12929-133017.32429)/2338137.02243*100)</f>
        <v>-2.0594684801643877</v>
      </c>
      <c r="J32" s="25"/>
    </row>
    <row r="33" spans="1:10" s="2" customFormat="1" x14ac:dyDescent="0.25">
      <c r="A33" s="25" t="s">
        <v>189</v>
      </c>
      <c r="B33" s="26" t="s">
        <v>157</v>
      </c>
      <c r="C33" s="36">
        <v>50.126809999999999</v>
      </c>
      <c r="D33" s="17">
        <v>64.393209999999996</v>
      </c>
      <c r="E33" s="17">
        <f>IF(OR(50.12681="",64.39321=""),"-",64.39321/50.12681*100)</f>
        <v>128.46061818017145</v>
      </c>
      <c r="F33" s="17">
        <f>IF(50.12681="","-",50.12681/2338137.02243*100)</f>
        <v>2.1438782038489669E-3</v>
      </c>
      <c r="G33" s="17">
        <f>IF(64.39321="","-",64.39321/2280846.87799*100)</f>
        <v>2.8232149479822436E-3</v>
      </c>
      <c r="H33" s="17">
        <f>IF(OR(2668344.6178="",116.41749="",50.12681=""),"-",(50.12681-116.41749)/2668344.6178*100)</f>
        <v>-2.4843372762943725E-3</v>
      </c>
      <c r="I33" s="17">
        <f>IF(OR(2338137.02243="",64.39321="",50.12681=""),"-",(64.39321-50.12681)/2338137.02243*100)</f>
        <v>6.1016098984537212E-4</v>
      </c>
      <c r="J33" s="25"/>
    </row>
    <row r="34" spans="1:10" s="2" customFormat="1" x14ac:dyDescent="0.25">
      <c r="A34" s="25" t="s">
        <v>190</v>
      </c>
      <c r="B34" s="26" t="s">
        <v>114</v>
      </c>
      <c r="C34" s="36">
        <v>91515.425159999999</v>
      </c>
      <c r="D34" s="17">
        <v>51297.564019999998</v>
      </c>
      <c r="E34" s="17">
        <f>IF(OR(91515.42516="",51297.56402=""),"-",51297.56402/91515.42516*100)</f>
        <v>56.053461949517761</v>
      </c>
      <c r="F34" s="17">
        <f>IF(91515.42516="","-",91515.42516/2338137.02243*100)</f>
        <v>3.914031739033371</v>
      </c>
      <c r="G34" s="17">
        <f>IF(51297.56402="","-",51297.56402/2280846.87799*100)</f>
        <v>2.2490577738916899</v>
      </c>
      <c r="H34" s="17">
        <f>IF(OR(2668344.6178="",314528.62648="",91515.42516=""),"-",(91515.42516-314528.62648)/2668344.6178*100)</f>
        <v>-8.357736097216339</v>
      </c>
      <c r="I34" s="17">
        <f>IF(OR(2338137.02243="",51297.56402="",91515.42516=""),"-",(51297.56402-91515.42516)/2338137.02243*100)</f>
        <v>-1.7200814475022523</v>
      </c>
      <c r="J34" s="25"/>
    </row>
    <row r="35" spans="1:10" s="2" customFormat="1" x14ac:dyDescent="0.25">
      <c r="A35" s="27" t="s">
        <v>235</v>
      </c>
      <c r="B35" s="72" t="s">
        <v>249</v>
      </c>
      <c r="C35" s="36">
        <v>969.90207999999996</v>
      </c>
      <c r="D35" s="17">
        <v>799.28857000000005</v>
      </c>
      <c r="E35" s="17">
        <f>IF(OR(969.90208="",799.28857=""),"-",799.28857/969.90208*100)</f>
        <v>82.409202586718862</v>
      </c>
      <c r="F35" s="17">
        <f>IF(969.90208="","-",969.90208/2338137.02243*100)</f>
        <v>4.1481832360363187E-2</v>
      </c>
      <c r="G35" s="17">
        <f>IF(799.28857="","-",799.28857/2280846.87799*100)</f>
        <v>3.5043499750600289E-2</v>
      </c>
      <c r="H35" s="17">
        <f>IF(OR(2668344.6178="",4259.96262="",969.90208=""),"-",(969.90208-4259.96262)/2668344.6178*100)</f>
        <v>-0.12329968618193676</v>
      </c>
      <c r="I35" s="17">
        <f>IF(OR(2338137.02243="",799.28857="",969.90208=""),"-",(799.28857-969.90208)/2338137.02243*100)</f>
        <v>-7.2969850938283841E-3</v>
      </c>
      <c r="J35" s="23"/>
    </row>
    <row r="36" spans="1:10" s="2" customFormat="1" x14ac:dyDescent="0.25">
      <c r="A36" s="25" t="s">
        <v>240</v>
      </c>
      <c r="B36" s="26" t="s">
        <v>241</v>
      </c>
      <c r="C36" s="36">
        <v>40481.870239999997</v>
      </c>
      <c r="D36" s="17">
        <v>32702.88349</v>
      </c>
      <c r="E36" s="17">
        <f>IF(OR(40481.87024="",32702.88349=""),"-",32702.88349/40481.87024*100)</f>
        <v>80.784023307516051</v>
      </c>
      <c r="F36" s="17">
        <f>IF(40481.87024="","-",40481.87024/2338137.02243*100)</f>
        <v>1.7313728772802048</v>
      </c>
      <c r="G36" s="17">
        <f>IF(32702.88349="","-",32702.88349/2280846.87799*100)</f>
        <v>1.4338044261357636</v>
      </c>
      <c r="H36" s="17">
        <f>IF(OR(2668344.6178="",27598.9551="",40481.87024=""),"-",(40481.87024-27598.9551)/2668344.6178*100)</f>
        <v>0.48280552122318143</v>
      </c>
      <c r="I36" s="17">
        <f>IF(OR(2338137.02243="",32702.88349="",40481.87024=""),"-",(32702.88349-40481.87024)/2338137.02243*100)</f>
        <v>-0.33270020855815291</v>
      </c>
      <c r="J36" s="25"/>
    </row>
    <row r="37" spans="1:10" s="2" customFormat="1" x14ac:dyDescent="0.25">
      <c r="A37" s="23" t="s">
        <v>191</v>
      </c>
      <c r="B37" s="24" t="s">
        <v>115</v>
      </c>
      <c r="C37" s="37">
        <v>95919.841690000001</v>
      </c>
      <c r="D37" s="16">
        <v>42969.379130000001</v>
      </c>
      <c r="E37" s="16">
        <f>IF(95919.84169="","-",42969.37913/95919.84169*100)</f>
        <v>44.797174779407207</v>
      </c>
      <c r="F37" s="16">
        <f>IF(95919.84169="","-",95919.84169/2338137.02243*100)</f>
        <v>4.102404639669559</v>
      </c>
      <c r="G37" s="16">
        <f>IF(42969.37913="","-",42969.37913/2280846.87799*100)</f>
        <v>1.8839221319349082</v>
      </c>
      <c r="H37" s="16">
        <f>IF(2668344.6178="","-",(95919.84169-171778.84846)/2668344.6178*100)</f>
        <v>-2.8429238961099532</v>
      </c>
      <c r="I37" s="16">
        <f>IF(2338137.02243="","-",(42969.37913-95919.84169)/2338137.02243*100)</f>
        <v>-2.2646432630782765</v>
      </c>
      <c r="J37" s="25"/>
    </row>
    <row r="38" spans="1:10" s="2" customFormat="1" x14ac:dyDescent="0.25">
      <c r="A38" s="25" t="s">
        <v>192</v>
      </c>
      <c r="B38" s="26" t="s">
        <v>161</v>
      </c>
      <c r="C38" s="36">
        <v>12.58478</v>
      </c>
      <c r="D38" s="16" t="s">
        <v>251</v>
      </c>
      <c r="E38" s="17" t="str">
        <f>IF(OR(12.58478="",""=""),"-",""/12.58478*100)</f>
        <v>-</v>
      </c>
      <c r="F38" s="17">
        <f>IF(12.58478="","-",12.58478/2338137.02243*100)</f>
        <v>5.3823962750141903E-4</v>
      </c>
      <c r="G38" s="17" t="str">
        <f>IF(""="","-",""/2280846.87799*100)</f>
        <v>-</v>
      </c>
      <c r="H38" s="17">
        <f>IF(OR(2668344.6178="",1.93301="",12.58478=""),"-",(12.58478-1.93301)/2668344.6178*100)</f>
        <v>3.9919019188691543E-4</v>
      </c>
      <c r="I38" s="17" t="str">
        <f>IF(OR(2338137.02243="",""="",12.58478=""),"-",(""-12.58478)/2338137.02243*100)</f>
        <v>-</v>
      </c>
      <c r="J38" s="23"/>
    </row>
    <row r="39" spans="1:10" s="2" customFormat="1" ht="24" x14ac:dyDescent="0.25">
      <c r="A39" s="25" t="s">
        <v>193</v>
      </c>
      <c r="B39" s="26" t="s">
        <v>116</v>
      </c>
      <c r="C39" s="36">
        <v>95665.236439999993</v>
      </c>
      <c r="D39" s="17">
        <v>33880.731740000003</v>
      </c>
      <c r="E39" s="17">
        <f>IF(OR(95665.23644="",33880.73174=""),"-",33880.73174/95665.23644*100)</f>
        <v>35.415928503192028</v>
      </c>
      <c r="F39" s="17">
        <f>IF(95665.23644="","-",95665.23644/2338137.02243*100)</f>
        <v>4.091515404027783</v>
      </c>
      <c r="G39" s="17">
        <f>IF(33880.73174="","-",33880.73174/2280846.87799*100)</f>
        <v>1.4854452557489284</v>
      </c>
      <c r="H39" s="17">
        <f>IF(OR(2668344.6178="",171767.75304="",95665.23644=""),"-",(95665.23644-171767.75304)/2668344.6178*100)</f>
        <v>-2.8520497724445022</v>
      </c>
      <c r="I39" s="17">
        <f>IF(OR(2338137.02243="",33880.73174="",95665.23644=""),"-",(33880.73174-95665.23644)/2338137.02243*100)</f>
        <v>-2.6424672338402155</v>
      </c>
      <c r="J39" s="25"/>
    </row>
    <row r="40" spans="1:10" s="2" customFormat="1" ht="36" x14ac:dyDescent="0.25">
      <c r="A40" s="25" t="s">
        <v>194</v>
      </c>
      <c r="B40" s="26" t="s">
        <v>159</v>
      </c>
      <c r="C40" s="36">
        <v>242.02046999999999</v>
      </c>
      <c r="D40" s="17">
        <v>9088.6473900000001</v>
      </c>
      <c r="E40" s="17" t="s">
        <v>400</v>
      </c>
      <c r="F40" s="17">
        <f>IF(242.02047="","-",242.02047/2338137.02243*100)</f>
        <v>1.0350996014274253E-2</v>
      </c>
      <c r="G40" s="17">
        <f>IF(9088.64739="","-",9088.64739/2280846.87799*100)</f>
        <v>0.39847687618597988</v>
      </c>
      <c r="H40" s="17">
        <f>IF(OR(2668344.6178="",9.16241="",242.02047=""),"-",(242.02047-9.16241)/2668344.6178*100)</f>
        <v>8.7266861426612535E-3</v>
      </c>
      <c r="I40" s="17">
        <f>IF(OR(2338137.02243="",9088.64739="",242.02047=""),"-",(9088.64739-242.02047)/2338137.02243*100)</f>
        <v>0.37836221038944068</v>
      </c>
      <c r="J40" s="25"/>
    </row>
    <row r="41" spans="1:10" s="2" customFormat="1" ht="24" x14ac:dyDescent="0.25">
      <c r="A41" s="23" t="s">
        <v>195</v>
      </c>
      <c r="B41" s="24" t="s">
        <v>117</v>
      </c>
      <c r="C41" s="37">
        <v>83214.895579999997</v>
      </c>
      <c r="D41" s="16">
        <v>82352.37904</v>
      </c>
      <c r="E41" s="16">
        <f>IF(83214.89558="","-",82352.37904/83214.89558*100)</f>
        <v>98.963507033220026</v>
      </c>
      <c r="F41" s="16">
        <f>IF(83214.89558="","-",83214.89558/2338137.02243*100)</f>
        <v>3.5590256166217187</v>
      </c>
      <c r="G41" s="16">
        <f>IF(82352.37904="","-",82352.37904/2280846.87799*100)</f>
        <v>3.6106053341280484</v>
      </c>
      <c r="H41" s="16">
        <f>IF(2668344.6178="","-",(83214.89558-89355.36879)/2668344.6178*100)</f>
        <v>-0.23012294472903208</v>
      </c>
      <c r="I41" s="16">
        <f>IF(2338137.02243="","-",(82352.37904-83214.89558)/2338137.02243*100)</f>
        <v>-3.6889050202181604E-2</v>
      </c>
      <c r="J41" s="25"/>
    </row>
    <row r="42" spans="1:10" s="2" customFormat="1" x14ac:dyDescent="0.25">
      <c r="A42" s="25" t="s">
        <v>196</v>
      </c>
      <c r="B42" s="26" t="s">
        <v>18</v>
      </c>
      <c r="C42" s="36">
        <v>19914.245350000001</v>
      </c>
      <c r="D42" s="17">
        <v>24049.693459999999</v>
      </c>
      <c r="E42" s="17">
        <f>IF(OR(19914.24535="",24049.69346=""),"-",24049.69346/19914.24535*100)</f>
        <v>120.76628080712079</v>
      </c>
      <c r="F42" s="17">
        <f>IF(19914.24535="","-",19914.24535/2338137.02243*100)</f>
        <v>0.85171421345115805</v>
      </c>
      <c r="G42" s="17">
        <f>IF(24049.69346="","-",24049.69346/2280846.87799*100)</f>
        <v>1.0544194655098387</v>
      </c>
      <c r="H42" s="17">
        <f>IF(OR(2668344.6178="",18456.95778="",19914.24535=""),"-",(19914.24535-18456.95778)/2668344.6178*100)</f>
        <v>5.4613919067227026E-2</v>
      </c>
      <c r="I42" s="17">
        <f>IF(OR(2338137.02243="",24049.69346="",19914.24535=""),"-",(24049.69346-19914.24535)/2338137.02243*100)</f>
        <v>0.17686936523942778</v>
      </c>
      <c r="J42" s="25"/>
    </row>
    <row r="43" spans="1:10" s="2" customFormat="1" x14ac:dyDescent="0.25">
      <c r="A43" s="25" t="s">
        <v>197</v>
      </c>
      <c r="B43" s="26" t="s">
        <v>19</v>
      </c>
      <c r="C43" s="36">
        <v>3909.2618499999999</v>
      </c>
      <c r="D43" s="17">
        <v>3131.5568400000002</v>
      </c>
      <c r="E43" s="17">
        <f>IF(OR(3909.26185="",3131.55684=""),"-",3131.55684/3909.26185*100)</f>
        <v>80.106090616569986</v>
      </c>
      <c r="F43" s="17">
        <f>IF(3909.26185="","-",3909.26185/2338137.02243*100)</f>
        <v>0.16719558402685689</v>
      </c>
      <c r="G43" s="17">
        <f>IF(3131.55684="","-",3131.55684/2280846.87799*100)</f>
        <v>0.13729798656013636</v>
      </c>
      <c r="H43" s="17">
        <f>IF(OR(2668344.6178="",6242.14261="",3909.26185=""),"-",(3909.26185-6242.14261)/2668344.6178*100)</f>
        <v>-8.7428016023035904E-2</v>
      </c>
      <c r="I43" s="17">
        <f>IF(OR(2338137.02243="",3131.55684="",3909.26185=""),"-",(3131.55684-3909.26185)/2338137.02243*100)</f>
        <v>-3.3261737979399492E-2</v>
      </c>
      <c r="J43" s="25"/>
    </row>
    <row r="44" spans="1:10" s="2" customFormat="1" x14ac:dyDescent="0.25">
      <c r="A44" s="25" t="s">
        <v>198</v>
      </c>
      <c r="B44" s="26" t="s">
        <v>118</v>
      </c>
      <c r="C44" s="36">
        <v>3444.4188899999999</v>
      </c>
      <c r="D44" s="17">
        <v>3983.7850600000002</v>
      </c>
      <c r="E44" s="17">
        <f>IF(OR(3444.41889="",3983.78506=""),"-",3983.78506/3444.41889*100)</f>
        <v>115.65913401433008</v>
      </c>
      <c r="F44" s="17">
        <f>IF(3444.41889="","-",3444.41889/2338137.02243*100)</f>
        <v>0.14731467219231889</v>
      </c>
      <c r="G44" s="17">
        <f>IF(3983.78506="","-",3983.78506/2280846.87799*100)</f>
        <v>0.17466253865804079</v>
      </c>
      <c r="H44" s="17">
        <f>IF(OR(2668344.6178="",3496.18321="",3444.41889=""),"-",(3444.41889-3496.18321)/2668344.6178*100)</f>
        <v>-1.9399413274691231E-3</v>
      </c>
      <c r="I44" s="17">
        <f>IF(OR(2338137.02243="",3983.78506="",3444.41889=""),"-",(3983.78506-3444.41889)/2338137.02243*100)</f>
        <v>2.3068201941366249E-2</v>
      </c>
      <c r="J44" s="25"/>
    </row>
    <row r="45" spans="1:10" s="2" customFormat="1" x14ac:dyDescent="0.25">
      <c r="A45" s="25" t="s">
        <v>199</v>
      </c>
      <c r="B45" s="26" t="s">
        <v>119</v>
      </c>
      <c r="C45" s="36">
        <v>35645.007960000003</v>
      </c>
      <c r="D45" s="17">
        <v>33334.765220000001</v>
      </c>
      <c r="E45" s="17">
        <f>IF(OR(35645.00796="",33334.76522=""),"-",33334.76522/35645.00796*100)</f>
        <v>93.518748143940655</v>
      </c>
      <c r="F45" s="17">
        <f>IF(35645.00796="","-",35645.00796/2338137.02243*100)</f>
        <v>1.5245046641002478</v>
      </c>
      <c r="G45" s="17">
        <f>IF(33334.76522="","-",33334.76522/2280846.87799*100)</f>
        <v>1.461508246856813</v>
      </c>
      <c r="H45" s="17">
        <f>IF(OR(2668344.6178="",28468.37018="",35645.00796=""),"-",(35645.00796-28468.37018)/2668344.6178*100)</f>
        <v>0.26895468194498068</v>
      </c>
      <c r="I45" s="17">
        <f>IF(OR(2338137.02243="",33334.76522="",35645.00796=""),"-",(33334.76522-35645.00796)/2338137.02243*100)</f>
        <v>-9.8806986837708582E-2</v>
      </c>
      <c r="J45" s="25"/>
    </row>
    <row r="46" spans="1:10" ht="24" x14ac:dyDescent="0.25">
      <c r="A46" s="25" t="s">
        <v>200</v>
      </c>
      <c r="B46" s="26" t="s">
        <v>120</v>
      </c>
      <c r="C46" s="36">
        <v>10552.120919999999</v>
      </c>
      <c r="D46" s="17">
        <v>9577.5717700000005</v>
      </c>
      <c r="E46" s="17">
        <f>IF(OR(10552.12092="",9577.57177=""),"-",9577.57177/10552.12092*100)</f>
        <v>90.764423973261302</v>
      </c>
      <c r="F46" s="17">
        <f>IF(10552.12092="","-",10552.12092/2338137.02243*100)</f>
        <v>0.45130464206213611</v>
      </c>
      <c r="G46" s="17">
        <f>IF(9577.57177="","-",9577.57177/2280846.87799*100)</f>
        <v>0.41991296576823478</v>
      </c>
      <c r="H46" s="17">
        <f>IF(OR(2668344.6178="",12674.23802="",10552.12092=""),"-",(10552.12092-12674.23802)/2668344.6178*100)</f>
        <v>-7.952934886460232E-2</v>
      </c>
      <c r="I46" s="17">
        <f>IF(OR(2338137.02243="",9577.57177="",10552.12092=""),"-",(9577.57177-10552.12092)/2338137.02243*100)</f>
        <v>-4.1680583329849537E-2</v>
      </c>
      <c r="J46" s="25"/>
    </row>
    <row r="47" spans="1:10" x14ac:dyDescent="0.25">
      <c r="A47" s="25" t="s">
        <v>201</v>
      </c>
      <c r="B47" s="26" t="s">
        <v>121</v>
      </c>
      <c r="C47" s="36">
        <v>277.06585999999999</v>
      </c>
      <c r="D47" s="17">
        <v>81.521680000000003</v>
      </c>
      <c r="E47" s="17">
        <f>IF(OR(277.06586="",81.52168=""),"-",81.52168/277.06586*100)</f>
        <v>29.42321367201286</v>
      </c>
      <c r="F47" s="17">
        <f>IF(277.06586="","-",277.06586/2338137.02243*100)</f>
        <v>1.1849855562017E-2</v>
      </c>
      <c r="G47" s="17">
        <f>IF(81.52168="","-",81.52168/2280846.87799*100)</f>
        <v>3.5741846937064497E-3</v>
      </c>
      <c r="H47" s="17">
        <f>IF(OR(2668344.6178="",297.62957="",277.06586=""),"-",(277.06586-297.62957)/2668344.6178*100)</f>
        <v>-7.7065420496376532E-4</v>
      </c>
      <c r="I47" s="17">
        <f>IF(OR(2338137.02243="",81.52168="",277.06586=""),"-",(81.52168-277.06586)/2338137.02243*100)</f>
        <v>-8.3632472401798368E-3</v>
      </c>
      <c r="J47" s="25"/>
    </row>
    <row r="48" spans="1:10" x14ac:dyDescent="0.25">
      <c r="A48" s="25" t="s">
        <v>202</v>
      </c>
      <c r="B48" s="26" t="s">
        <v>20</v>
      </c>
      <c r="C48" s="36">
        <v>1782.39039</v>
      </c>
      <c r="D48" s="17">
        <v>2086.9041000000002</v>
      </c>
      <c r="E48" s="17">
        <f>IF(OR(1782.39039="",2086.9041=""),"-",2086.9041/1782.39039*100)</f>
        <v>117.08456866175092</v>
      </c>
      <c r="F48" s="17">
        <f>IF(1782.39039="","-",1782.39039/2338137.02243*100)</f>
        <v>7.6231220535894054E-2</v>
      </c>
      <c r="G48" s="17">
        <f>IF(2086.9041="","-",2086.9041/2280846.87799*100)</f>
        <v>9.1496896180908366E-2</v>
      </c>
      <c r="H48" s="17">
        <f>IF(OR(2668344.6178="",11802.60145="",1782.39039=""),"-",(1782.39039-11802.60145)/2668344.6178*100)</f>
        <v>-0.37552162464912331</v>
      </c>
      <c r="I48" s="17">
        <f>IF(OR(2338137.02243="",2086.9041="",1782.39039=""),"-",(2086.9041-1782.39039)/2338137.02243*100)</f>
        <v>1.3023775214145595E-2</v>
      </c>
      <c r="J48" s="25"/>
    </row>
    <row r="49" spans="1:10" x14ac:dyDescent="0.25">
      <c r="A49" s="25" t="s">
        <v>203</v>
      </c>
      <c r="B49" s="26" t="s">
        <v>21</v>
      </c>
      <c r="C49" s="36">
        <v>2835.22964</v>
      </c>
      <c r="D49" s="17">
        <v>1586.98461</v>
      </c>
      <c r="E49" s="17">
        <f>IF(OR(2835.22964="",1586.98461=""),"-",1586.98461/2835.22964*100)</f>
        <v>55.973759148482941</v>
      </c>
      <c r="F49" s="17">
        <f>IF(2835.22964="","-",2835.22964/2338137.02243*100)</f>
        <v>0.12126020044169086</v>
      </c>
      <c r="G49" s="17">
        <f>IF(1586.98461="","-",1586.98461/2280846.87799*100)</f>
        <v>6.9578743988221281E-2</v>
      </c>
      <c r="H49" s="17">
        <f>IF(OR(2668344.6178="",3304.2702="",2835.22964=""),"-",(2835.22964-3304.2702)/2668344.6178*100)</f>
        <v>-1.7577960390540371E-2</v>
      </c>
      <c r="I49" s="17">
        <f>IF(OR(2338137.02243="",1586.98461="",2835.22964=""),"-",(1586.98461-2835.22964)/2338137.02243*100)</f>
        <v>-5.3386307903491165E-2</v>
      </c>
      <c r="J49" s="25"/>
    </row>
    <row r="50" spans="1:10" x14ac:dyDescent="0.25">
      <c r="A50" s="25" t="s">
        <v>204</v>
      </c>
      <c r="B50" s="26" t="s">
        <v>122</v>
      </c>
      <c r="C50" s="36">
        <v>4855.1547200000005</v>
      </c>
      <c r="D50" s="17">
        <v>4519.5963000000002</v>
      </c>
      <c r="E50" s="17">
        <f>IF(OR(4855.15472="",4519.5963=""),"-",4519.5963/4855.15472*100)</f>
        <v>93.0886153098742</v>
      </c>
      <c r="F50" s="17">
        <f>IF(4855.15472="","-",4855.15472/2338137.02243*100)</f>
        <v>0.2076505642493994</v>
      </c>
      <c r="G50" s="17">
        <f>IF(4519.5963="","-",4519.5963/2280846.87799*100)</f>
        <v>0.19815430591214883</v>
      </c>
      <c r="H50" s="17">
        <f>IF(OR(2668344.6178="",4612.97577="",4855.15472=""),"-",(4855.15472-4612.97577)/2668344.6178*100)</f>
        <v>9.0759997184948482E-3</v>
      </c>
      <c r="I50" s="17">
        <f>IF(OR(2338137.02243="",4519.5963="",4855.15472=""),"-",(4519.5963-4855.15472)/2338137.02243*100)</f>
        <v>-1.4351529306492833E-2</v>
      </c>
      <c r="J50" s="23"/>
    </row>
    <row r="51" spans="1:10" ht="24" x14ac:dyDescent="0.25">
      <c r="A51" s="23" t="s">
        <v>205</v>
      </c>
      <c r="B51" s="24" t="s">
        <v>268</v>
      </c>
      <c r="C51" s="37">
        <v>171952.7107</v>
      </c>
      <c r="D51" s="16">
        <v>177717.77754000001</v>
      </c>
      <c r="E51" s="16">
        <f>IF(171952.7107="","-",177717.77754/171952.7107*100)</f>
        <v>103.35270483177095</v>
      </c>
      <c r="F51" s="16">
        <f>IF(171952.7107="","-",171952.7107/2338137.02243*100)</f>
        <v>7.3542614932503598</v>
      </c>
      <c r="G51" s="16">
        <f>IF(177717.77754="","-",177717.77754/2280846.87799*100)</f>
        <v>7.7917452177506146</v>
      </c>
      <c r="H51" s="16">
        <f>IF(2668344.6178="","-",(171952.7107-193241.15933)/2668344.6178*100)</f>
        <v>-0.79781481327370396</v>
      </c>
      <c r="I51" s="16">
        <f>IF(2338137.02243="","-",(177717.77754-171952.7107)/2338137.02243*100)</f>
        <v>0.24656668042527483</v>
      </c>
      <c r="J51" s="25"/>
    </row>
    <row r="52" spans="1:10" x14ac:dyDescent="0.25">
      <c r="A52" s="25" t="s">
        <v>206</v>
      </c>
      <c r="B52" s="26" t="s">
        <v>123</v>
      </c>
      <c r="C52" s="36">
        <v>1721.61094</v>
      </c>
      <c r="D52" s="17">
        <v>600.61616000000004</v>
      </c>
      <c r="E52" s="17">
        <f>IF(OR(1721.61094="",600.61616=""),"-",600.61616/1721.61094*100)</f>
        <v>34.886869387574876</v>
      </c>
      <c r="F52" s="17">
        <f>IF(1721.61094="","-",1721.61094/2338137.02243*100)</f>
        <v>7.3631738580091796E-2</v>
      </c>
      <c r="G52" s="17">
        <f>IF(600.61616="","-",600.61616/2280846.87799*100)</f>
        <v>2.633303295350076E-2</v>
      </c>
      <c r="H52" s="17">
        <f>IF(OR(2668344.6178="",591.20634="",1721.61094=""),"-",(1721.61094-591.20634)/2668344.6178*100)</f>
        <v>4.2363516033847137E-2</v>
      </c>
      <c r="I52" s="17">
        <f>IF(OR(2338137.02243="",600.61616="",1721.61094=""),"-",(600.61616-1721.61094)/2338137.02243*100)</f>
        <v>-4.7943930113854595E-2</v>
      </c>
      <c r="J52" s="25"/>
    </row>
    <row r="53" spans="1:10" x14ac:dyDescent="0.25">
      <c r="A53" s="25" t="s">
        <v>207</v>
      </c>
      <c r="B53" s="26" t="s">
        <v>22</v>
      </c>
      <c r="C53" s="36">
        <v>1190.4747400000001</v>
      </c>
      <c r="D53" s="17">
        <v>901.1336</v>
      </c>
      <c r="E53" s="17">
        <f>IF(OR(1190.47474="",901.1336=""),"-",901.1336/1190.47474*100)</f>
        <v>75.695314627171342</v>
      </c>
      <c r="F53" s="17">
        <f>IF(1190.47474="","-",1190.47474/2338137.02243*100)</f>
        <v>5.0915524991890886E-2</v>
      </c>
      <c r="G53" s="17">
        <f>IF(901.1336="","-",901.1336/2280846.87799*100)</f>
        <v>3.9508728476947363E-2</v>
      </c>
      <c r="H53" s="17">
        <f>IF(OR(2668344.6178="",1808.61209="",1190.47474=""),"-",(1190.47474-1808.61209)/2668344.6178*100)</f>
        <v>-2.3165574111999168E-2</v>
      </c>
      <c r="I53" s="17">
        <f>IF(OR(2338137.02243="",901.1336="",1190.47474=""),"-",(901.1336-1190.47474)/2338137.02243*100)</f>
        <v>-1.237485815520303E-2</v>
      </c>
      <c r="J53" s="25"/>
    </row>
    <row r="54" spans="1:10" x14ac:dyDescent="0.25">
      <c r="A54" s="25" t="s">
        <v>208</v>
      </c>
      <c r="B54" s="26" t="s">
        <v>124</v>
      </c>
      <c r="C54" s="36">
        <v>14419.828149999999</v>
      </c>
      <c r="D54" s="17">
        <v>13275.881820000001</v>
      </c>
      <c r="E54" s="17">
        <f>IF(OR(14419.82815="",13275.88182=""),"-",13275.88182/14419.82815*100)</f>
        <v>92.066851850796866</v>
      </c>
      <c r="F54" s="17">
        <f>IF(14419.82815="","-",14419.82815/2338137.02243*100)</f>
        <v>0.6167229726773511</v>
      </c>
      <c r="G54" s="17">
        <f>IF(13275.88182="","-",13275.88182/2280846.87799*100)</f>
        <v>0.58205931963742319</v>
      </c>
      <c r="H54" s="17">
        <f>IF(OR(2668344.6178="",15073.5345="",14419.82815=""),"-",(14419.82815-15073.5345)/2668344.6178*100)</f>
        <v>-2.4498572846972402E-2</v>
      </c>
      <c r="I54" s="17">
        <f>IF(OR(2338137.02243="",13275.88182="",14419.82815=""),"-",(13275.88182-14419.82815)/2338137.02243*100)</f>
        <v>-4.892554709266389E-2</v>
      </c>
      <c r="J54" s="25"/>
    </row>
    <row r="55" spans="1:10" ht="24" x14ac:dyDescent="0.25">
      <c r="A55" s="25" t="s">
        <v>209</v>
      </c>
      <c r="B55" s="26" t="s">
        <v>125</v>
      </c>
      <c r="C55" s="36">
        <v>14397.26634</v>
      </c>
      <c r="D55" s="17">
        <v>12032.14702</v>
      </c>
      <c r="E55" s="17">
        <f>IF(OR(14397.26634="",12032.14702=""),"-",12032.14702/14397.26634*100)</f>
        <v>83.572441711181128</v>
      </c>
      <c r="F55" s="17">
        <f>IF(14397.26634="","-",14397.26634/2338137.02243*100)</f>
        <v>0.61575802452488781</v>
      </c>
      <c r="G55" s="17">
        <f>IF(12032.14702="","-",12032.14702/2280846.87799*100)</f>
        <v>0.52752980202701505</v>
      </c>
      <c r="H55" s="17">
        <f>IF(OR(2668344.6178="",13514.99043="",14397.26634=""),"-",(14397.26634-13514.99043)/2668344.6178*100)</f>
        <v>3.3064541368251758E-2</v>
      </c>
      <c r="I55" s="17">
        <f>IF(OR(2338137.02243="",12032.14702="",14397.26634=""),"-",(12032.14702-14397.26634)/2338137.02243*100)</f>
        <v>-0.10115400839690557</v>
      </c>
      <c r="J55" s="25"/>
    </row>
    <row r="56" spans="1:10" ht="24" x14ac:dyDescent="0.25">
      <c r="A56" s="25" t="s">
        <v>210</v>
      </c>
      <c r="B56" s="26" t="s">
        <v>126</v>
      </c>
      <c r="C56" s="36">
        <v>45345.405160000002</v>
      </c>
      <c r="D56" s="17">
        <v>39114.75662</v>
      </c>
      <c r="E56" s="17">
        <f>IF(OR(45345.40516="",39114.75662=""),"-",39114.75662/45345.40516*100)</f>
        <v>86.259581278377979</v>
      </c>
      <c r="F56" s="17">
        <f>IF(45345.40516="","-",45345.40516/2338137.02243*100)</f>
        <v>1.9393818550836266</v>
      </c>
      <c r="G56" s="17">
        <f>IF(39114.75662="","-",39114.75662/2280846.87799*100)</f>
        <v>1.7149225139773496</v>
      </c>
      <c r="H56" s="17">
        <f>IF(OR(2668344.6178="",54936.40765="",45345.40516=""),"-",(45345.40516-54936.40765)/2668344.6178*100)</f>
        <v>-0.35943642459149827</v>
      </c>
      <c r="I56" s="17">
        <f>IF(OR(2338137.02243="",39114.75662="",45345.40516=""),"-",(39114.75662-45345.40516)/2338137.02243*100)</f>
        <v>-0.26647918749965127</v>
      </c>
      <c r="J56" s="25"/>
    </row>
    <row r="57" spans="1:10" x14ac:dyDescent="0.25">
      <c r="A57" s="25" t="s">
        <v>211</v>
      </c>
      <c r="B57" s="26" t="s">
        <v>23</v>
      </c>
      <c r="C57" s="36">
        <v>60939.045429999998</v>
      </c>
      <c r="D57" s="17">
        <v>69512.467699999994</v>
      </c>
      <c r="E57" s="17">
        <f>IF(OR(60939.04543="",69512.4677=""),"-",69512.4677/60939.04543*100)</f>
        <v>114.06884897770213</v>
      </c>
      <c r="F57" s="17">
        <f>IF(60939.04543="","-",60939.04543/2338137.02243*100)</f>
        <v>2.6063077076067476</v>
      </c>
      <c r="G57" s="17">
        <f>IF(69512.4677="","-",69512.4677/2280846.87799*100)</f>
        <v>3.0476604269576382</v>
      </c>
      <c r="H57" s="17">
        <f>IF(OR(2668344.6178="",76297.38334="",60939.04543=""),"-",(60939.04543-76297.38334)/2668344.6178*100)</f>
        <v>-0.57557550128823542</v>
      </c>
      <c r="I57" s="17">
        <f>IF(OR(2338137.02243="",69512.4677="",60939.04543=""),"-",(69512.4677-60939.04543)/2338137.02243*100)</f>
        <v>0.3666774952774039</v>
      </c>
      <c r="J57" s="25"/>
    </row>
    <row r="58" spans="1:10" x14ac:dyDescent="0.25">
      <c r="A58" s="25" t="s">
        <v>212</v>
      </c>
      <c r="B58" s="26" t="s">
        <v>127</v>
      </c>
      <c r="C58" s="36">
        <v>7800.4516100000001</v>
      </c>
      <c r="D58" s="17">
        <v>10459.77023</v>
      </c>
      <c r="E58" s="17">
        <f>IF(OR(7800.45161="",10459.77023=""),"-",10459.77023/7800.45161*100)</f>
        <v>134.0918545868654</v>
      </c>
      <c r="F58" s="17">
        <f>IF(7800.45161="","-",7800.45161/2338137.02243*100)</f>
        <v>0.33361824115393701</v>
      </c>
      <c r="G58" s="17">
        <f>IF(10459.77023="","-",10459.77023/2280846.87799*100)</f>
        <v>0.45859151400894083</v>
      </c>
      <c r="H58" s="17">
        <f>IF(OR(2668344.6178="",7156.81153="",7800.45161=""),"-",(7800.45161-7156.81153)/2668344.6178*100)</f>
        <v>2.4121325098205242E-2</v>
      </c>
      <c r="I58" s="17">
        <f>IF(OR(2338137.02243="",10459.77023="",7800.45161=""),"-",(10459.77023-7800.45161)/2338137.02243*100)</f>
        <v>0.11373664564945812</v>
      </c>
      <c r="J58" s="25"/>
    </row>
    <row r="59" spans="1:10" x14ac:dyDescent="0.25">
      <c r="A59" s="25" t="s">
        <v>213</v>
      </c>
      <c r="B59" s="26" t="s">
        <v>24</v>
      </c>
      <c r="C59" s="36">
        <v>698.96315000000004</v>
      </c>
      <c r="D59" s="17">
        <v>372.68150000000003</v>
      </c>
      <c r="E59" s="17">
        <f>IF(OR(698.96315="",372.6815=""),"-",372.6815/698.96315*100)</f>
        <v>53.319191433768722</v>
      </c>
      <c r="F59" s="17">
        <f>IF(698.96315="","-",698.96315/2338137.02243*100)</f>
        <v>2.9894020037952069E-2</v>
      </c>
      <c r="G59" s="17">
        <f>IF(372.6815="","-",372.6815/2280846.87799*100)</f>
        <v>1.6339610676909019E-2</v>
      </c>
      <c r="H59" s="17">
        <f>IF(OR(2668344.6178="",950.15838="",698.96315=""),"-",(698.96315-950.15838)/2668344.6178*100)</f>
        <v>-9.4138976024433323E-3</v>
      </c>
      <c r="I59" s="17">
        <f>IF(OR(2338137.02243="",372.6815="",698.96315=""),"-",(372.6815-698.96315)/2338137.02243*100)</f>
        <v>-1.3954770266667225E-2</v>
      </c>
      <c r="J59" s="25"/>
    </row>
    <row r="60" spans="1:10" x14ac:dyDescent="0.25">
      <c r="A60" s="25" t="s">
        <v>214</v>
      </c>
      <c r="B60" s="26" t="s">
        <v>25</v>
      </c>
      <c r="C60" s="36">
        <v>25439.66518</v>
      </c>
      <c r="D60" s="17">
        <v>31448.322889999999</v>
      </c>
      <c r="E60" s="17">
        <f>IF(OR(25439.66518="",31448.32289=""),"-",31448.32289/25439.66518*100)</f>
        <v>123.61924839609858</v>
      </c>
      <c r="F60" s="17">
        <f>IF(25439.66518="","-",25439.66518/2338137.02243*100)</f>
        <v>1.0880314085938745</v>
      </c>
      <c r="G60" s="17">
        <f>IF(31448.32289="","-",31448.32289/2280846.87799*100)</f>
        <v>1.3788002690348897</v>
      </c>
      <c r="H60" s="17">
        <f>IF(OR(2668344.6178="",22912.05507="",25439.66518=""),"-",(25439.66518-22912.05507)/2668344.6178*100)</f>
        <v>9.4725774667140578E-2</v>
      </c>
      <c r="I60" s="17">
        <f>IF(OR(2338137.02243="",31448.32289="",25439.66518=""),"-",(31448.32289-25439.66518)/2338137.02243*100)</f>
        <v>0.2569848410233575</v>
      </c>
      <c r="J60" s="23"/>
    </row>
    <row r="61" spans="1:10" x14ac:dyDescent="0.25">
      <c r="A61" s="23" t="s">
        <v>215</v>
      </c>
      <c r="B61" s="24" t="s">
        <v>128</v>
      </c>
      <c r="C61" s="37">
        <v>518814.11861</v>
      </c>
      <c r="D61" s="16">
        <v>459189.49848000001</v>
      </c>
      <c r="E61" s="16">
        <f>IF(518814.11861="","-",459189.49848/518814.11861*100)</f>
        <v>88.507517819725976</v>
      </c>
      <c r="F61" s="16">
        <f>IF(518814.11861="","-",518814.11861/2338137.02243*100)</f>
        <v>22.189209342008631</v>
      </c>
      <c r="G61" s="16">
        <f>IF(459189.49848="","-",459189.49848/2280846.87799*100)</f>
        <v>20.132412346972693</v>
      </c>
      <c r="H61" s="16">
        <f>IF(2668344.6178="","-",(518814.11861-537069.74466)/2668344.6178*100)</f>
        <v>-0.68415548457347997</v>
      </c>
      <c r="I61" s="16">
        <f>IF(2338137.02243="","-",(459189.49848-518814.11861)/2338137.02243*100)</f>
        <v>-2.5500909295740413</v>
      </c>
      <c r="J61" s="25"/>
    </row>
    <row r="62" spans="1:10" x14ac:dyDescent="0.25">
      <c r="A62" s="25" t="s">
        <v>216</v>
      </c>
      <c r="B62" s="26" t="s">
        <v>129</v>
      </c>
      <c r="C62" s="36">
        <v>4155.3356100000001</v>
      </c>
      <c r="D62" s="17">
        <v>3834.4623999999999</v>
      </c>
      <c r="E62" s="17">
        <f>IF(OR(4155.33561="",3834.4624=""),"-",3834.4624/4155.33561*100)</f>
        <v>92.278043457481402</v>
      </c>
      <c r="F62" s="17">
        <f>IF(4155.33561="","-",4155.33561/2338137.02243*100)</f>
        <v>0.17771993557851479</v>
      </c>
      <c r="G62" s="17">
        <f>IF(3834.4624="","-",3834.4624/2280846.87799*100)</f>
        <v>0.16811573091566437</v>
      </c>
      <c r="H62" s="17">
        <f>IF(OR(2668344.6178="",4148.28445="",4155.33561=""),"-",(4155.33561-4148.28445)/2668344.6178*100)</f>
        <v>2.6425222413038724E-4</v>
      </c>
      <c r="I62" s="17">
        <f>IF(OR(2338137.02243="",3834.4624="",4155.33561=""),"-",(3834.4624-4155.33561)/2338137.02243*100)</f>
        <v>-1.3723456192764967E-2</v>
      </c>
      <c r="J62" s="25"/>
    </row>
    <row r="63" spans="1:10" x14ac:dyDescent="0.25">
      <c r="A63" s="25" t="s">
        <v>217</v>
      </c>
      <c r="B63" s="26" t="s">
        <v>130</v>
      </c>
      <c r="C63" s="36">
        <v>27654.32086</v>
      </c>
      <c r="D63" s="17">
        <v>19414.067869999999</v>
      </c>
      <c r="E63" s="17">
        <f>IF(OR(27654.32086="",19414.06787=""),"-",19414.06787/27654.32086*100)</f>
        <v>70.202656461114046</v>
      </c>
      <c r="F63" s="17">
        <f>IF(27654.32086="","-",27654.32086/2338137.02243*100)</f>
        <v>1.1827502235629959</v>
      </c>
      <c r="G63" s="17">
        <f>IF(19414.06787="","-",19414.06787/2280846.87799*100)</f>
        <v>0.85117804519647022</v>
      </c>
      <c r="H63" s="17">
        <f>IF(OR(2668344.6178="",22887.58394="",27654.32086=""),"-",(27654.32086-22887.58394)/2668344.6178*100)</f>
        <v>0.17864022840985525</v>
      </c>
      <c r="I63" s="17">
        <f>IF(OR(2338137.02243="",19414.06787="",27654.32086=""),"-",(19414.06787-27654.32086)/2338137.02243*100)</f>
        <v>-0.35242814732200756</v>
      </c>
      <c r="J63" s="25"/>
    </row>
    <row r="64" spans="1:10" x14ac:dyDescent="0.25">
      <c r="A64" s="25" t="s">
        <v>218</v>
      </c>
      <c r="B64" s="26" t="s">
        <v>131</v>
      </c>
      <c r="C64" s="36">
        <v>3861.2105299999998</v>
      </c>
      <c r="D64" s="17">
        <v>534.33636000000001</v>
      </c>
      <c r="E64" s="17">
        <f>IF(OR(3861.21053="",534.33636=""),"-",534.33636/3861.21053*100)</f>
        <v>13.838570983074575</v>
      </c>
      <c r="F64" s="17">
        <f>IF(3861.21053="","-",3861.21053/2338137.02243*100)</f>
        <v>0.16514047264805234</v>
      </c>
      <c r="G64" s="17">
        <f>IF(534.33636="","-",534.33636/2280846.87799*100)</f>
        <v>2.3427103553347026E-2</v>
      </c>
      <c r="H64" s="17">
        <f>IF(OR(2668344.6178="",3322.9994="",3861.21053=""),"-",(3861.21053-3322.9994)/2668344.6178*100)</f>
        <v>2.0170225630141606E-2</v>
      </c>
      <c r="I64" s="17">
        <f>IF(OR(2338137.02243="",534.33636="",3861.21053=""),"-",(534.33636-3861.21053)/2338137.02243*100)</f>
        <v>-0.14228739111886679</v>
      </c>
      <c r="J64" s="25"/>
    </row>
    <row r="65" spans="1:10" ht="24" x14ac:dyDescent="0.25">
      <c r="A65" s="25" t="s">
        <v>219</v>
      </c>
      <c r="B65" s="26" t="s">
        <v>132</v>
      </c>
      <c r="C65" s="36">
        <v>44152.831310000001</v>
      </c>
      <c r="D65" s="17">
        <v>33218.288460000003</v>
      </c>
      <c r="E65" s="17">
        <f>IF(OR(44152.83131="",33218.28846=""),"-",33218.28846/44152.83131*100)</f>
        <v>75.234786704327433</v>
      </c>
      <c r="F65" s="17">
        <f>IF(44152.83131="","-",44152.83131/2338137.02243*100)</f>
        <v>1.8883765530607122</v>
      </c>
      <c r="G65" s="17">
        <f>IF(33218.28846="","-",33218.28846/2280846.87799*100)</f>
        <v>1.4564015138654847</v>
      </c>
      <c r="H65" s="17">
        <f>IF(OR(2668344.6178="",27451.77736="",44152.83131=""),"-",(44152.83131-27451.77736)/2668344.6178*100)</f>
        <v>0.62589568973177478</v>
      </c>
      <c r="I65" s="17">
        <f>IF(OR(2338137.02243="",33218.28846="",44152.83131=""),"-",(33218.28846-44152.83131)/2338137.02243*100)</f>
        <v>-0.46766048119095471</v>
      </c>
      <c r="J65" s="25"/>
    </row>
    <row r="66" spans="1:10" ht="24" x14ac:dyDescent="0.25">
      <c r="A66" s="25" t="s">
        <v>220</v>
      </c>
      <c r="B66" s="26" t="s">
        <v>133</v>
      </c>
      <c r="C66" s="36">
        <v>7030.0162099999998</v>
      </c>
      <c r="D66" s="17">
        <v>3379.3999899999999</v>
      </c>
      <c r="E66" s="17">
        <f>IF(OR(7030.01621="",3379.39999=""),"-",3379.39999/7030.01621*100)</f>
        <v>48.071012769400149</v>
      </c>
      <c r="F66" s="17">
        <f>IF(7030.01621="","-",7030.01621/2338137.02243*100)</f>
        <v>0.3006674178014504</v>
      </c>
      <c r="G66" s="17">
        <f>IF(3379.39999="","-",3379.39999/2280846.87799*100)</f>
        <v>0.14816426401136149</v>
      </c>
      <c r="H66" s="17">
        <f>IF(OR(2668344.6178="",6924.29882="",7030.01621=""),"-",(7030.01621-6924.29882)/2668344.6178*100)</f>
        <v>3.9619091662591093E-3</v>
      </c>
      <c r="I66" s="17">
        <f>IF(OR(2338137.02243="",3379.39999="",7030.01621=""),"-",(3379.39999-7030.01621)/2338137.02243*100)</f>
        <v>-0.15613354499668949</v>
      </c>
      <c r="J66" s="25"/>
    </row>
    <row r="67" spans="1:10" ht="24" x14ac:dyDescent="0.25">
      <c r="A67" s="25" t="s">
        <v>221</v>
      </c>
      <c r="B67" s="26" t="s">
        <v>134</v>
      </c>
      <c r="C67" s="36">
        <v>4394.3469699999996</v>
      </c>
      <c r="D67" s="17">
        <v>4643.3713399999997</v>
      </c>
      <c r="E67" s="17">
        <f>IF(OR(4394.34697="",4643.37134=""),"-",4643.37134/4394.34697*100)</f>
        <v>105.66692552272447</v>
      </c>
      <c r="F67" s="17">
        <f>IF(4394.34697="","-",4394.34697/2338137.02243*100)</f>
        <v>0.18794223468704171</v>
      </c>
      <c r="G67" s="17">
        <f>IF(4643.37134="","-",4643.37134/2280846.87799*100)</f>
        <v>0.20358102005041118</v>
      </c>
      <c r="H67" s="17">
        <f>IF(OR(2668344.6178="",2570.22396="",4394.34697=""),"-",(4394.34697-2570.22396)/2668344.6178*100)</f>
        <v>6.8361597592441217E-2</v>
      </c>
      <c r="I67" s="17">
        <f>IF(OR(2338137.02243="",4643.37134="",4394.34697=""),"-",(4643.37134-4394.34697)/2338137.02243*100)</f>
        <v>1.0650546465458719E-2</v>
      </c>
      <c r="J67" s="25"/>
    </row>
    <row r="68" spans="1:10" ht="36" x14ac:dyDescent="0.25">
      <c r="A68" s="25" t="s">
        <v>222</v>
      </c>
      <c r="B68" s="26" t="s">
        <v>135</v>
      </c>
      <c r="C68" s="36">
        <v>393085.33694000001</v>
      </c>
      <c r="D68" s="17">
        <v>365526.31894000003</v>
      </c>
      <c r="E68" s="17">
        <f>IF(OR(393085.33694="",365526.31894=""),"-",365526.31894/393085.33694*100)</f>
        <v>92.989049600645217</v>
      </c>
      <c r="F68" s="17">
        <f>IF(393085.33694="","-",393085.33694/2338137.02243*100)</f>
        <v>16.811903373031182</v>
      </c>
      <c r="G68" s="17">
        <f>IF(365526.31894="","-",365526.31894/2280846.87799*100)</f>
        <v>16.025903468895759</v>
      </c>
      <c r="H68" s="17">
        <f>IF(OR(2668344.6178="",415336.5063="",393085.33694=""),"-",(393085.33694-415336.5063)/2668344.6178*100)</f>
        <v>-0.83389413839452531</v>
      </c>
      <c r="I68" s="17">
        <f>IF(OR(2338137.02243="",365526.31894="",393085.33694=""),"-",(365526.31894-393085.33694)/2338137.02243*100)</f>
        <v>-1.1786742066706681</v>
      </c>
      <c r="J68" s="25"/>
    </row>
    <row r="69" spans="1:10" x14ac:dyDescent="0.25">
      <c r="A69" s="25" t="s">
        <v>223</v>
      </c>
      <c r="B69" s="26" t="s">
        <v>136</v>
      </c>
      <c r="C69" s="36">
        <v>32671.536769999999</v>
      </c>
      <c r="D69" s="17">
        <v>26703.6803</v>
      </c>
      <c r="E69" s="17">
        <f>IF(OR(32671.53677="",26703.6803=""),"-",26703.6803/32671.53677*100)</f>
        <v>81.733774838899322</v>
      </c>
      <c r="F69" s="17">
        <f>IF(32671.53677="","-",32671.53677/2338137.02243*100)</f>
        <v>1.3973319979358965</v>
      </c>
      <c r="G69" s="17">
        <f>IF(26703.6803="","-",26703.6803/2280846.87799*100)</f>
        <v>1.1707791767035525</v>
      </c>
      <c r="H69" s="17">
        <f>IF(OR(2668344.6178="",48008.28156="",32671.53677=""),"-",(32671.53677-48008.28156)/2668344.6178*100)</f>
        <v>-0.57476626848314893</v>
      </c>
      <c r="I69" s="17">
        <f>IF(OR(2338137.02243="",26703.6803="",32671.53677=""),"-",(26703.6803-32671.53677)/2338137.02243*100)</f>
        <v>-0.25523980899107751</v>
      </c>
      <c r="J69" s="25"/>
    </row>
    <row r="70" spans="1:10" x14ac:dyDescent="0.25">
      <c r="A70" s="25" t="s">
        <v>224</v>
      </c>
      <c r="B70" s="26" t="s">
        <v>26</v>
      </c>
      <c r="C70" s="36">
        <v>1809.1834100000001</v>
      </c>
      <c r="D70" s="17">
        <v>1935.5728200000001</v>
      </c>
      <c r="E70" s="17">
        <f>IF(OR(1809.18341="",1935.57282=""),"-",1935.57282/1809.18341*100)</f>
        <v>106.98599209463235</v>
      </c>
      <c r="F70" s="17">
        <f>IF(1809.18341="","-",1809.18341/2338137.02243*100)</f>
        <v>7.7377133702785983E-2</v>
      </c>
      <c r="G70" s="17">
        <f>IF(1935.57282="","-",1935.57282/2280846.87799*100)</f>
        <v>8.4862023780646195E-2</v>
      </c>
      <c r="H70" s="17">
        <f>IF(OR(2668344.6178="",6419.78887="",1809.18341=""),"-",(1809.18341-6419.78887)/2668344.6178*100)</f>
        <v>-0.17278898045040966</v>
      </c>
      <c r="I70" s="17">
        <f>IF(OR(2338137.02243="",1935.57282="",1809.18341=""),"-",(1935.57282-1809.18341)/2338137.02243*100)</f>
        <v>5.4055604435297331E-3</v>
      </c>
      <c r="J70" s="23"/>
    </row>
    <row r="71" spans="1:10" x14ac:dyDescent="0.25">
      <c r="A71" s="23" t="s">
        <v>225</v>
      </c>
      <c r="B71" s="24" t="s">
        <v>27</v>
      </c>
      <c r="C71" s="37">
        <v>371471.52850000001</v>
      </c>
      <c r="D71" s="16">
        <v>397180.15177</v>
      </c>
      <c r="E71" s="16">
        <f>IF(371471.5285="","-",397180.15177/371471.5285*100)</f>
        <v>106.92075200858899</v>
      </c>
      <c r="F71" s="16">
        <f>IF(371471.5285="","-",371471.5285/2338137.02243*100)</f>
        <v>15.887500387549306</v>
      </c>
      <c r="G71" s="16">
        <f>IF(397180.15177="","-",397180.15177/2280846.87799*100)</f>
        <v>17.413713985044698</v>
      </c>
      <c r="H71" s="16">
        <f>IF(2668344.6178="","-",(371471.5285-414481.65019)/2668344.6178*100)</f>
        <v>-1.611865326655634</v>
      </c>
      <c r="I71" s="16">
        <f>IF(2338137.02243="","-",(397180.15177-371471.5285)/2338137.02243*100)</f>
        <v>1.0995345021859024</v>
      </c>
      <c r="J71" s="25"/>
    </row>
    <row r="72" spans="1:10" ht="24" x14ac:dyDescent="0.25">
      <c r="A72" s="25" t="s">
        <v>226</v>
      </c>
      <c r="B72" s="26" t="s">
        <v>162</v>
      </c>
      <c r="C72" s="36">
        <v>7089.2192299999997</v>
      </c>
      <c r="D72" s="17">
        <v>6668.0547800000004</v>
      </c>
      <c r="E72" s="17">
        <f>IF(OR(7089.21923="",6668.05478=""),"-",6668.05478/7089.21923*100)</f>
        <v>94.059085544742004</v>
      </c>
      <c r="F72" s="17">
        <f>IF(7089.21923="","-",7089.21923/2338137.02243*100)</f>
        <v>0.3031994772758122</v>
      </c>
      <c r="G72" s="17">
        <f>IF(6668.05478="","-",6668.05478/2280846.87799*100)</f>
        <v>0.29234995318389084</v>
      </c>
      <c r="H72" s="17">
        <f>IF(OR(2668344.6178="",9439.71977="",7089.21923=""),"-",(7089.21923-9439.71977)/2668344.6178*100)</f>
        <v>-8.8088342274842427E-2</v>
      </c>
      <c r="I72" s="17">
        <f>IF(OR(2338137.02243="",6668.05478="",7089.21923=""),"-",(6668.05478-7089.21923)/2338137.02243*100)</f>
        <v>-1.80128215737454E-2</v>
      </c>
      <c r="J72" s="25"/>
    </row>
    <row r="73" spans="1:10" x14ac:dyDescent="0.25">
      <c r="A73" s="25" t="s">
        <v>227</v>
      </c>
      <c r="B73" s="26" t="s">
        <v>137</v>
      </c>
      <c r="C73" s="36">
        <v>90520.796350000004</v>
      </c>
      <c r="D73" s="17">
        <v>84652.807329999996</v>
      </c>
      <c r="E73" s="17">
        <f>IF(OR(90520.79635="",84652.80733=""),"-",84652.80733/90520.79635*100)</f>
        <v>93.517523865663605</v>
      </c>
      <c r="F73" s="17">
        <f>IF(90520.79635="","-",90520.79635/2338137.02243*100)</f>
        <v>3.8714923668555037</v>
      </c>
      <c r="G73" s="17">
        <f>IF(84652.80733="","-",84652.80733/2280846.87799*100)</f>
        <v>3.7114638491032954</v>
      </c>
      <c r="H73" s="17">
        <f>IF(OR(2668344.6178="",96025.89638="",90520.79635=""),"-",(90520.79635-96025.89638)/2668344.6178*100)</f>
        <v>-0.20631143343616734</v>
      </c>
      <c r="I73" s="17">
        <f>IF(OR(2338137.02243="",84652.80733="",90520.79635=""),"-",(84652.80733-90520.79635)/2338137.02243*100)</f>
        <v>-0.25096856872406359</v>
      </c>
      <c r="J73" s="25"/>
    </row>
    <row r="74" spans="1:10" x14ac:dyDescent="0.25">
      <c r="A74" s="25" t="s">
        <v>228</v>
      </c>
      <c r="B74" s="26" t="s">
        <v>138</v>
      </c>
      <c r="C74" s="36">
        <v>6336.0058900000004</v>
      </c>
      <c r="D74" s="17">
        <v>3946.5843100000002</v>
      </c>
      <c r="E74" s="17">
        <f>IF(OR(6336.00589="",3946.58431=""),"-",3946.58431/6336.00589*100)</f>
        <v>62.288204564784579</v>
      </c>
      <c r="F74" s="17">
        <f>IF(6336.00589="","-",6336.00589/2338137.02243*100)</f>
        <v>0.27098522581089191</v>
      </c>
      <c r="G74" s="17">
        <f>IF(3946.58431="","-",3946.58431/2280846.87799*100)</f>
        <v>0.17303153263308646</v>
      </c>
      <c r="H74" s="17">
        <f>IF(OR(2668344.6178="",9294.66052="",6336.00589=""),"-",(6336.00589-9294.66052)/2668344.6178*100)</f>
        <v>-0.11087977955558656</v>
      </c>
      <c r="I74" s="17">
        <f>IF(OR(2338137.02243="",3946.58431="",6336.00589=""),"-",(3946.58431-6336.00589)/2338137.02243*100)</f>
        <v>-0.10219339401746014</v>
      </c>
      <c r="J74" s="25"/>
    </row>
    <row r="75" spans="1:10" ht="15" customHeight="1" x14ac:dyDescent="0.25">
      <c r="A75" s="25" t="s">
        <v>229</v>
      </c>
      <c r="B75" s="26" t="s">
        <v>139</v>
      </c>
      <c r="C75" s="36">
        <v>178223.15906999999</v>
      </c>
      <c r="D75" s="17">
        <v>193752.58254</v>
      </c>
      <c r="E75" s="17">
        <f>IF(OR(178223.15907="",193752.58254=""),"-",193752.58254/178223.15907*100)</f>
        <v>108.71347110613195</v>
      </c>
      <c r="F75" s="17">
        <f>IF(178223.15907="","-",178223.15907/2338137.02243*100)</f>
        <v>7.6224428833847657</v>
      </c>
      <c r="G75" s="17">
        <f>IF(193752.58254="","-",193752.58254/2280846.87799*100)</f>
        <v>8.494765010737801</v>
      </c>
      <c r="H75" s="17">
        <f>IF(OR(2668344.6178="",197091.08414="",178223.15907=""),"-",(178223.15907-197091.08414)/2668344.6178*100)</f>
        <v>-0.70710225898618173</v>
      </c>
      <c r="I75" s="17">
        <f>IF(OR(2338137.02243="",193752.58254="",178223.15907=""),"-",(193752.58254-178223.15907)/2338137.02243*100)</f>
        <v>0.66417935822514163</v>
      </c>
      <c r="J75" s="25"/>
    </row>
    <row r="76" spans="1:10" ht="15.75" customHeight="1" x14ac:dyDescent="0.25">
      <c r="A76" s="25" t="s">
        <v>230</v>
      </c>
      <c r="B76" s="26" t="s">
        <v>140</v>
      </c>
      <c r="C76" s="36">
        <v>9789.5592400000005</v>
      </c>
      <c r="D76" s="17">
        <v>13886.06509</v>
      </c>
      <c r="E76" s="17">
        <f>IF(OR(9789.55924="",13886.06509=""),"-",13886.06509/9789.55924*100)</f>
        <v>141.84566178691412</v>
      </c>
      <c r="F76" s="17">
        <f>IF(9789.55924="","-",9789.55924/2338137.02243*100)</f>
        <v>0.41869057057339687</v>
      </c>
      <c r="G76" s="17">
        <f>IF(13886.06509="","-",13886.06509/2280846.87799*100)</f>
        <v>0.60881180687750147</v>
      </c>
      <c r="H76" s="17">
        <f>IF(OR(2668344.6178="",21161.37187="",9789.55924=""),"-",(9789.55924-21161.37187)/2668344.6178*100)</f>
        <v>-0.42617481093487253</v>
      </c>
      <c r="I76" s="17">
        <f>IF(OR(2338137.02243="",13886.06509="",9789.55924=""),"-",(13886.06509-9789.55924)/2338137.02243*100)</f>
        <v>0.17520384009584461</v>
      </c>
      <c r="J76" s="25"/>
    </row>
    <row r="77" spans="1:10" ht="15.75" customHeight="1" x14ac:dyDescent="0.25">
      <c r="A77" s="25" t="s">
        <v>231</v>
      </c>
      <c r="B77" s="26" t="s">
        <v>253</v>
      </c>
      <c r="C77" s="36">
        <v>22001.318039999998</v>
      </c>
      <c r="D77" s="17">
        <v>28834.908650000001</v>
      </c>
      <c r="E77" s="17">
        <f>IF(OR(22001.31804="",28834.90865=""),"-",28834.90865/22001.31804*100)</f>
        <v>131.05991467227571</v>
      </c>
      <c r="F77" s="17">
        <f>IF(22001.31804="","-",22001.31804/2338137.02243*100)</f>
        <v>0.94097641964260381</v>
      </c>
      <c r="G77" s="17">
        <f>IF(28834.90865="","-",28834.90865/2280846.87799*100)</f>
        <v>1.2642193971131814</v>
      </c>
      <c r="H77" s="17">
        <f>IF(OR(2668344.6178="",18692.87133="",22001.31804=""),"-",(22001.31804-18692.87133)/2668344.6178*100)</f>
        <v>0.12398873398623259</v>
      </c>
      <c r="I77" s="17">
        <f>IF(OR(2338137.02243="",28834.90865="",22001.31804=""),"-",(28834.90865-22001.31804)/2338137.02243*100)</f>
        <v>0.2922664730272278</v>
      </c>
      <c r="J77" s="25"/>
    </row>
    <row r="78" spans="1:10" ht="24" x14ac:dyDescent="0.25">
      <c r="A78" s="25" t="s">
        <v>232</v>
      </c>
      <c r="B78" s="26" t="s">
        <v>141</v>
      </c>
      <c r="C78" s="36">
        <v>3794.1917899999999</v>
      </c>
      <c r="D78" s="17">
        <v>5005.4400400000004</v>
      </c>
      <c r="E78" s="17">
        <f>IF(OR(3794.19179="",5005.44004=""),"-",5005.44004/3794.19179*100)</f>
        <v>131.92374864107754</v>
      </c>
      <c r="F78" s="17">
        <f>IF(3794.19179="","-",3794.19179/2338137.02243*100)</f>
        <v>0.16227414191734316</v>
      </c>
      <c r="G78" s="17">
        <f>IF(5005.44004="","-",5005.44004/2280846.87799*100)</f>
        <v>0.21945532987339567</v>
      </c>
      <c r="H78" s="17">
        <f>IF(OR(2668344.6178="",4836.3103="",3794.19179=""),"-",(3794.19179-4836.3103)/2668344.6178*100)</f>
        <v>-3.905486956400734E-2</v>
      </c>
      <c r="I78" s="17">
        <f>IF(OR(2338137.02243="",5005.44004="",3794.19179=""),"-",(5005.44004-3794.19179)/2338137.02243*100)</f>
        <v>5.1803989175158077E-2</v>
      </c>
      <c r="J78" s="25"/>
    </row>
    <row r="79" spans="1:10" x14ac:dyDescent="0.25">
      <c r="A79" s="25" t="s">
        <v>233</v>
      </c>
      <c r="B79" s="26" t="s">
        <v>28</v>
      </c>
      <c r="C79" s="36">
        <v>53717.278890000001</v>
      </c>
      <c r="D79" s="17">
        <v>60433.709029999998</v>
      </c>
      <c r="E79" s="17">
        <f>IF(OR(53717.27889="",60433.70903=""),"-",60433.70903/53717.27889*100)</f>
        <v>112.50329554807425</v>
      </c>
      <c r="F79" s="17">
        <f>IF(53717.27889="","-",53717.27889/2338137.02243*100)</f>
        <v>2.2974393020889865</v>
      </c>
      <c r="G79" s="17">
        <f>IF(60433.70903="","-",60433.70903/2280846.87799*100)</f>
        <v>2.6496171055225464</v>
      </c>
      <c r="H79" s="17">
        <f>IF(OR(2668344.6178="",57939.73588="",53717.27889=""),"-",(53717.27889-57939.73588)/2668344.6178*100)</f>
        <v>-0.15824256589020855</v>
      </c>
      <c r="I79" s="17">
        <f>IF(OR(2338137.02243="",60433.70903="",53717.27889=""),"-",(60433.70903-53717.27889)/2338137.02243*100)</f>
        <v>0.2872556259778003</v>
      </c>
      <c r="J79" s="25"/>
    </row>
    <row r="80" spans="1:10" x14ac:dyDescent="0.25">
      <c r="A80" s="28" t="s">
        <v>236</v>
      </c>
      <c r="B80" s="29" t="s">
        <v>142</v>
      </c>
      <c r="C80" s="87">
        <v>1326.70201</v>
      </c>
      <c r="D80" s="32">
        <v>1116.24353</v>
      </c>
      <c r="E80" s="32">
        <f>IF(1326.70201="","-",1116.24353/1326.70201*100)</f>
        <v>84.136718086377215</v>
      </c>
      <c r="F80" s="32">
        <f>IF(1326.70201="","-",1326.70201/2338137.02243*100)</f>
        <v>5.6741841785695399E-2</v>
      </c>
      <c r="G80" s="32">
        <f>IF(1116.24353="","-",1116.24353/2280846.87799*100)</f>
        <v>4.8939871447384993E-2</v>
      </c>
      <c r="H80" s="32">
        <f>IF(2668344.6178="","-",(1326.70201-5312.58306)/2668344.6178*100)</f>
        <v>-0.14937654692017568</v>
      </c>
      <c r="I80" s="32">
        <f>IF(2338137.02243="","-",(1116.24353-1326.70201)/2338137.02243*100)</f>
        <v>-9.0011183254466772E-3</v>
      </c>
      <c r="J80" s="25"/>
    </row>
    <row r="81" spans="1:10" s="15" customFormat="1" ht="12.75" x14ac:dyDescent="0.2">
      <c r="A81" s="57" t="s">
        <v>239</v>
      </c>
      <c r="B81" s="59"/>
      <c r="C81" s="55"/>
      <c r="D81" s="56"/>
      <c r="E81" s="54"/>
      <c r="F81" s="54"/>
      <c r="G81" s="54"/>
      <c r="H81" s="54"/>
      <c r="I81" s="54"/>
      <c r="J81" s="22"/>
    </row>
    <row r="82" spans="1:10" s="15" customFormat="1" ht="11.25" x14ac:dyDescent="0.2">
      <c r="A82" s="59" t="s">
        <v>296</v>
      </c>
      <c r="B82" s="59"/>
      <c r="C82" s="8"/>
      <c r="D82" s="22"/>
      <c r="E82" s="22"/>
      <c r="F82" s="22"/>
      <c r="G82" s="22"/>
      <c r="H82" s="22"/>
      <c r="I82" s="22"/>
      <c r="J82" s="22"/>
    </row>
  </sheetData>
  <mergeCells count="9">
    <mergeCell ref="A1:I1"/>
    <mergeCell ref="A2:I2"/>
    <mergeCell ref="A4:A5"/>
    <mergeCell ref="B4:B5"/>
    <mergeCell ref="F4:G4"/>
    <mergeCell ref="H4:I4"/>
    <mergeCell ref="A3:I3"/>
    <mergeCell ref="C4:D4"/>
    <mergeCell ref="E4:E5"/>
  </mergeCells>
  <pageMargins left="0.59055118110236227" right="0.39370078740157483" top="0.39370078740157483" bottom="0.39370078740157483" header="0.11811023622047245" footer="0.11811023622047245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J82"/>
  <sheetViews>
    <sheetView zoomScaleNormal="100" workbookViewId="0">
      <selection sqref="A1:I1"/>
    </sheetView>
  </sheetViews>
  <sheetFormatPr defaultRowHeight="15.75" x14ac:dyDescent="0.25"/>
  <cols>
    <col min="1" max="1" width="7.125" style="19" customWidth="1"/>
    <col min="2" max="2" width="41.625" style="19" customWidth="1"/>
    <col min="3" max="4" width="12.625" style="19" customWidth="1"/>
    <col min="5" max="5" width="12.375" style="19" customWidth="1"/>
    <col min="6" max="7" width="10.375" style="19" customWidth="1"/>
    <col min="8" max="9" width="11.125" style="19" customWidth="1"/>
  </cols>
  <sheetData>
    <row r="1" spans="1:10" s="21" customFormat="1" ht="15.75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</row>
    <row r="2" spans="1:10" s="21" customFormat="1" ht="15.75" customHeight="1" x14ac:dyDescent="0.2">
      <c r="A2" s="102" t="s">
        <v>238</v>
      </c>
      <c r="B2" s="102"/>
      <c r="C2" s="102"/>
      <c r="D2" s="102"/>
      <c r="E2" s="102"/>
      <c r="F2" s="102"/>
      <c r="G2" s="102"/>
      <c r="H2" s="102"/>
      <c r="I2" s="102"/>
    </row>
    <row r="3" spans="1:10" x14ac:dyDescent="0.25">
      <c r="A3" s="113"/>
      <c r="B3" s="113"/>
      <c r="C3" s="113"/>
      <c r="D3" s="113"/>
      <c r="E3" s="113"/>
      <c r="F3" s="113"/>
      <c r="G3" s="113"/>
      <c r="H3" s="113"/>
      <c r="I3" s="113"/>
    </row>
    <row r="4" spans="1:10" ht="51.75" customHeight="1" x14ac:dyDescent="0.25">
      <c r="A4" s="111" t="s">
        <v>164</v>
      </c>
      <c r="B4" s="92"/>
      <c r="C4" s="94" t="s">
        <v>278</v>
      </c>
      <c r="D4" s="101"/>
      <c r="E4" s="99" t="s">
        <v>378</v>
      </c>
      <c r="F4" s="94" t="s">
        <v>87</v>
      </c>
      <c r="G4" s="95"/>
      <c r="H4" s="96" t="s">
        <v>265</v>
      </c>
      <c r="I4" s="97"/>
    </row>
    <row r="5" spans="1:10" ht="36.75" customHeight="1" x14ac:dyDescent="0.25">
      <c r="A5" s="112"/>
      <c r="B5" s="93"/>
      <c r="C5" s="10" t="s">
        <v>368</v>
      </c>
      <c r="D5" s="10" t="s">
        <v>369</v>
      </c>
      <c r="E5" s="100"/>
      <c r="F5" s="10" t="s">
        <v>368</v>
      </c>
      <c r="G5" s="10" t="s">
        <v>369</v>
      </c>
      <c r="H5" s="10" t="s">
        <v>371</v>
      </c>
      <c r="I5" s="9" t="s">
        <v>372</v>
      </c>
    </row>
    <row r="6" spans="1:10" s="13" customFormat="1" ht="12.75" x14ac:dyDescent="0.2">
      <c r="A6" s="74"/>
      <c r="B6" s="45" t="s">
        <v>95</v>
      </c>
      <c r="C6" s="42">
        <v>5840607.3190799998</v>
      </c>
      <c r="D6" s="43">
        <v>6911881.2471899996</v>
      </c>
      <c r="E6" s="43">
        <f>IF(5840607.31908="","-",6911881.24719/5840607.31908*100)</f>
        <v>118.34182422451822</v>
      </c>
      <c r="F6" s="43">
        <v>100</v>
      </c>
      <c r="G6" s="43">
        <v>100</v>
      </c>
      <c r="H6" s="43">
        <f>IF(5710724.73459="","-",(5840607.31908-5710724.73459)/5710724.73459*100)</f>
        <v>2.2743625463734625</v>
      </c>
      <c r="I6" s="43">
        <f>IF(5840607.31908="","-",(6911881.24719-5840607.31908)/5840607.31908*100)</f>
        <v>18.34182422451822</v>
      </c>
      <c r="J6" s="18"/>
    </row>
    <row r="7" spans="1:10" s="13" customFormat="1" ht="12.75" x14ac:dyDescent="0.2">
      <c r="A7" s="12"/>
      <c r="B7" s="34" t="s">
        <v>269</v>
      </c>
      <c r="C7" s="37"/>
      <c r="D7" s="16"/>
      <c r="E7" s="16"/>
      <c r="F7" s="16"/>
      <c r="G7" s="16"/>
      <c r="H7" s="16"/>
      <c r="I7" s="16"/>
      <c r="J7" s="18"/>
    </row>
    <row r="8" spans="1:10" x14ac:dyDescent="0.25">
      <c r="A8" s="23" t="s">
        <v>165</v>
      </c>
      <c r="B8" s="24" t="s">
        <v>143</v>
      </c>
      <c r="C8" s="37">
        <v>685637.42309000005</v>
      </c>
      <c r="D8" s="16">
        <v>848499.19683999999</v>
      </c>
      <c r="E8" s="16">
        <f>IF(685637.42309="","-",848499.19684/685637.42309*100)</f>
        <v>123.75333788170748</v>
      </c>
      <c r="F8" s="16">
        <f>IF(685637.42309="","-",685637.42309/5840607.31908*100)</f>
        <v>11.739146044798646</v>
      </c>
      <c r="G8" s="16">
        <f>IF(848499.19684="","-",848499.19684/6911881.24719*100)</f>
        <v>12.275951604130269</v>
      </c>
      <c r="H8" s="16">
        <f>IF(5710724.73459="","-",(685637.42309-631600.70538)/5710724.73459*100)</f>
        <v>0.94623222482950842</v>
      </c>
      <c r="I8" s="16">
        <f>IF(5840607.31908="","-",(848499.19684-685637.42309)/5840607.31908*100)</f>
        <v>2.7884390244481216</v>
      </c>
    </row>
    <row r="9" spans="1:10" x14ac:dyDescent="0.25">
      <c r="A9" s="25" t="s">
        <v>166</v>
      </c>
      <c r="B9" s="26" t="s">
        <v>16</v>
      </c>
      <c r="C9" s="36">
        <v>7254.8421099999996</v>
      </c>
      <c r="D9" s="17">
        <v>18427.671320000001</v>
      </c>
      <c r="E9" s="17" t="s">
        <v>347</v>
      </c>
      <c r="F9" s="17">
        <f>IF(7254.84211="","-",7254.84211/5840607.31908*100)</f>
        <v>0.12421383109081825</v>
      </c>
      <c r="G9" s="17">
        <f>IF(18427.67132="","-",18427.67132/6911881.24719*100)</f>
        <v>0.26660862160344123</v>
      </c>
      <c r="H9" s="17">
        <f>IF(OR(5710724.73459="",6517.7286="",7254.84211=""),"-",(7254.84211-6517.7286)/5710724.73459*100)</f>
        <v>1.290753002916223E-2</v>
      </c>
      <c r="I9" s="17">
        <f>IF(OR(5840607.31908="",18427.67132="",7254.84211=""),"-",(18427.67132-7254.84211)/5840607.31908*100)</f>
        <v>0.19129567525453711</v>
      </c>
    </row>
    <row r="10" spans="1:10" x14ac:dyDescent="0.25">
      <c r="A10" s="25" t="s">
        <v>167</v>
      </c>
      <c r="B10" s="26" t="s">
        <v>144</v>
      </c>
      <c r="C10" s="36">
        <v>56361.000950000001</v>
      </c>
      <c r="D10" s="17">
        <v>63461.016450000003</v>
      </c>
      <c r="E10" s="17">
        <f>IF(OR(56361.00095="",63461.01645=""),"-",63461.01645/56361.00095*100)</f>
        <v>112.59739071401287</v>
      </c>
      <c r="F10" s="17">
        <f>IF(56361.00095="","-",56361.00095/5840607.31908*100)</f>
        <v>0.96498528099776215</v>
      </c>
      <c r="G10" s="17">
        <f>IF(63461.01645="","-",63461.01645/6911881.24719*100)</f>
        <v>0.91814390584039407</v>
      </c>
      <c r="H10" s="17">
        <f>IF(OR(5710724.73459="",54439.96971="",56361.00095=""),"-",(56361.00095-54439.96971)/5710724.73459*100)</f>
        <v>3.3639009570261204E-2</v>
      </c>
      <c r="I10" s="17">
        <f>IF(OR(5840607.31908="",63461.01645="",56361.00095=""),"-",(63461.01645-56361.00095)/5840607.31908*100)</f>
        <v>0.12156296618000301</v>
      </c>
    </row>
    <row r="11" spans="1:10" s="2" customFormat="1" x14ac:dyDescent="0.25">
      <c r="A11" s="25" t="s">
        <v>168</v>
      </c>
      <c r="B11" s="26" t="s">
        <v>145</v>
      </c>
      <c r="C11" s="36">
        <v>101439.26455000001</v>
      </c>
      <c r="D11" s="17">
        <v>122779.52707</v>
      </c>
      <c r="E11" s="17">
        <f>IF(OR(101439.26455="",122779.52707=""),"-",122779.52707/101439.26455*100)</f>
        <v>121.03747756321839</v>
      </c>
      <c r="F11" s="17">
        <f>IF(101439.26455="","-",101439.26455/5840607.31908*100)</f>
        <v>1.7367930937356442</v>
      </c>
      <c r="G11" s="17">
        <f>IF(122779.52707="","-",122779.52707/6911881.24719*100)</f>
        <v>1.7763546953286498</v>
      </c>
      <c r="H11" s="17">
        <f>IF(OR(5710724.73459="",83092.1313="",101439.26455=""),"-",(101439.26455-83092.1313)/5710724.73459*100)</f>
        <v>0.32127504130729639</v>
      </c>
      <c r="I11" s="17">
        <f>IF(OR(5840607.31908="",122779.52707="",101439.26455=""),"-",(122779.52707-101439.26455)/5840607.31908*100)</f>
        <v>0.36537745741416261</v>
      </c>
    </row>
    <row r="12" spans="1:10" s="2" customFormat="1" x14ac:dyDescent="0.25">
      <c r="A12" s="25" t="s">
        <v>169</v>
      </c>
      <c r="B12" s="26" t="s">
        <v>146</v>
      </c>
      <c r="C12" s="36">
        <v>68812.505609999993</v>
      </c>
      <c r="D12" s="86">
        <v>80518.680739999996</v>
      </c>
      <c r="E12" s="17">
        <f>IF(OR(68812.50561="",80518.68074=""),"-",80518.68074/68812.50561*100)</f>
        <v>117.01169725797462</v>
      </c>
      <c r="F12" s="17">
        <f>IF(68812.50561="","-",68812.50561/5840607.31908*100)</f>
        <v>1.1781738071177021</v>
      </c>
      <c r="G12" s="17">
        <f>IF(80518.68074="","-",80518.68074/6911881.24719*100)</f>
        <v>1.1649314833459352</v>
      </c>
      <c r="H12" s="17">
        <f>IF(OR(5710724.73459="",57231.66332="",68812.50561=""),"-",(68812.50561-57231.66332)/5710724.73459*100)</f>
        <v>0.20279111370671657</v>
      </c>
      <c r="I12" s="17">
        <f>IF(OR(5840607.31908="",80518.68074="",68812.50561=""),"-",(80518.68074-68812.50561)/5840607.31908*100)</f>
        <v>0.20042736123961738</v>
      </c>
    </row>
    <row r="13" spans="1:10" s="2" customFormat="1" x14ac:dyDescent="0.25">
      <c r="A13" s="25" t="s">
        <v>170</v>
      </c>
      <c r="B13" s="26" t="s">
        <v>147</v>
      </c>
      <c r="C13" s="36">
        <v>84684.949009999997</v>
      </c>
      <c r="D13" s="17">
        <v>95828.347540000002</v>
      </c>
      <c r="E13" s="17">
        <f>IF(OR(84684.94901="",95828.34754=""),"-",95828.34754/84684.94901*100)</f>
        <v>113.15865293688037</v>
      </c>
      <c r="F13" s="17">
        <f>IF(84684.94901="","-",84684.94901/5840607.31908*100)</f>
        <v>1.4499339603495103</v>
      </c>
      <c r="G13" s="17">
        <f>IF(95828.34754="","-",95828.34754/6911881.24719*100)</f>
        <v>1.3864293108183632</v>
      </c>
      <c r="H13" s="17">
        <f>IF(OR(5710724.73459="",95014.68228="",84684.94901=""),"-",(84684.94901-95014.68228)/5710724.73459*100)</f>
        <v>-0.18088305337906674</v>
      </c>
      <c r="I13" s="17">
        <f>IF(OR(5840607.31908="",95828.34754="",84684.94901=""),"-",(95828.34754-84684.94901)/5840607.31908*100)</f>
        <v>0.19079177765635663</v>
      </c>
    </row>
    <row r="14" spans="1:10" s="2" customFormat="1" x14ac:dyDescent="0.25">
      <c r="A14" s="25" t="s">
        <v>171</v>
      </c>
      <c r="B14" s="26" t="s">
        <v>148</v>
      </c>
      <c r="C14" s="36">
        <v>159609.10449999999</v>
      </c>
      <c r="D14" s="17">
        <v>216980.07857000001</v>
      </c>
      <c r="E14" s="17">
        <f>IF(OR(159609.1045="",216980.07857=""),"-",216980.07857/159609.1045*100)</f>
        <v>135.94467511720174</v>
      </c>
      <c r="F14" s="17">
        <f>IF(159609.1045="","-",159609.1045/5840607.31908*100)</f>
        <v>2.7327484246131664</v>
      </c>
      <c r="G14" s="17">
        <f>IF(216980.07857="","-",216980.07857/6911881.24719*100)</f>
        <v>3.139233311599682</v>
      </c>
      <c r="H14" s="17">
        <f>IF(OR(5710724.73459="",151012.38893="",159609.1045=""),"-",(159609.1045-151012.38893)/5710724.73459*100)</f>
        <v>0.15053633241906203</v>
      </c>
      <c r="I14" s="17">
        <f>IF(OR(5840607.31908="",216980.07857="",159609.1045=""),"-",(216980.07857-159609.1045)/5840607.31908*100)</f>
        <v>0.98227754299765146</v>
      </c>
    </row>
    <row r="15" spans="1:10" s="2" customFormat="1" x14ac:dyDescent="0.25">
      <c r="A15" s="25" t="s">
        <v>172</v>
      </c>
      <c r="B15" s="26" t="s">
        <v>106</v>
      </c>
      <c r="C15" s="36">
        <v>18169.767059999998</v>
      </c>
      <c r="D15" s="17">
        <v>31385.897219999999</v>
      </c>
      <c r="E15" s="17" t="s">
        <v>271</v>
      </c>
      <c r="F15" s="17">
        <f>IF(18169.76706="","-",18169.76706/5840607.31908*100)</f>
        <v>0.31109379671260046</v>
      </c>
      <c r="G15" s="17">
        <f>IF(31385.89722="","-",31385.89722/6911881.24719*100)</f>
        <v>0.45408617563792519</v>
      </c>
      <c r="H15" s="17">
        <f>IF(OR(5710724.73459="",16750.61062="",18169.76706=""),"-",(18169.76706-16750.61062)/5710724.73459*100)</f>
        <v>2.4850723961603916E-2</v>
      </c>
      <c r="I15" s="17">
        <f>IF(OR(5840607.31908="",31385.89722="",18169.76706=""),"-",(31385.89722-18169.76706)/5840607.31908*100)</f>
        <v>0.22628006708867013</v>
      </c>
    </row>
    <row r="16" spans="1:10" s="2" customFormat="1" x14ac:dyDescent="0.25">
      <c r="A16" s="25" t="s">
        <v>173</v>
      </c>
      <c r="B16" s="26" t="s">
        <v>149</v>
      </c>
      <c r="C16" s="36">
        <v>56850.135439999998</v>
      </c>
      <c r="D16" s="17">
        <v>74738.658039999995</v>
      </c>
      <c r="E16" s="17">
        <f>IF(OR(56850.13544="",74738.65804=""),"-",74738.65804/56850.13544*100)</f>
        <v>131.46610375076355</v>
      </c>
      <c r="F16" s="17">
        <f>IF(56850.13544="","-",56850.13544/5840607.31908*100)</f>
        <v>0.97336000066778861</v>
      </c>
      <c r="G16" s="17">
        <f>IF(74738.65804="","-",74738.65804/6911881.24719*100)</f>
        <v>1.081307033022084</v>
      </c>
      <c r="H16" s="17">
        <f>IF(OR(5710724.73459="",49651.09216="",56850.13544=""),"-",(56850.13544-49651.09216)/5710724.73459*100)</f>
        <v>0.12606181552395995</v>
      </c>
      <c r="I16" s="17">
        <f>IF(OR(5840607.31908="",74738.65804="",56850.13544=""),"-",(74738.65804-56850.13544)/5840607.31908*100)</f>
        <v>0.30627846767855915</v>
      </c>
    </row>
    <row r="17" spans="1:9" s="2" customFormat="1" x14ac:dyDescent="0.25">
      <c r="A17" s="25" t="s">
        <v>174</v>
      </c>
      <c r="B17" s="26" t="s">
        <v>107</v>
      </c>
      <c r="C17" s="36">
        <v>46904.735419999997</v>
      </c>
      <c r="D17" s="17">
        <v>48327.762210000001</v>
      </c>
      <c r="E17" s="17">
        <f>IF(OR(46904.73542="",48327.76221=""),"-",48327.76221/46904.73542*100)</f>
        <v>103.03386593540667</v>
      </c>
      <c r="F17" s="17">
        <f>IF(46904.73542="","-",46904.73542/5840607.31908*100)</f>
        <v>0.80307976307142548</v>
      </c>
      <c r="G17" s="17">
        <f>IF(48327.76221="","-",48327.76221/6911881.24719*100)</f>
        <v>0.69919838726464634</v>
      </c>
      <c r="H17" s="17">
        <f>IF(OR(5710724.73459="",39821.09253="",46904.73542=""),"-",(46904.73542-39821.09253)/5710724.73459*100)</f>
        <v>0.12404104941522041</v>
      </c>
      <c r="I17" s="17">
        <f>IF(OR(5840607.31908="",48327.76221="",46904.73542=""),"-",(48327.76221-46904.73542)/5840607.31908*100)</f>
        <v>2.4364363365968519E-2</v>
      </c>
    </row>
    <row r="18" spans="1:9" s="2" customFormat="1" x14ac:dyDescent="0.25">
      <c r="A18" s="25" t="s">
        <v>175</v>
      </c>
      <c r="B18" s="26" t="s">
        <v>150</v>
      </c>
      <c r="C18" s="36">
        <v>85551.118440000006</v>
      </c>
      <c r="D18" s="17">
        <v>96051.557679999998</v>
      </c>
      <c r="E18" s="17">
        <f>IF(OR(85551.11844="",96051.55768=""),"-",96051.55768/85551.11844*100)</f>
        <v>112.27387722273241</v>
      </c>
      <c r="F18" s="17">
        <f>IF(85551.11844="","-",85551.11844/5840607.31908*100)</f>
        <v>1.4647640864422269</v>
      </c>
      <c r="G18" s="17">
        <f>IF(96051.55768="","-",96051.55768/6911881.24719*100)</f>
        <v>1.3896586796691481</v>
      </c>
      <c r="H18" s="17">
        <f>IF(OR(5710724.73459="",78069.34593="",85551.11844=""),"-",(85551.11844-78069.34593)/5710724.73459*100)</f>
        <v>0.13101266227529285</v>
      </c>
      <c r="I18" s="17">
        <f>IF(OR(5840607.31908="",96051.55768="",85551.11844=""),"-",(96051.55768-85551.11844)/5840607.31908*100)</f>
        <v>0.17978334557259706</v>
      </c>
    </row>
    <row r="19" spans="1:9" s="2" customFormat="1" x14ac:dyDescent="0.25">
      <c r="A19" s="23" t="s">
        <v>176</v>
      </c>
      <c r="B19" s="24" t="s">
        <v>151</v>
      </c>
      <c r="C19" s="37">
        <v>110423.67666</v>
      </c>
      <c r="D19" s="16">
        <v>123807.09127</v>
      </c>
      <c r="E19" s="16">
        <f>IF(110423.67666="","-",123807.09127/110423.67666*100)</f>
        <v>112.12005886310796</v>
      </c>
      <c r="F19" s="16">
        <f>IF(110423.67666="","-",110423.67666/5840607.31908*100)</f>
        <v>1.8906197699555962</v>
      </c>
      <c r="G19" s="16">
        <f>IF(123807.09127="","-",123807.09127/6911881.24719*100)</f>
        <v>1.7912213309557847</v>
      </c>
      <c r="H19" s="16">
        <f>IF(5710724.73459="","-",(110423.67666-95767.18266)/5710724.73459*100)</f>
        <v>0.2566485810675701</v>
      </c>
      <c r="I19" s="16">
        <f>IF(5840607.31908="","-",(123807.09127-110423.67666)/5840607.31908*100)</f>
        <v>0.22914422899617459</v>
      </c>
    </row>
    <row r="20" spans="1:9" s="2" customFormat="1" x14ac:dyDescent="0.25">
      <c r="A20" s="25" t="s">
        <v>177</v>
      </c>
      <c r="B20" s="26" t="s">
        <v>152</v>
      </c>
      <c r="C20" s="36">
        <v>78130.069959999993</v>
      </c>
      <c r="D20" s="17">
        <v>91519.967680000002</v>
      </c>
      <c r="E20" s="17">
        <f>IF(OR(78130.06996="",91519.96768=""),"-",91519.96768/78130.06996*100)</f>
        <v>117.13795690552331</v>
      </c>
      <c r="F20" s="17">
        <f>IF(78130.06996="","-",78130.06996/5840607.31908*100)</f>
        <v>1.3377045517983372</v>
      </c>
      <c r="G20" s="17">
        <f>IF(91519.96768="","-",91519.96768/6911881.24719*100)</f>
        <v>1.324096355347643</v>
      </c>
      <c r="H20" s="17">
        <f>IF(OR(5710724.73459="",65847.74462="",78130.06996=""),"-",(78130.06996-65847.74462)/5710724.73459*100)</f>
        <v>0.21507472187559051</v>
      </c>
      <c r="I20" s="17">
        <f>IF(OR(5840607.31908="",91519.96768="",78130.06996=""),"-",(91519.96768-78130.06996)/5840607.31908*100)</f>
        <v>0.22925522961042272</v>
      </c>
    </row>
    <row r="21" spans="1:9" s="2" customFormat="1" x14ac:dyDescent="0.25">
      <c r="A21" s="25" t="s">
        <v>178</v>
      </c>
      <c r="B21" s="26" t="s">
        <v>153</v>
      </c>
      <c r="C21" s="36">
        <v>32293.6067</v>
      </c>
      <c r="D21" s="17">
        <v>32287.123589999999</v>
      </c>
      <c r="E21" s="17">
        <f>IF(OR(32293.6067="",32287.12359=""),"-",32287.12359/32293.6067*100)</f>
        <v>99.97992447836431</v>
      </c>
      <c r="F21" s="17">
        <f>IF(32293.6067="","-",32293.6067/5840607.31908*100)</f>
        <v>0.55291521815725864</v>
      </c>
      <c r="G21" s="17">
        <f>IF(32287.12359="","-",32287.12359/6911881.24719*100)</f>
        <v>0.46712497560814159</v>
      </c>
      <c r="H21" s="17">
        <f>IF(OR(5710724.73459="",29919.43804="",32293.6067=""),"-",(32293.6067-29919.43804)/5710724.73459*100)</f>
        <v>4.1573859191979638E-2</v>
      </c>
      <c r="I21" s="17">
        <f>IF(OR(5840607.31908="",32287.12359="",32293.6067=""),"-",(32287.12359-32293.6067)/5840607.31908*100)</f>
        <v>-1.1100061424814704E-4</v>
      </c>
    </row>
    <row r="22" spans="1:9" s="2" customFormat="1" x14ac:dyDescent="0.25">
      <c r="A22" s="23" t="s">
        <v>179</v>
      </c>
      <c r="B22" s="24" t="s">
        <v>17</v>
      </c>
      <c r="C22" s="37">
        <v>161049.46114</v>
      </c>
      <c r="D22" s="16">
        <v>174217.64405</v>
      </c>
      <c r="E22" s="16">
        <f>IF(161049.46114="","-",174217.64405/161049.46114*100)</f>
        <v>108.17648368196211</v>
      </c>
      <c r="F22" s="16">
        <f>IF(161049.46114="","-",161049.46114/5840607.31908*100)</f>
        <v>2.7574095011298958</v>
      </c>
      <c r="G22" s="16">
        <f>IF(174217.64405="","-",174217.64405/6911881.24719*100)</f>
        <v>2.5205532013563974</v>
      </c>
      <c r="H22" s="16">
        <f>IF(5710724.73459="","-",(161049.46114-158716.57429)/5710724.73459*100)</f>
        <v>4.085097703746176E-2</v>
      </c>
      <c r="I22" s="16">
        <f>IF(5840607.31908="","-",(174217.64405-161049.46114)/5840607.31908*100)</f>
        <v>0.22545913790475866</v>
      </c>
    </row>
    <row r="23" spans="1:9" s="2" customFormat="1" x14ac:dyDescent="0.25">
      <c r="A23" s="25">
        <v>21</v>
      </c>
      <c r="B23" s="72" t="s">
        <v>279</v>
      </c>
      <c r="C23" s="36">
        <v>0.11362999999999999</v>
      </c>
      <c r="D23" s="17">
        <v>1.8027200000000001</v>
      </c>
      <c r="E23" s="17" t="s">
        <v>330</v>
      </c>
      <c r="F23" s="17">
        <f>IF(0.11363="","-",0.11363/5840607.31908*100)</f>
        <v>1.9455168579609075E-6</v>
      </c>
      <c r="G23" s="17">
        <f>IF(1.80272="","-",1.80272/6911881.24719*100)</f>
        <v>2.6081466615661105E-5</v>
      </c>
      <c r="H23" s="17" t="str">
        <f>IF(OR(5710724.73459="",""="",0.11363=""),"-",(0.11363-"")/5710724.73459*100)</f>
        <v>-</v>
      </c>
      <c r="I23" s="17">
        <f>IF(OR(5840607.31908="",1.80272="",0.11363=""),"-",(1.80272-0.11363)/5840607.31908*100)</f>
        <v>2.8919766519521157E-5</v>
      </c>
    </row>
    <row r="24" spans="1:9" s="2" customFormat="1" x14ac:dyDescent="0.25">
      <c r="A24" s="25" t="s">
        <v>181</v>
      </c>
      <c r="B24" s="26" t="s">
        <v>154</v>
      </c>
      <c r="C24" s="36">
        <v>56778.046479999997</v>
      </c>
      <c r="D24" s="17">
        <v>45851.265070000001</v>
      </c>
      <c r="E24" s="17">
        <f>IF(OR(56778.04648="",45851.26507=""),"-",45851.26507/56778.04648*100)</f>
        <v>80.755270588872861</v>
      </c>
      <c r="F24" s="17">
        <f>IF(56778.04648="","-",56778.04648/5840607.31908*100)</f>
        <v>0.97212572902339123</v>
      </c>
      <c r="G24" s="17">
        <f>IF(45851.26507="","-",45851.26507/6911881.24719*100)</f>
        <v>0.66336882001033604</v>
      </c>
      <c r="H24" s="17">
        <f>IF(OR(5710724.73459="",68176.80161="",56778.04648=""),"-",(56778.04648-68176.80161)/5710724.73459*100)</f>
        <v>-0.19960260141690003</v>
      </c>
      <c r="I24" s="17">
        <f>IF(OR(5840607.31908="",45851.26507="",56778.04648=""),"-",(45851.26507-56778.04648)/5840607.31908*100)</f>
        <v>-0.18708296608649869</v>
      </c>
    </row>
    <row r="25" spans="1:9" s="2" customFormat="1" x14ac:dyDescent="0.25">
      <c r="A25" s="25" t="s">
        <v>234</v>
      </c>
      <c r="B25" s="26" t="s">
        <v>155</v>
      </c>
      <c r="C25" s="36">
        <v>2643.2485099999999</v>
      </c>
      <c r="D25" s="17">
        <v>2920.55638</v>
      </c>
      <c r="E25" s="17">
        <f>IF(OR(2643.24851="",2920.55638=""),"-",2920.55638/2643.24851*100)</f>
        <v>110.49117663174243</v>
      </c>
      <c r="F25" s="17">
        <f>IF(2643.24851="","-",2643.24851/5840607.31908*100)</f>
        <v>4.5256398274971833E-2</v>
      </c>
      <c r="G25" s="17">
        <f>IF(2920.55638="","-",2920.55638/6911881.24719*100)</f>
        <v>4.225414580418814E-2</v>
      </c>
      <c r="H25" s="17">
        <f>IF(OR(5710724.73459="",2814.7226="",2643.24851=""),"-",(2643.24851-2814.7226)/5710724.73459*100)</f>
        <v>-3.0026677518070061E-3</v>
      </c>
      <c r="I25" s="17">
        <f>IF(OR(5840607.31908="",2920.55638="",2643.24851=""),"-",(2920.55638-2643.24851)/5840607.31908*100)</f>
        <v>4.747928680192132E-3</v>
      </c>
    </row>
    <row r="26" spans="1:9" s="2" customFormat="1" x14ac:dyDescent="0.25">
      <c r="A26" s="25" t="s">
        <v>182</v>
      </c>
      <c r="B26" s="26" t="s">
        <v>156</v>
      </c>
      <c r="C26" s="36">
        <v>31633.772440000001</v>
      </c>
      <c r="D26" s="17">
        <v>39329.84762</v>
      </c>
      <c r="E26" s="17">
        <f>IF(OR(31633.77244="",39329.84762=""),"-",39329.84762/31633.77244*100)</f>
        <v>124.32866707439716</v>
      </c>
      <c r="F26" s="17">
        <f>IF(31633.77244="","-",31633.77244/5840607.31908*100)</f>
        <v>0.54161786115391308</v>
      </c>
      <c r="G26" s="17">
        <f>IF(39329.84762="","-",39329.84762/6911881.24719*100)</f>
        <v>0.56901798820674776</v>
      </c>
      <c r="H26" s="17">
        <f>IF(OR(5710724.73459="",28721.73533="",31633.77244=""),"-",(31633.77244-28721.73533)/5710724.73459*100)</f>
        <v>5.0992426449163644E-2</v>
      </c>
      <c r="I26" s="17">
        <f>IF(OR(5840607.31908="",39329.84762="",31633.77244=""),"-",(39329.84762-31633.77244)/5840607.31908*100)</f>
        <v>0.13176840625560612</v>
      </c>
    </row>
    <row r="27" spans="1:9" s="2" customFormat="1" x14ac:dyDescent="0.25">
      <c r="A27" s="25" t="s">
        <v>183</v>
      </c>
      <c r="B27" s="26" t="s">
        <v>108</v>
      </c>
      <c r="C27" s="36">
        <v>290.68033000000003</v>
      </c>
      <c r="D27" s="17">
        <v>650.40165999999999</v>
      </c>
      <c r="E27" s="17" t="s">
        <v>308</v>
      </c>
      <c r="F27" s="17">
        <f>IF(290.68033="","-",290.68033/5840607.31908*100)</f>
        <v>4.9768853497548157E-3</v>
      </c>
      <c r="G27" s="17">
        <f>IF(650.40166="","-",650.40166/6911881.24719*100)</f>
        <v>9.4099079069742183E-3</v>
      </c>
      <c r="H27" s="17">
        <f>IF(OR(5710724.73459="",248.09298="",290.68033=""),"-",(290.68033-248.09298)/5710724.73459*100)</f>
        <v>7.4574335096292408E-4</v>
      </c>
      <c r="I27" s="17">
        <f>IF(OR(5840607.31908="",650.40166="",290.68033=""),"-",(650.40166-290.68033)/5840607.31908*100)</f>
        <v>6.158971325205655E-3</v>
      </c>
    </row>
    <row r="28" spans="1:9" s="2" customFormat="1" ht="24" x14ac:dyDescent="0.25">
      <c r="A28" s="25" t="s">
        <v>184</v>
      </c>
      <c r="B28" s="26" t="s">
        <v>109</v>
      </c>
      <c r="C28" s="36">
        <v>5709.8358500000004</v>
      </c>
      <c r="D28" s="17">
        <v>5325.4230100000004</v>
      </c>
      <c r="E28" s="17">
        <f>IF(OR(5709.83585="",5325.42301=""),"-",5325.42301/5709.83585*100)</f>
        <v>93.267532550870087</v>
      </c>
      <c r="F28" s="17">
        <f>IF(5709.83585="","-",5709.83585/5840607.31908*100)</f>
        <v>9.7760995356547975E-2</v>
      </c>
      <c r="G28" s="17">
        <f>IF(5325.42301="","-",5325.42301/6911881.24719*100)</f>
        <v>7.7047374217620299E-2</v>
      </c>
      <c r="H28" s="17">
        <f>IF(OR(5710724.73459="",5137.65211="",5709.83585=""),"-",(5709.83585-5137.65211)/5710724.73459*100)</f>
        <v>1.0019459290941996E-2</v>
      </c>
      <c r="I28" s="17">
        <f>IF(OR(5840607.31908="",5325.42301="",5709.83585=""),"-",(5325.42301-5709.83585)/5840607.31908*100)</f>
        <v>-6.5817271903249926E-3</v>
      </c>
    </row>
    <row r="29" spans="1:9" s="2" customFormat="1" ht="24" x14ac:dyDescent="0.25">
      <c r="A29" s="25" t="s">
        <v>185</v>
      </c>
      <c r="B29" s="26" t="s">
        <v>110</v>
      </c>
      <c r="C29" s="36">
        <v>19112.591509999998</v>
      </c>
      <c r="D29" s="17">
        <v>22087.95622</v>
      </c>
      <c r="E29" s="17">
        <f>IF(OR(19112.59151="",22087.95622=""),"-",22087.95622/19112.59151*100)</f>
        <v>115.56756292543189</v>
      </c>
      <c r="F29" s="17">
        <f>IF(19112.59151="","-",19112.59151/5840607.31908*100)</f>
        <v>0.32723637227867208</v>
      </c>
      <c r="G29" s="17">
        <f>IF(22087.95622="","-",22087.95622/6911881.24719*100)</f>
        <v>0.31956504213639053</v>
      </c>
      <c r="H29" s="17">
        <f>IF(OR(5710724.73459="",14964.86726="",19112.59151=""),"-",(19112.59151-14964.86726)/5710724.73459*100)</f>
        <v>7.263043558862381E-2</v>
      </c>
      <c r="I29" s="17">
        <f>IF(OR(5840607.31908="",22087.95622="",19112.59151=""),"-",(22087.95622-19112.59151)/5840607.31908*100)</f>
        <v>5.094272816938282E-2</v>
      </c>
    </row>
    <row r="30" spans="1:9" s="2" customFormat="1" x14ac:dyDescent="0.25">
      <c r="A30" s="25" t="s">
        <v>186</v>
      </c>
      <c r="B30" s="26" t="s">
        <v>111</v>
      </c>
      <c r="C30" s="36">
        <v>1128.19658</v>
      </c>
      <c r="D30" s="17">
        <v>1295.83863</v>
      </c>
      <c r="E30" s="17">
        <f>IF(OR(1128.19658="",1295.83863=""),"-",1295.83863/1128.19658*100)</f>
        <v>114.85929429071659</v>
      </c>
      <c r="F30" s="17">
        <f>IF(1128.19658="","-",1128.19658/5840607.31908*100)</f>
        <v>1.9316425816103506E-2</v>
      </c>
      <c r="G30" s="17">
        <f>IF(1295.83863="","-",1295.83863/6911881.24719*100)</f>
        <v>1.8747987467620606E-2</v>
      </c>
      <c r="H30" s="17">
        <f>IF(OR(5710724.73459="",2109.71072="",1128.19658=""),"-",(1128.19658-2109.71072)/5710724.73459*100)</f>
        <v>-1.7187208027291963E-2</v>
      </c>
      <c r="I30" s="17">
        <f>IF(OR(5840607.31908="",1295.83863="",1128.19658=""),"-",(1295.83863-1128.19658)/5840607.31908*100)</f>
        <v>2.8702845584627754E-3</v>
      </c>
    </row>
    <row r="31" spans="1:9" s="2" customFormat="1" x14ac:dyDescent="0.25">
      <c r="A31" s="25" t="s">
        <v>187</v>
      </c>
      <c r="B31" s="26" t="s">
        <v>112</v>
      </c>
      <c r="C31" s="36">
        <v>43752.975810000004</v>
      </c>
      <c r="D31" s="17">
        <v>56754.552739999999</v>
      </c>
      <c r="E31" s="17">
        <f>IF(OR(43752.97581="",56754.55274=""),"-",56754.55274/43752.97581*100)</f>
        <v>129.71586889646122</v>
      </c>
      <c r="F31" s="17">
        <f>IF(43752.97581="","-",43752.97581/5840607.31908*100)</f>
        <v>0.74911688835968315</v>
      </c>
      <c r="G31" s="17">
        <f>IF(56754.55274="","-",56754.55274/6911881.24719*100)</f>
        <v>0.82111585413990384</v>
      </c>
      <c r="H31" s="17">
        <f>IF(OR(5710724.73459="",36542.99168="",43752.97581=""),"-",(43752.97581-36542.99168)/5710724.73459*100)</f>
        <v>0.12625339978880357</v>
      </c>
      <c r="I31" s="17">
        <f>IF(OR(5840607.31908="",56754.55274="",43752.97581=""),"-",(56754.55274-43752.97581)/5840607.31908*100)</f>
        <v>0.22260659242621328</v>
      </c>
    </row>
    <row r="32" spans="1:9" s="2" customFormat="1" x14ac:dyDescent="0.25">
      <c r="A32" s="23" t="s">
        <v>188</v>
      </c>
      <c r="B32" s="24" t="s">
        <v>113</v>
      </c>
      <c r="C32" s="37">
        <v>1018872.87907</v>
      </c>
      <c r="D32" s="16">
        <v>1522964.2919399999</v>
      </c>
      <c r="E32" s="16">
        <f>IF(1018872.87907="","-",1522964.29194/1018872.87907*100)</f>
        <v>149.47539808205721</v>
      </c>
      <c r="F32" s="16">
        <f>IF(1018872.87907="","-",1018872.87907/5840607.31908*100)</f>
        <v>17.444639288478836</v>
      </c>
      <c r="G32" s="16">
        <f>IF(1522964.29194="","-",1522964.29194/6911881.24719*100)</f>
        <v>22.03400546789133</v>
      </c>
      <c r="H32" s="16">
        <f>IF(5710724.73459="","-",(1018872.87907-1343475.6323)/5710724.73459*100)</f>
        <v>-5.6840903443283315</v>
      </c>
      <c r="I32" s="16">
        <f>IF(5840607.31908="","-",(1522964.29194-1018872.87907)/5840607.31908*100)</f>
        <v>8.6308047319538552</v>
      </c>
    </row>
    <row r="33" spans="1:9" s="2" customFormat="1" x14ac:dyDescent="0.25">
      <c r="A33" s="25" t="s">
        <v>189</v>
      </c>
      <c r="B33" s="26" t="s">
        <v>157</v>
      </c>
      <c r="C33" s="36">
        <v>9967.29522</v>
      </c>
      <c r="D33" s="17">
        <v>13445.60427</v>
      </c>
      <c r="E33" s="17">
        <f>IF(OR(9967.29522="",13445.60427=""),"-",13445.60427/9967.29522*100)</f>
        <v>134.89722109384857</v>
      </c>
      <c r="F33" s="17">
        <f>IF(9967.29522="","-",9967.29522/5840607.31908*100)</f>
        <v>0.1706551164198114</v>
      </c>
      <c r="G33" s="17">
        <f>IF(13445.60427="","-",13445.60427/6911881.24719*100)</f>
        <v>0.19452886687638421</v>
      </c>
      <c r="H33" s="17">
        <f>IF(OR(5710724.73459="",13185.49411="",9967.29522=""),"-",(9967.29522-13185.49411)/5710724.73459*100)</f>
        <v>-5.6353598528524583E-2</v>
      </c>
      <c r="I33" s="17">
        <f>IF(OR(5840607.31908="",13445.60427="",9967.29522=""),"-",(13445.60427-9967.29522)/5840607.31908*100)</f>
        <v>5.9553893284986253E-2</v>
      </c>
    </row>
    <row r="34" spans="1:9" s="2" customFormat="1" x14ac:dyDescent="0.25">
      <c r="A34" s="25" t="s">
        <v>190</v>
      </c>
      <c r="B34" s="26" t="s">
        <v>114</v>
      </c>
      <c r="C34" s="36">
        <v>656206.66662999999</v>
      </c>
      <c r="D34" s="17">
        <v>594661.85002000001</v>
      </c>
      <c r="E34" s="17">
        <f>IF(OR(656206.66663="",594661.85002=""),"-",594661.85002/656206.66663*100)</f>
        <v>90.62112292670416</v>
      </c>
      <c r="F34" s="17">
        <f>IF(656206.66663="","-",656206.66663/5840607.31908*100)</f>
        <v>11.235247137507685</v>
      </c>
      <c r="G34" s="17">
        <f>IF(594661.85002="","-",594661.85002/6911881.24719*100)</f>
        <v>8.6034731899040899</v>
      </c>
      <c r="H34" s="17">
        <f>IF(OR(5710724.73459="",902182.8289="",656206.66663=""),"-",(656206.66663-902182.8289)/5710724.73459*100)</f>
        <v>-4.307267005536378</v>
      </c>
      <c r="I34" s="17">
        <f>IF(OR(5840607.31908="",594661.85002="",656206.66663=""),"-",(594661.85002-656206.66663)/5840607.31908*100)</f>
        <v>-1.0537400179078362</v>
      </c>
    </row>
    <row r="35" spans="1:9" s="2" customFormat="1" x14ac:dyDescent="0.25">
      <c r="A35" s="25" t="s">
        <v>235</v>
      </c>
      <c r="B35" s="26" t="s">
        <v>158</v>
      </c>
      <c r="C35" s="36">
        <v>286510.67361</v>
      </c>
      <c r="D35" s="17">
        <v>631473.56388999999</v>
      </c>
      <c r="E35" s="17" t="s">
        <v>308</v>
      </c>
      <c r="F35" s="17">
        <f>IF(286510.67361="","-",286510.67361/5840607.31908*100)</f>
        <v>4.9054945480418048</v>
      </c>
      <c r="G35" s="17">
        <f>IF(631473.56389="","-",631473.56389/6911881.24719*100)</f>
        <v>9.1360592189966123</v>
      </c>
      <c r="H35" s="17">
        <f>IF(OR(5710724.73459="",394088.27119="",286510.67361=""),"-",(286510.67361-394088.27119)/5710724.73459*100)</f>
        <v>-1.8837818767274819</v>
      </c>
      <c r="I35" s="17">
        <f>IF(OR(5840607.31908="",631473.56389="",286510.67361=""),"-",(631473.56389-286510.67361)/5840607.31908*100)</f>
        <v>5.9062845939510593</v>
      </c>
    </row>
    <row r="36" spans="1:9" s="2" customFormat="1" x14ac:dyDescent="0.25">
      <c r="A36" s="25" t="s">
        <v>240</v>
      </c>
      <c r="B36" s="26" t="s">
        <v>242</v>
      </c>
      <c r="C36" s="36">
        <v>66188.243610000005</v>
      </c>
      <c r="D36" s="17">
        <v>283383.27376000001</v>
      </c>
      <c r="E36" s="17" t="s">
        <v>367</v>
      </c>
      <c r="F36" s="17">
        <f>IF(66188.24361="","-",66188.24361/5840607.31908*100)</f>
        <v>1.1332424865095336</v>
      </c>
      <c r="G36" s="17">
        <f>IF(283383.27376="","-",283383.27376/6911881.24719*100)</f>
        <v>4.0999441921142443</v>
      </c>
      <c r="H36" s="17">
        <f>IF(OR(5710724.73459="",34019.0381="",66188.24361=""),"-",(66188.24361-34019.0381)/5710724.73459*100)</f>
        <v>0.56331213646405232</v>
      </c>
      <c r="I36" s="17">
        <f>IF(OR(5840607.31908="",283383.27376="",66188.24361=""),"-",(283383.27376-66188.24361)/5840607.31908*100)</f>
        <v>3.7187062626256497</v>
      </c>
    </row>
    <row r="37" spans="1:9" s="2" customFormat="1" x14ac:dyDescent="0.25">
      <c r="A37" s="23" t="s">
        <v>191</v>
      </c>
      <c r="B37" s="24" t="s">
        <v>115</v>
      </c>
      <c r="C37" s="37">
        <v>43356.727760000002</v>
      </c>
      <c r="D37" s="16">
        <v>29819.224760000001</v>
      </c>
      <c r="E37" s="16">
        <f>IF(43356.72776="","-",29819.22476/43356.72776*100)</f>
        <v>68.776465154528083</v>
      </c>
      <c r="F37" s="16">
        <f>IF(43356.72776="","-",43356.72776/5840607.31908*100)</f>
        <v>0.74233252453666854</v>
      </c>
      <c r="G37" s="16">
        <f>IF(29819.22476="","-",29819.22476/6911881.24719*100)</f>
        <v>0.4314198073371544</v>
      </c>
      <c r="H37" s="16">
        <f>IF(5710724.73459="","-",(43356.72776-18582.02242)/5710724.73459*100)</f>
        <v>0.43382769248076353</v>
      </c>
      <c r="I37" s="16">
        <f>IF(5840607.31908="","-",(29819.22476-43356.72776)/5840607.31908*100)</f>
        <v>-0.23178245446797818</v>
      </c>
    </row>
    <row r="38" spans="1:9" s="2" customFormat="1" x14ac:dyDescent="0.25">
      <c r="A38" s="25" t="s">
        <v>192</v>
      </c>
      <c r="B38" s="26" t="s">
        <v>161</v>
      </c>
      <c r="C38" s="36">
        <v>1543.61277</v>
      </c>
      <c r="D38" s="17">
        <v>1590.8374799999999</v>
      </c>
      <c r="E38" s="17">
        <f>IF(OR(1543.61277="",1590.83748=""),"-",1590.83748/1543.61277*100)</f>
        <v>103.05936248506158</v>
      </c>
      <c r="F38" s="17">
        <f>IF(1543.61277="","-",1543.61277/5840607.31908*100)</f>
        <v>2.6428977085265624E-2</v>
      </c>
      <c r="G38" s="17">
        <f>IF(1590.83748="","-",1590.83748/6911881.24719*100)</f>
        <v>2.3015983971755145E-2</v>
      </c>
      <c r="H38" s="17">
        <f>IF(OR(5710724.73459="",2262.66883="",1543.61277=""),"-",(1543.61277-2262.66883)/5710724.73459*100)</f>
        <v>-1.2591327605840637E-2</v>
      </c>
      <c r="I38" s="17">
        <f>IF(OR(5840607.31908="",1590.83748="",1543.61277=""),"-",(1590.83748-1543.61277)/5840607.31908*100)</f>
        <v>8.0855821013213903E-4</v>
      </c>
    </row>
    <row r="39" spans="1:9" s="2" customFormat="1" ht="24" x14ac:dyDescent="0.25">
      <c r="A39" s="25" t="s">
        <v>193</v>
      </c>
      <c r="B39" s="26" t="s">
        <v>116</v>
      </c>
      <c r="C39" s="36">
        <v>39798.753429999997</v>
      </c>
      <c r="D39" s="17">
        <v>20178.99325</v>
      </c>
      <c r="E39" s="17">
        <f>IF(OR(39798.75343="",20178.99325=""),"-",20178.99325/39798.75343*100)</f>
        <v>50.702576113324263</v>
      </c>
      <c r="F39" s="17">
        <f>IF(39798.75343="","-",39798.75343/5840607.31908*100)</f>
        <v>0.68141464159020049</v>
      </c>
      <c r="G39" s="17">
        <f>IF(20178.99325="","-",20178.99325/6911881.24719*100)</f>
        <v>0.29194646910642014</v>
      </c>
      <c r="H39" s="17">
        <f>IF(OR(5710724.73459="",14041.23914="",39798.75343=""),"-",(39798.75343-14041.23914)/5710724.73459*100)</f>
        <v>0.45103757381241133</v>
      </c>
      <c r="I39" s="17">
        <f>IF(OR(5840607.31908="",20178.99325="",39798.75343=""),"-",(20178.99325-39798.75343)/5840607.31908*100)</f>
        <v>-0.33591986429059334</v>
      </c>
    </row>
    <row r="40" spans="1:9" s="2" customFormat="1" ht="36" x14ac:dyDescent="0.25">
      <c r="A40" s="25" t="s">
        <v>194</v>
      </c>
      <c r="B40" s="26" t="s">
        <v>159</v>
      </c>
      <c r="C40" s="36">
        <v>2014.3615600000001</v>
      </c>
      <c r="D40" s="17">
        <v>8049.3940300000004</v>
      </c>
      <c r="E40" s="17" t="s">
        <v>338</v>
      </c>
      <c r="F40" s="17">
        <f>IF(2014.36156="","-",2014.36156/5840607.31908*100)</f>
        <v>3.4488905861202429E-2</v>
      </c>
      <c r="G40" s="17">
        <f>IF(8049.39403="","-",8049.39403/6911881.24719*100)</f>
        <v>0.11645735425897909</v>
      </c>
      <c r="H40" s="17">
        <f>IF(OR(5710724.73459="",2278.11445="",2014.36156=""),"-",(2014.36156-2278.11445)/5710724.73459*100)</f>
        <v>-4.6185537258072043E-3</v>
      </c>
      <c r="I40" s="17">
        <f>IF(OR(5840607.31908="",8049.39403="",2014.36156=""),"-",(8049.39403-2014.36156)/5840607.31908*100)</f>
        <v>0.10332885161248309</v>
      </c>
    </row>
    <row r="41" spans="1:9" s="2" customFormat="1" ht="24" x14ac:dyDescent="0.25">
      <c r="A41" s="23" t="s">
        <v>195</v>
      </c>
      <c r="B41" s="24" t="s">
        <v>117</v>
      </c>
      <c r="C41" s="37">
        <v>741392.52755999996</v>
      </c>
      <c r="D41" s="16">
        <v>781298.87566000002</v>
      </c>
      <c r="E41" s="16">
        <f>IF(741392.52756="","-",781298.87566/741392.52756*100)</f>
        <v>105.38262075979318</v>
      </c>
      <c r="F41" s="16">
        <f>IF(741392.52756="","-",741392.52756/5840607.31908*100)</f>
        <v>12.693757464879226</v>
      </c>
      <c r="G41" s="16">
        <f>IF(781298.87566="","-",781298.87566/6911881.24719*100)</f>
        <v>11.303708031408009</v>
      </c>
      <c r="H41" s="16">
        <f>IF(5710724.73459="","-",(741392.52756-741186.20701)/5710724.73459*100)</f>
        <v>3.6128610568507561E-3</v>
      </c>
      <c r="I41" s="16">
        <f>IF(5840607.31908="","-",(781298.87566-741392.52756)/5840607.31908*100)</f>
        <v>0.68325682450238789</v>
      </c>
    </row>
    <row r="42" spans="1:9" s="2" customFormat="1" x14ac:dyDescent="0.25">
      <c r="A42" s="25" t="s">
        <v>196</v>
      </c>
      <c r="B42" s="26" t="s">
        <v>18</v>
      </c>
      <c r="C42" s="36">
        <v>11498.93809</v>
      </c>
      <c r="D42" s="17">
        <v>12129.803239999999</v>
      </c>
      <c r="E42" s="17">
        <f>IF(OR(11498.93809="",12129.80324=""),"-",12129.80324/11498.93809*100)</f>
        <v>105.48629051710982</v>
      </c>
      <c r="F42" s="17">
        <f>IF(11498.93809="","-",11498.93809/5840607.31908*100)</f>
        <v>0.19687915077658888</v>
      </c>
      <c r="G42" s="17">
        <f>IF(12129.80324="","-",12129.80324/6911881.24719*100)</f>
        <v>0.17549206657639446</v>
      </c>
      <c r="H42" s="17">
        <f>IF(OR(5710724.73459="",10715.56822="",11498.93809=""),"-",(11498.93809-10715.56822)/5710724.73459*100)</f>
        <v>1.3717521092465023E-2</v>
      </c>
      <c r="I42" s="17">
        <f>IF(OR(5840607.31908="",12129.80324="",11498.93809=""),"-",(12129.80324-11498.93809)/5840607.31908*100)</f>
        <v>1.0801362179222351E-2</v>
      </c>
    </row>
    <row r="43" spans="1:9" s="2" customFormat="1" x14ac:dyDescent="0.25">
      <c r="A43" s="25" t="s">
        <v>197</v>
      </c>
      <c r="B43" s="26" t="s">
        <v>19</v>
      </c>
      <c r="C43" s="36">
        <v>17569.588940000001</v>
      </c>
      <c r="D43" s="17">
        <v>18125.635030000001</v>
      </c>
      <c r="E43" s="17">
        <f>IF(OR(17569.58894="",18125.63503=""),"-",18125.63503/17569.58894*100)</f>
        <v>103.16482128238111</v>
      </c>
      <c r="F43" s="17">
        <f>IF(17569.58894="","-",17569.58894/5840607.31908*100)</f>
        <v>0.30081784273707218</v>
      </c>
      <c r="G43" s="17">
        <f>IF(18125.63503="","-",18125.63503/6911881.24719*100)</f>
        <v>0.26223880853521481</v>
      </c>
      <c r="H43" s="17">
        <f>IF(OR(5710724.73459="",24341.02746="",17569.58894=""),"-",(17569.58894-24341.02746)/5710724.73459*100)</f>
        <v>-0.11857406607230132</v>
      </c>
      <c r="I43" s="17">
        <f>IF(OR(5840607.31908="",18125.63503="",17569.58894=""),"-",(18125.63503-17569.58894)/5840607.31908*100)</f>
        <v>9.5203471081426357E-3</v>
      </c>
    </row>
    <row r="44" spans="1:9" s="2" customFormat="1" x14ac:dyDescent="0.25">
      <c r="A44" s="25" t="s">
        <v>198</v>
      </c>
      <c r="B44" s="26" t="s">
        <v>118</v>
      </c>
      <c r="C44" s="36">
        <v>42018.231160000003</v>
      </c>
      <c r="D44" s="17">
        <v>45463.817629999998</v>
      </c>
      <c r="E44" s="17">
        <f>IF(OR(42018.23116="",45463.81763=""),"-",45463.81763/42018.23116*100)</f>
        <v>108.20021779803068</v>
      </c>
      <c r="F44" s="17">
        <f>IF(42018.23116="","-",42018.23116/5840607.31908*100)</f>
        <v>0.71941544542355274</v>
      </c>
      <c r="G44" s="17">
        <f>IF(45463.81763="","-",45463.81763/6911881.24719*100)</f>
        <v>0.65776329199063066</v>
      </c>
      <c r="H44" s="17">
        <f>IF(OR(5710724.73459="",34780.26023="",42018.23116=""),"-",(42018.23116-34780.26023)/5710724.73459*100)</f>
        <v>0.12674347418917667</v>
      </c>
      <c r="I44" s="17">
        <f>IF(OR(5840607.31908="",45463.81763="",42018.23116=""),"-",(45463.81763-42018.23116)/5840607.31908*100)</f>
        <v>5.8993633397403884E-2</v>
      </c>
    </row>
    <row r="45" spans="1:9" s="2" customFormat="1" x14ac:dyDescent="0.25">
      <c r="A45" s="25" t="s">
        <v>199</v>
      </c>
      <c r="B45" s="26" t="s">
        <v>119</v>
      </c>
      <c r="C45" s="36">
        <v>208365.70921</v>
      </c>
      <c r="D45" s="17">
        <v>218740.13691</v>
      </c>
      <c r="E45" s="17">
        <f>IF(OR(208365.70921="",218740.13691=""),"-",218740.13691/208365.70921*100)</f>
        <v>104.97895154597832</v>
      </c>
      <c r="F45" s="17">
        <f>IF(208365.70921="","-",208365.70921/5840607.31908*100)</f>
        <v>3.5675349809824461</v>
      </c>
      <c r="G45" s="17">
        <f>IF(218740.13691="","-",218740.13691/6911881.24719*100)</f>
        <v>3.1646975560948478</v>
      </c>
      <c r="H45" s="17">
        <f>IF(OR(5710724.73459="",193135.30069="",208365.70921=""),"-",(208365.70921-193135.30069)/5710724.73459*100)</f>
        <v>0.26669834789530372</v>
      </c>
      <c r="I45" s="17">
        <f>IF(OR(5840607.31908="",218740.13691="",208365.70921=""),"-",(218740.13691-208365.70921)/5840607.31908*100)</f>
        <v>0.17762583808894308</v>
      </c>
    </row>
    <row r="46" spans="1:9" s="2" customFormat="1" ht="24" x14ac:dyDescent="0.25">
      <c r="A46" s="25" t="s">
        <v>200</v>
      </c>
      <c r="B46" s="26" t="s">
        <v>120</v>
      </c>
      <c r="C46" s="36">
        <v>134166.63376</v>
      </c>
      <c r="D46" s="17">
        <v>143374.38388000001</v>
      </c>
      <c r="E46" s="17">
        <f>IF(OR(134166.63376="",143374.38388=""),"-",143374.38388/134166.63376*100)</f>
        <v>106.86292102734799</v>
      </c>
      <c r="F46" s="17">
        <f>IF(134166.63376="","-",134166.63376/5840607.31908*100)</f>
        <v>2.2971349798112031</v>
      </c>
      <c r="G46" s="17">
        <f>IF(143374.38388="","-",143374.38388/6911881.24719*100)</f>
        <v>2.0743178123653143</v>
      </c>
      <c r="H46" s="17">
        <f>IF(OR(5710724.73459="",112745.97763="",134166.63376=""),"-",(134166.63376-112745.97763)/5710724.73459*100)</f>
        <v>0.37509523091271696</v>
      </c>
      <c r="I46" s="17">
        <f>IF(OR(5840607.31908="",143374.38388="",134166.63376=""),"-",(143374.38388-134166.63376)/5840607.31908*100)</f>
        <v>0.15765055955602914</v>
      </c>
    </row>
    <row r="47" spans="1:9" s="2" customFormat="1" x14ac:dyDescent="0.25">
      <c r="A47" s="25" t="s">
        <v>201</v>
      </c>
      <c r="B47" s="26" t="s">
        <v>121</v>
      </c>
      <c r="C47" s="36">
        <v>68494.408490000002</v>
      </c>
      <c r="D47" s="17">
        <v>70986.081420000002</v>
      </c>
      <c r="E47" s="17">
        <f>IF(OR(68494.40849="",70986.08142=""),"-",70986.08142/68494.40849*100)</f>
        <v>103.63777567385486</v>
      </c>
      <c r="F47" s="17">
        <f>IF(68494.40849="","-",68494.40849/5840607.31908*100)</f>
        <v>1.1727275050018102</v>
      </c>
      <c r="G47" s="17">
        <f>IF(70986.08142="","-",70986.08142/6911881.24719*100)</f>
        <v>1.0270153505438064</v>
      </c>
      <c r="H47" s="17">
        <f>IF(OR(5710724.73459="",102094.37523="",68494.40849=""),"-",(68494.40849-102094.37523)/5710724.73459*100)</f>
        <v>-0.58836607088561255</v>
      </c>
      <c r="I47" s="17">
        <f>IF(OR(5840607.31908="",70986.08142="",68494.40849=""),"-",(70986.08142-68494.40849)/5840607.31908*100)</f>
        <v>4.2661195897560934E-2</v>
      </c>
    </row>
    <row r="48" spans="1:9" s="2" customFormat="1" x14ac:dyDescent="0.25">
      <c r="A48" s="25" t="s">
        <v>202</v>
      </c>
      <c r="B48" s="26" t="s">
        <v>20</v>
      </c>
      <c r="C48" s="36">
        <v>42390.858050000003</v>
      </c>
      <c r="D48" s="17">
        <v>40150.606619999999</v>
      </c>
      <c r="E48" s="17">
        <f>IF(OR(42390.85805="",40150.60662=""),"-",40150.60662/42390.85805*100)</f>
        <v>94.715248680841441</v>
      </c>
      <c r="F48" s="17">
        <f>IF(42390.85805="","-",42390.85805/5840607.31908*100)</f>
        <v>0.72579537938663063</v>
      </c>
      <c r="G48" s="17">
        <f>IF(40150.60662="","-",40150.60662/6911881.24719*100)</f>
        <v>0.58089259904925428</v>
      </c>
      <c r="H48" s="17">
        <f>IF(OR(5710724.73459="",46310.45733="",42390.85805=""),"-",(42390.85805-46310.45733)/5710724.73459*100)</f>
        <v>-6.8635759245387645E-2</v>
      </c>
      <c r="I48" s="17">
        <f>IF(OR(5840607.31908="",40150.60662="",42390.85805=""),"-",(40150.60662-42390.85805)/5840607.31908*100)</f>
        <v>-3.8356480886526774E-2</v>
      </c>
    </row>
    <row r="49" spans="1:9" s="2" customFormat="1" x14ac:dyDescent="0.25">
      <c r="A49" s="25" t="s">
        <v>203</v>
      </c>
      <c r="B49" s="26" t="s">
        <v>21</v>
      </c>
      <c r="C49" s="36">
        <v>98750.499549999993</v>
      </c>
      <c r="D49" s="17">
        <v>109678.75942</v>
      </c>
      <c r="E49" s="17">
        <f>IF(OR(98750.49955="",109678.75942=""),"-",109678.75942/98750.49955*100)</f>
        <v>111.06653629075238</v>
      </c>
      <c r="F49" s="17">
        <f>IF(98750.49955="","-",98750.49955/5840607.31908*100)</f>
        <v>1.6907573845514916</v>
      </c>
      <c r="G49" s="17">
        <f>IF(109678.75942="","-",109678.75942/6911881.24719*100)</f>
        <v>1.5868148698965208</v>
      </c>
      <c r="H49" s="17">
        <f>IF(OR(5710724.73459="",93325.4704="",98750.49955=""),"-",(98750.49955-93325.4704)/5710724.73459*100)</f>
        <v>9.4997209673589295E-2</v>
      </c>
      <c r="I49" s="17">
        <f>IF(OR(5840607.31908="",109678.75942="",98750.49955=""),"-",(109678.75942-98750.49955)/5840607.31908*100)</f>
        <v>0.18710827954996648</v>
      </c>
    </row>
    <row r="50" spans="1:9" s="2" customFormat="1" x14ac:dyDescent="0.25">
      <c r="A50" s="25" t="s">
        <v>204</v>
      </c>
      <c r="B50" s="26" t="s">
        <v>122</v>
      </c>
      <c r="C50" s="36">
        <v>118137.66031000001</v>
      </c>
      <c r="D50" s="17">
        <v>122649.65151</v>
      </c>
      <c r="E50" s="17">
        <f>IF(OR(118137.66031="",122649.65151=""),"-",122649.65151/118137.66031*100)</f>
        <v>103.8192657516327</v>
      </c>
      <c r="F50" s="17">
        <f>IF(118137.66031="","-",118137.66031/5840607.31908*100)</f>
        <v>2.022694796208433</v>
      </c>
      <c r="G50" s="17">
        <f>IF(122649.65151="","-",122649.65151/6911881.24719*100)</f>
        <v>1.774475676356025</v>
      </c>
      <c r="H50" s="17">
        <f>IF(OR(5710724.73459="",123737.76982="",118137.66031=""),"-",(118137.66031-123737.76982)/5710724.73459*100)</f>
        <v>-9.8063026503098533E-2</v>
      </c>
      <c r="I50" s="17">
        <f>IF(OR(5840607.31908="",122649.65151="",118137.66031=""),"-",(122649.65151-118137.66031)/5840607.31908*100)</f>
        <v>7.7252089611645189E-2</v>
      </c>
    </row>
    <row r="51" spans="1:9" s="2" customFormat="1" ht="24" x14ac:dyDescent="0.25">
      <c r="A51" s="23" t="s">
        <v>205</v>
      </c>
      <c r="B51" s="24" t="s">
        <v>268</v>
      </c>
      <c r="C51" s="37">
        <v>882408.30899000005</v>
      </c>
      <c r="D51" s="16">
        <v>989814.90641000005</v>
      </c>
      <c r="E51" s="16">
        <f>IF(882408.30899="","-",989814.90641/882408.30899*100)</f>
        <v>112.171983913313</v>
      </c>
      <c r="F51" s="16">
        <f>IF(882408.30899="","-",882408.30899/5840607.31908*100)</f>
        <v>15.108160175524265</v>
      </c>
      <c r="G51" s="16">
        <f>IF(989814.90641="","-",989814.90641/6911881.24719*100)</f>
        <v>14.320484843578669</v>
      </c>
      <c r="H51" s="16">
        <f>IF(5710724.73459="","-",(882408.30899-796038.52358)/5710724.73459*100)</f>
        <v>1.5124137377320273</v>
      </c>
      <c r="I51" s="16">
        <f>IF(5840607.31908="","-",(989814.90641-882408.30899)/5840607.31908*100)</f>
        <v>1.8389628261623734</v>
      </c>
    </row>
    <row r="52" spans="1:9" s="2" customFormat="1" x14ac:dyDescent="0.25">
      <c r="A52" s="25" t="s">
        <v>206</v>
      </c>
      <c r="B52" s="26" t="s">
        <v>123</v>
      </c>
      <c r="C52" s="36">
        <v>22864.323560000001</v>
      </c>
      <c r="D52" s="17">
        <v>17202.450069999999</v>
      </c>
      <c r="E52" s="17">
        <f>IF(OR(22864.32356="",17202.45007=""),"-",17202.45007/22864.32356*100)</f>
        <v>75.237082894045599</v>
      </c>
      <c r="F52" s="17">
        <f>IF(22864.32356="","-",22864.32356/5840607.31908*100)</f>
        <v>0.39147167941435146</v>
      </c>
      <c r="G52" s="17">
        <f>IF(17202.45007="","-",17202.45007/6911881.24719*100)</f>
        <v>0.24888231517278445</v>
      </c>
      <c r="H52" s="17">
        <f>IF(OR(5710724.73459="",29697.36784="",22864.32356=""),"-",(22864.32356-29697.36784)/5710724.73459*100)</f>
        <v>-0.11965283913287016</v>
      </c>
      <c r="I52" s="17">
        <f>IF(OR(5840607.31908="",17202.45007="",22864.32356=""),"-",(17202.45007-22864.32356)/5840607.31908*100)</f>
        <v>-9.6939807466663391E-2</v>
      </c>
    </row>
    <row r="53" spans="1:9" s="2" customFormat="1" x14ac:dyDescent="0.25">
      <c r="A53" s="25" t="s">
        <v>207</v>
      </c>
      <c r="B53" s="26" t="s">
        <v>22</v>
      </c>
      <c r="C53" s="36">
        <v>56855.942730000002</v>
      </c>
      <c r="D53" s="17">
        <v>62571.292419999998</v>
      </c>
      <c r="E53" s="17">
        <f>IF(OR(56855.94273="",62571.29242=""),"-",62571.29242/56855.94273*100)</f>
        <v>110.05233475265955</v>
      </c>
      <c r="F53" s="17">
        <f>IF(56855.94273="","-",56855.94273/5840607.31908*100)</f>
        <v>0.97345943022507164</v>
      </c>
      <c r="G53" s="17">
        <f>IF(62571.29242="","-",62571.29242/6911881.24719*100)</f>
        <v>0.90527151989826404</v>
      </c>
      <c r="H53" s="17">
        <f>IF(OR(5710724.73459="",48305.75323="",56855.94273=""),"-",(56855.94273-48305.75323)/5710724.73459*100)</f>
        <v>0.14972161848760268</v>
      </c>
      <c r="I53" s="17">
        <f>IF(OR(5840607.31908="",62571.29242="",56855.94273=""),"-",(62571.29242-56855.94273)/5840607.31908*100)</f>
        <v>9.7855400607556431E-2</v>
      </c>
    </row>
    <row r="54" spans="1:9" s="2" customFormat="1" x14ac:dyDescent="0.25">
      <c r="A54" s="25" t="s">
        <v>208</v>
      </c>
      <c r="B54" s="26" t="s">
        <v>124</v>
      </c>
      <c r="C54" s="36">
        <v>76860.469779999999</v>
      </c>
      <c r="D54" s="17">
        <v>81269.451759999996</v>
      </c>
      <c r="E54" s="17">
        <f>IF(OR(76860.46978="",81269.45176=""),"-",81269.45176/76860.46978*100)</f>
        <v>105.73634534451838</v>
      </c>
      <c r="F54" s="17">
        <f>IF(76860.46978="","-",76860.46978/5840607.31908*100)</f>
        <v>1.315967083233168</v>
      </c>
      <c r="G54" s="17">
        <f>IF(81269.45176="","-",81269.45176/6911881.24719*100)</f>
        <v>1.1757935192107041</v>
      </c>
      <c r="H54" s="17">
        <f>IF(OR(5710724.73459="",69755.08033="",76860.46978=""),"-",(76860.46978-69755.08033)/5710724.73459*100)</f>
        <v>0.12442185152021921</v>
      </c>
      <c r="I54" s="17">
        <f>IF(OR(5840607.31908="",81269.45176="",76860.46978=""),"-",(81269.45176-76860.46978)/5840607.31908*100)</f>
        <v>7.5488416514440312E-2</v>
      </c>
    </row>
    <row r="55" spans="1:9" s="2" customFormat="1" ht="24" x14ac:dyDescent="0.25">
      <c r="A55" s="25" t="s">
        <v>209</v>
      </c>
      <c r="B55" s="26" t="s">
        <v>125</v>
      </c>
      <c r="C55" s="36">
        <v>96785.757020000005</v>
      </c>
      <c r="D55" s="17">
        <v>99945.961460000006</v>
      </c>
      <c r="E55" s="17">
        <f>IF(OR(96785.75702="",99945.96146=""),"-",99945.96146/96785.75702*100)</f>
        <v>103.26515443728665</v>
      </c>
      <c r="F55" s="17">
        <f>IF(96785.75702="","-",96785.75702/5840607.31908*100)</f>
        <v>1.6571180312674314</v>
      </c>
      <c r="G55" s="17">
        <f>IF(99945.96146="","-",99945.96146/6911881.24719*100)</f>
        <v>1.4460022949704565</v>
      </c>
      <c r="H55" s="17">
        <f>IF(OR(5710724.73459="",81995.65988="",96785.75702=""),"-",(96785.75702-81995.65988)/5710724.73459*100)</f>
        <v>0.25898809393518857</v>
      </c>
      <c r="I55" s="17">
        <f>IF(OR(5840607.31908="",99945.96146="",96785.75702=""),"-",(99945.96146-96785.75702)/5840607.31908*100)</f>
        <v>5.4107462929005645E-2</v>
      </c>
    </row>
    <row r="56" spans="1:9" s="2" customFormat="1" ht="24" x14ac:dyDescent="0.25">
      <c r="A56" s="25" t="s">
        <v>210</v>
      </c>
      <c r="B56" s="26" t="s">
        <v>126</v>
      </c>
      <c r="C56" s="36">
        <v>191647.44946999999</v>
      </c>
      <c r="D56" s="17">
        <v>194719.06769</v>
      </c>
      <c r="E56" s="17">
        <f>IF(OR(191647.44947="",194719.06769=""),"-",194719.06769/191647.44947*100)</f>
        <v>101.60274411608114</v>
      </c>
      <c r="F56" s="17">
        <f>IF(191647.44947="","-",191647.44947/5840607.31908*100)</f>
        <v>3.2812931772339708</v>
      </c>
      <c r="G56" s="17">
        <f>IF(194719.06769="","-",194719.06769/6911881.24719*100)</f>
        <v>2.8171645421304414</v>
      </c>
      <c r="H56" s="17">
        <f>IF(OR(5710724.73459="",199365.6063="",191647.44947=""),"-",(191647.44947-199365.6063)/5710724.73459*100)</f>
        <v>-0.13515196737203872</v>
      </c>
      <c r="I56" s="17">
        <f>IF(OR(5840607.31908="",194719.06769="",191647.44947=""),"-",(194719.06769-191647.44947)/5840607.31908*100)</f>
        <v>5.2590733329489422E-2</v>
      </c>
    </row>
    <row r="57" spans="1:9" s="2" customFormat="1" x14ac:dyDescent="0.25">
      <c r="A57" s="25" t="s">
        <v>211</v>
      </c>
      <c r="B57" s="26" t="s">
        <v>23</v>
      </c>
      <c r="C57" s="36">
        <v>124858.29476</v>
      </c>
      <c r="D57" s="17">
        <v>146304.07999</v>
      </c>
      <c r="E57" s="17">
        <f>IF(OR(124858.29476="",146304.07999=""),"-",146304.07999/124858.29476*100)</f>
        <v>117.1760997306768</v>
      </c>
      <c r="F57" s="17">
        <f>IF(124858.29476="","-",124858.29476/5840607.31908*100)</f>
        <v>2.137762187026595</v>
      </c>
      <c r="G57" s="17">
        <f>IF(146304.07999="","-",146304.07999/6911881.24719*100)</f>
        <v>2.1167041903313861</v>
      </c>
      <c r="H57" s="17">
        <f>IF(OR(5710724.73459="",119578.97372="",124858.29476=""),"-",(124858.29476-119578.97372)/5710724.73459*100)</f>
        <v>9.2445727737900454E-2</v>
      </c>
      <c r="I57" s="17">
        <f>IF(OR(5840607.31908="",146304.07999="",124858.29476=""),"-",(146304.07999-124858.29476)/5840607.31908*100)</f>
        <v>0.36718416524838532</v>
      </c>
    </row>
    <row r="58" spans="1:9" s="2" customFormat="1" x14ac:dyDescent="0.25">
      <c r="A58" s="25" t="s">
        <v>212</v>
      </c>
      <c r="B58" s="26" t="s">
        <v>127</v>
      </c>
      <c r="C58" s="36">
        <v>136355.90304</v>
      </c>
      <c r="D58" s="17">
        <v>186876.77387</v>
      </c>
      <c r="E58" s="17">
        <f>IF(OR(136355.90304="",186876.77387=""),"-",186876.77387/136355.90304*100)</f>
        <v>137.0507397946532</v>
      </c>
      <c r="F58" s="17">
        <f>IF(136355.90304="","-",136355.90304/5840607.31908*100)</f>
        <v>2.3346185694517554</v>
      </c>
      <c r="G58" s="17">
        <f>IF(186876.77387="","-",186876.77387/6911881.24719*100)</f>
        <v>2.7037034808139113</v>
      </c>
      <c r="H58" s="17">
        <f>IF(OR(5710724.73459="",98325.71786="",136355.90304=""),"-",(136355.90304-98325.71786)/5710724.73459*100)</f>
        <v>0.66594323746074191</v>
      </c>
      <c r="I58" s="17">
        <f>IF(OR(5840607.31908="",186876.77387="",136355.90304=""),"-",(186876.77387-136355.90304)/5840607.31908*100)</f>
        <v>0.86499345136522454</v>
      </c>
    </row>
    <row r="59" spans="1:9" s="2" customFormat="1" x14ac:dyDescent="0.25">
      <c r="A59" s="25" t="s">
        <v>213</v>
      </c>
      <c r="B59" s="26" t="s">
        <v>24</v>
      </c>
      <c r="C59" s="36">
        <v>21954.047900000001</v>
      </c>
      <c r="D59" s="17">
        <v>26872.765619999998</v>
      </c>
      <c r="E59" s="17">
        <f>IF(OR(21954.0479="",26872.76562=""),"-",26872.76562/21954.0479*100)</f>
        <v>122.40460502958088</v>
      </c>
      <c r="F59" s="17">
        <f>IF(21954.0479="","-",21954.0479/5840607.31908*100)</f>
        <v>0.37588638818913367</v>
      </c>
      <c r="G59" s="17">
        <f>IF(26872.76562="","-",26872.76562/6911881.24719*100)</f>
        <v>0.38879090451568482</v>
      </c>
      <c r="H59" s="17">
        <f>IF(OR(5710724.73459="",24604.6533="",21954.0479=""),"-",(21954.0479-24604.6533)/5710724.73459*100)</f>
        <v>-4.6414518702770219E-2</v>
      </c>
      <c r="I59" s="17">
        <f>IF(OR(5840607.31908="",26872.76562="",21954.0479=""),"-",(26872.76562-21954.0479)/5840607.31908*100)</f>
        <v>8.421586063373257E-2</v>
      </c>
    </row>
    <row r="60" spans="1:9" s="2" customFormat="1" x14ac:dyDescent="0.25">
      <c r="A60" s="25" t="s">
        <v>214</v>
      </c>
      <c r="B60" s="26" t="s">
        <v>25</v>
      </c>
      <c r="C60" s="36">
        <v>154226.12073</v>
      </c>
      <c r="D60" s="17">
        <v>174053.06353000001</v>
      </c>
      <c r="E60" s="17">
        <f>IF(OR(154226.12073="",174053.06353=""),"-",174053.06353/154226.12073*100)</f>
        <v>112.85576185548398</v>
      </c>
      <c r="F60" s="17">
        <f>IF(154226.12073="","-",154226.12073/5840607.31908*100)</f>
        <v>2.6405836294827876</v>
      </c>
      <c r="G60" s="17">
        <f>IF(174053.06353="","-",174053.06353/6911881.24719*100)</f>
        <v>2.5181720765350342</v>
      </c>
      <c r="H60" s="17">
        <f>IF(OR(5710724.73459="",124409.71112="",154226.12073=""),"-",(154226.12073-124409.71112)/5710724.73459*100)</f>
        <v>0.52211253379805311</v>
      </c>
      <c r="I60" s="17">
        <f>IF(OR(5840607.31908="",174053.06353="",154226.12073=""),"-",(174053.06353-154226.12073)/5840607.31908*100)</f>
        <v>0.33946714300120279</v>
      </c>
    </row>
    <row r="61" spans="1:9" s="2" customFormat="1" x14ac:dyDescent="0.25">
      <c r="A61" s="23" t="s">
        <v>215</v>
      </c>
      <c r="B61" s="24" t="s">
        <v>128</v>
      </c>
      <c r="C61" s="37">
        <v>1594296.72982</v>
      </c>
      <c r="D61" s="16">
        <v>1748411.41411</v>
      </c>
      <c r="E61" s="16">
        <f>IF(1594296.72982="","-",1748411.41411/1594296.72982*100)</f>
        <v>109.66662487649961</v>
      </c>
      <c r="F61" s="16">
        <f>IF(1594296.72982="","-",1594296.72982/5840607.31908*100)</f>
        <v>27.296762865939943</v>
      </c>
      <c r="G61" s="16">
        <f>IF(1748411.41411="","-",1748411.41411/6911881.24719*100)</f>
        <v>25.295738621389223</v>
      </c>
      <c r="H61" s="16">
        <f>IF(5710724.73459="","-",(1594296.72982-1371096.29546)/5710724.73459*100)</f>
        <v>3.9084432315231301</v>
      </c>
      <c r="I61" s="16">
        <f>IF(5840607.31908="","-",(1748411.41411-1594296.72982)/5840607.31908*100)</f>
        <v>2.6386756696780607</v>
      </c>
    </row>
    <row r="62" spans="1:9" s="2" customFormat="1" x14ac:dyDescent="0.25">
      <c r="A62" s="25" t="s">
        <v>216</v>
      </c>
      <c r="B62" s="26" t="s">
        <v>129</v>
      </c>
      <c r="C62" s="36">
        <v>20371.47366</v>
      </c>
      <c r="D62" s="17">
        <v>25304.334009999999</v>
      </c>
      <c r="E62" s="17">
        <f>IF(OR(20371.47366="",25304.33401=""),"-",25304.33401/20371.47366*100)</f>
        <v>124.21454840395674</v>
      </c>
      <c r="F62" s="17">
        <f>IF(20371.47366="","-",20371.47366/5840607.31908*100)</f>
        <v>0.34879033201651488</v>
      </c>
      <c r="G62" s="17">
        <f>IF(25304.33401="","-",25304.33401/6911881.24719*100)</f>
        <v>0.36609908511213768</v>
      </c>
      <c r="H62" s="17">
        <f>IF(OR(5710724.73459="",30537.3929="",20371.47366=""),"-",(20371.47366-30537.3929)/5710724.73459*100)</f>
        <v>-0.17801452026613676</v>
      </c>
      <c r="I62" s="17">
        <f>IF(OR(5840607.31908="",25304.33401="",20371.47366=""),"-",(25304.33401-20371.47366)/5840607.31908*100)</f>
        <v>8.445800377446043E-2</v>
      </c>
    </row>
    <row r="63" spans="1:9" s="2" customFormat="1" x14ac:dyDescent="0.25">
      <c r="A63" s="25" t="s">
        <v>217</v>
      </c>
      <c r="B63" s="26" t="s">
        <v>130</v>
      </c>
      <c r="C63" s="36">
        <v>147717.88287</v>
      </c>
      <c r="D63" s="17">
        <v>186797.43395999999</v>
      </c>
      <c r="E63" s="17">
        <f>IF(OR(147717.88287="",186797.43396=""),"-",186797.43396/147717.88287*100)</f>
        <v>126.45553153804146</v>
      </c>
      <c r="F63" s="17">
        <f>IF(147717.88287="","-",147717.88287/5840607.31908*100)</f>
        <v>2.5291527883998919</v>
      </c>
      <c r="G63" s="17">
        <f>IF(186797.43396="","-",186797.43396/6911881.24719*100)</f>
        <v>2.7025556035983955</v>
      </c>
      <c r="H63" s="17">
        <f>IF(OR(5710724.73459="",147881.58195="",147717.88287=""),"-",(147717.88287-147881.58195)/5710724.73459*100)</f>
        <v>-2.8665202335609332E-3</v>
      </c>
      <c r="I63" s="17">
        <f>IF(OR(5840607.31908="",186797.43396="",147717.88287=""),"-",(186797.43396-147717.88287)/5840607.31908*100)</f>
        <v>0.66910081358038842</v>
      </c>
    </row>
    <row r="64" spans="1:9" s="2" customFormat="1" x14ac:dyDescent="0.25">
      <c r="A64" s="25" t="s">
        <v>218</v>
      </c>
      <c r="B64" s="26" t="s">
        <v>131</v>
      </c>
      <c r="C64" s="36">
        <v>10694.310160000001</v>
      </c>
      <c r="D64" s="17">
        <v>13141.608899999999</v>
      </c>
      <c r="E64" s="17">
        <f>IF(OR(10694.31016="",13141.6089=""),"-",13141.6089/10694.31016*100)</f>
        <v>122.8841197177322</v>
      </c>
      <c r="F64" s="17">
        <f>IF(10694.31016="","-",10694.31016/5840607.31908*100)</f>
        <v>0.18310270791641828</v>
      </c>
      <c r="G64" s="17">
        <f>IF(13141.6089="","-",13141.6089/6911881.24719*100)</f>
        <v>0.19013071014989838</v>
      </c>
      <c r="H64" s="17">
        <f>IF(OR(5710724.73459="",10856.07722="",10694.31016=""),"-",(10694.31016-10856.07722)/5710724.73459*100)</f>
        <v>-2.8326888007781438E-3</v>
      </c>
      <c r="I64" s="17">
        <f>IF(OR(5840607.31908="",13141.6089="",10694.31016=""),"-",(13141.6089-10694.31016)/5840607.31908*100)</f>
        <v>4.1901442886002678E-2</v>
      </c>
    </row>
    <row r="65" spans="1:9" s="2" customFormat="1" ht="24" x14ac:dyDescent="0.25">
      <c r="A65" s="25" t="s">
        <v>219</v>
      </c>
      <c r="B65" s="26" t="s">
        <v>132</v>
      </c>
      <c r="C65" s="36">
        <v>215342.99304999999</v>
      </c>
      <c r="D65" s="17">
        <v>249452.29946000001</v>
      </c>
      <c r="E65" s="17">
        <f>IF(OR(215342.99305="",249452.29946=""),"-",249452.29946/215342.99305*100)</f>
        <v>115.83952462390093</v>
      </c>
      <c r="F65" s="17">
        <f>IF(215342.99305="","-",215342.99305/5840607.31908*100)</f>
        <v>3.6869965961676798</v>
      </c>
      <c r="G65" s="17">
        <f>IF(249452.29946="","-",249452.29946/6911881.24719*100)</f>
        <v>3.6090362455433378</v>
      </c>
      <c r="H65" s="17">
        <f>IF(OR(5710724.73459="",162232.57971="",215342.99305=""),"-",(215342.99305-162232.57971)/5710724.73459*100)</f>
        <v>0.93001179024282021</v>
      </c>
      <c r="I65" s="17">
        <f>IF(OR(5840607.31908="",249452.29946="",215342.99305=""),"-",(249452.29946-215342.99305)/5840607.31908*100)</f>
        <v>0.58400273373236888</v>
      </c>
    </row>
    <row r="66" spans="1:9" s="2" customFormat="1" ht="24" x14ac:dyDescent="0.25">
      <c r="A66" s="25" t="s">
        <v>220</v>
      </c>
      <c r="B66" s="26" t="s">
        <v>133</v>
      </c>
      <c r="C66" s="36">
        <v>66998.083050000001</v>
      </c>
      <c r="D66" s="17">
        <v>64793.293949999999</v>
      </c>
      <c r="E66" s="17">
        <f>IF(OR(66998.08305="",64793.29395=""),"-",64793.29395/66998.08305*100)</f>
        <v>96.709175845591602</v>
      </c>
      <c r="F66" s="17">
        <f>IF(66998.08305="","-",66998.08305/5840607.31908*100)</f>
        <v>1.147108158275455</v>
      </c>
      <c r="G66" s="17">
        <f>IF(64793.29395="","-",64793.29395/6911881.24719*100)</f>
        <v>0.93741908509121852</v>
      </c>
      <c r="H66" s="17">
        <f>IF(OR(5710724.73459="",56568.71753="",66998.08305=""),"-",(66998.08305-56568.71753)/5710724.73459*100)</f>
        <v>0.18262770497112349</v>
      </c>
      <c r="I66" s="17">
        <f>IF(OR(5840607.31908="",64793.29395="",66998.08305=""),"-",(64793.29395-66998.08305)/5840607.31908*100)</f>
        <v>-3.7749312349718032E-2</v>
      </c>
    </row>
    <row r="67" spans="1:9" s="2" customFormat="1" ht="24" x14ac:dyDescent="0.25">
      <c r="A67" s="25" t="s">
        <v>221</v>
      </c>
      <c r="B67" s="26" t="s">
        <v>134</v>
      </c>
      <c r="C67" s="36">
        <v>159289.77567999999</v>
      </c>
      <c r="D67" s="17">
        <v>176630.61279000001</v>
      </c>
      <c r="E67" s="17">
        <f>IF(OR(159289.77568="",176630.61279=""),"-",176630.61279/159289.77568*100)</f>
        <v>110.88634661953213</v>
      </c>
      <c r="F67" s="17">
        <f>IF(159289.77568="","-",159289.77568/5840607.31908*100)</f>
        <v>2.727281033936912</v>
      </c>
      <c r="G67" s="17">
        <f>IF(176630.61279="","-",176630.61279/6911881.24719*100)</f>
        <v>2.5554636498103687</v>
      </c>
      <c r="H67" s="17">
        <f>IF(OR(5710724.73459="",141956.55337="",159289.77568=""),"-",(159289.77568-141956.55337)/5710724.73459*100)</f>
        <v>0.30352053575638538</v>
      </c>
      <c r="I67" s="17">
        <f>IF(OR(5840607.31908="",176630.61279="",159289.77568=""),"-",(176630.61279-159289.77568)/5840607.31908*100)</f>
        <v>0.29690126664313249</v>
      </c>
    </row>
    <row r="68" spans="1:9" s="2" customFormat="1" ht="36" x14ac:dyDescent="0.25">
      <c r="A68" s="25" t="s">
        <v>222</v>
      </c>
      <c r="B68" s="26" t="s">
        <v>135</v>
      </c>
      <c r="C68" s="36">
        <v>478723.37649</v>
      </c>
      <c r="D68" s="17">
        <v>485910.20970000001</v>
      </c>
      <c r="E68" s="17">
        <f>IF(OR(478723.37649="",485910.2097=""),"-",485910.2097/478723.37649*100)</f>
        <v>101.50124969093714</v>
      </c>
      <c r="F68" s="17">
        <f>IF(478723.37649="","-",478723.37649/5840607.31908*100)</f>
        <v>8.1964657155791727</v>
      </c>
      <c r="G68" s="17">
        <f>IF(485910.2097="","-",485910.2097/6911881.24719*100)</f>
        <v>7.0300717318826198</v>
      </c>
      <c r="H68" s="17">
        <f>IF(OR(5710724.73459="",431721.9571="",478723.37649=""),"-",(478723.37649-431721.9571)/5710724.73459*100)</f>
        <v>0.8230377329397659</v>
      </c>
      <c r="I68" s="17">
        <f>IF(OR(5840607.31908="",485910.2097="",478723.37649=""),"-",(485910.2097-478723.37649)/5840607.31908*100)</f>
        <v>0.12304941622290175</v>
      </c>
    </row>
    <row r="69" spans="1:9" s="2" customFormat="1" x14ac:dyDescent="0.25">
      <c r="A69" s="25" t="s">
        <v>223</v>
      </c>
      <c r="B69" s="26" t="s">
        <v>136</v>
      </c>
      <c r="C69" s="36">
        <v>488583.17038000003</v>
      </c>
      <c r="D69" s="17">
        <v>536789.88908999995</v>
      </c>
      <c r="E69" s="17">
        <f>IF(OR(488583.17038="",536789.88909=""),"-",536789.88909/488583.17038*100)</f>
        <v>109.86663512631978</v>
      </c>
      <c r="F69" s="17">
        <f>IF(488583.17038="","-",488583.17038/5840607.31908*100)</f>
        <v>8.3652802472082755</v>
      </c>
      <c r="G69" s="17">
        <f>IF(536789.88909="","-",536789.88909/6911881.24719*100)</f>
        <v>7.7661908515605642</v>
      </c>
      <c r="H69" s="17">
        <f>IF(OR(5710724.73459="",383526.05552="",488583.17038=""),"-",(488583.17038-383526.05552)/5710724.73459*100)</f>
        <v>1.8396459248625052</v>
      </c>
      <c r="I69" s="17">
        <f>IF(OR(5840607.31908="",536789.88909="",488583.17038=""),"-",(536789.88909-488583.17038)/5840607.31908*100)</f>
        <v>0.8253716792861423</v>
      </c>
    </row>
    <row r="70" spans="1:9" s="2" customFormat="1" x14ac:dyDescent="0.25">
      <c r="A70" s="25" t="s">
        <v>224</v>
      </c>
      <c r="B70" s="26" t="s">
        <v>26</v>
      </c>
      <c r="C70" s="36">
        <v>6575.6644800000004</v>
      </c>
      <c r="D70" s="17">
        <v>9591.7322499999991</v>
      </c>
      <c r="E70" s="17">
        <f>IF(OR(6575.66448="",9591.73225=""),"-",9591.73225/6575.66448*100)</f>
        <v>145.86711775172566</v>
      </c>
      <c r="F70" s="17">
        <f>IF(6575.66448="","-",6575.66448/5840607.31908*100)</f>
        <v>0.11258528643962637</v>
      </c>
      <c r="G70" s="17">
        <f>IF(9591.73225="","-",9591.73225/6911881.24719*100)</f>
        <v>0.13877165864068461</v>
      </c>
      <c r="H70" s="17">
        <f>IF(OR(5710724.73459="",5815.38016="",6575.66448=""),"-",(6575.66448-5815.38016)/5710724.73459*100)</f>
        <v>1.3313272051005014E-2</v>
      </c>
      <c r="I70" s="17">
        <f>IF(OR(5840607.31908="",9591.73225="",6575.66448=""),"-",(9591.73225-6575.66448)/5840607.31908*100)</f>
        <v>5.1639625902381046E-2</v>
      </c>
    </row>
    <row r="71" spans="1:9" s="2" customFormat="1" x14ac:dyDescent="0.25">
      <c r="A71" s="23" t="s">
        <v>225</v>
      </c>
      <c r="B71" s="24" t="s">
        <v>27</v>
      </c>
      <c r="C71" s="37">
        <v>601475.36358</v>
      </c>
      <c r="D71" s="16">
        <v>682863.12445999996</v>
      </c>
      <c r="E71" s="16">
        <f>IF(601475.36358="","-",682863.12446/601475.36358*100)</f>
        <v>113.53135403511416</v>
      </c>
      <c r="F71" s="16">
        <f>IF(601475.36358="","-",601475.36358/5840607.31908*100)</f>
        <v>10.298164740764376</v>
      </c>
      <c r="G71" s="16">
        <f>IF(682863.12446="","-",682863.12446/6911881.24719*100)</f>
        <v>9.8795552185971864</v>
      </c>
      <c r="H71" s="16">
        <f>IF(5710724.73459="","-",(601475.36358-550663.81764)/5710724.73459*100)</f>
        <v>0.88975652481082146</v>
      </c>
      <c r="I71" s="16">
        <f>IF(5840607.31908="","-",(682863.12446-601475.36358)/5840607.31908*100)</f>
        <v>1.3934811301921251</v>
      </c>
    </row>
    <row r="72" spans="1:9" ht="24" x14ac:dyDescent="0.25">
      <c r="A72" s="25" t="s">
        <v>226</v>
      </c>
      <c r="B72" s="26" t="s">
        <v>162</v>
      </c>
      <c r="C72" s="36">
        <v>36172.595659999999</v>
      </c>
      <c r="D72" s="17">
        <v>40134.402280000002</v>
      </c>
      <c r="E72" s="17">
        <f>IF(OR(36172.59566="",40134.40228=""),"-",40134.40228/36172.59566*100)</f>
        <v>110.95250851566895</v>
      </c>
      <c r="F72" s="17">
        <f>IF(36172.59566="","-",36172.59566/5840607.31908*100)</f>
        <v>0.61932935538795697</v>
      </c>
      <c r="G72" s="17">
        <f>IF(40134.40228="","-",40134.40228/6911881.24719*100)</f>
        <v>0.58065815723203429</v>
      </c>
      <c r="H72" s="17">
        <f>IF(OR(5710724.73459="",29990.93244="",36172.59566=""),"-",(36172.59566-29990.93244)/5710724.73459*100)</f>
        <v>0.10824656251696939</v>
      </c>
      <c r="I72" s="17">
        <f>IF(OR(5840607.31908="",40134.40228="",36172.59566=""),"-",(40134.40228-36172.59566)/5840607.31908*100)</f>
        <v>6.7832100388903707E-2</v>
      </c>
    </row>
    <row r="73" spans="1:9" x14ac:dyDescent="0.25">
      <c r="A73" s="25" t="s">
        <v>227</v>
      </c>
      <c r="B73" s="26" t="s">
        <v>137</v>
      </c>
      <c r="C73" s="36">
        <v>55713.848700000002</v>
      </c>
      <c r="D73" s="17">
        <v>63357.756450000001</v>
      </c>
      <c r="E73" s="17">
        <f>IF(OR(55713.8487="",63357.75645=""),"-",63357.75645/55713.8487*100)</f>
        <v>113.71994204019151</v>
      </c>
      <c r="F73" s="17">
        <f>IF(55713.8487="","-",55713.8487/5840607.31908*100)</f>
        <v>0.95390505911936452</v>
      </c>
      <c r="G73" s="17">
        <f>IF(63357.75645="","-",63357.75645/6911881.24719*100)</f>
        <v>0.91664995656222914</v>
      </c>
      <c r="H73" s="17">
        <f>IF(OR(5710724.73459="",47142.66137="",55713.8487=""),"-",(55713.8487-47142.66137)/5710724.73459*100)</f>
        <v>0.1500893096472346</v>
      </c>
      <c r="I73" s="17">
        <f>IF(OR(5840607.31908="",63357.75645="",55713.8487=""),"-",(63357.75645-55713.8487)/5840607.31908*100)</f>
        <v>0.13087522122963149</v>
      </c>
    </row>
    <row r="74" spans="1:9" x14ac:dyDescent="0.25">
      <c r="A74" s="25" t="s">
        <v>228</v>
      </c>
      <c r="B74" s="26" t="s">
        <v>138</v>
      </c>
      <c r="C74" s="36">
        <v>12252.774100000001</v>
      </c>
      <c r="D74" s="17">
        <v>11371.611800000001</v>
      </c>
      <c r="E74" s="17">
        <f>IF(OR(12252.7741="",11371.6118=""),"-",11371.6118/12252.7741*100)</f>
        <v>92.808466941376153</v>
      </c>
      <c r="F74" s="17">
        <f>IF(12252.7741="","-",12252.7741/5840607.31908*100)</f>
        <v>0.20978595941509096</v>
      </c>
      <c r="G74" s="17">
        <f>IF(11371.6118="","-",11371.6118/6911881.24719*100)</f>
        <v>0.16452267325372652</v>
      </c>
      <c r="H74" s="17">
        <f>IF(OR(5710724.73459="",11972.03457="",12252.7741=""),"-",(12252.7741-11972.03457)/5710724.73459*100)</f>
        <v>4.9160052891282701E-3</v>
      </c>
      <c r="I74" s="17">
        <f>IF(OR(5840607.31908="",11371.6118="",12252.7741=""),"-",(11371.6118-12252.7741)/5840607.31908*100)</f>
        <v>-1.5086826623687464E-2</v>
      </c>
    </row>
    <row r="75" spans="1:9" x14ac:dyDescent="0.25">
      <c r="A75" s="25" t="s">
        <v>229</v>
      </c>
      <c r="B75" s="26" t="s">
        <v>139</v>
      </c>
      <c r="C75" s="36">
        <v>137337.00706999999</v>
      </c>
      <c r="D75" s="17">
        <v>149761.14499999999</v>
      </c>
      <c r="E75" s="17">
        <f>IF(OR(137337.00707="",149761.145=""),"-",149761.145/137337.00707*100)</f>
        <v>109.0464603787874</v>
      </c>
      <c r="F75" s="17">
        <f>IF(137337.00707="","-",137337.00707/5840607.31908*100)</f>
        <v>2.3514165491206662</v>
      </c>
      <c r="G75" s="17">
        <f>IF(149761.145="","-",149761.145/6911881.24719*100)</f>
        <v>2.1667204577752961</v>
      </c>
      <c r="H75" s="17">
        <f>IF(OR(5710724.73459="",134746.52625="",137337.00707=""),"-",(137337.00707-134746.52625)/5710724.73459*100)</f>
        <v>4.5361682455282624E-2</v>
      </c>
      <c r="I75" s="17">
        <f>IF(OR(5840607.31908="",149761.145="",137337.00707=""),"-",(149761.145-137337.00707)/5840607.31908*100)</f>
        <v>0.212719966456451</v>
      </c>
    </row>
    <row r="76" spans="1:9" x14ac:dyDescent="0.25">
      <c r="A76" s="25" t="s">
        <v>230</v>
      </c>
      <c r="B76" s="26" t="s">
        <v>140</v>
      </c>
      <c r="C76" s="36">
        <v>38922.527779999997</v>
      </c>
      <c r="D76" s="17">
        <v>41978.94195</v>
      </c>
      <c r="E76" s="17">
        <f>IF(OR(38922.52778="",41978.94195=""),"-",41978.94195/38922.52778*100)</f>
        <v>107.85255825951397</v>
      </c>
      <c r="F76" s="17">
        <f>IF(38922.52778="","-",38922.52778/5840607.31908*100)</f>
        <v>0.66641233785480702</v>
      </c>
      <c r="G76" s="17">
        <f>IF(41978.94195="","-",41978.94195/6911881.24719*100)</f>
        <v>0.60734466419061217</v>
      </c>
      <c r="H76" s="17">
        <f>IF(OR(5710724.73459="",41087.06="",38922.52778=""),"-",(38922.52778-41087.06)/5710724.73459*100)</f>
        <v>-3.7902933876139681E-2</v>
      </c>
      <c r="I76" s="17">
        <f>IF(OR(5840607.31908="",41978.94195="",38922.52778=""),"-",(41978.94195-38922.52778)/5840607.31908*100)</f>
        <v>5.2330417078637698E-2</v>
      </c>
    </row>
    <row r="77" spans="1:9" ht="15" customHeight="1" x14ac:dyDescent="0.25">
      <c r="A77" s="25" t="s">
        <v>231</v>
      </c>
      <c r="B77" s="26" t="s">
        <v>252</v>
      </c>
      <c r="C77" s="36">
        <v>62216.57058</v>
      </c>
      <c r="D77" s="17">
        <v>68630.921570000006</v>
      </c>
      <c r="E77" s="17">
        <f>IF(OR(62216.57058="",68630.92157=""),"-",68630.92157/62216.57058*100)</f>
        <v>110.30971480781351</v>
      </c>
      <c r="F77" s="17">
        <f>IF(62216.57058="","-",62216.57058/5840607.31908*100)</f>
        <v>1.0652414583112262</v>
      </c>
      <c r="G77" s="17">
        <f>IF(68630.92157="","-",68630.92157/6911881.24719*100)</f>
        <v>0.99294127192798154</v>
      </c>
      <c r="H77" s="17">
        <f>IF(OR(5710724.73459="",52307.8664="",62216.57058=""),"-",(62216.57058-52307.8664)/5710724.73459*100)</f>
        <v>0.1735104499080955</v>
      </c>
      <c r="I77" s="17">
        <f>IF(OR(5840607.31908="",68630.92157="",62216.57058=""),"-",(68630.92157-62216.57058)/5840607.31908*100)</f>
        <v>0.10982335636648111</v>
      </c>
    </row>
    <row r="78" spans="1:9" ht="24" x14ac:dyDescent="0.25">
      <c r="A78" s="25" t="s">
        <v>232</v>
      </c>
      <c r="B78" s="26" t="s">
        <v>141</v>
      </c>
      <c r="C78" s="36">
        <v>13410.612349999999</v>
      </c>
      <c r="D78" s="17">
        <v>14472.848410000001</v>
      </c>
      <c r="E78" s="17">
        <f>IF(OR(13410.61235="",14472.84841=""),"-",14472.84841/13410.61235*100)</f>
        <v>107.92086171963655</v>
      </c>
      <c r="F78" s="17">
        <f>IF(13410.61235="","-",13410.61235/5840607.31908*100)</f>
        <v>0.22960989529616946</v>
      </c>
      <c r="G78" s="17">
        <f>IF(14472.84841="","-",14472.84841/6911881.24719*100)</f>
        <v>0.20939087192627745</v>
      </c>
      <c r="H78" s="17">
        <f>IF(OR(5710724.73459="",12922.63139="",13410.61235=""),"-",(13410.61235-12922.63139)/5710724.73459*100)</f>
        <v>8.5449917948992767E-3</v>
      </c>
      <c r="I78" s="17">
        <f>IF(OR(5840607.31908="",14472.84841="",13410.61235=""),"-",(14472.84841-13410.61235)/5840607.31908*100)</f>
        <v>1.8187082301011848E-2</v>
      </c>
    </row>
    <row r="79" spans="1:9" x14ac:dyDescent="0.25">
      <c r="A79" s="25" t="s">
        <v>233</v>
      </c>
      <c r="B79" s="26" t="s">
        <v>28</v>
      </c>
      <c r="C79" s="36">
        <v>245449.42733999999</v>
      </c>
      <c r="D79" s="17">
        <v>293155.49699999997</v>
      </c>
      <c r="E79" s="17">
        <f>IF(OR(245449.42734="",293155.497=""),"-",293155.497/245449.42734*100)</f>
        <v>119.43621143345217</v>
      </c>
      <c r="F79" s="17">
        <f>IF(245449.42734="","-",245449.42734/5840607.31908*100)</f>
        <v>4.2024641262590938</v>
      </c>
      <c r="G79" s="17">
        <f>IF(293155.497="","-",293155.497/6911881.24719*100)</f>
        <v>4.2413271657290306</v>
      </c>
      <c r="H79" s="17">
        <f>IF(OR(5710724.73459="",220494.10522="",245449.42734=""),"-",(245449.42734-220494.10522)/5710724.73459*100)</f>
        <v>0.43699045707535156</v>
      </c>
      <c r="I79" s="17">
        <f>IF(OR(5840607.31908="",293155.497="",245449.42734=""),"-",(293155.497-245449.42734)/5840607.31908*100)</f>
        <v>0.81679981299469617</v>
      </c>
    </row>
    <row r="80" spans="1:9" x14ac:dyDescent="0.25">
      <c r="A80" s="28" t="s">
        <v>236</v>
      </c>
      <c r="B80" s="29" t="s">
        <v>142</v>
      </c>
      <c r="C80" s="87">
        <v>1694.2214100000001</v>
      </c>
      <c r="D80" s="32">
        <v>10185.47769</v>
      </c>
      <c r="E80" s="32" t="s">
        <v>397</v>
      </c>
      <c r="F80" s="32">
        <f>IF(1694.22141="","-",1694.22141/5840607.31908*100)</f>
        <v>2.9007623992548612E-2</v>
      </c>
      <c r="G80" s="32">
        <f>IF(10185.47769="","-",10185.47769/6911881.24719*100)</f>
        <v>0.14736187335598205</v>
      </c>
      <c r="H80" s="32">
        <f>IF(5710724.73459="","-",(1694.22141-3597.77385)/5710724.73459*100)</f>
        <v>-3.3332939836342251E-2</v>
      </c>
      <c r="I80" s="32">
        <f>IF(5840607.31908="","-",(10185.47769-1694.22141)/5840607.31908*100)</f>
        <v>0.14538310514834482</v>
      </c>
    </row>
    <row r="81" spans="1:3" x14ac:dyDescent="0.25">
      <c r="A81" s="57" t="s">
        <v>239</v>
      </c>
      <c r="B81" s="59"/>
    </row>
    <row r="82" spans="1:3" x14ac:dyDescent="0.25">
      <c r="A82" s="59" t="s">
        <v>296</v>
      </c>
      <c r="B82" s="59"/>
      <c r="C82" s="11"/>
    </row>
  </sheetData>
  <mergeCells count="9">
    <mergeCell ref="A1:I1"/>
    <mergeCell ref="A2:I2"/>
    <mergeCell ref="A4:A5"/>
    <mergeCell ref="B4:B5"/>
    <mergeCell ref="F4:G4"/>
    <mergeCell ref="H4:I4"/>
    <mergeCell ref="A3:I3"/>
    <mergeCell ref="C4:D4"/>
    <mergeCell ref="E4:E5"/>
  </mergeCells>
  <pageMargins left="0.59055118110236227" right="0.39370078740157483" top="0.39370078740157483" bottom="0.39370078740157483" header="0.11811023622047245" footer="0.11811023622047245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E83"/>
  <sheetViews>
    <sheetView zoomScale="99" zoomScaleNormal="99" workbookViewId="0">
      <selection sqref="A1:E1"/>
    </sheetView>
  </sheetViews>
  <sheetFormatPr defaultRowHeight="15.75" x14ac:dyDescent="0.25"/>
  <cols>
    <col min="1" max="1" width="6.5" style="19" customWidth="1"/>
    <col min="2" max="2" width="40.625" style="19" customWidth="1"/>
    <col min="3" max="4" width="13.25" style="19" customWidth="1"/>
    <col min="5" max="5" width="13.75" style="19" customWidth="1"/>
  </cols>
  <sheetData>
    <row r="1" spans="1:5" s="21" customFormat="1" ht="15.75" customHeight="1" x14ac:dyDescent="0.2">
      <c r="A1" s="102" t="s">
        <v>267</v>
      </c>
      <c r="B1" s="102"/>
      <c r="C1" s="102"/>
      <c r="D1" s="102"/>
      <c r="E1" s="102"/>
    </row>
    <row r="2" spans="1:5" s="21" customFormat="1" ht="15.75" customHeight="1" x14ac:dyDescent="0.2">
      <c r="A2" s="102" t="s">
        <v>238</v>
      </c>
      <c r="B2" s="102"/>
      <c r="C2" s="102"/>
      <c r="D2" s="102"/>
      <c r="E2" s="102"/>
    </row>
    <row r="3" spans="1:5" x14ac:dyDescent="0.25">
      <c r="A3" s="113"/>
      <c r="B3" s="113"/>
      <c r="C3" s="113"/>
      <c r="D3" s="113"/>
      <c r="E3" s="113"/>
    </row>
    <row r="4" spans="1:5" ht="26.25" customHeight="1" x14ac:dyDescent="0.25">
      <c r="A4" s="106" t="s">
        <v>237</v>
      </c>
      <c r="B4" s="115"/>
      <c r="C4" s="94" t="s">
        <v>278</v>
      </c>
      <c r="D4" s="101"/>
      <c r="E4" s="104" t="s">
        <v>375</v>
      </c>
    </row>
    <row r="5" spans="1:5" ht="42" customHeight="1" x14ac:dyDescent="0.25">
      <c r="A5" s="107"/>
      <c r="B5" s="116"/>
      <c r="C5" s="10" t="s">
        <v>368</v>
      </c>
      <c r="D5" s="10" t="s">
        <v>369</v>
      </c>
      <c r="E5" s="117"/>
    </row>
    <row r="6" spans="1:5" s="21" customFormat="1" ht="15" customHeight="1" x14ac:dyDescent="0.2">
      <c r="A6" s="53"/>
      <c r="B6" s="45" t="s">
        <v>284</v>
      </c>
      <c r="C6" s="70">
        <v>-3502470.2966499999</v>
      </c>
      <c r="D6" s="43">
        <v>-4631034.3691999996</v>
      </c>
      <c r="E6" s="43">
        <f>IF(-3502470.29665="","-",-4631034.3692/-3502470.29665*100)</f>
        <v>132.2219455688014</v>
      </c>
    </row>
    <row r="7" spans="1:5" ht="12.75" customHeight="1" x14ac:dyDescent="0.25">
      <c r="A7" s="30"/>
      <c r="B7" s="31" t="s">
        <v>97</v>
      </c>
      <c r="C7" s="38"/>
      <c r="D7" s="38"/>
      <c r="E7" s="65"/>
    </row>
    <row r="8" spans="1:5" x14ac:dyDescent="0.25">
      <c r="A8" s="23" t="s">
        <v>165</v>
      </c>
      <c r="B8" s="24" t="s">
        <v>143</v>
      </c>
      <c r="C8" s="16">
        <v>-116716.83482</v>
      </c>
      <c r="D8" s="16">
        <v>-342085.46953</v>
      </c>
      <c r="E8" s="16" t="s">
        <v>310</v>
      </c>
    </row>
    <row r="9" spans="1:5" x14ac:dyDescent="0.25">
      <c r="A9" s="25" t="s">
        <v>166</v>
      </c>
      <c r="B9" s="26" t="s">
        <v>16</v>
      </c>
      <c r="C9" s="17">
        <v>3328.61987</v>
      </c>
      <c r="D9" s="17">
        <v>-11615.234049999999</v>
      </c>
      <c r="E9" s="17" t="s">
        <v>277</v>
      </c>
    </row>
    <row r="10" spans="1:5" x14ac:dyDescent="0.25">
      <c r="A10" s="25" t="s">
        <v>167</v>
      </c>
      <c r="B10" s="26" t="s">
        <v>144</v>
      </c>
      <c r="C10" s="17">
        <v>-54411.616049999997</v>
      </c>
      <c r="D10" s="17">
        <v>-57815.76614</v>
      </c>
      <c r="E10" s="17">
        <f>IF(OR(-54411.61605="",-57815.76614="",-54411.61605=0,-57815.76614=0),"-",-57815.76614/-54411.61605*100)</f>
        <v>106.25629293361156</v>
      </c>
    </row>
    <row r="11" spans="1:5" x14ac:dyDescent="0.25">
      <c r="A11" s="25" t="s">
        <v>168</v>
      </c>
      <c r="B11" s="26" t="s">
        <v>145</v>
      </c>
      <c r="C11" s="17">
        <v>-91320.532300000006</v>
      </c>
      <c r="D11" s="17">
        <v>-109795.27254999999</v>
      </c>
      <c r="E11" s="17">
        <f>IF(OR(-91320.5323="",-109795.27255="",-91320.5323=0,-109795.27255=0),"-",-109795.27255/-91320.5323*100)</f>
        <v>120.23065326569497</v>
      </c>
    </row>
    <row r="12" spans="1:5" x14ac:dyDescent="0.25">
      <c r="A12" s="25" t="s">
        <v>169</v>
      </c>
      <c r="B12" s="26" t="s">
        <v>146</v>
      </c>
      <c r="C12" s="17">
        <v>-68547.342109999998</v>
      </c>
      <c r="D12" s="17">
        <v>-80433.927679999993</v>
      </c>
      <c r="E12" s="17">
        <f>IF(OR(-68547.34211="",-80433.92768="",-68547.34211=0,-80433.92768=0),"-",-80433.92768/-68547.34211*100)</f>
        <v>117.34069506433266</v>
      </c>
    </row>
    <row r="13" spans="1:5" x14ac:dyDescent="0.25">
      <c r="A13" s="25" t="s">
        <v>170</v>
      </c>
      <c r="B13" s="26" t="s">
        <v>147</v>
      </c>
      <c r="C13" s="17">
        <v>159862.44626999999</v>
      </c>
      <c r="D13" s="17">
        <v>108242.10391999999</v>
      </c>
      <c r="E13" s="17">
        <f>IF(OR(159862.44627="",108242.10392="",159862.44627=0,108242.10392=0),"-",108242.10392/159862.44627*100)</f>
        <v>67.709525561234244</v>
      </c>
    </row>
    <row r="14" spans="1:5" x14ac:dyDescent="0.25">
      <c r="A14" s="25" t="s">
        <v>171</v>
      </c>
      <c r="B14" s="26" t="s">
        <v>148</v>
      </c>
      <c r="C14" s="17">
        <v>90170.336790000001</v>
      </c>
      <c r="D14" s="17">
        <v>15700.17016</v>
      </c>
      <c r="E14" s="17">
        <f>IF(OR(90170.33679="",15700.17016="",90170.33679=0,15700.17016=0),"-",15700.17016/90170.33679*100)</f>
        <v>17.411679626487949</v>
      </c>
    </row>
    <row r="15" spans="1:5" x14ac:dyDescent="0.25">
      <c r="A15" s="25" t="s">
        <v>172</v>
      </c>
      <c r="B15" s="26" t="s">
        <v>106</v>
      </c>
      <c r="C15" s="17">
        <v>-7471.2927399999999</v>
      </c>
      <c r="D15" s="17">
        <v>-19020.200860000001</v>
      </c>
      <c r="E15" s="17" t="s">
        <v>347</v>
      </c>
    </row>
    <row r="16" spans="1:5" ht="17.25" customHeight="1" x14ac:dyDescent="0.25">
      <c r="A16" s="25" t="s">
        <v>173</v>
      </c>
      <c r="B16" s="26" t="s">
        <v>149</v>
      </c>
      <c r="C16" s="17">
        <v>-48619.410530000001</v>
      </c>
      <c r="D16" s="17">
        <v>-67599.9522</v>
      </c>
      <c r="E16" s="17">
        <f>IF(OR(-48619.41053="",-67599.9522="",-48619.41053=0,-67599.9522=0),"-",-67599.9522/-48619.41053*100)</f>
        <v>139.03902055391703</v>
      </c>
    </row>
    <row r="17" spans="1:5" ht="15.75" customHeight="1" x14ac:dyDescent="0.25">
      <c r="A17" s="25" t="s">
        <v>174</v>
      </c>
      <c r="B17" s="26" t="s">
        <v>107</v>
      </c>
      <c r="C17" s="17">
        <v>-23804.315729999998</v>
      </c>
      <c r="D17" s="17">
        <v>-33670.883049999997</v>
      </c>
      <c r="E17" s="17">
        <f>IF(OR(-23804.31573="",-33670.88305="",-23804.31573=0,-33670.88305=0),"-",-33670.88305/-23804.31573*100)</f>
        <v>141.44864919416861</v>
      </c>
    </row>
    <row r="18" spans="1:5" x14ac:dyDescent="0.25">
      <c r="A18" s="25" t="s">
        <v>175</v>
      </c>
      <c r="B18" s="26" t="s">
        <v>150</v>
      </c>
      <c r="C18" s="17">
        <v>-75903.728289999999</v>
      </c>
      <c r="D18" s="17">
        <v>-86076.507079999996</v>
      </c>
      <c r="E18" s="17">
        <f>IF(OR(-75903.72829="",-86076.50708="",-75903.72829=0,-86076.50708=0),"-",-86076.50708/-75903.72829*100)</f>
        <v>113.40221227491432</v>
      </c>
    </row>
    <row r="19" spans="1:5" x14ac:dyDescent="0.25">
      <c r="A19" s="23" t="s">
        <v>176</v>
      </c>
      <c r="B19" s="24" t="s">
        <v>151</v>
      </c>
      <c r="C19" s="16">
        <v>42038.53656</v>
      </c>
      <c r="D19" s="16">
        <v>22444.830109999999</v>
      </c>
      <c r="E19" s="16">
        <f>IF(42038.53656="","-",22444.83011/42038.53656*100)</f>
        <v>53.391083388369978</v>
      </c>
    </row>
    <row r="20" spans="1:5" x14ac:dyDescent="0.25">
      <c r="A20" s="25" t="s">
        <v>177</v>
      </c>
      <c r="B20" s="26" t="s">
        <v>152</v>
      </c>
      <c r="C20" s="17">
        <v>73989.020439999993</v>
      </c>
      <c r="D20" s="17">
        <v>53429.191409999999</v>
      </c>
      <c r="E20" s="17">
        <f>IF(OR(73989.02044="",53429.19141="",73989.02044=0,53429.19141=0),"-",53429.19141/73989.02044*100)</f>
        <v>72.212324331726222</v>
      </c>
    </row>
    <row r="21" spans="1:5" x14ac:dyDescent="0.25">
      <c r="A21" s="25" t="s">
        <v>178</v>
      </c>
      <c r="B21" s="26" t="s">
        <v>153</v>
      </c>
      <c r="C21" s="17">
        <v>-31950.48388</v>
      </c>
      <c r="D21" s="17">
        <v>-30984.3613</v>
      </c>
      <c r="E21" s="17">
        <f>IF(OR(-31950.48388="",-30984.3613="",-31950.48388=0,-30984.3613=0),"-",-30984.3613/-31950.48388*100)</f>
        <v>96.97618795499757</v>
      </c>
    </row>
    <row r="22" spans="1:5" ht="16.5" customHeight="1" x14ac:dyDescent="0.25">
      <c r="A22" s="23" t="s">
        <v>179</v>
      </c>
      <c r="B22" s="24" t="s">
        <v>17</v>
      </c>
      <c r="C22" s="16">
        <v>79987.638420000003</v>
      </c>
      <c r="D22" s="16">
        <v>208574.02647000001</v>
      </c>
      <c r="E22" s="16" t="s">
        <v>329</v>
      </c>
    </row>
    <row r="23" spans="1:5" x14ac:dyDescent="0.25">
      <c r="A23" s="25" t="s">
        <v>180</v>
      </c>
      <c r="B23" s="26" t="s">
        <v>160</v>
      </c>
      <c r="C23" s="17">
        <v>743.51129000000003</v>
      </c>
      <c r="D23" s="17">
        <v>481.54358000000002</v>
      </c>
      <c r="E23" s="17">
        <f>IF(OR(743.51129="",481.54358="",743.51129=0,481.54358=0),"-",481.54358/743.51129*100)</f>
        <v>64.766142286823907</v>
      </c>
    </row>
    <row r="24" spans="1:5" x14ac:dyDescent="0.25">
      <c r="A24" s="25" t="s">
        <v>181</v>
      </c>
      <c r="B24" s="26" t="s">
        <v>154</v>
      </c>
      <c r="C24" s="17">
        <v>132746.12127999999</v>
      </c>
      <c r="D24" s="17">
        <v>273664.17249999999</v>
      </c>
      <c r="E24" s="17" t="s">
        <v>274</v>
      </c>
    </row>
    <row r="25" spans="1:5" ht="17.25" customHeight="1" x14ac:dyDescent="0.25">
      <c r="A25" s="25" t="s">
        <v>234</v>
      </c>
      <c r="B25" s="26" t="s">
        <v>155</v>
      </c>
      <c r="C25" s="17">
        <v>-2643.2485099999999</v>
      </c>
      <c r="D25" s="17">
        <v>-2920.50452</v>
      </c>
      <c r="E25" s="17">
        <f>IF(OR(-2643.24851="",-2920.50452="",-2643.24851=0,-2920.50452=0),"-",-2920.50452/-2643.24851*100)</f>
        <v>110.48921465201167</v>
      </c>
    </row>
    <row r="26" spans="1:5" x14ac:dyDescent="0.25">
      <c r="A26" s="25" t="s">
        <v>182</v>
      </c>
      <c r="B26" s="26" t="s">
        <v>156</v>
      </c>
      <c r="C26" s="17">
        <v>-30920.406210000001</v>
      </c>
      <c r="D26" s="17">
        <v>-38525.198100000001</v>
      </c>
      <c r="E26" s="17">
        <f>IF(OR(-30920.40621="",-38525.1981="",-30920.40621=0,-38525.1981=0),"-",-38525.1981/-30920.40621*100)</f>
        <v>124.59473474685636</v>
      </c>
    </row>
    <row r="27" spans="1:5" x14ac:dyDescent="0.25">
      <c r="A27" s="25" t="s">
        <v>183</v>
      </c>
      <c r="B27" s="26" t="s">
        <v>108</v>
      </c>
      <c r="C27" s="17">
        <v>3136.0233699999999</v>
      </c>
      <c r="D27" s="17">
        <v>2943.1249499999999</v>
      </c>
      <c r="E27" s="17">
        <f>IF(OR(3136.02337="",2943.12495="",3136.02337=0,2943.12495=0),"-",2943.12495/3136.02337*100)</f>
        <v>93.848948262142571</v>
      </c>
    </row>
    <row r="28" spans="1:5" ht="28.5" customHeight="1" x14ac:dyDescent="0.25">
      <c r="A28" s="25" t="s">
        <v>184</v>
      </c>
      <c r="B28" s="26" t="s">
        <v>109</v>
      </c>
      <c r="C28" s="17">
        <v>-5598.58518</v>
      </c>
      <c r="D28" s="17">
        <v>-5173.3720000000003</v>
      </c>
      <c r="E28" s="17">
        <f>IF(OR(-5598.58518="",-5173.372="",-5598.58518=0,-5173.372=0),"-",-5173.372/-5598.58518*100)</f>
        <v>92.40498864750684</v>
      </c>
    </row>
    <row r="29" spans="1:5" ht="26.25" customHeight="1" x14ac:dyDescent="0.25">
      <c r="A29" s="25" t="s">
        <v>185</v>
      </c>
      <c r="B29" s="26" t="s">
        <v>110</v>
      </c>
      <c r="C29" s="17">
        <v>-9713.6774600000008</v>
      </c>
      <c r="D29" s="17">
        <v>-15214.46182</v>
      </c>
      <c r="E29" s="17">
        <f>IF(OR(-9713.67746="",-15214.46182="",-9713.67746=0,-15214.46182=0),"-",-15214.46182/-9713.67746*100)</f>
        <v>156.62926716119316</v>
      </c>
    </row>
    <row r="30" spans="1:5" x14ac:dyDescent="0.25">
      <c r="A30" s="25" t="s">
        <v>186</v>
      </c>
      <c r="B30" s="26" t="s">
        <v>111</v>
      </c>
      <c r="C30" s="17">
        <v>32702.663840000001</v>
      </c>
      <c r="D30" s="17">
        <v>47207.372100000001</v>
      </c>
      <c r="E30" s="17">
        <f>IF(OR(32702.66384="",47207.3721="",32702.66384=0,47207.3721=0),"-",47207.3721/32702.66384*100)</f>
        <v>144.35329284172468</v>
      </c>
    </row>
    <row r="31" spans="1:5" x14ac:dyDescent="0.25">
      <c r="A31" s="25" t="s">
        <v>187</v>
      </c>
      <c r="B31" s="26" t="s">
        <v>112</v>
      </c>
      <c r="C31" s="17">
        <v>-40464.764000000003</v>
      </c>
      <c r="D31" s="17">
        <v>-53888.650220000003</v>
      </c>
      <c r="E31" s="17">
        <f>IF(OR(-40464.764="",-53888.65022="",-40464.764=0,-53888.65022=0),"-",-53888.65022/-40464.764*100)</f>
        <v>133.17426049982646</v>
      </c>
    </row>
    <row r="32" spans="1:5" ht="15.75" customHeight="1" x14ac:dyDescent="0.25">
      <c r="A32" s="23" t="s">
        <v>188</v>
      </c>
      <c r="B32" s="24" t="s">
        <v>113</v>
      </c>
      <c r="C32" s="16">
        <v>-885855.55478000001</v>
      </c>
      <c r="D32" s="16">
        <v>-1438100.1626500001</v>
      </c>
      <c r="E32" s="16" t="s">
        <v>276</v>
      </c>
    </row>
    <row r="33" spans="1:5" x14ac:dyDescent="0.25">
      <c r="A33" s="25" t="s">
        <v>189</v>
      </c>
      <c r="B33" s="26" t="s">
        <v>157</v>
      </c>
      <c r="C33" s="17">
        <v>-9917.1684100000002</v>
      </c>
      <c r="D33" s="17">
        <v>-13381.21106</v>
      </c>
      <c r="E33" s="17">
        <f>IF(OR(-9917.16841="",-13381.21106="",-9917.16841=0,-13381.21106=0),"-",-13381.21106/-9917.16841*100)</f>
        <v>134.92975521628759</v>
      </c>
    </row>
    <row r="34" spans="1:5" x14ac:dyDescent="0.25">
      <c r="A34" s="25" t="s">
        <v>190</v>
      </c>
      <c r="B34" s="26" t="s">
        <v>114</v>
      </c>
      <c r="C34" s="17">
        <v>-564691.24147000001</v>
      </c>
      <c r="D34" s="17">
        <v>-543364.28599999996</v>
      </c>
      <c r="E34" s="17">
        <f>IF(OR(-564691.24147="",-543364.286="",-564691.24147=0,-543364.286=0),"-",-543364.286/-564691.24147*100)</f>
        <v>96.223253717468353</v>
      </c>
    </row>
    <row r="35" spans="1:5" x14ac:dyDescent="0.25">
      <c r="A35" s="25" t="s">
        <v>235</v>
      </c>
      <c r="B35" s="26" t="s">
        <v>158</v>
      </c>
      <c r="C35" s="17">
        <v>-285540.77153000003</v>
      </c>
      <c r="D35" s="17">
        <v>-630674.27532000002</v>
      </c>
      <c r="E35" s="17" t="s">
        <v>308</v>
      </c>
    </row>
    <row r="36" spans="1:5" x14ac:dyDescent="0.25">
      <c r="A36" s="25" t="s">
        <v>240</v>
      </c>
      <c r="B36" s="26" t="s">
        <v>242</v>
      </c>
      <c r="C36" s="17">
        <v>-25706.373370000001</v>
      </c>
      <c r="D36" s="17">
        <v>-250680.39027</v>
      </c>
      <c r="E36" s="17" t="s">
        <v>401</v>
      </c>
    </row>
    <row r="37" spans="1:5" ht="13.5" customHeight="1" x14ac:dyDescent="0.25">
      <c r="A37" s="23" t="s">
        <v>191</v>
      </c>
      <c r="B37" s="24" t="s">
        <v>115</v>
      </c>
      <c r="C37" s="16">
        <v>52563.11393</v>
      </c>
      <c r="D37" s="16">
        <v>13150.15437</v>
      </c>
      <c r="E37" s="16">
        <f>IF(52563.11393="","-",13150.15437/52563.11393*100)</f>
        <v>25.017837389756792</v>
      </c>
    </row>
    <row r="38" spans="1:5" x14ac:dyDescent="0.25">
      <c r="A38" s="25" t="s">
        <v>192</v>
      </c>
      <c r="B38" s="26" t="s">
        <v>161</v>
      </c>
      <c r="C38" s="17">
        <v>-1531.02799</v>
      </c>
      <c r="D38" s="17">
        <v>-1590.8374799999999</v>
      </c>
      <c r="E38" s="17">
        <f>IF(OR(-1531.02799="",-1590.83748="",-1531.02799=0,-1590.83748=0),"-",-1590.83748/-1531.02799*100)</f>
        <v>103.90649226471685</v>
      </c>
    </row>
    <row r="39" spans="1:5" ht="24" x14ac:dyDescent="0.25">
      <c r="A39" s="25" t="s">
        <v>193</v>
      </c>
      <c r="B39" s="26" t="s">
        <v>116</v>
      </c>
      <c r="C39" s="17">
        <v>55866.483010000004</v>
      </c>
      <c r="D39" s="17">
        <v>13701.73849</v>
      </c>
      <c r="E39" s="17">
        <f>IF(OR(55866.48301="",13701.73849="",55866.48301=0,13701.73849=0),"-",13701.73849/55866.48301*100)</f>
        <v>24.52586551322268</v>
      </c>
    </row>
    <row r="40" spans="1:5" ht="40.5" customHeight="1" x14ac:dyDescent="0.25">
      <c r="A40" s="25" t="s">
        <v>194</v>
      </c>
      <c r="B40" s="26" t="s">
        <v>159</v>
      </c>
      <c r="C40" s="17">
        <v>-1772.3410899999999</v>
      </c>
      <c r="D40" s="17">
        <v>1039.2533599999999</v>
      </c>
      <c r="E40" s="17" t="s">
        <v>277</v>
      </c>
    </row>
    <row r="41" spans="1:5" ht="24" x14ac:dyDescent="0.25">
      <c r="A41" s="23" t="s">
        <v>195</v>
      </c>
      <c r="B41" s="24" t="s">
        <v>117</v>
      </c>
      <c r="C41" s="16">
        <v>-658177.63197999995</v>
      </c>
      <c r="D41" s="16">
        <v>-698946.49661999999</v>
      </c>
      <c r="E41" s="16">
        <f>IF(-658177.63198="","-",-698946.49662/-658177.63198*100)</f>
        <v>106.19420391382108</v>
      </c>
    </row>
    <row r="42" spans="1:5" x14ac:dyDescent="0.25">
      <c r="A42" s="25" t="s">
        <v>196</v>
      </c>
      <c r="B42" s="26" t="s">
        <v>18</v>
      </c>
      <c r="C42" s="17">
        <v>8415.3072599999996</v>
      </c>
      <c r="D42" s="17">
        <v>11919.890219999999</v>
      </c>
      <c r="E42" s="17">
        <f>IF(OR(8415.30726="",11919.89022="",8415.30726=0,11919.89022=0),"-",11919.89022/8415.30726*100)</f>
        <v>141.64533571647627</v>
      </c>
    </row>
    <row r="43" spans="1:5" x14ac:dyDescent="0.25">
      <c r="A43" s="25" t="s">
        <v>197</v>
      </c>
      <c r="B43" s="26" t="s">
        <v>19</v>
      </c>
      <c r="C43" s="17">
        <v>-13660.327090000001</v>
      </c>
      <c r="D43" s="17">
        <v>-14994.07819</v>
      </c>
      <c r="E43" s="17">
        <f>IF(OR(-13660.32709="",-14994.07819="",-13660.32709=0,-14994.07819=0),"-",-14994.07819/-13660.32709*100)</f>
        <v>109.76368348439011</v>
      </c>
    </row>
    <row r="44" spans="1:5" x14ac:dyDescent="0.25">
      <c r="A44" s="25" t="s">
        <v>198</v>
      </c>
      <c r="B44" s="26" t="s">
        <v>118</v>
      </c>
      <c r="C44" s="17">
        <v>-38573.812270000002</v>
      </c>
      <c r="D44" s="17">
        <v>-41480.032570000003</v>
      </c>
      <c r="E44" s="17">
        <f>IF(OR(-38573.81227="",-41480.03257="",-38573.81227=0,-41480.03257=0),"-",-41480.03257/-38573.81227*100)</f>
        <v>107.53417961299164</v>
      </c>
    </row>
    <row r="45" spans="1:5" x14ac:dyDescent="0.25">
      <c r="A45" s="25" t="s">
        <v>199</v>
      </c>
      <c r="B45" s="26" t="s">
        <v>119</v>
      </c>
      <c r="C45" s="17">
        <v>-172720.70125000001</v>
      </c>
      <c r="D45" s="17">
        <v>-185405.37169</v>
      </c>
      <c r="E45" s="17">
        <f>IF(OR(-172720.70125="",-185405.37169="",-172720.70125=0,-185405.37169=0),"-",-185405.37169/-172720.70125*100)</f>
        <v>107.34403597727402</v>
      </c>
    </row>
    <row r="46" spans="1:5" ht="28.5" customHeight="1" x14ac:dyDescent="0.25">
      <c r="A46" s="25" t="s">
        <v>200</v>
      </c>
      <c r="B46" s="26" t="s">
        <v>120</v>
      </c>
      <c r="C46" s="17">
        <v>-123614.51284</v>
      </c>
      <c r="D46" s="17">
        <v>-133796.81211</v>
      </c>
      <c r="E46" s="17">
        <f>IF(OR(-123614.51284="",-133796.81211="",-123614.51284=0,-133796.81211=0),"-",-133796.81211/-123614.51284*100)</f>
        <v>108.23713901876508</v>
      </c>
    </row>
    <row r="47" spans="1:5" x14ac:dyDescent="0.25">
      <c r="A47" s="25" t="s">
        <v>201</v>
      </c>
      <c r="B47" s="26" t="s">
        <v>121</v>
      </c>
      <c r="C47" s="17">
        <v>-68217.342629999999</v>
      </c>
      <c r="D47" s="17">
        <v>-70904.559739999997</v>
      </c>
      <c r="E47" s="17">
        <f>IF(OR(-68217.34263="",-70904.55974="",-68217.34263=0,-70904.55974=0),"-",-70904.55974/-68217.34263*100)</f>
        <v>103.93919933905229</v>
      </c>
    </row>
    <row r="48" spans="1:5" x14ac:dyDescent="0.25">
      <c r="A48" s="25" t="s">
        <v>202</v>
      </c>
      <c r="B48" s="26" t="s">
        <v>20</v>
      </c>
      <c r="C48" s="17">
        <v>-40608.467660000002</v>
      </c>
      <c r="D48" s="17">
        <v>-38063.702519999999</v>
      </c>
      <c r="E48" s="17">
        <f>IF(OR(-40608.46766="",-38063.70252="",-40608.46766=0,-38063.70252=0),"-",-38063.70252/-40608.46766*100)</f>
        <v>93.733412545121382</v>
      </c>
    </row>
    <row r="49" spans="1:5" x14ac:dyDescent="0.25">
      <c r="A49" s="25" t="s">
        <v>203</v>
      </c>
      <c r="B49" s="26" t="s">
        <v>21</v>
      </c>
      <c r="C49" s="17">
        <v>-95915.269910000003</v>
      </c>
      <c r="D49" s="17">
        <v>-108091.77481</v>
      </c>
      <c r="E49" s="17">
        <f>IF(OR(-95915.26991="",-108091.77481="",-95915.26991=0,-108091.77481=0),"-",-108091.77481/-95915.26991*100)</f>
        <v>112.69506399911668</v>
      </c>
    </row>
    <row r="50" spans="1:5" x14ac:dyDescent="0.25">
      <c r="A50" s="25" t="s">
        <v>204</v>
      </c>
      <c r="B50" s="26" t="s">
        <v>122</v>
      </c>
      <c r="C50" s="17">
        <v>-113282.50559</v>
      </c>
      <c r="D50" s="17">
        <v>-118130.05521000001</v>
      </c>
      <c r="E50" s="17">
        <f>IF(OR(-113282.50559="",-118130.05521="",-113282.50559=0,-118130.05521=0),"-",-118130.05521/-113282.50559*100)</f>
        <v>104.27916878670092</v>
      </c>
    </row>
    <row r="51" spans="1:5" ht="24" x14ac:dyDescent="0.25">
      <c r="A51" s="23" t="s">
        <v>205</v>
      </c>
      <c r="B51" s="24" t="s">
        <v>268</v>
      </c>
      <c r="C51" s="16">
        <v>-710455.59828999999</v>
      </c>
      <c r="D51" s="16">
        <v>-812097.12887000002</v>
      </c>
      <c r="E51" s="16">
        <f>IF(-710455.59829="","-",-812097.12887/-710455.59829*100)</f>
        <v>114.30652820874967</v>
      </c>
    </row>
    <row r="52" spans="1:5" x14ac:dyDescent="0.25">
      <c r="A52" s="25" t="s">
        <v>206</v>
      </c>
      <c r="B52" s="26" t="s">
        <v>123</v>
      </c>
      <c r="C52" s="17">
        <v>-21142.712619999998</v>
      </c>
      <c r="D52" s="17">
        <v>-16601.833910000001</v>
      </c>
      <c r="E52" s="17">
        <f>IF(OR(-21142.71262="",-16601.83391="",-21142.71262=0,-16601.83391=0),"-",-16601.83391/-21142.71262*100)</f>
        <v>78.522724157426509</v>
      </c>
    </row>
    <row r="53" spans="1:5" x14ac:dyDescent="0.25">
      <c r="A53" s="25" t="s">
        <v>207</v>
      </c>
      <c r="B53" s="26" t="s">
        <v>22</v>
      </c>
      <c r="C53" s="17">
        <v>-55665.467989999997</v>
      </c>
      <c r="D53" s="17">
        <v>-61670.158819999997</v>
      </c>
      <c r="E53" s="17">
        <f>IF(OR(-55665.46799="",-61670.15882="",-55665.46799=0,-61670.15882=0),"-",-61670.15882/-55665.46799*100)</f>
        <v>110.78710203438639</v>
      </c>
    </row>
    <row r="54" spans="1:5" x14ac:dyDescent="0.25">
      <c r="A54" s="25" t="s">
        <v>208</v>
      </c>
      <c r="B54" s="26" t="s">
        <v>124</v>
      </c>
      <c r="C54" s="17">
        <v>-62440.641629999998</v>
      </c>
      <c r="D54" s="17">
        <v>-67993.569940000001</v>
      </c>
      <c r="E54" s="17">
        <f>IF(OR(-62440.64163="",-67993.56994="",-62440.64163=0,-67993.56994=0),"-",-67993.56994/-62440.64163*100)</f>
        <v>108.89313140454992</v>
      </c>
    </row>
    <row r="55" spans="1:5" ht="24" x14ac:dyDescent="0.25">
      <c r="A55" s="25" t="s">
        <v>209</v>
      </c>
      <c r="B55" s="26" t="s">
        <v>125</v>
      </c>
      <c r="C55" s="17">
        <v>-82388.490680000003</v>
      </c>
      <c r="D55" s="17">
        <v>-87913.814440000002</v>
      </c>
      <c r="E55" s="17">
        <f>IF(OR(-82388.49068="",-87913.81444="",-82388.49068=0,-87913.81444=0),"-",-87913.81444/-82388.49068*100)</f>
        <v>106.70642672829214</v>
      </c>
    </row>
    <row r="56" spans="1:5" ht="24" x14ac:dyDescent="0.25">
      <c r="A56" s="25" t="s">
        <v>210</v>
      </c>
      <c r="B56" s="26" t="s">
        <v>126</v>
      </c>
      <c r="C56" s="17">
        <v>-146302.04431</v>
      </c>
      <c r="D56" s="17">
        <v>-155604.31107</v>
      </c>
      <c r="E56" s="17">
        <f>IF(OR(-146302.04431="",-155604.31107="",-146302.04431=0,-155604.31107=0),"-",-155604.31107/-146302.04431*100)</f>
        <v>106.35826163870232</v>
      </c>
    </row>
    <row r="57" spans="1:5" x14ac:dyDescent="0.25">
      <c r="A57" s="25" t="s">
        <v>211</v>
      </c>
      <c r="B57" s="26" t="s">
        <v>23</v>
      </c>
      <c r="C57" s="17">
        <v>-63919.249329999999</v>
      </c>
      <c r="D57" s="17">
        <v>-76791.612290000005</v>
      </c>
      <c r="E57" s="17">
        <f>IF(OR(-63919.24933="",-76791.61229="",-63919.24933=0,-76791.61229=0),"-",-76791.61229/-63919.24933*100)</f>
        <v>120.13847642913176</v>
      </c>
    </row>
    <row r="58" spans="1:5" x14ac:dyDescent="0.25">
      <c r="A58" s="25" t="s">
        <v>212</v>
      </c>
      <c r="B58" s="26" t="s">
        <v>127</v>
      </c>
      <c r="C58" s="17">
        <v>-128555.45143</v>
      </c>
      <c r="D58" s="17">
        <v>-176417.00364000001</v>
      </c>
      <c r="E58" s="17">
        <f>IF(OR(-128555.45143="",-176417.00364="",-128555.45143=0,-176417.00364=0),"-",-176417.00364/-128555.45143*100)</f>
        <v>137.23027820104633</v>
      </c>
    </row>
    <row r="59" spans="1:5" x14ac:dyDescent="0.25">
      <c r="A59" s="25" t="s">
        <v>213</v>
      </c>
      <c r="B59" s="26" t="s">
        <v>24</v>
      </c>
      <c r="C59" s="17">
        <v>-21255.084750000002</v>
      </c>
      <c r="D59" s="17">
        <v>-26500.08412</v>
      </c>
      <c r="E59" s="17">
        <f>IF(OR(-21255.08475="",-26500.08412="",-21255.08475=0,-26500.08412=0),"-",-26500.08412/-21255.08475*100)</f>
        <v>124.67644533856775</v>
      </c>
    </row>
    <row r="60" spans="1:5" x14ac:dyDescent="0.25">
      <c r="A60" s="25" t="s">
        <v>214</v>
      </c>
      <c r="B60" s="26" t="s">
        <v>25</v>
      </c>
      <c r="C60" s="17">
        <v>-128786.45555</v>
      </c>
      <c r="D60" s="17">
        <v>-142604.74064</v>
      </c>
      <c r="E60" s="17">
        <f>IF(OR(-128786.45555="",-142604.74064="",-128786.45555=0,-142604.74064=0),"-",-142604.74064/-128786.45555*100)</f>
        <v>110.72961052541368</v>
      </c>
    </row>
    <row r="61" spans="1:5" x14ac:dyDescent="0.25">
      <c r="A61" s="23" t="s">
        <v>215</v>
      </c>
      <c r="B61" s="24" t="s">
        <v>128</v>
      </c>
      <c r="C61" s="16">
        <v>-1075482.61121</v>
      </c>
      <c r="D61" s="16">
        <v>-1289221.9156299999</v>
      </c>
      <c r="E61" s="16">
        <f>IF(-1075482.61121="","-",-1289221.91563/-1075482.61121*100)</f>
        <v>119.87380383393898</v>
      </c>
    </row>
    <row r="62" spans="1:5" ht="16.5" customHeight="1" x14ac:dyDescent="0.25">
      <c r="A62" s="25" t="s">
        <v>216</v>
      </c>
      <c r="B62" s="26" t="s">
        <v>129</v>
      </c>
      <c r="C62" s="17">
        <v>-16216.13805</v>
      </c>
      <c r="D62" s="17">
        <v>-21469.871609999998</v>
      </c>
      <c r="E62" s="17">
        <f>IF(OR(-16216.13805="",-21469.87161="",-16216.13805=0,-21469.87161=0),"-",-21469.87161/-16216.13805*100)</f>
        <v>132.39817978732611</v>
      </c>
    </row>
    <row r="63" spans="1:5" ht="15" customHeight="1" x14ac:dyDescent="0.25">
      <c r="A63" s="25" t="s">
        <v>217</v>
      </c>
      <c r="B63" s="26" t="s">
        <v>130</v>
      </c>
      <c r="C63" s="17">
        <v>-120063.56200999999</v>
      </c>
      <c r="D63" s="17">
        <v>-167383.36609</v>
      </c>
      <c r="E63" s="17">
        <f>IF(OR(-120063.56201="",-167383.36609="",-120063.56201=0,-167383.36609=0),"-",-167383.36609/-120063.56201*100)</f>
        <v>139.4122940281072</v>
      </c>
    </row>
    <row r="64" spans="1:5" x14ac:dyDescent="0.25">
      <c r="A64" s="25" t="s">
        <v>218</v>
      </c>
      <c r="B64" s="26" t="s">
        <v>131</v>
      </c>
      <c r="C64" s="17">
        <v>-6833.0996299999997</v>
      </c>
      <c r="D64" s="17">
        <v>-12607.27254</v>
      </c>
      <c r="E64" s="17" t="s">
        <v>273</v>
      </c>
    </row>
    <row r="65" spans="1:5" ht="24" x14ac:dyDescent="0.25">
      <c r="A65" s="25" t="s">
        <v>219</v>
      </c>
      <c r="B65" s="26" t="s">
        <v>132</v>
      </c>
      <c r="C65" s="17">
        <v>-171190.16174000001</v>
      </c>
      <c r="D65" s="17">
        <v>-216234.011</v>
      </c>
      <c r="E65" s="17">
        <f>IF(OR(-171190.16174="",-216234.011="",-171190.16174=0,-216234.011=0),"-",-216234.011/-171190.16174*100)</f>
        <v>126.31217168216222</v>
      </c>
    </row>
    <row r="66" spans="1:5" ht="25.5" customHeight="1" x14ac:dyDescent="0.25">
      <c r="A66" s="25" t="s">
        <v>220</v>
      </c>
      <c r="B66" s="26" t="s">
        <v>133</v>
      </c>
      <c r="C66" s="17">
        <v>-59968.06684</v>
      </c>
      <c r="D66" s="17">
        <v>-61413.893960000001</v>
      </c>
      <c r="E66" s="17">
        <f>IF(OR(-59968.06684="",-61413.89396="",-59968.06684=0,-61413.89396=0),"-",-61413.89396/-59968.06684*100)</f>
        <v>102.4109950448421</v>
      </c>
    </row>
    <row r="67" spans="1:5" ht="27" customHeight="1" x14ac:dyDescent="0.25">
      <c r="A67" s="25" t="s">
        <v>221</v>
      </c>
      <c r="B67" s="26" t="s">
        <v>134</v>
      </c>
      <c r="C67" s="17">
        <v>-154895.42871000001</v>
      </c>
      <c r="D67" s="17">
        <v>-171987.24145</v>
      </c>
      <c r="E67" s="17">
        <f>IF(OR(-154895.42871="",-171987.24145="",-154895.42871=0,-171987.24145=0),"-",-171987.24145/-154895.42871*100)</f>
        <v>111.0344203714364</v>
      </c>
    </row>
    <row r="68" spans="1:5" ht="36" x14ac:dyDescent="0.25">
      <c r="A68" s="25" t="s">
        <v>222</v>
      </c>
      <c r="B68" s="26" t="s">
        <v>135</v>
      </c>
      <c r="C68" s="17">
        <v>-85638.039550000001</v>
      </c>
      <c r="D68" s="17">
        <v>-120383.89075999999</v>
      </c>
      <c r="E68" s="17">
        <f>IF(OR(-85638.03955="",-120383.89076="",-85638.03955=0,-120383.89076=0),"-",-120383.89076/-85638.03955*100)</f>
        <v>140.57291758729897</v>
      </c>
    </row>
    <row r="69" spans="1:5" x14ac:dyDescent="0.25">
      <c r="A69" s="25" t="s">
        <v>223</v>
      </c>
      <c r="B69" s="26" t="s">
        <v>136</v>
      </c>
      <c r="C69" s="17">
        <v>-455911.63361000002</v>
      </c>
      <c r="D69" s="17">
        <v>-510086.20879</v>
      </c>
      <c r="E69" s="17">
        <f>IF(OR(-455911.63361="",-510086.20879="",-455911.63361=0,-510086.20879=0),"-",-510086.20879/-455911.63361*100)</f>
        <v>111.88269199253259</v>
      </c>
    </row>
    <row r="70" spans="1:5" x14ac:dyDescent="0.25">
      <c r="A70" s="25" t="s">
        <v>224</v>
      </c>
      <c r="B70" s="26" t="s">
        <v>26</v>
      </c>
      <c r="C70" s="17">
        <v>-4766.4810699999998</v>
      </c>
      <c r="D70" s="17">
        <v>-7656.1594299999997</v>
      </c>
      <c r="E70" s="17" t="s">
        <v>276</v>
      </c>
    </row>
    <row r="71" spans="1:5" x14ac:dyDescent="0.25">
      <c r="A71" s="23" t="s">
        <v>225</v>
      </c>
      <c r="B71" s="24" t="s">
        <v>27</v>
      </c>
      <c r="C71" s="16">
        <v>-230003.83507999999</v>
      </c>
      <c r="D71" s="16">
        <v>-285682.97269000002</v>
      </c>
      <c r="E71" s="16">
        <f>IF(-230003.83508="","-",-285682.97269/-230003.83508*100)</f>
        <v>124.20791705087599</v>
      </c>
    </row>
    <row r="72" spans="1:5" ht="26.25" customHeight="1" x14ac:dyDescent="0.25">
      <c r="A72" s="25" t="s">
        <v>226</v>
      </c>
      <c r="B72" s="26" t="s">
        <v>162</v>
      </c>
      <c r="C72" s="17">
        <v>-29083.37643</v>
      </c>
      <c r="D72" s="17">
        <v>-33466.347500000003</v>
      </c>
      <c r="E72" s="17">
        <f>IF(OR(-29083.37643="",-33466.3475="",-29083.37643=0,-33466.3475=0),"-",-33466.3475/-29083.37643*100)</f>
        <v>115.070365301461</v>
      </c>
    </row>
    <row r="73" spans="1:5" x14ac:dyDescent="0.25">
      <c r="A73" s="25" t="s">
        <v>227</v>
      </c>
      <c r="B73" s="26" t="s">
        <v>137</v>
      </c>
      <c r="C73" s="17">
        <v>34806.947650000002</v>
      </c>
      <c r="D73" s="17">
        <v>21295.050879999999</v>
      </c>
      <c r="E73" s="17">
        <f>IF(OR(34806.94765="",21295.05088="",34806.94765=0,21295.05088=0),"-",21295.05088/34806.94765*100)</f>
        <v>61.1804605624475</v>
      </c>
    </row>
    <row r="74" spans="1:5" x14ac:dyDescent="0.25">
      <c r="A74" s="25" t="s">
        <v>228</v>
      </c>
      <c r="B74" s="26" t="s">
        <v>138</v>
      </c>
      <c r="C74" s="17">
        <v>-5916.7682100000002</v>
      </c>
      <c r="D74" s="17">
        <v>-7425.0274900000004</v>
      </c>
      <c r="E74" s="17">
        <f>IF(OR(-5916.76821="",-7425.02749="",-5916.76821=0,-7425.02749=0),"-",-7425.02749/-5916.76821*100)</f>
        <v>125.49126865322988</v>
      </c>
    </row>
    <row r="75" spans="1:5" x14ac:dyDescent="0.25">
      <c r="A75" s="25" t="s">
        <v>229</v>
      </c>
      <c r="B75" s="26" t="s">
        <v>139</v>
      </c>
      <c r="C75" s="17">
        <v>40886.152000000002</v>
      </c>
      <c r="D75" s="17">
        <v>43991.437539999999</v>
      </c>
      <c r="E75" s="17">
        <f>IF(OR(40886.152="",43991.43754="",40886.152=0,43991.43754=0),"-",43991.43754/40886.152*100)</f>
        <v>107.59495669829727</v>
      </c>
    </row>
    <row r="76" spans="1:5" x14ac:dyDescent="0.25">
      <c r="A76" s="25" t="s">
        <v>230</v>
      </c>
      <c r="B76" s="26" t="s">
        <v>140</v>
      </c>
      <c r="C76" s="17">
        <v>-29132.968540000002</v>
      </c>
      <c r="D76" s="17">
        <v>-28092.87686</v>
      </c>
      <c r="E76" s="17">
        <f>IF(OR(-29132.96854="",-28092.87686="",-29132.96854=0,-28092.87686=0),"-",-28092.87686/-29132.96854*100)</f>
        <v>96.429846554868107</v>
      </c>
    </row>
    <row r="77" spans="1:5" ht="24" x14ac:dyDescent="0.25">
      <c r="A77" s="25" t="s">
        <v>231</v>
      </c>
      <c r="B77" s="26" t="s">
        <v>252</v>
      </c>
      <c r="C77" s="17">
        <v>-40215.252540000001</v>
      </c>
      <c r="D77" s="17">
        <v>-39796.012920000001</v>
      </c>
      <c r="E77" s="17">
        <f>IF(OR(-40215.25254="",-39796.01292="",-40215.25254=0,-39796.01292=0),"-",-39796.01292/-40215.25254*100)</f>
        <v>98.957510910610338</v>
      </c>
    </row>
    <row r="78" spans="1:5" ht="24" x14ac:dyDescent="0.25">
      <c r="A78" s="25" t="s">
        <v>232</v>
      </c>
      <c r="B78" s="26" t="s">
        <v>141</v>
      </c>
      <c r="C78" s="17">
        <v>-9616.4205600000005</v>
      </c>
      <c r="D78" s="17">
        <v>-9467.4083699999992</v>
      </c>
      <c r="E78" s="17">
        <f>IF(OR(-9616.42056="",-9467.40837="",-9616.42056=0,-9467.40837=0),"-",-9467.40837/-9616.42056*100)</f>
        <v>98.450440170848751</v>
      </c>
    </row>
    <row r="79" spans="1:5" x14ac:dyDescent="0.25">
      <c r="A79" s="25" t="s">
        <v>233</v>
      </c>
      <c r="B79" s="26" t="s">
        <v>28</v>
      </c>
      <c r="C79" s="17">
        <v>-191732.14845000001</v>
      </c>
      <c r="D79" s="17">
        <v>-232721.78797</v>
      </c>
      <c r="E79" s="17">
        <f>IF(OR(-191732.14845="",-232721.78797="",-191732.14845=0,-232721.78797=0),"-",-232721.78797/-191732.14845*100)</f>
        <v>121.37859500942758</v>
      </c>
    </row>
    <row r="80" spans="1:5" x14ac:dyDescent="0.25">
      <c r="A80" s="28" t="s">
        <v>236</v>
      </c>
      <c r="B80" s="29" t="s">
        <v>142</v>
      </c>
      <c r="C80" s="32">
        <v>-367.51940000000002</v>
      </c>
      <c r="D80" s="32">
        <v>-9069.23416</v>
      </c>
      <c r="E80" s="32" t="s">
        <v>402</v>
      </c>
    </row>
    <row r="81" spans="1:5" s="15" customFormat="1" ht="15.75" customHeight="1" x14ac:dyDescent="0.2">
      <c r="A81" s="114" t="s">
        <v>239</v>
      </c>
      <c r="B81" s="114"/>
      <c r="C81" s="22"/>
      <c r="D81" s="22"/>
      <c r="E81" s="22"/>
    </row>
    <row r="82" spans="1:5" x14ac:dyDescent="0.25">
      <c r="C82" s="17"/>
      <c r="D82" s="17"/>
      <c r="E82" s="33"/>
    </row>
    <row r="83" spans="1:5" x14ac:dyDescent="0.25">
      <c r="C83" s="17"/>
      <c r="D83" s="17"/>
      <c r="E83" s="33"/>
    </row>
  </sheetData>
  <mergeCells count="8">
    <mergeCell ref="A1:E1"/>
    <mergeCell ref="A2:E2"/>
    <mergeCell ref="A81:B81"/>
    <mergeCell ref="A3:E3"/>
    <mergeCell ref="A4:A5"/>
    <mergeCell ref="B4:B5"/>
    <mergeCell ref="C4:D4"/>
    <mergeCell ref="E4:E5"/>
  </mergeCells>
  <pageMargins left="0.59055118110236227" right="0.39370078740157483" top="0.39370078740157483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1. Export_Tari</vt:lpstr>
      <vt:lpstr>2. Import_Tari</vt:lpstr>
      <vt:lpstr>3. Balanta Comerciala_Tari</vt:lpstr>
      <vt:lpstr>4. Export_Moduri_Transport</vt:lpstr>
      <vt:lpstr>5. Import_Moduri_Transport</vt:lpstr>
      <vt:lpstr>6. Export_Grupe_Marfuri_CSCI</vt:lpstr>
      <vt:lpstr>7. Import_Grupe_Marfuri_CSCI</vt:lpstr>
      <vt:lpstr>8. Balanta_Comerciala_CSCI</vt:lpstr>
      <vt:lpstr>'1. Export_Tari'!Print_Titles</vt:lpstr>
      <vt:lpstr>'2. Import_Tari'!Print_Titles</vt:lpstr>
      <vt:lpstr>'3. Balanta Comerciala_Tari'!Print_Titles</vt:lpstr>
      <vt:lpstr>'6. Export_Grupe_Marfuri_CSCI'!Print_Titles</vt:lpstr>
      <vt:lpstr>'7. Import_Grupe_Marfuri_CSCI'!Print_Titles</vt:lpstr>
      <vt:lpstr>'8. Balanta_Comerciala_CSCI'!Print_Titles</vt:lpstr>
    </vt:vector>
  </TitlesOfParts>
  <Company>BNS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Eni</dc:creator>
  <cp:lastModifiedBy>Galina Ciobanu</cp:lastModifiedBy>
  <cp:lastPrinted>2025-10-11T08:05:35Z</cp:lastPrinted>
  <dcterms:created xsi:type="dcterms:W3CDTF">2016-09-01T07:59:47Z</dcterms:created>
  <dcterms:modified xsi:type="dcterms:W3CDTF">2025-10-13T10:07:01Z</dcterms:modified>
</cp:coreProperties>
</file>