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8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tables/table1.xml" ContentType="application/vnd.openxmlformats-officedocument.spreadsheetml.tab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y Computer\Tabele_01-08-2026\Anexe_Grafice_Nota_Informativa_01-08-2026\"/>
    </mc:Choice>
  </mc:AlternateContent>
  <xr:revisionPtr revIDLastSave="0" documentId="13_ncr:1_{434E149C-709B-4E62-AD2D-8CA66C8BBDCB}" xr6:coauthVersionLast="47" xr6:coauthVersionMax="47" xr10:uidLastSave="{00000000-0000-0000-0000-000000000000}"/>
  <bookViews>
    <workbookView xWindow="-108" yWindow="-108" windowWidth="23256" windowHeight="13896" tabRatio="857" xr2:uid="{00000000-000D-0000-FFFF-FFFF00000000}"/>
  </bookViews>
  <sheets>
    <sheet name="Figura 1" sheetId="1" r:id="rId1"/>
    <sheet name="Figura 2" sheetId="2" r:id="rId2"/>
    <sheet name="Sheet1" sheetId="18" state="hidden" r:id="rId3"/>
    <sheet name="Figura 3" sheetId="3" r:id="rId4"/>
    <sheet name="Figura 4" sheetId="4" r:id="rId5"/>
    <sheet name="Figura 5" sheetId="5" r:id="rId6"/>
    <sheet name="Figura 6" sheetId="17" r:id="rId7"/>
    <sheet name="Figura 7" sheetId="7" r:id="rId8"/>
    <sheet name="Figura 8" sheetId="8" r:id="rId9"/>
    <sheet name="Figura 9" sheetId="9" r:id="rId10"/>
    <sheet name="Figura 10" sheetId="10" r:id="rId11"/>
    <sheet name="Figura 11" sheetId="16" r:id="rId12"/>
    <sheet name="Figura 12" sheetId="12" r:id="rId13"/>
    <sheet name="Figura 13" sheetId="13" r:id="rId14"/>
    <sheet name="Figura 14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4" l="1"/>
  <c r="D31" i="14"/>
  <c r="D30" i="14"/>
  <c r="D29" i="14"/>
  <c r="D28" i="14"/>
  <c r="F36" i="16" l="1"/>
  <c r="E36" i="16"/>
  <c r="D36" i="16"/>
  <c r="C36" i="16"/>
  <c r="B36" i="16"/>
  <c r="F35" i="16"/>
  <c r="E35" i="16"/>
  <c r="D35" i="16"/>
  <c r="C35" i="16"/>
  <c r="B35" i="16"/>
  <c r="F34" i="16"/>
  <c r="E34" i="16"/>
  <c r="D34" i="16"/>
  <c r="C34" i="16"/>
  <c r="B34" i="16"/>
  <c r="F33" i="16"/>
  <c r="E33" i="16"/>
  <c r="D33" i="16"/>
  <c r="C33" i="16"/>
  <c r="B33" i="16"/>
  <c r="F32" i="16"/>
  <c r="E32" i="16"/>
  <c r="D32" i="16"/>
  <c r="C32" i="16"/>
  <c r="B32" i="16"/>
  <c r="F31" i="16"/>
  <c r="E31" i="16"/>
  <c r="D31" i="16"/>
  <c r="C31" i="16"/>
  <c r="B31" i="16"/>
  <c r="F30" i="16"/>
  <c r="E30" i="16"/>
  <c r="D30" i="16"/>
  <c r="C30" i="16"/>
  <c r="B30" i="16"/>
  <c r="F29" i="16"/>
  <c r="E29" i="16"/>
  <c r="D29" i="16"/>
  <c r="C29" i="16"/>
  <c r="B29" i="16"/>
  <c r="F28" i="16"/>
  <c r="E28" i="16"/>
  <c r="D28" i="16"/>
  <c r="C28" i="16"/>
  <c r="B28" i="16"/>
  <c r="F27" i="16"/>
  <c r="E27" i="16"/>
  <c r="D27" i="16"/>
  <c r="C27" i="16"/>
  <c r="B27" i="16"/>
  <c r="F26" i="16"/>
  <c r="E26" i="16"/>
  <c r="D26" i="16"/>
  <c r="C26" i="16"/>
  <c r="B26" i="16"/>
  <c r="F25" i="16"/>
  <c r="E25" i="16"/>
  <c r="D25" i="16"/>
  <c r="C25" i="16"/>
  <c r="B25" i="16"/>
  <c r="F24" i="16"/>
  <c r="E24" i="16"/>
  <c r="D24" i="16"/>
  <c r="C24" i="16"/>
  <c r="B24" i="16"/>
  <c r="F23" i="16"/>
  <c r="E23" i="16"/>
  <c r="D23" i="16"/>
  <c r="C23" i="16"/>
  <c r="B23" i="16"/>
  <c r="AK26" i="8"/>
  <c r="AJ26" i="8"/>
  <c r="AI26" i="8"/>
  <c r="AH26" i="8"/>
  <c r="AG26" i="8"/>
  <c r="AF26" i="8"/>
  <c r="AE26" i="8"/>
  <c r="AD26" i="8"/>
  <c r="AC26" i="8"/>
  <c r="AB26" i="8"/>
  <c r="AA26" i="8"/>
  <c r="Z26" i="8"/>
  <c r="AK23" i="2"/>
  <c r="AJ23" i="2"/>
  <c r="AI23" i="2"/>
  <c r="AH23" i="2"/>
  <c r="AG23" i="2"/>
  <c r="AF23" i="2"/>
  <c r="AE23" i="2"/>
  <c r="AD23" i="2"/>
  <c r="AC23" i="2"/>
  <c r="AB23" i="2"/>
  <c r="AA23" i="2"/>
  <c r="Z23" i="2"/>
  <c r="AS26" i="8" l="1"/>
  <c r="AR26" i="8"/>
  <c r="AQ26" i="8"/>
  <c r="F34" i="5" l="1"/>
  <c r="E34" i="5"/>
  <c r="D34" i="5"/>
  <c r="C34" i="5"/>
  <c r="B34" i="5"/>
  <c r="F33" i="5"/>
  <c r="E33" i="5"/>
  <c r="D33" i="5"/>
  <c r="C33" i="5"/>
  <c r="B33" i="5"/>
  <c r="F32" i="5"/>
  <c r="E32" i="5"/>
  <c r="D32" i="5"/>
  <c r="C32" i="5"/>
  <c r="B32" i="5"/>
  <c r="F31" i="5"/>
  <c r="E31" i="5"/>
  <c r="D31" i="5"/>
  <c r="C31" i="5"/>
  <c r="B31" i="5"/>
  <c r="F30" i="5"/>
  <c r="E30" i="5"/>
  <c r="D30" i="5"/>
  <c r="C30" i="5"/>
  <c r="B30" i="5"/>
  <c r="F29" i="5"/>
  <c r="E29" i="5"/>
  <c r="D29" i="5"/>
  <c r="C29" i="5"/>
  <c r="B29" i="5"/>
  <c r="F28" i="5"/>
  <c r="E28" i="5"/>
  <c r="D28" i="5"/>
  <c r="C28" i="5"/>
  <c r="B28" i="5"/>
  <c r="F27" i="5"/>
  <c r="E27" i="5"/>
  <c r="D27" i="5"/>
  <c r="C27" i="5"/>
  <c r="B27" i="5"/>
  <c r="F26" i="5"/>
  <c r="E26" i="5"/>
  <c r="D26" i="5"/>
  <c r="C26" i="5"/>
  <c r="B26" i="5"/>
  <c r="F25" i="5"/>
  <c r="E25" i="5"/>
  <c r="D25" i="5"/>
  <c r="C25" i="5"/>
  <c r="B25" i="5"/>
  <c r="F24" i="5"/>
  <c r="E24" i="5"/>
  <c r="D24" i="5"/>
  <c r="C24" i="5"/>
  <c r="B24" i="5"/>
  <c r="F23" i="5"/>
  <c r="E23" i="5"/>
  <c r="D23" i="5"/>
  <c r="C23" i="5"/>
  <c r="B23" i="5"/>
  <c r="F22" i="5"/>
  <c r="E22" i="5"/>
  <c r="D22" i="5"/>
  <c r="C22" i="5"/>
  <c r="B22" i="5"/>
  <c r="AS23" i="2" l="1"/>
  <c r="AR23" i="2"/>
  <c r="AQ23" i="2"/>
  <c r="AP26" i="8" l="1"/>
  <c r="AP23" i="2" l="1"/>
  <c r="AO26" i="8"/>
  <c r="AN26" i="8"/>
  <c r="AO23" i="2" l="1"/>
  <c r="AN23" i="2"/>
  <c r="AL23" i="2"/>
  <c r="AM23" i="2"/>
  <c r="B23" i="2" l="1"/>
  <c r="AM26" i="8"/>
  <c r="AL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</calcChain>
</file>

<file path=xl/sharedStrings.xml><?xml version="1.0" encoding="utf-8"?>
<sst xmlns="http://schemas.openxmlformats.org/spreadsheetml/2006/main" count="263" uniqueCount="105">
  <si>
    <t xml:space="preserve"> 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</si>
  <si>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</si>
  <si>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</si>
  <si>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</si>
  <si>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</si>
  <si>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</si>
  <si>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</si>
  <si>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</si>
  <si>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</si>
  <si>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</si>
  <si>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</si>
  <si>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</si>
  <si>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</si>
  <si>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I</t>
  </si>
  <si>
    <t>II</t>
  </si>
  <si>
    <t>III</t>
  </si>
  <si>
    <t>IV</t>
  </si>
  <si>
    <t>V</t>
  </si>
  <si>
    <t>VII</t>
  </si>
  <si>
    <t>IX</t>
  </si>
  <si>
    <t>XI</t>
  </si>
  <si>
    <t>XII</t>
  </si>
  <si>
    <t>VI</t>
  </si>
  <si>
    <t>VIII</t>
  </si>
  <si>
    <t>X</t>
  </si>
  <si>
    <t>Moduri de transport</t>
  </si>
  <si>
    <t>Transport maritim</t>
  </si>
  <si>
    <t>Transport feroviar</t>
  </si>
  <si>
    <t>Transport rutier</t>
  </si>
  <si>
    <t>Transport aerian</t>
  </si>
  <si>
    <t xml:space="preserve">Ţările Uniunii Europene </t>
  </si>
  <si>
    <t xml:space="preserve">Ţările CSI </t>
  </si>
  <si>
    <t xml:space="preserve">Celelalte ţări ale lumii </t>
  </si>
  <si>
    <t>Germania</t>
  </si>
  <si>
    <t>Turcia</t>
  </si>
  <si>
    <t>Italia</t>
  </si>
  <si>
    <t>Polonia</t>
  </si>
  <si>
    <t>Ucraina</t>
  </si>
  <si>
    <t>Belarus</t>
  </si>
  <si>
    <t>Ungaria</t>
  </si>
  <si>
    <t>Spania</t>
  </si>
  <si>
    <t>Bulgaria</t>
  </si>
  <si>
    <t>Autopropulsie</t>
  </si>
  <si>
    <t>Ţările Uniunii Europene - total</t>
  </si>
  <si>
    <t>Ţările CSI - total</t>
  </si>
  <si>
    <t>Celelalte ţări ale lumii - total</t>
  </si>
  <si>
    <t>Perioada</t>
  </si>
  <si>
    <t>Export</t>
  </si>
  <si>
    <t>Import</t>
  </si>
  <si>
    <t>Balanţa Comercială</t>
  </si>
  <si>
    <t>În % faţă de luna precedentă</t>
  </si>
  <si>
    <t>În % faţă de luna corespunzătoare din anul precedent</t>
  </si>
  <si>
    <t>Grecia</t>
  </si>
  <si>
    <t>Cehia</t>
  </si>
  <si>
    <t>Cereale şi preparate pe bază de cereale</t>
  </si>
  <si>
    <t>Legume şi fructe</t>
  </si>
  <si>
    <t>Seminţe şi fructe oleaginoase</t>
  </si>
  <si>
    <t>Produse medicinale şi farmaceutice</t>
  </si>
  <si>
    <t xml:space="preserve">Maşini şi aparate electrice </t>
  </si>
  <si>
    <t>Mobilă şi părţile ei</t>
  </si>
  <si>
    <t>Îmbrăcăminte şi accesorii</t>
  </si>
  <si>
    <t>Alte mărfuri</t>
  </si>
  <si>
    <t>Băuturi alcoolice şi nealcoolice</t>
  </si>
  <si>
    <t>Gaz şi produse industriale obţinute din gaz</t>
  </si>
  <si>
    <t xml:space="preserve">Maşini şi aparate specializate </t>
  </si>
  <si>
    <t xml:space="preserve">Maşini şi aparate industriale </t>
  </si>
  <si>
    <t>Vehicule rutiere</t>
  </si>
  <si>
    <t>Articole din minerale nemetalice</t>
  </si>
  <si>
    <t xml:space="preserve">Petrol, produse petroliere </t>
  </si>
  <si>
    <t xml:space="preserve">Fire, tesături, articole textile </t>
  </si>
  <si>
    <t>Petrol, produse petroliere</t>
  </si>
  <si>
    <t xml:space="preserve">Aparate şi echipamente de telecomunicaţii </t>
  </si>
  <si>
    <t>China</t>
  </si>
  <si>
    <t xml:space="preserve">          </t>
  </si>
  <si>
    <t>Expedieri postale</t>
  </si>
  <si>
    <t>Instalatii fixe de transport</t>
  </si>
  <si>
    <t>Federația Rusă</t>
  </si>
  <si>
    <t>Țările de Jos (Olanda)</t>
  </si>
  <si>
    <t>Minereuri metalifere şi deşeuri de metale</t>
  </si>
  <si>
    <t>Energie electrică</t>
  </si>
  <si>
    <t>Grăsimi şi uleiuri vegetale</t>
  </si>
  <si>
    <t>Articole prelucrate din metal</t>
  </si>
  <si>
    <r>
      <t xml:space="preserve">Figura 2. </t>
    </r>
    <r>
      <rPr>
        <i/>
        <sz val="11"/>
        <color indexed="8"/>
        <rFont val="Arial"/>
        <family val="2"/>
      </rPr>
      <t>Evoluţia lunară a indicilor valorici ai exporturilor de mărfuri, în anii 2023-2026 (%)</t>
    </r>
  </si>
  <si>
    <r>
      <t xml:space="preserve">Figura 13. </t>
    </r>
    <r>
      <rPr>
        <i/>
        <sz val="11"/>
        <color rgb="FF000000"/>
        <rFont val="Arial"/>
        <family val="2"/>
      </rPr>
      <t>Evoluţia lunară a balanţei comerciale, în anii 2022-2026 (milioane EURO)</t>
    </r>
  </si>
  <si>
    <r>
      <t xml:space="preserve">Figura 1. </t>
    </r>
    <r>
      <rPr>
        <i/>
        <sz val="11"/>
        <color theme="1"/>
        <rFont val="Arial"/>
        <family val="2"/>
      </rPr>
      <t>Evoluţia lunară a exporturilor de mărfuri, în anii 2022-2026 (milioane EURO)</t>
    </r>
  </si>
  <si>
    <r>
      <rPr>
        <sz val="11"/>
        <color indexed="8"/>
        <rFont val="Arial"/>
        <family val="2"/>
      </rPr>
      <t>Figura 7.</t>
    </r>
    <r>
      <rPr>
        <i/>
        <sz val="11"/>
        <color indexed="8"/>
        <rFont val="Arial"/>
        <family val="2"/>
      </rPr>
      <t xml:space="preserve"> Evoluţia lunară a importurilor de mărfuri, în anii 2022-2026 milioane EURO)</t>
    </r>
  </si>
  <si>
    <r>
      <t xml:space="preserve">Figura 8. </t>
    </r>
    <r>
      <rPr>
        <i/>
        <sz val="11"/>
        <color indexed="8"/>
        <rFont val="Arial"/>
        <family val="2"/>
      </rPr>
      <t>Evoluţia lunară a indicilor valorici ai importurilor de mărfuri, în anii 2023-2026 (%)</t>
    </r>
  </si>
  <si>
    <t>Liban</t>
  </si>
  <si>
    <t>România</t>
  </si>
  <si>
    <t>Franța</t>
  </si>
  <si>
    <t>Ianuarie-august 2026</t>
  </si>
  <si>
    <t>Ianuarie-august 2025</t>
  </si>
  <si>
    <t>Ianuarie-august 2024</t>
  </si>
  <si>
    <t>Ianuarie-august 2023</t>
  </si>
  <si>
    <t>Ianuarie-august 2022</t>
  </si>
  <si>
    <r>
      <rPr>
        <sz val="11"/>
        <color rgb="FF000000"/>
        <rFont val="Arial"/>
        <family val="2"/>
        <charset val="204"/>
      </rPr>
      <t>Figura 3</t>
    </r>
    <r>
      <rPr>
        <i/>
        <sz val="11"/>
        <color indexed="8"/>
        <rFont val="Arial"/>
        <family val="2"/>
        <charset val="204"/>
      </rPr>
      <t>. Structura exporturilor de mărfuri, în ianuarie-august 2022-2026, după modul de transport (%)</t>
    </r>
  </si>
  <si>
    <r>
      <rPr>
        <sz val="11"/>
        <color rgb="FF000000"/>
        <rFont val="Arial"/>
        <family val="2"/>
        <charset val="204"/>
      </rPr>
      <t>Figura 4.</t>
    </r>
    <r>
      <rPr>
        <i/>
        <sz val="11"/>
        <color indexed="8"/>
        <rFont val="Arial"/>
        <family val="2"/>
        <charset val="204"/>
      </rPr>
      <t xml:space="preserve"> Structura exporturilor de mărfuri, în ianuarie-august 2022-2026, pe grupe de ţări (%)</t>
    </r>
  </si>
  <si>
    <r>
      <rPr>
        <sz val="11"/>
        <color rgb="FF000000"/>
        <rFont val="Arial"/>
        <family val="2"/>
        <charset val="204"/>
      </rPr>
      <t>Figura 5.</t>
    </r>
    <r>
      <rPr>
        <i/>
        <sz val="11"/>
        <color indexed="8"/>
        <rFont val="Arial"/>
        <family val="2"/>
        <charset val="204"/>
      </rPr>
      <t xml:space="preserve"> Structura exporturilor, în ianuarie-august 2022-2026, pe principalele ţări de destinaţie a mărfurilor (%)</t>
    </r>
  </si>
  <si>
    <t>Statele Unite ale Americii</t>
  </si>
  <si>
    <r>
      <rPr>
        <sz val="11"/>
        <color theme="1"/>
        <rFont val="Arial"/>
        <family val="2"/>
        <charset val="204"/>
      </rPr>
      <t>Figura 6</t>
    </r>
    <r>
      <rPr>
        <i/>
        <sz val="11"/>
        <color theme="1"/>
        <rFont val="Arial"/>
        <family val="2"/>
        <charset val="204"/>
      </rPr>
      <t>. Structura exporturilor, în ianuarie-august 2025-2026, pe grupe de mărfuri (%)</t>
    </r>
  </si>
  <si>
    <r>
      <rPr>
        <sz val="11"/>
        <color theme="1"/>
        <rFont val="Arial"/>
        <family val="2"/>
        <charset val="204"/>
      </rPr>
      <t xml:space="preserve">    Figura 10. </t>
    </r>
    <r>
      <rPr>
        <i/>
        <sz val="11"/>
        <color theme="1"/>
        <rFont val="Arial"/>
        <family val="2"/>
        <charset val="204"/>
      </rPr>
      <t>Structura importurilor de mărfuri, în ianuarie-august 2022-2026, pe grupe de ţări (%)</t>
    </r>
  </si>
  <si>
    <r>
      <t>Figura 11.</t>
    </r>
    <r>
      <rPr>
        <i/>
        <sz val="11"/>
        <color rgb="FF000000"/>
        <rFont val="Arial"/>
        <family val="2"/>
        <charset val="204"/>
      </rPr>
      <t xml:space="preserve"> Structura importurilor, în ianuarie-august 2022-2026, pe principalele ţări de origine a mărfurilor (%)</t>
    </r>
  </si>
  <si>
    <r>
      <rPr>
        <sz val="11"/>
        <color rgb="FF000000"/>
        <rFont val="Arial"/>
        <family val="2"/>
        <charset val="204"/>
      </rPr>
      <t xml:space="preserve">Figura 14. </t>
    </r>
    <r>
      <rPr>
        <i/>
        <sz val="11"/>
        <color indexed="8"/>
        <rFont val="Arial"/>
        <family val="2"/>
        <charset val="204"/>
      </rPr>
      <t>Tendinţele comerţului internaţional cu mărfuri, în ianuarie-august 2022-2026 (milioane EURO)</t>
    </r>
  </si>
  <si>
    <r>
      <t xml:space="preserve">Figura 9. </t>
    </r>
    <r>
      <rPr>
        <i/>
        <sz val="11"/>
        <color rgb="FF000000"/>
        <rFont val="Arial"/>
        <family val="2"/>
        <charset val="204"/>
      </rPr>
      <t>Structura importurilor de mărfuri, în ianuarie-august 2022-2026, după modul de transport (%)</t>
    </r>
  </si>
  <si>
    <r>
      <rPr>
        <sz val="11"/>
        <color theme="1"/>
        <rFont val="Arial"/>
        <family val="2"/>
        <charset val="204"/>
      </rPr>
      <t xml:space="preserve">Figura 12. </t>
    </r>
    <r>
      <rPr>
        <i/>
        <sz val="11"/>
        <color theme="1"/>
        <rFont val="Arial"/>
        <family val="2"/>
        <charset val="204"/>
      </rPr>
      <t>Structura importurilor, în ianuarie-august 2025-2026, pe grupe de mărfuri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</si>
</sst>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3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38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9"/>
      <color theme="1"/>
      <name val="Raleway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i/>
      <sz val="11"/>
      <color rgb="FF000000"/>
      <name val="Arial"/>
      <family val="2"/>
    </font>
    <font>
      <sz val="9"/>
      <color theme="1"/>
      <name val="Arial"/>
      <family val="2"/>
    </font>
    <font>
      <i/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i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3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31" fillId="0" borderId="0"/>
  </cellStyleXfs>
  <cellXfs count="17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 inden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6" fillId="0" borderId="12" xfId="0" applyFont="1" applyBorder="1" applyAlignment="1">
      <alignment horizontal="left" wrapText="1" indent="1"/>
    </xf>
    <xf numFmtId="0" fontId="6" fillId="0" borderId="13" xfId="0" applyFont="1" applyBorder="1" applyAlignment="1">
      <alignment horizontal="left" wrapText="1" indent="1"/>
    </xf>
    <xf numFmtId="0" fontId="6" fillId="0" borderId="8" xfId="0" applyFont="1" applyBorder="1" applyAlignment="1">
      <alignment horizontal="left" wrapText="1" indent="1"/>
    </xf>
    <xf numFmtId="0" fontId="6" fillId="0" borderId="1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12" fillId="0" borderId="0" xfId="0" applyNumberFormat="1" applyFont="1" applyAlignment="1">
      <alignment horizontal="center" vertical="top"/>
    </xf>
    <xf numFmtId="166" fontId="12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8" fontId="12" fillId="0" borderId="0" xfId="0" applyNumberFormat="1" applyFont="1" applyAlignment="1">
      <alignment horizontal="left" vertical="top" wrapText="1"/>
    </xf>
    <xf numFmtId="164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38" fontId="18" fillId="0" borderId="0" xfId="0" applyNumberFormat="1" applyFont="1" applyAlignment="1">
      <alignment horizontal="left" vertical="top" wrapText="1"/>
    </xf>
    <xf numFmtId="0" fontId="19" fillId="0" borderId="0" xfId="0" applyFont="1"/>
    <xf numFmtId="166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23" fillId="0" borderId="0" xfId="0" applyFont="1"/>
    <xf numFmtId="0" fontId="26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/>
    </xf>
    <xf numFmtId="164" fontId="17" fillId="0" borderId="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4" fontId="2" fillId="0" borderId="0" xfId="0" applyNumberFormat="1" applyFont="1"/>
    <xf numFmtId="0" fontId="7" fillId="0" borderId="7" xfId="0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top" indent="1"/>
    </xf>
    <xf numFmtId="0" fontId="32" fillId="0" borderId="0" xfId="0" applyFont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top"/>
    </xf>
    <xf numFmtId="164" fontId="4" fillId="0" borderId="10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/>
    </xf>
    <xf numFmtId="165" fontId="4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2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/>
    <xf numFmtId="165" fontId="4" fillId="0" borderId="10" xfId="0" applyNumberFormat="1" applyFont="1" applyBorder="1" applyAlignment="1">
      <alignment horizontal="center" vertical="top" wrapText="1"/>
    </xf>
    <xf numFmtId="165" fontId="4" fillId="0" borderId="11" xfId="0" applyNumberFormat="1" applyFont="1" applyBorder="1" applyAlignment="1">
      <alignment horizontal="center" vertical="top" wrapText="1"/>
    </xf>
    <xf numFmtId="165" fontId="4" fillId="0" borderId="11" xfId="0" applyNumberFormat="1" applyFont="1" applyBorder="1" applyAlignment="1">
      <alignment horizontal="center" vertical="top"/>
    </xf>
    <xf numFmtId="165" fontId="2" fillId="0" borderId="0" xfId="0" applyNumberFormat="1" applyFont="1" applyAlignment="1">
      <alignment horizontal="center"/>
    </xf>
    <xf numFmtId="0" fontId="3" fillId="0" borderId="12" xfId="0" applyFont="1" applyBorder="1" applyAlignment="1">
      <alignment horizontal="center"/>
    </xf>
    <xf numFmtId="164" fontId="4" fillId="0" borderId="2" xfId="9" applyNumberFormat="1" applyFont="1" applyBorder="1" applyAlignment="1">
      <alignment horizontal="center"/>
    </xf>
    <xf numFmtId="0" fontId="6" fillId="0" borderId="10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 indent="1"/>
    </xf>
    <xf numFmtId="0" fontId="3" fillId="0" borderId="13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3" xfId="0" applyNumberFormat="1" applyFont="1" applyBorder="1"/>
    <xf numFmtId="0" fontId="5" fillId="0" borderId="4" xfId="0" applyFont="1" applyBorder="1" applyAlignment="1">
      <alignment horizontal="left" vertical="center" indent="1"/>
    </xf>
    <xf numFmtId="165" fontId="4" fillId="0" borderId="10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top"/>
    </xf>
    <xf numFmtId="165" fontId="4" fillId="0" borderId="3" xfId="0" applyNumberFormat="1" applyFont="1" applyBorder="1" applyAlignment="1">
      <alignment horizontal="center" vertical="top"/>
    </xf>
    <xf numFmtId="165" fontId="4" fillId="0" borderId="6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 vertical="top"/>
    </xf>
    <xf numFmtId="164" fontId="17" fillId="0" borderId="10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8" fontId="6" fillId="0" borderId="13" xfId="0" applyNumberFormat="1" applyFont="1" applyBorder="1" applyAlignment="1">
      <alignment horizontal="left" vertical="top" wrapText="1" indent="1"/>
    </xf>
    <xf numFmtId="38" fontId="6" fillId="0" borderId="8" xfId="0" applyNumberFormat="1" applyFont="1" applyBorder="1" applyAlignment="1">
      <alignment horizontal="left" vertical="top" wrapText="1" indent="1"/>
    </xf>
    <xf numFmtId="164" fontId="26" fillId="0" borderId="2" xfId="0" applyNumberFormat="1" applyFont="1" applyBorder="1" applyAlignment="1">
      <alignment horizontal="center" vertical="center"/>
    </xf>
    <xf numFmtId="38" fontId="6" fillId="0" borderId="12" xfId="0" applyNumberFormat="1" applyFont="1" applyBorder="1" applyAlignment="1">
      <alignment horizontal="left" vertical="top" wrapText="1" indent="1"/>
    </xf>
    <xf numFmtId="38" fontId="6" fillId="0" borderId="10" xfId="0" applyNumberFormat="1" applyFont="1" applyBorder="1" applyAlignment="1">
      <alignment horizontal="left" vertical="top" wrapText="1" indent="1"/>
    </xf>
    <xf numFmtId="38" fontId="6" fillId="0" borderId="11" xfId="0" applyNumberFormat="1" applyFont="1" applyBorder="1" applyAlignment="1">
      <alignment horizontal="left" vertical="top" wrapText="1" indent="1"/>
    </xf>
    <xf numFmtId="38" fontId="6" fillId="0" borderId="9" xfId="0" applyNumberFormat="1" applyFont="1" applyBorder="1" applyAlignment="1">
      <alignment horizontal="left" vertical="top" wrapText="1" indent="1"/>
    </xf>
    <xf numFmtId="164" fontId="2" fillId="0" borderId="0" xfId="0" applyNumberFormat="1" applyFont="1"/>
    <xf numFmtId="165" fontId="17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1">
    <cellStyle name="Normal" xfId="0" builtinId="0"/>
    <cellStyle name="Normal 2" xfId="1" xr:uid="{00000000-0005-0000-0000-000000000000}"/>
    <cellStyle name="Normal 2 2" xfId="9" xr:uid="{21468A25-7764-4233-B4F5-64C21B0750F0}"/>
    <cellStyle name="Normal 3" xfId="2" xr:uid="{00000000-0005-0000-0000-000001000000}"/>
    <cellStyle name="Normal 4" xfId="7" xr:uid="{43A0D128-9434-4461-9882-4BD1611E5150}"/>
    <cellStyle name="Normal 5" xfId="3" xr:uid="{00000000-0005-0000-0000-000002000000}"/>
    <cellStyle name="Normal 6" xfId="4" xr:uid="{00000000-0005-0000-0000-000003000000}"/>
    <cellStyle name="Обычный 2" xfId="6" xr:uid="{9B388206-61B8-44BB-BB6C-9623C4C18F01}"/>
    <cellStyle name="Обычный 3" xfId="5" xr:uid="{629DE06C-D01B-4DE6-9EC1-66E691FD8370}"/>
    <cellStyle name="Обычный 3 2" xfId="8" xr:uid="{DB14B617-3380-42CE-890C-FB66B3F9C342}"/>
    <cellStyle name="Обычный_Лист1" xfId="10" xr:uid="{5674EB96-939A-4094-B2FC-6B91B6BD8D93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04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04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04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/>
        <i val="0"/>
        <strike val="0"/>
        <outline val="0"/>
        <shadow val="0"/>
        <u val="none"/>
        <vertAlign val="baseline"/>
        <sz val="9"/>
        <color auto="1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04"/>
        <scheme val="none"/>
      </font>
      <alignment horizontal="center" vertical="top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C000"/>
      <color rgb="FF7CAFDD"/>
      <color rgb="FF43682B"/>
      <color rgb="FF264478"/>
      <color rgb="FF997300"/>
      <color rgb="FF636363"/>
      <color rgb="FF9E480E"/>
      <color rgb="FF255E91"/>
      <color rgb="FF70AD4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28118784770424E-2"/>
          <c:y val="0.125"/>
          <c:w val="0.93342791955969773"/>
          <c:h val="0.592252843394575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'Figura 1'!$B$24</c:f>
              <c:strCache>
                <c:ptCount val="1"/>
                <c:pt idx="0">
                  <c:v>Ianuarie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1'!$B$25:$B$29</c:f>
              <c:numCache>
                <c:formatCode>#,##0.0</c:formatCode>
                <c:ptCount val="5"/>
                <c:pt idx="0">
                  <c:v>292</c:v>
                </c:pt>
                <c:pt idx="1">
                  <c:v>307.2</c:v>
                </c:pt>
                <c:pt idx="2">
                  <c:v>251.2</c:v>
                </c:pt>
                <c:pt idx="3" formatCode="0.0">
                  <c:v>234.6</c:v>
                </c:pt>
                <c:pt idx="4" formatCode="General">
                  <c:v>264.89999999999998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77-4331-9340-25D82A096A07}"/>
            </c:ext>
          </c:extLst>
        </c:ser>
        <c:ser>
          <c:idx val="1"/>
          <c:order val="1"/>
          <c:tx>
            <c:strRef>
              <c:f>'Figura 1'!$C$24</c:f>
              <c:strCache>
                <c:ptCount val="1"/>
                <c:pt idx="0">
                  <c:v>Februarie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1'!$C$25:$C$29</c:f>
              <c:numCache>
                <c:formatCode>#,##0.0</c:formatCode>
                <c:ptCount val="5"/>
                <c:pt idx="0">
                  <c:v>296.7</c:v>
                </c:pt>
                <c:pt idx="1">
                  <c:v>331.8</c:v>
                </c:pt>
                <c:pt idx="2">
                  <c:v>303.10000000000002</c:v>
                </c:pt>
                <c:pt idx="3" formatCode="0.0">
                  <c:v>258.5</c:v>
                </c:pt>
                <c:pt idx="4" formatCode="General">
                  <c:v>285.5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77-4331-9340-25D82A096A07}"/>
            </c:ext>
          </c:extLst>
        </c:ser>
        <c:ser>
          <c:idx val="2"/>
          <c:order val="2"/>
          <c:tx>
            <c:strRef>
              <c:f>'Figura 1'!$D$24</c:f>
              <c:strCache>
                <c:ptCount val="1"/>
                <c:pt idx="0">
                  <c:v>Martie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1'!$D$25:$D$29</c:f>
              <c:numCache>
                <c:formatCode>#,##0.0</c:formatCode>
                <c:ptCount val="5"/>
                <c:pt idx="0">
                  <c:v>359.1</c:v>
                </c:pt>
                <c:pt idx="1">
                  <c:v>359.9</c:v>
                </c:pt>
                <c:pt idx="2">
                  <c:v>294.7</c:v>
                </c:pt>
                <c:pt idx="3" formatCode="General">
                  <c:v>277.2</c:v>
                </c:pt>
                <c:pt idx="4" formatCode="General">
                  <c:v>298.10000000000002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77-4331-9340-25D82A096A07}"/>
            </c:ext>
          </c:extLst>
        </c:ser>
        <c:ser>
          <c:idx val="3"/>
          <c:order val="3"/>
          <c:tx>
            <c:strRef>
              <c:f>'Figura 1'!$E$24</c:f>
              <c:strCache>
                <c:ptCount val="1"/>
                <c:pt idx="0">
                  <c:v>Aprilie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1'!$E$25:$E$29</c:f>
              <c:numCache>
                <c:formatCode>#,##0.0</c:formatCode>
                <c:ptCount val="5"/>
                <c:pt idx="0" formatCode="0.0">
                  <c:v>365</c:v>
                </c:pt>
                <c:pt idx="1">
                  <c:v>289.60000000000002</c:v>
                </c:pt>
                <c:pt idx="2">
                  <c:v>272.7</c:v>
                </c:pt>
                <c:pt idx="3" formatCode="General">
                  <c:v>237.5</c:v>
                </c:pt>
                <c:pt idx="4" formatCode="General">
                  <c:v>269.60000000000002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77-4331-9340-25D82A096A07}"/>
            </c:ext>
          </c:extLst>
        </c:ser>
        <c:ser>
          <c:idx val="4"/>
          <c:order val="4"/>
          <c:tx>
            <c:strRef>
              <c:f>'Figura 1'!$F$24</c:f>
              <c:strCache>
                <c:ptCount val="1"/>
                <c:pt idx="0">
                  <c:v>Mai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1'!$F$25:$F$29</c:f>
              <c:numCache>
                <c:formatCode>#,##0.0</c:formatCode>
                <c:ptCount val="5"/>
                <c:pt idx="0">
                  <c:v>393.4</c:v>
                </c:pt>
                <c:pt idx="1">
                  <c:v>309.39999999999998</c:v>
                </c:pt>
                <c:pt idx="2">
                  <c:v>256.89999999999998</c:v>
                </c:pt>
                <c:pt idx="3" formatCode="General">
                  <c:v>228.3</c:v>
                </c:pt>
                <c:pt idx="4" formatCode="General">
                  <c:v>258.39999999999998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77-4331-9340-25D82A096A07}"/>
            </c:ext>
          </c:extLst>
        </c:ser>
        <c:ser>
          <c:idx val="5"/>
          <c:order val="5"/>
          <c:tx>
            <c:strRef>
              <c:f>'Figura 1'!$G$24</c:f>
              <c:strCache>
                <c:ptCount val="1"/>
                <c:pt idx="0">
                  <c:v>Iunie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1'!$G$25:$G$29</c:f>
              <c:numCache>
                <c:formatCode>#,##0.0</c:formatCode>
                <c:ptCount val="5"/>
                <c:pt idx="0">
                  <c:v>393.3</c:v>
                </c:pt>
                <c:pt idx="1">
                  <c:v>292.10000000000002</c:v>
                </c:pt>
                <c:pt idx="2" formatCode="0.0">
                  <c:v>267.89999999999998</c:v>
                </c:pt>
                <c:pt idx="3" formatCode="0.0">
                  <c:v>230.9</c:v>
                </c:pt>
                <c:pt idx="4" formatCode="0.0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77-4331-9340-25D82A096A07}"/>
            </c:ext>
          </c:extLst>
        </c:ser>
        <c:ser>
          <c:idx val="6"/>
          <c:order val="6"/>
          <c:tx>
            <c:strRef>
              <c:f>'Figura 1'!$H$24</c:f>
              <c:strCache>
                <c:ptCount val="1"/>
                <c:pt idx="0">
                  <c:v>Iulie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1'!$H$25:$H$29</c:f>
              <c:numCache>
                <c:formatCode>#,##0.0</c:formatCode>
                <c:ptCount val="5"/>
                <c:pt idx="0">
                  <c:v>332</c:v>
                </c:pt>
                <c:pt idx="1">
                  <c:v>275.2</c:v>
                </c:pt>
                <c:pt idx="2" formatCode="0.0">
                  <c:v>262.8</c:v>
                </c:pt>
                <c:pt idx="3" formatCode="0.0">
                  <c:v>296.60000000000002</c:v>
                </c:pt>
                <c:pt idx="4" formatCode="0.0">
                  <c:v>320.39999999999998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77-4331-9340-25D82A096A07}"/>
            </c:ext>
          </c:extLst>
        </c:ser>
        <c:ser>
          <c:idx val="7"/>
          <c:order val="7"/>
          <c:tx>
            <c:strRef>
              <c:f>'Figura 1'!$I$24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1'!$I$25:$I$29</c:f>
              <c:numCache>
                <c:formatCode>#,##0.0</c:formatCode>
                <c:ptCount val="5"/>
                <c:pt idx="0">
                  <c:v>324.89999999999998</c:v>
                </c:pt>
                <c:pt idx="1">
                  <c:v>294.60000000000002</c:v>
                </c:pt>
                <c:pt idx="2" formatCode="0.0">
                  <c:v>247.9</c:v>
                </c:pt>
                <c:pt idx="3" formatCode="0.0">
                  <c:v>285.89999999999998</c:v>
                </c:pt>
                <c:pt idx="4" formatCode="General">
                  <c:v>268.5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77-4331-9340-25D82A096A07}"/>
            </c:ext>
          </c:extLst>
        </c:ser>
        <c:ser>
          <c:idx val="8"/>
          <c:order val="8"/>
          <c:tx>
            <c:strRef>
              <c:f>'Figura 1'!$J$24</c:f>
              <c:strCache>
                <c:ptCount val="1"/>
                <c:pt idx="0">
                  <c:v>Septembrie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1'!$J$25:$J$29</c:f>
              <c:numCache>
                <c:formatCode>#,##0.0</c:formatCode>
                <c:ptCount val="5"/>
                <c:pt idx="0">
                  <c:v>321.39999999999998</c:v>
                </c:pt>
                <c:pt idx="1">
                  <c:v>325.5</c:v>
                </c:pt>
                <c:pt idx="2" formatCode="General">
                  <c:v>252.7</c:v>
                </c:pt>
                <c:pt idx="3" formatCode="0.0">
                  <c:v>294.10000000000002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77-4331-9340-25D82A096A07}"/>
            </c:ext>
          </c:extLst>
        </c:ser>
        <c:ser>
          <c:idx val="9"/>
          <c:order val="9"/>
          <c:tx>
            <c:strRef>
              <c:f>'Figura 1'!$K$24</c:f>
              <c:strCache>
                <c:ptCount val="1"/>
                <c:pt idx="0">
                  <c:v>Octombrie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1'!$K$25:$K$29</c:f>
              <c:numCache>
                <c:formatCode>#,##0.0</c:formatCode>
                <c:ptCount val="5"/>
                <c:pt idx="0">
                  <c:v>358</c:v>
                </c:pt>
                <c:pt idx="1">
                  <c:v>323.7</c:v>
                </c:pt>
                <c:pt idx="2" formatCode="General">
                  <c:v>303.3</c:v>
                </c:pt>
                <c:pt idx="3">
                  <c:v>351.4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577-4331-9340-25D82A096A07}"/>
            </c:ext>
          </c:extLst>
        </c:ser>
        <c:ser>
          <c:idx val="10"/>
          <c:order val="10"/>
          <c:tx>
            <c:strRef>
              <c:f>'Figura 1'!$L$24</c:f>
              <c:strCache>
                <c:ptCount val="1"/>
                <c:pt idx="0">
                  <c:v>Noiembrie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1'!$L$25:$L$29</c:f>
              <c:numCache>
                <c:formatCode>#,##0.0</c:formatCode>
                <c:ptCount val="5"/>
                <c:pt idx="0">
                  <c:v>349.9</c:v>
                </c:pt>
                <c:pt idx="1">
                  <c:v>351.4</c:v>
                </c:pt>
                <c:pt idx="2" formatCode="0.0">
                  <c:v>315.5</c:v>
                </c:pt>
                <c:pt idx="3">
                  <c:v>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577-4331-9340-25D82A096A07}"/>
            </c:ext>
          </c:extLst>
        </c:ser>
        <c:ser>
          <c:idx val="11"/>
          <c:order val="11"/>
          <c:tx>
            <c:strRef>
              <c:f>'Figura 1'!$M$24</c:f>
              <c:strCache>
                <c:ptCount val="1"/>
                <c:pt idx="0">
                  <c:v>Decembrie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1'!$A$25:$A$29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1'!$M$25:$M$29</c:f>
              <c:numCache>
                <c:formatCode>#,##0.0</c:formatCode>
                <c:ptCount val="5"/>
                <c:pt idx="0">
                  <c:v>328.6</c:v>
                </c:pt>
                <c:pt idx="1">
                  <c:v>285.5</c:v>
                </c:pt>
                <c:pt idx="2" formatCode="0.0">
                  <c:v>257.10000000000002</c:v>
                </c:pt>
                <c:pt idx="3">
                  <c:v>300.60000000000002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77-4331-9340-25D82A096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2259912"/>
        <c:axId val="862262792"/>
      </c:barChart>
      <c:catAx>
        <c:axId val="862259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62262792"/>
        <c:crosses val="autoZero"/>
        <c:auto val="1"/>
        <c:lblAlgn val="ctr"/>
        <c:lblOffset val="100"/>
        <c:noMultiLvlLbl val="0"/>
      </c:catAx>
      <c:valAx>
        <c:axId val="862262792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6225991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609278443898394E-2"/>
          <c:y val="0.86134477981918922"/>
          <c:w val="0.93220534529957944"/>
          <c:h val="7.3840405365995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854671717171717E-2"/>
          <c:y val="0.10434563492063492"/>
          <c:w val="0.92807084892708935"/>
          <c:h val="0.61622896825396833"/>
        </c:manualLayout>
      </c:layout>
      <c:lineChart>
        <c:grouping val="standard"/>
        <c:varyColors val="0"/>
        <c:ser>
          <c:idx val="0"/>
          <c:order val="0"/>
          <c:tx>
            <c:strRef>
              <c:f>'Figura 2'!$A$22</c:f>
              <c:strCache>
                <c:ptCount val="1"/>
                <c:pt idx="0">
                  <c:v>În % faţă de luna precedentă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" cap="flat" cmpd="sng" algn="ctr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cat>
            <c:multiLvlStrRef>
              <c:f>'Figura 2'!$B$20:$AS$21</c:f>
              <c:multiLvlStrCache>
                <c:ptCount val="4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  <c:pt idx="21">
                    <c:v>X</c:v>
                  </c:pt>
                  <c:pt idx="22">
                    <c:v>XI</c:v>
                  </c:pt>
                  <c:pt idx="23">
                    <c:v>XII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V</c:v>
                  </c:pt>
                  <c:pt idx="29">
                    <c:v>VI</c:v>
                  </c:pt>
                  <c:pt idx="30">
                    <c:v>VII</c:v>
                  </c:pt>
                  <c:pt idx="31">
                    <c:v>VIII</c:v>
                  </c:pt>
                  <c:pt idx="32">
                    <c:v>IX</c:v>
                  </c:pt>
                  <c:pt idx="33">
                    <c:v>X</c:v>
                  </c:pt>
                  <c:pt idx="34">
                    <c:v>XI</c:v>
                  </c:pt>
                  <c:pt idx="35">
                    <c:v>XII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V</c:v>
                  </c:pt>
                  <c:pt idx="41">
                    <c:v>VI</c:v>
                  </c:pt>
                  <c:pt idx="42">
                    <c:v>VII</c:v>
                  </c:pt>
                  <c:pt idx="43">
                    <c:v>VIII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'Figura 2'!$B$22:$AS$22</c:f>
              <c:numCache>
                <c:formatCode>0.0</c:formatCode>
                <c:ptCount val="44"/>
                <c:pt idx="0">
                  <c:v>93.47849763886515</c:v>
                </c:pt>
                <c:pt idx="1">
                  <c:v>108.01611055143441</c:v>
                </c:pt>
                <c:pt idx="2">
                  <c:v>108.4587863956742</c:v>
                </c:pt>
                <c:pt idx="3">
                  <c:v>80.457293442762975</c:v>
                </c:pt>
                <c:pt idx="4" formatCode="#,##0.0">
                  <c:v>106.85948623290066</c:v>
                </c:pt>
                <c:pt idx="5">
                  <c:v>94.384285554123707</c:v>
                </c:pt>
                <c:pt idx="6">
                  <c:v>94.216665758273606</c:v>
                </c:pt>
                <c:pt idx="7">
                  <c:v>107.06413069379434</c:v>
                </c:pt>
                <c:pt idx="8">
                  <c:v>110.48691933954528</c:v>
                </c:pt>
                <c:pt idx="9">
                  <c:v>99.433916068106143</c:v>
                </c:pt>
                <c:pt idx="10">
                  <c:v>108.56530066043015</c:v>
                </c:pt>
                <c:pt idx="11">
                  <c:v>81.252858385105242</c:v>
                </c:pt>
                <c:pt idx="12">
                  <c:v>87.983162596094587</c:v>
                </c:pt>
                <c:pt idx="13">
                  <c:v>120.6490079453</c:v>
                </c:pt>
                <c:pt idx="14">
                  <c:v>97.238493065677275</c:v>
                </c:pt>
                <c:pt idx="15">
                  <c:v>92.526413396039445</c:v>
                </c:pt>
                <c:pt idx="16" formatCode="#,##0.0">
                  <c:v>94.228760305417651</c:v>
                </c:pt>
                <c:pt idx="17">
                  <c:v>104.28125631524472</c:v>
                </c:pt>
                <c:pt idx="18">
                  <c:v>98.099138716057595</c:v>
                </c:pt>
                <c:pt idx="19">
                  <c:v>94.322327448772825</c:v>
                </c:pt>
                <c:pt idx="20">
                  <c:v>101.92209582179825</c:v>
                </c:pt>
                <c:pt idx="21">
                  <c:v>120.02394685175284</c:v>
                </c:pt>
                <c:pt idx="22">
                  <c:v>104.03329974630738</c:v>
                </c:pt>
                <c:pt idx="23">
                  <c:v>81.491697256027962</c:v>
                </c:pt>
                <c:pt idx="24">
                  <c:v>91.254710925043909</c:v>
                </c:pt>
                <c:pt idx="25">
                  <c:v>110.15326527214661</c:v>
                </c:pt>
                <c:pt idx="26">
                  <c:v>107.23290308320111</c:v>
                </c:pt>
                <c:pt idx="27">
                  <c:v>85.704049968463167</c:v>
                </c:pt>
                <c:pt idx="28">
                  <c:v>96.130246073840482</c:v>
                </c:pt>
                <c:pt idx="29">
                  <c:v>101.13605512633966</c:v>
                </c:pt>
                <c:pt idx="30">
                  <c:v>128.44333985483746</c:v>
                </c:pt>
                <c:pt idx="31">
                  <c:v>96.372564805458666</c:v>
                </c:pt>
                <c:pt idx="32">
                  <c:v>102.8860905339767</c:v>
                </c:pt>
                <c:pt idx="33">
                  <c:v>119.47139061746412</c:v>
                </c:pt>
                <c:pt idx="34">
                  <c:v>97.319422421996421</c:v>
                </c:pt>
                <c:pt idx="35">
                  <c:v>87.903816220352283</c:v>
                </c:pt>
                <c:pt idx="36">
                  <c:v>88.066633117569268</c:v>
                </c:pt>
                <c:pt idx="37">
                  <c:v>107.78454465056736</c:v>
                </c:pt>
                <c:pt idx="38">
                  <c:v>104.39228912262971</c:v>
                </c:pt>
                <c:pt idx="39">
                  <c:v>90.447566592654354</c:v>
                </c:pt>
                <c:pt idx="40">
                  <c:v>95.848781284922893</c:v>
                </c:pt>
                <c:pt idx="41">
                  <c:v>106.04495033535808</c:v>
                </c:pt>
                <c:pt idx="42">
                  <c:v>116.93463025315216</c:v>
                </c:pt>
                <c:pt idx="43">
                  <c:v>83.806838911956248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D8C-45EE-B332-341AC82C0A62}"/>
            </c:ext>
          </c:extLst>
        </c:ser>
        <c:ser>
          <c:idx val="1"/>
          <c:order val="1"/>
          <c:tx>
            <c:strRef>
              <c:f>'Figura 2'!$A$23</c:f>
              <c:strCache>
                <c:ptCount val="1"/>
                <c:pt idx="0">
                  <c:v>În % faţă de luna corespunzătoare din anul precedent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6350" cap="flat" cmpd="sng" algn="ctr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cat>
            <c:multiLvlStrRef>
              <c:f>'Figura 2'!$B$20:$AS$21</c:f>
              <c:multiLvlStrCache>
                <c:ptCount val="4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  <c:pt idx="21">
                    <c:v>X</c:v>
                  </c:pt>
                  <c:pt idx="22">
                    <c:v>XI</c:v>
                  </c:pt>
                  <c:pt idx="23">
                    <c:v>XII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V</c:v>
                  </c:pt>
                  <c:pt idx="29">
                    <c:v>VI</c:v>
                  </c:pt>
                  <c:pt idx="30">
                    <c:v>VII</c:v>
                  </c:pt>
                  <c:pt idx="31">
                    <c:v>VIII</c:v>
                  </c:pt>
                  <c:pt idx="32">
                    <c:v>IX</c:v>
                  </c:pt>
                  <c:pt idx="33">
                    <c:v>X</c:v>
                  </c:pt>
                  <c:pt idx="34">
                    <c:v>XI</c:v>
                  </c:pt>
                  <c:pt idx="35">
                    <c:v>XII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V</c:v>
                  </c:pt>
                  <c:pt idx="41">
                    <c:v>VI</c:v>
                  </c:pt>
                  <c:pt idx="42">
                    <c:v>VII</c:v>
                  </c:pt>
                  <c:pt idx="43">
                    <c:v>VIII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'Figura 2'!$B$23:$AS$23</c:f>
              <c:numCache>
                <c:formatCode>0.0</c:formatCode>
                <c:ptCount val="44"/>
                <c:pt idx="0">
                  <c:v>105.22258320845117</c:v>
                </c:pt>
                <c:pt idx="1">
                  <c:v>111.84611929248291</c:v>
                </c:pt>
                <c:pt idx="2">
                  <c:v>100.22781508038985</c:v>
                </c:pt>
                <c:pt idx="3">
                  <c:v>79.328836987266286</c:v>
                </c:pt>
                <c:pt idx="4">
                  <c:v>78.660464918284305</c:v>
                </c:pt>
                <c:pt idx="5">
                  <c:v>74.249007927142543</c:v>
                </c:pt>
                <c:pt idx="6">
                  <c:v>82.879430237035976</c:v>
                </c:pt>
                <c:pt idx="7">
                  <c:v>90.687710987651883</c:v>
                </c:pt>
                <c:pt idx="8">
                  <c:v>101.27548815680696</c:v>
                </c:pt>
                <c:pt idx="9">
                  <c:v>90.415894551749091</c:v>
                </c:pt>
                <c:pt idx="10">
                  <c:v>100.41646903878907</c:v>
                </c:pt>
                <c:pt idx="11">
                  <c:v>86.874039272460095</c:v>
                </c:pt>
                <c:pt idx="12">
                  <c:v>81.76696155534357</c:v>
                </c:pt>
                <c:pt idx="13">
                  <c:v>91.329920546029896</c:v>
                </c:pt>
                <c:pt idx="14">
                  <c:v>81.881645008506098</c:v>
                </c:pt>
                <c:pt idx="15">
                  <c:v>94.164427007409529</c:v>
                </c:pt>
                <c:pt idx="16">
                  <c:v>83.034249317271261</c:v>
                </c:pt>
                <c:pt idx="17">
                  <c:v>91.741075171172753</c:v>
                </c:pt>
                <c:pt idx="18">
                  <c:v>95.521534186607909</c:v>
                </c:pt>
                <c:pt idx="19">
                  <c:v>84.153426246243328</c:v>
                </c:pt>
                <c:pt idx="20">
                  <c:v>77.629945923674128</c:v>
                </c:pt>
                <c:pt idx="21">
                  <c:v>93.704973836750284</c:v>
                </c:pt>
                <c:pt idx="22">
                  <c:v>89.793309386851263</c:v>
                </c:pt>
                <c:pt idx="23">
                  <c:v>90.057252502904177</c:v>
                </c:pt>
                <c:pt idx="24">
                  <c:v>93.405923376309687</c:v>
                </c:pt>
                <c:pt idx="25">
                  <c:v>85.280166251555642</c:v>
                </c:pt>
                <c:pt idx="26">
                  <c:v>94.045470206903502</c:v>
                </c:pt>
                <c:pt idx="27">
                  <c:v>87.111100301928275</c:v>
                </c:pt>
                <c:pt idx="28">
                  <c:v>88.868955514698655</c:v>
                </c:pt>
                <c:pt idx="29">
                  <c:v>86.188600919654135</c:v>
                </c:pt>
                <c:pt idx="30">
                  <c:v>112.84861319301282</c:v>
                </c:pt>
                <c:pt idx="31">
                  <c:v>115.30154717668877</c:v>
                </c:pt>
                <c:pt idx="32">
                  <c:v>116.39208677841222</c:v>
                </c:pt>
                <c:pt idx="33">
                  <c:v>115.85625059856454</c:v>
                </c:pt>
                <c:pt idx="34">
                  <c:v>108.37936910321433</c:v>
                </c:pt>
                <c:pt idx="35">
                  <c:v>116.90712630263651</c:v>
                </c:pt>
                <c:pt idx="36">
                  <c:v>112.8983870060728</c:v>
                </c:pt>
                <c:pt idx="37">
                  <c:v>110.47063566539651</c:v>
                </c:pt>
                <c:pt idx="38">
                  <c:v>107.54425373520813</c:v>
                </c:pt>
                <c:pt idx="39">
                  <c:v>113.49657402365321</c:v>
                </c:pt>
                <c:pt idx="40">
                  <c:v>113.16426145237466</c:v>
                </c:pt>
                <c:pt idx="41">
                  <c:v>118.6569761937369</c:v>
                </c:pt>
                <c:pt idx="42">
                  <c:v>108.02513897453076</c:v>
                </c:pt>
                <c:pt idx="43">
                  <c:v>93.940069341885973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2D8C-45EE-B332-341AC82C0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665024"/>
        <c:axId val="100811328"/>
      </c:lineChart>
      <c:catAx>
        <c:axId val="12166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00811328"/>
        <c:crossesAt val="30"/>
        <c:auto val="0"/>
        <c:lblAlgn val="ctr"/>
        <c:lblOffset val="100"/>
        <c:noMultiLvlLbl val="0"/>
      </c:catAx>
      <c:valAx>
        <c:axId val="100811328"/>
        <c:scaling>
          <c:orientation val="minMax"/>
          <c:max val="140"/>
          <c:min val="5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166502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8.3716271379944807E-2"/>
          <c:y val="0.92998055555555537"/>
          <c:w val="0.90022613392334228"/>
          <c:h val="6.7859894706144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44224392622983"/>
          <c:y val="2.5787355527927429E-2"/>
          <c:w val="0.78731546487723514"/>
          <c:h val="0.7296142857142856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3'!$B$19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3'!$A$20:$A$26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3'!$B$20:$B$26</c:f>
              <c:numCache>
                <c:formatCode>0.0</c:formatCode>
                <c:ptCount val="7"/>
                <c:pt idx="0">
                  <c:v>18.3</c:v>
                </c:pt>
                <c:pt idx="1">
                  <c:v>2.7</c:v>
                </c:pt>
                <c:pt idx="2">
                  <c:v>77.2</c:v>
                </c:pt>
                <c:pt idx="3">
                  <c:v>0.9</c:v>
                </c:pt>
                <c:pt idx="4">
                  <c:v>0</c:v>
                </c:pt>
                <c:pt idx="5">
                  <c:v>0.9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2-423F-8D54-2DEAA91EB392}"/>
            </c:ext>
          </c:extLst>
        </c:ser>
        <c:ser>
          <c:idx val="1"/>
          <c:order val="1"/>
          <c:tx>
            <c:strRef>
              <c:f>'Figura 3'!$C$19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3'!$A$20:$A$26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3'!$C$20:$C$26</c:f>
              <c:numCache>
                <c:formatCode>0.0</c:formatCode>
                <c:ptCount val="7"/>
                <c:pt idx="0">
                  <c:v>14.8</c:v>
                </c:pt>
                <c:pt idx="1">
                  <c:v>2.7</c:v>
                </c:pt>
                <c:pt idx="2">
                  <c:v>80</c:v>
                </c:pt>
                <c:pt idx="3">
                  <c:v>0.9</c:v>
                </c:pt>
                <c:pt idx="4">
                  <c:v>0</c:v>
                </c:pt>
                <c:pt idx="5">
                  <c:v>1.5</c:v>
                </c:pt>
                <c:pt idx="6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D-49BF-AD38-66FEB4074930}"/>
            </c:ext>
          </c:extLst>
        </c:ser>
        <c:ser>
          <c:idx val="2"/>
          <c:order val="2"/>
          <c:tx>
            <c:strRef>
              <c:f>'Figura 3'!$D$19</c:f>
              <c:strCache>
                <c:ptCount val="1"/>
                <c:pt idx="0">
                  <c:v>Ianuarie-august 2024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3'!$A$20:$A$26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3'!$D$20:$D$26</c:f>
              <c:numCache>
                <c:formatCode>0.0</c:formatCode>
                <c:ptCount val="7"/>
                <c:pt idx="0">
                  <c:v>13.9</c:v>
                </c:pt>
                <c:pt idx="1">
                  <c:v>1.5</c:v>
                </c:pt>
                <c:pt idx="2">
                  <c:v>81.5</c:v>
                </c:pt>
                <c:pt idx="3">
                  <c:v>1.3</c:v>
                </c:pt>
                <c:pt idx="4">
                  <c:v>0.1</c:v>
                </c:pt>
                <c:pt idx="5">
                  <c:v>1.7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7D-49BF-AD38-66FEB4074930}"/>
            </c:ext>
          </c:extLst>
        </c:ser>
        <c:ser>
          <c:idx val="3"/>
          <c:order val="3"/>
          <c:tx>
            <c:strRef>
              <c:f>'Figura 3'!$E$19</c:f>
              <c:strCache>
                <c:ptCount val="1"/>
                <c:pt idx="0">
                  <c:v>Ianuarie-august 2023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3'!$A$20:$A$26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3'!$E$20:$E$26</c:f>
              <c:numCache>
                <c:formatCode>0.0</c:formatCode>
                <c:ptCount val="7"/>
                <c:pt idx="0">
                  <c:v>13.2</c:v>
                </c:pt>
                <c:pt idx="1">
                  <c:v>3.1</c:v>
                </c:pt>
                <c:pt idx="2">
                  <c:v>81.599999999999994</c:v>
                </c:pt>
                <c:pt idx="3">
                  <c:v>1.1000000000000001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7D-49BF-AD38-66FEB4074930}"/>
            </c:ext>
          </c:extLst>
        </c:ser>
        <c:ser>
          <c:idx val="4"/>
          <c:order val="4"/>
          <c:tx>
            <c:strRef>
              <c:f>'Figura 3'!$F$19</c:f>
              <c:strCache>
                <c:ptCount val="1"/>
                <c:pt idx="0">
                  <c:v>Ianuarie-august 2022</c:v>
                </c:pt>
              </c:strCache>
            </c:strRef>
          </c:tx>
          <c:spPr>
            <a:solidFill>
              <a:schemeClr val="accent5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'Figura 3'!$A$20:$A$26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3'!$F$20:$F$26</c:f>
              <c:numCache>
                <c:formatCode>0.0</c:formatCode>
                <c:ptCount val="7"/>
                <c:pt idx="0">
                  <c:v>15.4</c:v>
                </c:pt>
                <c:pt idx="1">
                  <c:v>8.9</c:v>
                </c:pt>
                <c:pt idx="2">
                  <c:v>74.599999999999994</c:v>
                </c:pt>
                <c:pt idx="3">
                  <c:v>0.8</c:v>
                </c:pt>
                <c:pt idx="4">
                  <c:v>0</c:v>
                </c:pt>
                <c:pt idx="5">
                  <c:v>0.3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DB-4769-886C-0AAD38ED2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5920768"/>
        <c:axId val="100813632"/>
      </c:barChart>
      <c:catAx>
        <c:axId val="125920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00813632"/>
        <c:crossesAt val="0"/>
        <c:auto val="1"/>
        <c:lblAlgn val="ctr"/>
        <c:lblOffset val="100"/>
        <c:noMultiLvlLbl val="0"/>
      </c:catAx>
      <c:valAx>
        <c:axId val="100813632"/>
        <c:scaling>
          <c:orientation val="minMax"/>
          <c:max val="100"/>
        </c:scaling>
        <c:delete val="0"/>
        <c:axPos val="b"/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5920768"/>
        <c:crosses val="autoZero"/>
        <c:crossBetween val="between"/>
        <c:minorUnit val="1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0"/>
          <c:y val="0.90271189354605785"/>
          <c:w val="0.99961533969310878"/>
          <c:h val="7.525191976997570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526953361599E-2"/>
          <c:y val="9.7913432199066994E-2"/>
          <c:w val="0.91248006258833025"/>
          <c:h val="0.648125910056295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'Figura 4'!$A$25</c:f>
              <c:strCache>
                <c:ptCount val="1"/>
                <c:pt idx="0">
                  <c:v>Ţările Uniunii Europene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4'!$B$24:$F$24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4'!$B$25:$F$25</c:f>
              <c:numCache>
                <c:formatCode>0.0</c:formatCode>
                <c:ptCount val="5"/>
                <c:pt idx="0">
                  <c:v>59.2</c:v>
                </c:pt>
                <c:pt idx="1">
                  <c:v>63</c:v>
                </c:pt>
                <c:pt idx="2">
                  <c:v>65.7</c:v>
                </c:pt>
                <c:pt idx="3">
                  <c:v>67.3</c:v>
                </c:pt>
                <c:pt idx="4">
                  <c:v>66.599999999999994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9-4207-A2A3-2E8D24AB4E7A}"/>
            </c:ext>
          </c:extLst>
        </c:ser>
        <c:ser>
          <c:idx val="1"/>
          <c:order val="1"/>
          <c:tx>
            <c:strRef>
              <c:f>'Figura 4'!$A$26</c:f>
              <c:strCache>
                <c:ptCount val="1"/>
                <c:pt idx="0">
                  <c:v>Ţările CSI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4'!$B$24:$F$24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4'!$B$26:$F$26</c:f>
              <c:numCache>
                <c:formatCode>0.0</c:formatCode>
                <c:ptCount val="5"/>
                <c:pt idx="0">
                  <c:v>7.2</c:v>
                </c:pt>
                <c:pt idx="1">
                  <c:v>7.9</c:v>
                </c:pt>
                <c:pt idx="2">
                  <c:v>7.6</c:v>
                </c:pt>
                <c:pt idx="3">
                  <c:v>6.3</c:v>
                </c:pt>
                <c:pt idx="4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9-4207-A2A3-2E8D24AB4E7A}"/>
            </c:ext>
          </c:extLst>
        </c:ser>
        <c:ser>
          <c:idx val="2"/>
          <c:order val="2"/>
          <c:tx>
            <c:strRef>
              <c:f>'Figura 4'!$A$27</c:f>
              <c:strCache>
                <c:ptCount val="1"/>
                <c:pt idx="0">
                  <c:v>Celelalte ţări ale lumii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4'!$B$24:$F$24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4'!$B$27:$F$27</c:f>
              <c:numCache>
                <c:formatCode>0.0</c:formatCode>
                <c:ptCount val="5"/>
                <c:pt idx="0">
                  <c:v>33.6</c:v>
                </c:pt>
                <c:pt idx="1">
                  <c:v>29.1</c:v>
                </c:pt>
                <c:pt idx="2">
                  <c:v>26.7</c:v>
                </c:pt>
                <c:pt idx="3">
                  <c:v>26.4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29-4207-A2A3-2E8D24AB4E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100"/>
        <c:axId val="126141952"/>
        <c:axId val="100815936"/>
      </c:barChart>
      <c:catAx>
        <c:axId val="12614195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00815936"/>
        <c:crosses val="autoZero"/>
        <c:auto val="1"/>
        <c:lblAlgn val="ctr"/>
        <c:lblOffset val="100"/>
        <c:noMultiLvlLbl val="0"/>
      </c:catAx>
      <c:valAx>
        <c:axId val="100815936"/>
        <c:scaling>
          <c:orientation val="minMax"/>
          <c:max val="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6141952"/>
        <c:crosses val="autoZero"/>
        <c:crossBetween val="between"/>
        <c:majorUnit val="10"/>
      </c:valAx>
      <c:spPr>
        <a:noFill/>
        <a:ln w="3175"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2.1256041956621518E-2"/>
          <c:y val="0.9031797619047619"/>
          <c:w val="0.95972540202521883"/>
          <c:h val="9.2297175539624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9624115206248E-2"/>
          <c:y val="4.793362974738568E-2"/>
          <c:w val="0.93660376565078896"/>
          <c:h val="0.641642436152414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'Figura 5'!$B$21</c:f>
              <c:strCache>
                <c:ptCount val="1"/>
                <c:pt idx="0">
                  <c:v>Ianuarie-august 2022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5'!$A$22:$A$34</c:f>
              <c:strCache>
                <c:ptCount val="13"/>
                <c:pt idx="0">
                  <c:v>România</c:v>
                </c:pt>
                <c:pt idx="1">
                  <c:v>Turcia</c:v>
                </c:pt>
                <c:pt idx="2">
                  <c:v>Italia</c:v>
                </c:pt>
                <c:pt idx="3">
                  <c:v>Cehia</c:v>
                </c:pt>
                <c:pt idx="4">
                  <c:v>Ucraina</c:v>
                </c:pt>
                <c:pt idx="5">
                  <c:v>Germania</c:v>
                </c:pt>
                <c:pt idx="6">
                  <c:v>Federația Rusă</c:v>
                </c:pt>
                <c:pt idx="7">
                  <c:v>Polonia</c:v>
                </c:pt>
                <c:pt idx="8">
                  <c:v>Bulgaria</c:v>
                </c:pt>
                <c:pt idx="9">
                  <c:v>Belarus</c:v>
                </c:pt>
                <c:pt idx="10">
                  <c:v>Grecia</c:v>
                </c:pt>
                <c:pt idx="11">
                  <c:v>Țările de Jos (Olanda)</c:v>
                </c:pt>
                <c:pt idx="12">
                  <c:v>Liban</c:v>
                </c:pt>
              </c:strCache>
            </c:strRef>
          </c:cat>
          <c:val>
            <c:numRef>
              <c:f>'Figura 5'!$B$22:$B$34</c:f>
              <c:numCache>
                <c:formatCode>#,##0.0</c:formatCode>
                <c:ptCount val="13"/>
                <c:pt idx="0">
                  <c:v>28.197301994081318</c:v>
                </c:pt>
                <c:pt idx="1">
                  <c:v>8.5711170331965505</c:v>
                </c:pt>
                <c:pt idx="2">
                  <c:v>8.138530405812844</c:v>
                </c:pt>
                <c:pt idx="3">
                  <c:v>2.2261822385357473</c:v>
                </c:pt>
                <c:pt idx="4">
                  <c:v>14.20123734207348</c:v>
                </c:pt>
                <c:pt idx="5">
                  <c:v>5.4342878658395977</c:v>
                </c:pt>
                <c:pt idx="6">
                  <c:v>4.9347240218477371</c:v>
                </c:pt>
                <c:pt idx="7">
                  <c:v>2.7628656270640115</c:v>
                </c:pt>
                <c:pt idx="8">
                  <c:v>4.1809323984428151</c:v>
                </c:pt>
                <c:pt idx="9">
                  <c:v>1.5176953924161498</c:v>
                </c:pt>
                <c:pt idx="10">
                  <c:v>0.76384998834922424</c:v>
                </c:pt>
                <c:pt idx="11">
                  <c:v>1.72069474817732</c:v>
                </c:pt>
                <c:pt idx="12">
                  <c:v>0.518513686504396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D-42D8-B371-6A71C526E757}"/>
            </c:ext>
          </c:extLst>
        </c:ser>
        <c:ser>
          <c:idx val="1"/>
          <c:order val="1"/>
          <c:tx>
            <c:strRef>
              <c:f>'Figura 5'!$C$21</c:f>
              <c:strCache>
                <c:ptCount val="1"/>
                <c:pt idx="0">
                  <c:v>Ianuarie-august 2023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5'!$A$22:$A$34</c:f>
              <c:strCache>
                <c:ptCount val="13"/>
                <c:pt idx="0">
                  <c:v>România</c:v>
                </c:pt>
                <c:pt idx="1">
                  <c:v>Turcia</c:v>
                </c:pt>
                <c:pt idx="2">
                  <c:v>Italia</c:v>
                </c:pt>
                <c:pt idx="3">
                  <c:v>Cehia</c:v>
                </c:pt>
                <c:pt idx="4">
                  <c:v>Ucraina</c:v>
                </c:pt>
                <c:pt idx="5">
                  <c:v>Germania</c:v>
                </c:pt>
                <c:pt idx="6">
                  <c:v>Federația Rusă</c:v>
                </c:pt>
                <c:pt idx="7">
                  <c:v>Polonia</c:v>
                </c:pt>
                <c:pt idx="8">
                  <c:v>Bulgaria</c:v>
                </c:pt>
                <c:pt idx="9">
                  <c:v>Belarus</c:v>
                </c:pt>
                <c:pt idx="10">
                  <c:v>Grecia</c:v>
                </c:pt>
                <c:pt idx="11">
                  <c:v>Țările de Jos (Olanda)</c:v>
                </c:pt>
                <c:pt idx="12">
                  <c:v>Liban</c:v>
                </c:pt>
              </c:strCache>
            </c:strRef>
          </c:cat>
          <c:val>
            <c:numRef>
              <c:f>'Figura 5'!$C$22:$C$34</c:f>
              <c:numCache>
                <c:formatCode>#,##0.0</c:formatCode>
                <c:ptCount val="13"/>
                <c:pt idx="0">
                  <c:v>33.306471367133589</c:v>
                </c:pt>
                <c:pt idx="1">
                  <c:v>3.5942158345175814</c:v>
                </c:pt>
                <c:pt idx="2">
                  <c:v>6.7882724379483204</c:v>
                </c:pt>
                <c:pt idx="3">
                  <c:v>3.8458379583083389</c:v>
                </c:pt>
                <c:pt idx="4">
                  <c:v>16.570466606556423</c:v>
                </c:pt>
                <c:pt idx="5">
                  <c:v>5.4487298973327034</c:v>
                </c:pt>
                <c:pt idx="6">
                  <c:v>3.7562134321855005</c:v>
                </c:pt>
                <c:pt idx="7">
                  <c:v>2.9169286576210678</c:v>
                </c:pt>
                <c:pt idx="8">
                  <c:v>1.6386810403090064</c:v>
                </c:pt>
                <c:pt idx="9">
                  <c:v>2.2326073299341833</c:v>
                </c:pt>
                <c:pt idx="10">
                  <c:v>0.86694550405809179</c:v>
                </c:pt>
                <c:pt idx="11">
                  <c:v>1.0955417972620869</c:v>
                </c:pt>
                <c:pt idx="12">
                  <c:v>0.99085212873468531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D-42D8-B371-6A71C526E757}"/>
            </c:ext>
          </c:extLst>
        </c:ser>
        <c:ser>
          <c:idx val="2"/>
          <c:order val="2"/>
          <c:tx>
            <c:strRef>
              <c:f>'Figura 5'!$D$21</c:f>
              <c:strCache>
                <c:ptCount val="1"/>
                <c:pt idx="0">
                  <c:v>Ianuarie-august 2024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5'!$A$22:$A$34</c:f>
              <c:strCache>
                <c:ptCount val="13"/>
                <c:pt idx="0">
                  <c:v>România</c:v>
                </c:pt>
                <c:pt idx="1">
                  <c:v>Turcia</c:v>
                </c:pt>
                <c:pt idx="2">
                  <c:v>Italia</c:v>
                </c:pt>
                <c:pt idx="3">
                  <c:v>Cehia</c:v>
                </c:pt>
                <c:pt idx="4">
                  <c:v>Ucraina</c:v>
                </c:pt>
                <c:pt idx="5">
                  <c:v>Germania</c:v>
                </c:pt>
                <c:pt idx="6">
                  <c:v>Federația Rusă</c:v>
                </c:pt>
                <c:pt idx="7">
                  <c:v>Polonia</c:v>
                </c:pt>
                <c:pt idx="8">
                  <c:v>Bulgaria</c:v>
                </c:pt>
                <c:pt idx="9">
                  <c:v>Belarus</c:v>
                </c:pt>
                <c:pt idx="10">
                  <c:v>Grecia</c:v>
                </c:pt>
                <c:pt idx="11">
                  <c:v>Țările de Jos (Olanda)</c:v>
                </c:pt>
                <c:pt idx="12">
                  <c:v>Liban</c:v>
                </c:pt>
              </c:strCache>
            </c:strRef>
          </c:cat>
          <c:val>
            <c:numRef>
              <c:f>'Figura 5'!$D$22:$D$34</c:f>
              <c:numCache>
                <c:formatCode>#,##0.0</c:formatCode>
                <c:ptCount val="13"/>
                <c:pt idx="0">
                  <c:v>31.989507118073561</c:v>
                </c:pt>
                <c:pt idx="1">
                  <c:v>5.7981808306271398</c:v>
                </c:pt>
                <c:pt idx="2">
                  <c:v>7.1155456421656087</c:v>
                </c:pt>
                <c:pt idx="3">
                  <c:v>5.413304015595152</c:v>
                </c:pt>
                <c:pt idx="4">
                  <c:v>9.5537691605154773</c:v>
                </c:pt>
                <c:pt idx="5">
                  <c:v>5.2048154245757994</c:v>
                </c:pt>
                <c:pt idx="6">
                  <c:v>3.696358771785631</c:v>
                </c:pt>
                <c:pt idx="7">
                  <c:v>4.0153707888070853</c:v>
                </c:pt>
                <c:pt idx="8">
                  <c:v>2.3279113494312389</c:v>
                </c:pt>
                <c:pt idx="9">
                  <c:v>2.467043645916922</c:v>
                </c:pt>
                <c:pt idx="10">
                  <c:v>1.9429957841175134</c:v>
                </c:pt>
                <c:pt idx="11">
                  <c:v>1.3315498459333808</c:v>
                </c:pt>
                <c:pt idx="12">
                  <c:v>0.63624501341068218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D-42D8-B371-6A71C526E757}"/>
            </c:ext>
          </c:extLst>
        </c:ser>
        <c:ser>
          <c:idx val="3"/>
          <c:order val="3"/>
          <c:tx>
            <c:strRef>
              <c:f>'Figura 5'!$E$21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5'!$A$22:$A$34</c:f>
              <c:strCache>
                <c:ptCount val="13"/>
                <c:pt idx="0">
                  <c:v>România</c:v>
                </c:pt>
                <c:pt idx="1">
                  <c:v>Turcia</c:v>
                </c:pt>
                <c:pt idx="2">
                  <c:v>Italia</c:v>
                </c:pt>
                <c:pt idx="3">
                  <c:v>Cehia</c:v>
                </c:pt>
                <c:pt idx="4">
                  <c:v>Ucraina</c:v>
                </c:pt>
                <c:pt idx="5">
                  <c:v>Germania</c:v>
                </c:pt>
                <c:pt idx="6">
                  <c:v>Federația Rusă</c:v>
                </c:pt>
                <c:pt idx="7">
                  <c:v>Polonia</c:v>
                </c:pt>
                <c:pt idx="8">
                  <c:v>Bulgaria</c:v>
                </c:pt>
                <c:pt idx="9">
                  <c:v>Belarus</c:v>
                </c:pt>
                <c:pt idx="10">
                  <c:v>Grecia</c:v>
                </c:pt>
                <c:pt idx="11">
                  <c:v>Țările de Jos (Olanda)</c:v>
                </c:pt>
                <c:pt idx="12">
                  <c:v>Liban</c:v>
                </c:pt>
              </c:strCache>
            </c:strRef>
          </c:cat>
          <c:val>
            <c:numRef>
              <c:f>'Figura 5'!$E$22:$E$34</c:f>
              <c:numCache>
                <c:formatCode>#,##0.0</c:formatCode>
                <c:ptCount val="13"/>
                <c:pt idx="0">
                  <c:v>29.513439021766697</c:v>
                </c:pt>
                <c:pt idx="1">
                  <c:v>9.5734583612512889</c:v>
                </c:pt>
                <c:pt idx="2">
                  <c:v>9.3617082595504488</c:v>
                </c:pt>
                <c:pt idx="3">
                  <c:v>8.6043935323095688</c:v>
                </c:pt>
                <c:pt idx="4">
                  <c:v>7.9126549912156872</c:v>
                </c:pt>
                <c:pt idx="5">
                  <c:v>3.5559808292365847</c:v>
                </c:pt>
                <c:pt idx="6">
                  <c:v>3.0676407565641819</c:v>
                </c:pt>
                <c:pt idx="7">
                  <c:v>2.5918633464604302</c:v>
                </c:pt>
                <c:pt idx="8">
                  <c:v>2.9945869141301911</c:v>
                </c:pt>
                <c:pt idx="9">
                  <c:v>2.2149352589145326</c:v>
                </c:pt>
                <c:pt idx="10">
                  <c:v>2.5484237534176457</c:v>
                </c:pt>
                <c:pt idx="11">
                  <c:v>2.00330708204064</c:v>
                </c:pt>
                <c:pt idx="12">
                  <c:v>0.73743974211775243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D-42D8-B371-6A71C526E757}"/>
            </c:ext>
          </c:extLst>
        </c:ser>
        <c:ser>
          <c:idx val="4"/>
          <c:order val="4"/>
          <c:tx>
            <c:strRef>
              <c:f>'Figura 5'!$F$21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5'!$A$22:$A$34</c:f>
              <c:strCache>
                <c:ptCount val="13"/>
                <c:pt idx="0">
                  <c:v>România</c:v>
                </c:pt>
                <c:pt idx="1">
                  <c:v>Turcia</c:v>
                </c:pt>
                <c:pt idx="2">
                  <c:v>Italia</c:v>
                </c:pt>
                <c:pt idx="3">
                  <c:v>Cehia</c:v>
                </c:pt>
                <c:pt idx="4">
                  <c:v>Ucraina</c:v>
                </c:pt>
                <c:pt idx="5">
                  <c:v>Germania</c:v>
                </c:pt>
                <c:pt idx="6">
                  <c:v>Federația Rusă</c:v>
                </c:pt>
                <c:pt idx="7">
                  <c:v>Polonia</c:v>
                </c:pt>
                <c:pt idx="8">
                  <c:v>Bulgaria</c:v>
                </c:pt>
                <c:pt idx="9">
                  <c:v>Belarus</c:v>
                </c:pt>
                <c:pt idx="10">
                  <c:v>Grecia</c:v>
                </c:pt>
                <c:pt idx="11">
                  <c:v>Țările de Jos (Olanda)</c:v>
                </c:pt>
                <c:pt idx="12">
                  <c:v>Liban</c:v>
                </c:pt>
              </c:strCache>
            </c:strRef>
          </c:cat>
          <c:val>
            <c:numRef>
              <c:f>'Figura 5'!$F$22:$F$34</c:f>
              <c:numCache>
                <c:formatCode>#,##0.0</c:formatCode>
                <c:ptCount val="13"/>
                <c:pt idx="0">
                  <c:v>29.863597168620249</c:v>
                </c:pt>
                <c:pt idx="1">
                  <c:v>11.02887096310292</c:v>
                </c:pt>
                <c:pt idx="2">
                  <c:v>9.8512216702856961</c:v>
                </c:pt>
                <c:pt idx="3">
                  <c:v>7.6882060695861929</c:v>
                </c:pt>
                <c:pt idx="4">
                  <c:v>6.8394657818617492</c:v>
                </c:pt>
                <c:pt idx="5">
                  <c:v>5.3960478783571926</c:v>
                </c:pt>
                <c:pt idx="6">
                  <c:v>3.0430633313482174</c:v>
                </c:pt>
                <c:pt idx="7">
                  <c:v>2.7366423158555557</c:v>
                </c:pt>
                <c:pt idx="8">
                  <c:v>2.3397499223909408</c:v>
                </c:pt>
                <c:pt idx="9">
                  <c:v>2.1519706857157068</c:v>
                </c:pt>
                <c:pt idx="10">
                  <c:v>2.0425652556756262</c:v>
                </c:pt>
                <c:pt idx="11">
                  <c:v>1.3148216435758717</c:v>
                </c:pt>
                <c:pt idx="12">
                  <c:v>1.1755782911600958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D-42D8-B371-6A71C526E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6137856"/>
        <c:axId val="100818240"/>
      </c:barChart>
      <c:catAx>
        <c:axId val="861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00818240"/>
        <c:crosses val="autoZero"/>
        <c:auto val="1"/>
        <c:lblAlgn val="ctr"/>
        <c:lblOffset val="100"/>
        <c:noMultiLvlLbl val="0"/>
      </c:catAx>
      <c:valAx>
        <c:axId val="100818240"/>
        <c:scaling>
          <c:orientation val="minMax"/>
          <c:max val="3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6137856"/>
        <c:crosses val="autoZero"/>
        <c:crossBetween val="between"/>
        <c:majorUnit val="5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1.174888853179067E-2"/>
          <c:y val="0.91339691220298291"/>
          <c:w val="0.97446562769397427"/>
          <c:h val="6.796369203849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816778316274"/>
          <c:y val="3.9693273567064299E-2"/>
          <c:w val="0.6727507647117299"/>
          <c:h val="0.783745533441227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6'!$B$29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'Figura 6'!$A$30:$A$41</c:f>
              <c:strCache>
                <c:ptCount val="12"/>
                <c:pt idx="0">
                  <c:v>Alte mărfuri</c:v>
                </c:pt>
                <c:pt idx="1">
                  <c:v>Seminţe şi fructe oleaginoase</c:v>
                </c:pt>
                <c:pt idx="2">
                  <c:v>Maşini şi aparate electrice </c:v>
                </c:pt>
                <c:pt idx="3">
                  <c:v>Cereale şi preparate pe bază de cereale</c:v>
                </c:pt>
                <c:pt idx="4">
                  <c:v>Legume şi fructe</c:v>
                </c:pt>
                <c:pt idx="5">
                  <c:v>Îmbrăcăminte şi accesorii</c:v>
                </c:pt>
                <c:pt idx="6">
                  <c:v>Băuturi alcoolice şi nealcoolice</c:v>
                </c:pt>
                <c:pt idx="7">
                  <c:v>Mobilă şi părţile ei</c:v>
                </c:pt>
                <c:pt idx="8">
                  <c:v>Minereuri metalifere şi deşeuri de metale</c:v>
                </c:pt>
                <c:pt idx="9">
                  <c:v>Articole din minerale nemetalice</c:v>
                </c:pt>
                <c:pt idx="10">
                  <c:v>Grăsimi şi uleiuri vegetale</c:v>
                </c:pt>
                <c:pt idx="11">
                  <c:v>Petrol, produse petroliere</c:v>
                </c:pt>
              </c:strCache>
            </c:strRef>
          </c:cat>
          <c:val>
            <c:numRef>
              <c:f>'Figura 6'!$B$30:$B$41</c:f>
              <c:numCache>
                <c:formatCode>0.0</c:formatCode>
                <c:ptCount val="12"/>
                <c:pt idx="0">
                  <c:v>21.4</c:v>
                </c:pt>
                <c:pt idx="1">
                  <c:v>15.6</c:v>
                </c:pt>
                <c:pt idx="2">
                  <c:v>13.8</c:v>
                </c:pt>
                <c:pt idx="3">
                  <c:v>12.1</c:v>
                </c:pt>
                <c:pt idx="4">
                  <c:v>10.8</c:v>
                </c:pt>
                <c:pt idx="5">
                  <c:v>7.7</c:v>
                </c:pt>
                <c:pt idx="6">
                  <c:v>5.2</c:v>
                </c:pt>
                <c:pt idx="7">
                  <c:v>3.4</c:v>
                </c:pt>
                <c:pt idx="8">
                  <c:v>2.9</c:v>
                </c:pt>
                <c:pt idx="9">
                  <c:v>2.6</c:v>
                </c:pt>
                <c:pt idx="10">
                  <c:v>2.5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FA-4099-B201-9B5748CBFFAA}"/>
            </c:ext>
          </c:extLst>
        </c:ser>
        <c:ser>
          <c:idx val="1"/>
          <c:order val="1"/>
          <c:tx>
            <c:strRef>
              <c:f>'Figura 6'!$C$29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'Figura 6'!$A$30:$A$41</c:f>
              <c:strCache>
                <c:ptCount val="12"/>
                <c:pt idx="0">
                  <c:v>Alte mărfuri</c:v>
                </c:pt>
                <c:pt idx="1">
                  <c:v>Seminţe şi fructe oleaginoase</c:v>
                </c:pt>
                <c:pt idx="2">
                  <c:v>Maşini şi aparate electrice </c:v>
                </c:pt>
                <c:pt idx="3">
                  <c:v>Cereale şi preparate pe bază de cereale</c:v>
                </c:pt>
                <c:pt idx="4">
                  <c:v>Legume şi fructe</c:v>
                </c:pt>
                <c:pt idx="5">
                  <c:v>Îmbrăcăminte şi accesorii</c:v>
                </c:pt>
                <c:pt idx="6">
                  <c:v>Băuturi alcoolice şi nealcoolice</c:v>
                </c:pt>
                <c:pt idx="7">
                  <c:v>Mobilă şi părţile ei</c:v>
                </c:pt>
                <c:pt idx="8">
                  <c:v>Minereuri metalifere şi deşeuri de metale</c:v>
                </c:pt>
                <c:pt idx="9">
                  <c:v>Articole din minerale nemetalice</c:v>
                </c:pt>
                <c:pt idx="10">
                  <c:v>Grăsimi şi uleiuri vegetale</c:v>
                </c:pt>
                <c:pt idx="11">
                  <c:v>Petrol, produse petroliere</c:v>
                </c:pt>
              </c:strCache>
            </c:strRef>
          </c:cat>
          <c:val>
            <c:numRef>
              <c:f>'Figura 6'!$C$30:$C$41</c:f>
              <c:numCache>
                <c:formatCode>0.0</c:formatCode>
                <c:ptCount val="12"/>
                <c:pt idx="0">
                  <c:v>23.4</c:v>
                </c:pt>
                <c:pt idx="1">
                  <c:v>14</c:v>
                </c:pt>
                <c:pt idx="2">
                  <c:v>16</c:v>
                </c:pt>
                <c:pt idx="3">
                  <c:v>8.9</c:v>
                </c:pt>
                <c:pt idx="4">
                  <c:v>10.199999999999999</c:v>
                </c:pt>
                <c:pt idx="5">
                  <c:v>8.5</c:v>
                </c:pt>
                <c:pt idx="6">
                  <c:v>6.4</c:v>
                </c:pt>
                <c:pt idx="7">
                  <c:v>3.7</c:v>
                </c:pt>
                <c:pt idx="8">
                  <c:v>2.1</c:v>
                </c:pt>
                <c:pt idx="9">
                  <c:v>3</c:v>
                </c:pt>
                <c:pt idx="10">
                  <c:v>1.5</c:v>
                </c:pt>
                <c:pt idx="11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FA-4099-B201-9B5748CBF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90317992"/>
        <c:axId val="890314392"/>
      </c:barChart>
      <c:catAx>
        <c:axId val="890317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90314392"/>
        <c:crossesAt val="0"/>
        <c:auto val="1"/>
        <c:lblAlgn val="ctr"/>
        <c:lblOffset val="100"/>
        <c:noMultiLvlLbl val="0"/>
      </c:catAx>
      <c:valAx>
        <c:axId val="890314392"/>
        <c:scaling>
          <c:orientation val="minMax"/>
          <c:max val="24"/>
          <c:min val="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90317992"/>
        <c:crosses val="autoZero"/>
        <c:crossBetween val="between"/>
        <c:majorUnit val="3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1723160614513599"/>
          <c:w val="0.97206569598171444"/>
          <c:h val="6.10587632975048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315800362667183E-2"/>
          <c:y val="0.10802301587301587"/>
          <c:w val="0.93427007575757592"/>
          <c:h val="0.686001587301587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'Figura 7'!$B$22</c:f>
              <c:strCache>
                <c:ptCount val="1"/>
                <c:pt idx="0">
                  <c:v>Ianuarie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7'!$B$23:$B$27</c:f>
              <c:numCache>
                <c:formatCode>#,##0.0</c:formatCode>
                <c:ptCount val="5"/>
                <c:pt idx="0">
                  <c:v>551.29999999999995</c:v>
                </c:pt>
                <c:pt idx="1">
                  <c:v>679</c:v>
                </c:pt>
                <c:pt idx="2">
                  <c:v>571.9</c:v>
                </c:pt>
                <c:pt idx="3">
                  <c:v>694.9</c:v>
                </c:pt>
                <c:pt idx="4">
                  <c:v>698.5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85-4F6B-A686-03D9A8D64A69}"/>
            </c:ext>
          </c:extLst>
        </c:ser>
        <c:ser>
          <c:idx val="2"/>
          <c:order val="1"/>
          <c:tx>
            <c:strRef>
              <c:f>'Figura 7'!$C$22</c:f>
              <c:strCache>
                <c:ptCount val="1"/>
                <c:pt idx="0">
                  <c:v>Februarie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7'!$C$23:$C$27</c:f>
              <c:numCache>
                <c:formatCode>#,##0.0</c:formatCode>
                <c:ptCount val="5"/>
                <c:pt idx="0">
                  <c:v>591</c:v>
                </c:pt>
                <c:pt idx="1">
                  <c:v>702.7</c:v>
                </c:pt>
                <c:pt idx="2">
                  <c:v>696.6</c:v>
                </c:pt>
                <c:pt idx="3">
                  <c:v>834.9</c:v>
                </c:pt>
                <c:pt idx="4">
                  <c:v>822.2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85-4F6B-A686-03D9A8D64A69}"/>
            </c:ext>
          </c:extLst>
        </c:ser>
        <c:ser>
          <c:idx val="3"/>
          <c:order val="2"/>
          <c:tx>
            <c:strRef>
              <c:f>'Figura 7'!$D$22</c:f>
              <c:strCache>
                <c:ptCount val="1"/>
                <c:pt idx="0">
                  <c:v>Martie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7'!$D$23:$D$27</c:f>
              <c:numCache>
                <c:formatCode>#,##0.0</c:formatCode>
                <c:ptCount val="5"/>
                <c:pt idx="0">
                  <c:v>678.1</c:v>
                </c:pt>
                <c:pt idx="1">
                  <c:v>767</c:v>
                </c:pt>
                <c:pt idx="2">
                  <c:v>717.7</c:v>
                </c:pt>
                <c:pt idx="3">
                  <c:v>888.7</c:v>
                </c:pt>
                <c:pt idx="4">
                  <c:v>932.5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85-4F6B-A686-03D9A8D64A69}"/>
            </c:ext>
          </c:extLst>
        </c:ser>
        <c:ser>
          <c:idx val="4"/>
          <c:order val="3"/>
          <c:tx>
            <c:strRef>
              <c:f>'Figura 7'!$E$22</c:f>
              <c:strCache>
                <c:ptCount val="1"/>
                <c:pt idx="0">
                  <c:v>Aprilie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7'!$E$23:$E$27</c:f>
              <c:numCache>
                <c:formatCode>#,##0.0</c:formatCode>
                <c:ptCount val="5"/>
                <c:pt idx="0">
                  <c:v>711.1</c:v>
                </c:pt>
                <c:pt idx="1">
                  <c:v>629.79999999999995</c:v>
                </c:pt>
                <c:pt idx="2">
                  <c:v>723.8</c:v>
                </c:pt>
                <c:pt idx="3">
                  <c:v>765.6</c:v>
                </c:pt>
                <c:pt idx="4">
                  <c:v>912.1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5-4F6B-A686-03D9A8D64A69}"/>
            </c:ext>
          </c:extLst>
        </c:ser>
        <c:ser>
          <c:idx val="5"/>
          <c:order val="4"/>
          <c:tx>
            <c:strRef>
              <c:f>'Figura 7'!$F$22</c:f>
              <c:strCache>
                <c:ptCount val="1"/>
                <c:pt idx="0">
                  <c:v>Mai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7'!$F$23:$F$27</c:f>
              <c:numCache>
                <c:formatCode>#,##0.0</c:formatCode>
                <c:ptCount val="5"/>
                <c:pt idx="0">
                  <c:v>730.2</c:v>
                </c:pt>
                <c:pt idx="1">
                  <c:v>652.29999999999995</c:v>
                </c:pt>
                <c:pt idx="2">
                  <c:v>639.70000000000005</c:v>
                </c:pt>
                <c:pt idx="3">
                  <c:v>757.6</c:v>
                </c:pt>
                <c:pt idx="4">
                  <c:v>806.8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85-4F6B-A686-03D9A8D64A69}"/>
            </c:ext>
          </c:extLst>
        </c:ser>
        <c:ser>
          <c:idx val="6"/>
          <c:order val="5"/>
          <c:tx>
            <c:strRef>
              <c:f>'Figura 7'!$G$22</c:f>
              <c:strCache>
                <c:ptCount val="1"/>
                <c:pt idx="0">
                  <c:v>Iunie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7'!$G$23:$G$27</c:f>
              <c:numCache>
                <c:formatCode>#,##0.0</c:formatCode>
                <c:ptCount val="5"/>
                <c:pt idx="0">
                  <c:v>725.9</c:v>
                </c:pt>
                <c:pt idx="1">
                  <c:v>614.29999999999995</c:v>
                </c:pt>
                <c:pt idx="2">
                  <c:v>643.5</c:v>
                </c:pt>
                <c:pt idx="3">
                  <c:v>740.3</c:v>
                </c:pt>
                <c:pt idx="4">
                  <c:v>813.6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85-4F6B-A686-03D9A8D64A69}"/>
            </c:ext>
          </c:extLst>
        </c:ser>
        <c:ser>
          <c:idx val="7"/>
          <c:order val="6"/>
          <c:tx>
            <c:strRef>
              <c:f>'Figura 7'!$H$22</c:f>
              <c:strCache>
                <c:ptCount val="1"/>
                <c:pt idx="0">
                  <c:v>Iulie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7'!$H$23:$H$27</c:f>
              <c:numCache>
                <c:formatCode>#,##0.0</c:formatCode>
                <c:ptCount val="5"/>
                <c:pt idx="0">
                  <c:v>747</c:v>
                </c:pt>
                <c:pt idx="1">
                  <c:v>578.6</c:v>
                </c:pt>
                <c:pt idx="2">
                  <c:v>727.4</c:v>
                </c:pt>
                <c:pt idx="3">
                  <c:v>774.6</c:v>
                </c:pt>
                <c:pt idx="4">
                  <c:v>857.7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85-4F6B-A686-03D9A8D64A69}"/>
            </c:ext>
          </c:extLst>
        </c:ser>
        <c:ser>
          <c:idx val="8"/>
          <c:order val="7"/>
          <c:tx>
            <c:strRef>
              <c:f>'Figura 7'!$I$22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2700"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7'!$I$23:$I$27</c:f>
              <c:numCache>
                <c:formatCode>#,##0.0</c:formatCode>
                <c:ptCount val="5"/>
                <c:pt idx="0">
                  <c:v>769.5</c:v>
                </c:pt>
                <c:pt idx="1">
                  <c:v>640.4</c:v>
                </c:pt>
                <c:pt idx="2">
                  <c:v>669.5</c:v>
                </c:pt>
                <c:pt idx="3">
                  <c:v>763.8</c:v>
                </c:pt>
                <c:pt idx="4">
                  <c:v>817.5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85-4F6B-A686-03D9A8D64A69}"/>
            </c:ext>
          </c:extLst>
        </c:ser>
        <c:ser>
          <c:idx val="9"/>
          <c:order val="8"/>
          <c:tx>
            <c:strRef>
              <c:f>'Figura 7'!$J$22</c:f>
              <c:strCache>
                <c:ptCount val="1"/>
                <c:pt idx="0">
                  <c:v>Septembrie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7'!$J$23:$J$27</c:f>
              <c:numCache>
                <c:formatCode>#,##0.0</c:formatCode>
                <c:ptCount val="5"/>
                <c:pt idx="0">
                  <c:v>852.8</c:v>
                </c:pt>
                <c:pt idx="1">
                  <c:v>657.1</c:v>
                </c:pt>
                <c:pt idx="2">
                  <c:v>696.4</c:v>
                </c:pt>
                <c:pt idx="3">
                  <c:v>797.4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85-4F6B-A686-03D9A8D64A69}"/>
            </c:ext>
          </c:extLst>
        </c:ser>
        <c:ser>
          <c:idx val="10"/>
          <c:order val="9"/>
          <c:tx>
            <c:strRef>
              <c:f>'Figura 7'!$K$22</c:f>
              <c:strCache>
                <c:ptCount val="1"/>
                <c:pt idx="0">
                  <c:v>Octombrie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0">
              <a:solidFill>
                <a:schemeClr val="bg1"/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7'!$K$23:$K$27</c:f>
              <c:numCache>
                <c:formatCode>#,##0.0</c:formatCode>
                <c:ptCount val="5"/>
                <c:pt idx="0">
                  <c:v>764.6</c:v>
                </c:pt>
                <c:pt idx="1">
                  <c:v>676.2</c:v>
                </c:pt>
                <c:pt idx="2">
                  <c:v>725.7</c:v>
                </c:pt>
                <c:pt idx="3">
                  <c:v>854.7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85-4F6B-A686-03D9A8D64A69}"/>
            </c:ext>
          </c:extLst>
        </c:ser>
        <c:ser>
          <c:idx val="11"/>
          <c:order val="10"/>
          <c:tx>
            <c:strRef>
              <c:f>'Figura 7'!$L$22</c:f>
              <c:strCache>
                <c:ptCount val="1"/>
                <c:pt idx="0">
                  <c:v>Noiembrie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0">
              <a:solidFill>
                <a:schemeClr val="bg1"/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7'!$L$23:$L$27</c:f>
              <c:numCache>
                <c:formatCode>#,##0.0</c:formatCode>
                <c:ptCount val="5"/>
                <c:pt idx="0">
                  <c:v>840.5</c:v>
                </c:pt>
                <c:pt idx="1">
                  <c:v>682.5</c:v>
                </c:pt>
                <c:pt idx="2">
                  <c:v>765.9</c:v>
                </c:pt>
                <c:pt idx="3">
                  <c:v>846.1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385-4F6B-A686-03D9A8D64A69}"/>
            </c:ext>
          </c:extLst>
        </c:ser>
        <c:ser>
          <c:idx val="12"/>
          <c:order val="11"/>
          <c:tx>
            <c:strRef>
              <c:f>'Figura 7'!$M$22</c:f>
              <c:strCache>
                <c:ptCount val="1"/>
                <c:pt idx="0">
                  <c:v>Decembrie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solidFill>
                <a:schemeClr val="bg1">
                  <a:alpha val="99000"/>
                </a:schemeClr>
              </a:solidFill>
            </a:ln>
            <a:effectLst/>
          </c:spPr>
          <c:invertIfNegative val="0"/>
          <c:cat>
            <c:numRef>
              <c:f>'Figura 7'!$A$23:$A$27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7'!$M$23:$M$27</c:f>
              <c:numCache>
                <c:formatCode>#,##0.0</c:formatCode>
                <c:ptCount val="5"/>
                <c:pt idx="0">
                  <c:v>825.5</c:v>
                </c:pt>
                <c:pt idx="1">
                  <c:v>740.8</c:v>
                </c:pt>
                <c:pt idx="2">
                  <c:v>806.4</c:v>
                </c:pt>
                <c:pt idx="3">
                  <c:v>938.8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F-4049-8950-86FE86034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641536"/>
        <c:axId val="126078912"/>
      </c:barChart>
      <c:catAx>
        <c:axId val="128641536"/>
        <c:scaling>
          <c:orientation val="minMax"/>
        </c:scaling>
        <c:delete val="0"/>
        <c:axPos val="b"/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6078912"/>
        <c:crosses val="autoZero"/>
        <c:auto val="0"/>
        <c:lblAlgn val="ctr"/>
        <c:lblOffset val="100"/>
        <c:tickLblSkip val="1"/>
        <c:noMultiLvlLbl val="0"/>
      </c:catAx>
      <c:valAx>
        <c:axId val="12607891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6415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0322762736849671"/>
          <c:w val="1"/>
          <c:h val="7.8507415488726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313388332425035E-2"/>
          <c:y val="8.1711481481481482E-2"/>
          <c:w val="0.93081342306055137"/>
          <c:h val="0.61919814814814811"/>
        </c:manualLayout>
      </c:layout>
      <c:lineChart>
        <c:grouping val="standard"/>
        <c:varyColors val="0"/>
        <c:ser>
          <c:idx val="0"/>
          <c:order val="0"/>
          <c:tx>
            <c:strRef>
              <c:f>'Figura 8'!$A$25</c:f>
              <c:strCache>
                <c:ptCount val="1"/>
                <c:pt idx="0">
                  <c:v>În % faţă de luna precedentă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'Figura 8'!$B$23:$AR$24</c:f>
              <c:multiLvlStrCache>
                <c:ptCount val="4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  <c:pt idx="21">
                    <c:v>X</c:v>
                  </c:pt>
                  <c:pt idx="22">
                    <c:v>XI</c:v>
                  </c:pt>
                  <c:pt idx="23">
                    <c:v>XII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V</c:v>
                  </c:pt>
                  <c:pt idx="29">
                    <c:v>VI</c:v>
                  </c:pt>
                  <c:pt idx="30">
                    <c:v>VII</c:v>
                  </c:pt>
                  <c:pt idx="31">
                    <c:v>VIII</c:v>
                  </c:pt>
                  <c:pt idx="32">
                    <c:v>IX</c:v>
                  </c:pt>
                  <c:pt idx="33">
                    <c:v>X</c:v>
                  </c:pt>
                  <c:pt idx="34">
                    <c:v>XI</c:v>
                  </c:pt>
                  <c:pt idx="35">
                    <c:v>XII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V</c:v>
                  </c:pt>
                  <c:pt idx="41">
                    <c:v>VI</c:v>
                  </c:pt>
                  <c:pt idx="42">
                    <c:v>VII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'Figura 8'!$B$25:$AR$25</c:f>
              <c:numCache>
                <c:formatCode>0.0</c:formatCode>
                <c:ptCount val="43"/>
                <c:pt idx="0">
                  <c:v>82.252283708917631</c:v>
                </c:pt>
                <c:pt idx="1">
                  <c:v>103.48453332116594</c:v>
                </c:pt>
                <c:pt idx="2">
                  <c:v>109.14931788315596</c:v>
                </c:pt>
                <c:pt idx="3">
                  <c:v>82.116742546916299</c:v>
                </c:pt>
                <c:pt idx="4">
                  <c:v>103.58234248839011</c:v>
                </c:pt>
                <c:pt idx="5">
                  <c:v>94.159962908645028</c:v>
                </c:pt>
                <c:pt idx="6">
                  <c:v>94.197873539667725</c:v>
                </c:pt>
                <c:pt idx="7">
                  <c:v>110.68204564271207</c:v>
                </c:pt>
                <c:pt idx="8">
                  <c:v>102.60163799542805</c:v>
                </c:pt>
                <c:pt idx="9">
                  <c:v>102.90415729294948</c:v>
                </c:pt>
                <c:pt idx="10">
                  <c:v>100.94103787876509</c:v>
                </c:pt>
                <c:pt idx="11">
                  <c:v>108.54391428423472</c:v>
                </c:pt>
                <c:pt idx="12">
                  <c:v>77.200423490896014</c:v>
                </c:pt>
                <c:pt idx="13">
                  <c:v>121.80309679859795</c:v>
                </c:pt>
                <c:pt idx="14">
                  <c:v>103.02988146068498</c:v>
                </c:pt>
                <c:pt idx="15">
                  <c:v>100.84623159561619</c:v>
                </c:pt>
                <c:pt idx="16">
                  <c:v>88.38096780878837</c:v>
                </c:pt>
                <c:pt idx="17">
                  <c:v>100.59675350829211</c:v>
                </c:pt>
                <c:pt idx="18">
                  <c:v>113.02429366992068</c:v>
                </c:pt>
                <c:pt idx="19">
                  <c:v>92.041079174009695</c:v>
                </c:pt>
                <c:pt idx="20">
                  <c:v>104.01867889955554</c:v>
                </c:pt>
                <c:pt idx="21">
                  <c:v>104.21014653190718</c:v>
                </c:pt>
                <c:pt idx="22">
                  <c:v>105.53702135630085</c:v>
                </c:pt>
                <c:pt idx="23">
                  <c:v>105.29693257994357</c:v>
                </c:pt>
                <c:pt idx="24">
                  <c:v>86.16854833754897</c:v>
                </c:pt>
                <c:pt idx="25">
                  <c:v>120.15346600679437</c:v>
                </c:pt>
                <c:pt idx="26">
                  <c:v>106.4378738578267</c:v>
                </c:pt>
                <c:pt idx="27">
                  <c:v>86.1509742923609</c:v>
                </c:pt>
                <c:pt idx="28">
                  <c:v>98.958855110262689</c:v>
                </c:pt>
                <c:pt idx="29">
                  <c:v>97.714064263175288</c:v>
                </c:pt>
                <c:pt idx="30">
                  <c:v>104.62362504106866</c:v>
                </c:pt>
                <c:pt idx="31">
                  <c:v>98.614889465225147</c:v>
                </c:pt>
                <c:pt idx="32">
                  <c:v>104.39953253264311</c:v>
                </c:pt>
                <c:pt idx="33">
                  <c:v>107.18399632033208</c:v>
                </c:pt>
                <c:pt idx="34">
                  <c:v>98.997092888230256</c:v>
                </c:pt>
                <c:pt idx="35">
                  <c:v>110.94500767651709</c:v>
                </c:pt>
                <c:pt idx="36">
                  <c:v>74.366676697988723</c:v>
                </c:pt>
                <c:pt idx="37">
                  <c:v>117.71062532806742</c:v>
                </c:pt>
                <c:pt idx="38">
                  <c:v>113.41378743680312</c:v>
                </c:pt>
                <c:pt idx="39">
                  <c:v>97.81031391758323</c:v>
                </c:pt>
                <c:pt idx="40">
                  <c:v>88.459017745069062</c:v>
                </c:pt>
                <c:pt idx="41">
                  <c:v>100.84694617661407</c:v>
                </c:pt>
                <c:pt idx="42">
                  <c:v>105.41195803900891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7DC5-4341-8624-B7AE9C654835}"/>
            </c:ext>
          </c:extLst>
        </c:ser>
        <c:ser>
          <c:idx val="1"/>
          <c:order val="1"/>
          <c:tx>
            <c:strRef>
              <c:f>'Figura 8'!$A$26</c:f>
              <c:strCache>
                <c:ptCount val="1"/>
                <c:pt idx="0">
                  <c:v>În % faţă de luna corespunzătoare din anul precedent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'Figura 8'!$B$23:$AR$24</c:f>
              <c:multiLvlStrCache>
                <c:ptCount val="4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  <c:pt idx="21">
                    <c:v>X</c:v>
                  </c:pt>
                  <c:pt idx="22">
                    <c:v>XI</c:v>
                  </c:pt>
                  <c:pt idx="23">
                    <c:v>XII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V</c:v>
                  </c:pt>
                  <c:pt idx="29">
                    <c:v>VI</c:v>
                  </c:pt>
                  <c:pt idx="30">
                    <c:v>VII</c:v>
                  </c:pt>
                  <c:pt idx="31">
                    <c:v>VIII</c:v>
                  </c:pt>
                  <c:pt idx="32">
                    <c:v>IX</c:v>
                  </c:pt>
                  <c:pt idx="33">
                    <c:v>X</c:v>
                  </c:pt>
                  <c:pt idx="34">
                    <c:v>XI</c:v>
                  </c:pt>
                  <c:pt idx="35">
                    <c:v>XII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V</c:v>
                  </c:pt>
                  <c:pt idx="41">
                    <c:v>VI</c:v>
                  </c:pt>
                  <c:pt idx="42">
                    <c:v>VII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'Figura 8'!$B$26:$AR$26</c:f>
              <c:numCache>
                <c:formatCode>0.0</c:formatCode>
                <c:ptCount val="43"/>
                <c:pt idx="0">
                  <c:v>123.17334599877307</c:v>
                </c:pt>
                <c:pt idx="1">
                  <c:v>118.88923110418857</c:v>
                </c:pt>
                <c:pt idx="2">
                  <c:v>113.09402683541575</c:v>
                </c:pt>
                <c:pt idx="3">
                  <c:v>88.568787266240065</c:v>
                </c:pt>
                <c:pt idx="4">
                  <c:v>89.336883507403599</c:v>
                </c:pt>
                <c:pt idx="5">
                  <c:v>84.619375226603651</c:v>
                </c:pt>
                <c:pt idx="6">
                  <c:v>77.461997845698207</c:v>
                </c:pt>
                <c:pt idx="7">
                  <c:v>83.224745519700619</c:v>
                </c:pt>
                <c:pt idx="8">
                  <c:v>77.051941049151267</c:v>
                </c:pt>
                <c:pt idx="9">
                  <c:v>88.435437008785073</c:v>
                </c:pt>
                <c:pt idx="10">
                  <c:v>81.209463311851067</c:v>
                </c:pt>
                <c:pt idx="11">
                  <c:v>89.744303663236991</c:v>
                </c:pt>
                <c:pt idx="12">
                  <c:v>84.232290415376212</c:v>
                </c:pt>
                <c:pt idx="13">
                  <c:v>99.142871825979739</c:v>
                </c:pt>
                <c:pt idx="14">
                  <c:v>93.58444496041065</c:v>
                </c:pt>
                <c:pt idx="15">
                  <c:v>114.92952980730695</c:v>
                </c:pt>
                <c:pt idx="16">
                  <c:v>98.062882438841143</c:v>
                </c:pt>
                <c:pt idx="17">
                  <c:v>104.76647726150516</c:v>
                </c:pt>
                <c:pt idx="18">
                  <c:v>125.70514224804651</c:v>
                </c:pt>
                <c:pt idx="19">
                  <c:v>104.53399991884265</c:v>
                </c:pt>
                <c:pt idx="20">
                  <c:v>105.9777288558374</c:v>
                </c:pt>
                <c:pt idx="21">
                  <c:v>107.32272576457147</c:v>
                </c:pt>
                <c:pt idx="22">
                  <c:v>112.20927621762398</c:v>
                </c:pt>
                <c:pt idx="23">
                  <c:v>108.8526489084567</c:v>
                </c:pt>
                <c:pt idx="24">
                  <c:v>121.49771095808444</c:v>
                </c:pt>
                <c:pt idx="25">
                  <c:v>119.85221613571953</c:v>
                </c:pt>
                <c:pt idx="26">
                  <c:v>123.81665281739214</c:v>
                </c:pt>
                <c:pt idx="27">
                  <c:v>105.77415839007931</c:v>
                </c:pt>
                <c:pt idx="28">
                  <c:v>118.4337519043664</c:v>
                </c:pt>
                <c:pt idx="29">
                  <c:v>115.03992764098786</c:v>
                </c:pt>
                <c:pt idx="30">
                  <c:v>106.48944455616194</c:v>
                </c:pt>
                <c:pt idx="31">
                  <c:v>114.09519421502503</c:v>
                </c:pt>
                <c:pt idx="32">
                  <c:v>114.51294196662435</c:v>
                </c:pt>
                <c:pt idx="33">
                  <c:v>117.78080310656709</c:v>
                </c:pt>
                <c:pt idx="34">
                  <c:v>110.48215077272549</c:v>
                </c:pt>
                <c:pt idx="35">
                  <c:v>116.40835839441048</c:v>
                </c:pt>
                <c:pt idx="36">
                  <c:v>100.51748879633999</c:v>
                </c:pt>
                <c:pt idx="37">
                  <c:v>98.473867262015744</c:v>
                </c:pt>
                <c:pt idx="38">
                  <c:v>104.92782175739484</c:v>
                </c:pt>
                <c:pt idx="39">
                  <c:v>119.12834728891791</c:v>
                </c:pt>
                <c:pt idx="40">
                  <c:v>106.48846508005205</c:v>
                </c:pt>
                <c:pt idx="41">
                  <c:v>109.90266946595335</c:v>
                </c:pt>
                <c:pt idx="42">
                  <c:v>110.73077976004538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7DC5-4341-8624-B7AE9C654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75776"/>
        <c:axId val="126082368"/>
      </c:lineChart>
      <c:catAx>
        <c:axId val="1280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6082368"/>
        <c:crossesAt val="30"/>
        <c:auto val="1"/>
        <c:lblAlgn val="ctr"/>
        <c:lblOffset val="100"/>
        <c:noMultiLvlLbl val="0"/>
      </c:catAx>
      <c:valAx>
        <c:axId val="126082368"/>
        <c:scaling>
          <c:orientation val="minMax"/>
          <c:max val="140"/>
          <c:min val="5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075776"/>
        <c:crosses val="autoZero"/>
        <c:crossBetween val="between"/>
        <c:majorUnit val="10"/>
        <c:minorUnit val="6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869144291235897E-2"/>
          <c:y val="0.93370396497048047"/>
          <c:w val="0.92450580808080807"/>
          <c:h val="5.4448278710923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747272305971879"/>
          <c:y val="3.0994444444444446E-2"/>
          <c:w val="0.76089631576667616"/>
          <c:h val="0.76929846740477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9'!$B$20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9'!$A$21:$A$27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9'!$B$21:$B$27</c:f>
              <c:numCache>
                <c:formatCode>0.0</c:formatCode>
                <c:ptCount val="7"/>
                <c:pt idx="0">
                  <c:v>5.2</c:v>
                </c:pt>
                <c:pt idx="1">
                  <c:v>1.5</c:v>
                </c:pt>
                <c:pt idx="2">
                  <c:v>78</c:v>
                </c:pt>
                <c:pt idx="3">
                  <c:v>1.5</c:v>
                </c:pt>
                <c:pt idx="4">
                  <c:v>0</c:v>
                </c:pt>
                <c:pt idx="5">
                  <c:v>13.3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4-4901-8F26-F774DF753091}"/>
            </c:ext>
          </c:extLst>
        </c:ser>
        <c:ser>
          <c:idx val="1"/>
          <c:order val="1"/>
          <c:tx>
            <c:strRef>
              <c:f>'Figura 9'!$C$20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9'!$A$21:$A$27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9'!$C$21:$C$27</c:f>
              <c:numCache>
                <c:formatCode>0.0</c:formatCode>
                <c:ptCount val="7"/>
                <c:pt idx="0">
                  <c:v>3.1</c:v>
                </c:pt>
                <c:pt idx="1">
                  <c:v>1.6</c:v>
                </c:pt>
                <c:pt idx="2">
                  <c:v>79.7</c:v>
                </c:pt>
                <c:pt idx="3">
                  <c:v>1.9</c:v>
                </c:pt>
                <c:pt idx="4">
                  <c:v>0.1</c:v>
                </c:pt>
                <c:pt idx="5">
                  <c:v>13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54-4901-8F26-F774DF753091}"/>
            </c:ext>
          </c:extLst>
        </c:ser>
        <c:ser>
          <c:idx val="2"/>
          <c:order val="2"/>
          <c:tx>
            <c:strRef>
              <c:f>'Figura 9'!$D$20</c:f>
              <c:strCache>
                <c:ptCount val="1"/>
                <c:pt idx="0">
                  <c:v>Ianuarie-august 2024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9'!$A$21:$A$27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9'!$D$21:$D$27</c:f>
              <c:numCache>
                <c:formatCode>0.0</c:formatCode>
                <c:ptCount val="7"/>
                <c:pt idx="0">
                  <c:v>4.0999999999999996</c:v>
                </c:pt>
                <c:pt idx="1">
                  <c:v>2.5</c:v>
                </c:pt>
                <c:pt idx="2">
                  <c:v>84.8</c:v>
                </c:pt>
                <c:pt idx="3">
                  <c:v>2.1</c:v>
                </c:pt>
                <c:pt idx="4">
                  <c:v>0.1</c:v>
                </c:pt>
                <c:pt idx="5">
                  <c:v>5.6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54-4901-8F26-F774DF753091}"/>
            </c:ext>
          </c:extLst>
        </c:ser>
        <c:ser>
          <c:idx val="3"/>
          <c:order val="3"/>
          <c:tx>
            <c:strRef>
              <c:f>'Figura 9'!$E$20</c:f>
              <c:strCache>
                <c:ptCount val="1"/>
                <c:pt idx="0">
                  <c:v>Ianuarie-august 2023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9'!$A$21:$A$27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9'!$E$21:$E$27</c:f>
              <c:numCache>
                <c:formatCode>0.0</c:formatCode>
                <c:ptCount val="7"/>
                <c:pt idx="0">
                  <c:v>7.7</c:v>
                </c:pt>
                <c:pt idx="1">
                  <c:v>4</c:v>
                </c:pt>
                <c:pt idx="2">
                  <c:v>78.7</c:v>
                </c:pt>
                <c:pt idx="3">
                  <c:v>1.8</c:v>
                </c:pt>
                <c:pt idx="4">
                  <c:v>0.1</c:v>
                </c:pt>
                <c:pt idx="5">
                  <c:v>7</c:v>
                </c:pt>
                <c:pt idx="6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54-4901-8F26-F774DF753091}"/>
            </c:ext>
          </c:extLst>
        </c:ser>
        <c:ser>
          <c:idx val="4"/>
          <c:order val="4"/>
          <c:tx>
            <c:strRef>
              <c:f>'Figura 9'!$F$20</c:f>
              <c:strCache>
                <c:ptCount val="1"/>
                <c:pt idx="0">
                  <c:v>Ianuarie-august 2022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9'!$A$21:$A$27</c:f>
              <c:strCache>
                <c:ptCount val="7"/>
                <c:pt idx="0">
                  <c:v>Transport maritim</c:v>
                </c:pt>
                <c:pt idx="1">
                  <c:v>Transport feroviar</c:v>
                </c:pt>
                <c:pt idx="2">
                  <c:v>Transport rutier</c:v>
                </c:pt>
                <c:pt idx="3">
                  <c:v>Transport aerian</c:v>
                </c:pt>
                <c:pt idx="4">
                  <c:v>Expedieri postale</c:v>
                </c:pt>
                <c:pt idx="5">
                  <c:v>Instalatii fixe de transport</c:v>
                </c:pt>
                <c:pt idx="6">
                  <c:v>Autopropulsie</c:v>
                </c:pt>
              </c:strCache>
            </c:strRef>
          </c:cat>
          <c:val>
            <c:numRef>
              <c:f>'Figura 9'!$F$21:$F$27</c:f>
              <c:numCache>
                <c:formatCode>0.0</c:formatCode>
                <c:ptCount val="7"/>
                <c:pt idx="0">
                  <c:v>7.5</c:v>
                </c:pt>
                <c:pt idx="1">
                  <c:v>4.8</c:v>
                </c:pt>
                <c:pt idx="2">
                  <c:v>76.8</c:v>
                </c:pt>
                <c:pt idx="3">
                  <c:v>1.6</c:v>
                </c:pt>
                <c:pt idx="4">
                  <c:v>0.1</c:v>
                </c:pt>
                <c:pt idx="5">
                  <c:v>8.6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54-4901-8F26-F774DF753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128382464"/>
        <c:axId val="128386752"/>
      </c:barChart>
      <c:catAx>
        <c:axId val="128382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386752"/>
        <c:crossesAt val="0"/>
        <c:auto val="1"/>
        <c:lblAlgn val="ctr"/>
        <c:lblOffset val="100"/>
        <c:noMultiLvlLbl val="0"/>
      </c:catAx>
      <c:valAx>
        <c:axId val="12838675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382464"/>
        <c:crosses val="autoZero"/>
        <c:crossBetween val="between"/>
        <c:minorUnit val="1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0"/>
          <c:y val="0.90876179237285259"/>
          <c:w val="1"/>
          <c:h val="6.89481644251832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069977473288278E-2"/>
          <c:y val="0.10880158730158727"/>
          <c:w val="0.91713740546298317"/>
          <c:h val="0.647009126984127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'Figura 10'!$A$23</c:f>
              <c:strCache>
                <c:ptCount val="1"/>
                <c:pt idx="0">
                  <c:v>Ţările Uniunii Europene -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10'!$B$22:$F$22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10'!$B$23:$F$23</c:f>
              <c:numCache>
                <c:formatCode>0.0</c:formatCode>
                <c:ptCount val="5"/>
                <c:pt idx="0">
                  <c:v>46.2</c:v>
                </c:pt>
                <c:pt idx="1">
                  <c:v>48.8</c:v>
                </c:pt>
                <c:pt idx="2">
                  <c:v>49.2</c:v>
                </c:pt>
                <c:pt idx="3">
                  <c:v>54</c:v>
                </c:pt>
                <c:pt idx="4">
                  <c:v>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49-4350-AC6F-7B3B9B8C79B6}"/>
            </c:ext>
          </c:extLst>
        </c:ser>
        <c:ser>
          <c:idx val="1"/>
          <c:order val="1"/>
          <c:tx>
            <c:strRef>
              <c:f>'Figura 10'!$A$24</c:f>
              <c:strCache>
                <c:ptCount val="1"/>
                <c:pt idx="0">
                  <c:v>Ţările CSI -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10'!$B$22:$F$22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10'!$B$24:$F$24</c:f>
              <c:numCache>
                <c:formatCode>0.0</c:formatCode>
                <c:ptCount val="5"/>
                <c:pt idx="0">
                  <c:v>15.4</c:v>
                </c:pt>
                <c:pt idx="1">
                  <c:v>6.7</c:v>
                </c:pt>
                <c:pt idx="2">
                  <c:v>3.9</c:v>
                </c:pt>
                <c:pt idx="3">
                  <c:v>2.9</c:v>
                </c:pt>
                <c:pt idx="4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49-4350-AC6F-7B3B9B8C79B6}"/>
            </c:ext>
          </c:extLst>
        </c:ser>
        <c:ser>
          <c:idx val="2"/>
          <c:order val="2"/>
          <c:tx>
            <c:strRef>
              <c:f>'Figura 10'!$A$25</c:f>
              <c:strCache>
                <c:ptCount val="1"/>
                <c:pt idx="0">
                  <c:v>Celelalte ţări ale lumii - 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10'!$B$22:$F$22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10'!$B$25:$F$25</c:f>
              <c:numCache>
                <c:formatCode>0.0</c:formatCode>
                <c:ptCount val="5"/>
                <c:pt idx="0">
                  <c:v>38.4</c:v>
                </c:pt>
                <c:pt idx="1">
                  <c:v>44.5</c:v>
                </c:pt>
                <c:pt idx="2">
                  <c:v>46.9</c:v>
                </c:pt>
                <c:pt idx="3">
                  <c:v>43.1</c:v>
                </c:pt>
                <c:pt idx="4">
                  <c:v>43.7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49-4350-AC6F-7B3B9B8C7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overlap val="100"/>
        <c:axId val="128721920"/>
        <c:axId val="128389056"/>
      </c:barChart>
      <c:catAx>
        <c:axId val="12872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389056"/>
        <c:crosses val="autoZero"/>
        <c:auto val="0"/>
        <c:lblAlgn val="ctr"/>
        <c:lblOffset val="100"/>
        <c:noMultiLvlLbl val="0"/>
      </c:catAx>
      <c:valAx>
        <c:axId val="128389056"/>
        <c:scaling>
          <c:orientation val="minMax"/>
          <c:max val="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72192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3.739791666666667E-2"/>
          <c:y val="0.90891190476190475"/>
          <c:w val="0.93105796047794498"/>
          <c:h val="8.1371100132598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18221091040384E-2"/>
          <c:y val="0.13699274526987476"/>
          <c:w val="0.94928169697354392"/>
          <c:h val="0.521325231005831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'Figura 11'!$B$22</c:f>
              <c:strCache>
                <c:ptCount val="1"/>
                <c:pt idx="0">
                  <c:v>Ianuarie-august 2022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11'!$A$23:$A$36</c:f>
              <c:strCache>
                <c:ptCount val="14"/>
                <c:pt idx="0">
                  <c:v>România</c:v>
                </c:pt>
                <c:pt idx="1">
                  <c:v>China</c:v>
                </c:pt>
                <c:pt idx="2">
                  <c:v>Ucraina</c:v>
                </c:pt>
                <c:pt idx="3">
                  <c:v>Germania</c:v>
                </c:pt>
                <c:pt idx="4">
                  <c:v>Turcia</c:v>
                </c:pt>
                <c:pt idx="5">
                  <c:v>Italia</c:v>
                </c:pt>
                <c:pt idx="6">
                  <c:v>Polonia</c:v>
                </c:pt>
                <c:pt idx="7">
                  <c:v>Franța</c:v>
                </c:pt>
                <c:pt idx="8">
                  <c:v>Cehia</c:v>
                </c:pt>
                <c:pt idx="9">
                  <c:v>Federația Rusă</c:v>
                </c:pt>
                <c:pt idx="10">
                  <c:v>Ungaria</c:v>
                </c:pt>
                <c:pt idx="11">
                  <c:v>Bulgaria</c:v>
                </c:pt>
                <c:pt idx="12">
                  <c:v>Spania</c:v>
                </c:pt>
                <c:pt idx="13">
                  <c:v>Statele Unite ale Americii</c:v>
                </c:pt>
              </c:strCache>
            </c:strRef>
          </c:cat>
          <c:val>
            <c:numRef>
              <c:f>'Figura 11'!$B$23:$B$36</c:f>
              <c:numCache>
                <c:formatCode>#,##0.0</c:formatCode>
                <c:ptCount val="14"/>
                <c:pt idx="0">
                  <c:v>16.880396978151342</c:v>
                </c:pt>
                <c:pt idx="1">
                  <c:v>10.163094391215353</c:v>
                </c:pt>
                <c:pt idx="2">
                  <c:v>9.7928961487622281</c:v>
                </c:pt>
                <c:pt idx="3">
                  <c:v>6.5137663276081241</c:v>
                </c:pt>
                <c:pt idx="4">
                  <c:v>6.9298592543298385</c:v>
                </c:pt>
                <c:pt idx="5">
                  <c:v>5.0430571305132332</c:v>
                </c:pt>
                <c:pt idx="6">
                  <c:v>3.3345355177707829</c:v>
                </c:pt>
                <c:pt idx="7">
                  <c:v>2.1551635080358031</c:v>
                </c:pt>
                <c:pt idx="8">
                  <c:v>1.4914236000562917</c:v>
                </c:pt>
                <c:pt idx="9">
                  <c:v>13.415075770443968</c:v>
                </c:pt>
                <c:pt idx="10">
                  <c:v>2.0250943324997683</c:v>
                </c:pt>
                <c:pt idx="11">
                  <c:v>1.4832754581077463</c:v>
                </c:pt>
                <c:pt idx="12">
                  <c:v>1.2005639164873343</c:v>
                </c:pt>
                <c:pt idx="13">
                  <c:v>1.533353600280587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5D-4027-9176-5A5FABFE2538}"/>
            </c:ext>
          </c:extLst>
        </c:ser>
        <c:ser>
          <c:idx val="1"/>
          <c:order val="1"/>
          <c:tx>
            <c:strRef>
              <c:f>'Figura 11'!$C$22</c:f>
              <c:strCache>
                <c:ptCount val="1"/>
                <c:pt idx="0">
                  <c:v>Ianuarie-august 2023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11'!$A$23:$A$36</c:f>
              <c:strCache>
                <c:ptCount val="14"/>
                <c:pt idx="0">
                  <c:v>România</c:v>
                </c:pt>
                <c:pt idx="1">
                  <c:v>China</c:v>
                </c:pt>
                <c:pt idx="2">
                  <c:v>Ucraina</c:v>
                </c:pt>
                <c:pt idx="3">
                  <c:v>Germania</c:v>
                </c:pt>
                <c:pt idx="4">
                  <c:v>Turcia</c:v>
                </c:pt>
                <c:pt idx="5">
                  <c:v>Italia</c:v>
                </c:pt>
                <c:pt idx="6">
                  <c:v>Polonia</c:v>
                </c:pt>
                <c:pt idx="7">
                  <c:v>Franța</c:v>
                </c:pt>
                <c:pt idx="8">
                  <c:v>Cehia</c:v>
                </c:pt>
                <c:pt idx="9">
                  <c:v>Federația Rusă</c:v>
                </c:pt>
                <c:pt idx="10">
                  <c:v>Ungaria</c:v>
                </c:pt>
                <c:pt idx="11">
                  <c:v>Bulgaria</c:v>
                </c:pt>
                <c:pt idx="12">
                  <c:v>Spania</c:v>
                </c:pt>
                <c:pt idx="13">
                  <c:v>Statele Unite ale Americii</c:v>
                </c:pt>
              </c:strCache>
            </c:strRef>
          </c:cat>
          <c:val>
            <c:numRef>
              <c:f>'Figura 11'!$C$23:$C$36</c:f>
              <c:numCache>
                <c:formatCode>#,##0.0</c:formatCode>
                <c:ptCount val="14"/>
                <c:pt idx="0">
                  <c:v>15.590991437255894</c:v>
                </c:pt>
                <c:pt idx="1">
                  <c:v>11.124860717115711</c:v>
                </c:pt>
                <c:pt idx="2">
                  <c:v>12.128614776020724</c:v>
                </c:pt>
                <c:pt idx="3">
                  <c:v>7.1212262883756496</c:v>
                </c:pt>
                <c:pt idx="4">
                  <c:v>8.7207131639718405</c:v>
                </c:pt>
                <c:pt idx="5">
                  <c:v>5.4926597754057545</c:v>
                </c:pt>
                <c:pt idx="6">
                  <c:v>3.6256547027535668</c:v>
                </c:pt>
                <c:pt idx="7">
                  <c:v>2.5123077411341588</c:v>
                </c:pt>
                <c:pt idx="8">
                  <c:v>1.7669043141015108</c:v>
                </c:pt>
                <c:pt idx="9">
                  <c:v>4.1188499508790475</c:v>
                </c:pt>
                <c:pt idx="10">
                  <c:v>2.1494589652084817</c:v>
                </c:pt>
                <c:pt idx="11">
                  <c:v>1.676508680805697</c:v>
                </c:pt>
                <c:pt idx="12">
                  <c:v>1.3872086860137152</c:v>
                </c:pt>
                <c:pt idx="13">
                  <c:v>1.3989197076254221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5D-4027-9176-5A5FABFE2538}"/>
            </c:ext>
          </c:extLst>
        </c:ser>
        <c:ser>
          <c:idx val="2"/>
          <c:order val="2"/>
          <c:tx>
            <c:strRef>
              <c:f>'Figura 11'!$D$22</c:f>
              <c:strCache>
                <c:ptCount val="1"/>
                <c:pt idx="0">
                  <c:v>Ianuarie-august 2024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11'!$A$23:$A$36</c:f>
              <c:strCache>
                <c:ptCount val="14"/>
                <c:pt idx="0">
                  <c:v>România</c:v>
                </c:pt>
                <c:pt idx="1">
                  <c:v>China</c:v>
                </c:pt>
                <c:pt idx="2">
                  <c:v>Ucraina</c:v>
                </c:pt>
                <c:pt idx="3">
                  <c:v>Germania</c:v>
                </c:pt>
                <c:pt idx="4">
                  <c:v>Turcia</c:v>
                </c:pt>
                <c:pt idx="5">
                  <c:v>Italia</c:v>
                </c:pt>
                <c:pt idx="6">
                  <c:v>Polonia</c:v>
                </c:pt>
                <c:pt idx="7">
                  <c:v>Franța</c:v>
                </c:pt>
                <c:pt idx="8">
                  <c:v>Cehia</c:v>
                </c:pt>
                <c:pt idx="9">
                  <c:v>Federația Rusă</c:v>
                </c:pt>
                <c:pt idx="10">
                  <c:v>Ungaria</c:v>
                </c:pt>
                <c:pt idx="11">
                  <c:v>Bulgaria</c:v>
                </c:pt>
                <c:pt idx="12">
                  <c:v>Spania</c:v>
                </c:pt>
                <c:pt idx="13">
                  <c:v>Statele Unite ale Americii</c:v>
                </c:pt>
              </c:strCache>
            </c:strRef>
          </c:cat>
          <c:val>
            <c:numRef>
              <c:f>'Figura 11'!$D$23:$D$36</c:f>
              <c:numCache>
                <c:formatCode>#,##0.0</c:formatCode>
                <c:ptCount val="14"/>
                <c:pt idx="0">
                  <c:v>15.617021198606976</c:v>
                </c:pt>
                <c:pt idx="1">
                  <c:v>13.246968579851892</c:v>
                </c:pt>
                <c:pt idx="2">
                  <c:v>13.13643439666764</c:v>
                </c:pt>
                <c:pt idx="3">
                  <c:v>7.4027511816601592</c:v>
                </c:pt>
                <c:pt idx="4">
                  <c:v>7.5404243729887854</c:v>
                </c:pt>
                <c:pt idx="5">
                  <c:v>5.3527303790535683</c:v>
                </c:pt>
                <c:pt idx="6">
                  <c:v>3.9058415985522843</c:v>
                </c:pt>
                <c:pt idx="7">
                  <c:v>2.5639688768111659</c:v>
                </c:pt>
                <c:pt idx="8">
                  <c:v>1.9324449934850128</c:v>
                </c:pt>
                <c:pt idx="9">
                  <c:v>2.4348489880338384</c:v>
                </c:pt>
                <c:pt idx="10">
                  <c:v>1.9279963817485515</c:v>
                </c:pt>
                <c:pt idx="11">
                  <c:v>1.774233127598893</c:v>
                </c:pt>
                <c:pt idx="12">
                  <c:v>1.6835209110468874</c:v>
                </c:pt>
                <c:pt idx="13">
                  <c:v>1.5329515998668377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5D-4027-9176-5A5FABFE2538}"/>
            </c:ext>
          </c:extLst>
        </c:ser>
        <c:ser>
          <c:idx val="3"/>
          <c:order val="3"/>
          <c:tx>
            <c:strRef>
              <c:f>'Figura 11'!$E$22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11'!$A$23:$A$36</c:f>
              <c:strCache>
                <c:ptCount val="14"/>
                <c:pt idx="0">
                  <c:v>România</c:v>
                </c:pt>
                <c:pt idx="1">
                  <c:v>China</c:v>
                </c:pt>
                <c:pt idx="2">
                  <c:v>Ucraina</c:v>
                </c:pt>
                <c:pt idx="3">
                  <c:v>Germania</c:v>
                </c:pt>
                <c:pt idx="4">
                  <c:v>Turcia</c:v>
                </c:pt>
                <c:pt idx="5">
                  <c:v>Italia</c:v>
                </c:pt>
                <c:pt idx="6">
                  <c:v>Polonia</c:v>
                </c:pt>
                <c:pt idx="7">
                  <c:v>Franța</c:v>
                </c:pt>
                <c:pt idx="8">
                  <c:v>Cehia</c:v>
                </c:pt>
                <c:pt idx="9">
                  <c:v>Federația Rusă</c:v>
                </c:pt>
                <c:pt idx="10">
                  <c:v>Ungaria</c:v>
                </c:pt>
                <c:pt idx="11">
                  <c:v>Bulgaria</c:v>
                </c:pt>
                <c:pt idx="12">
                  <c:v>Spania</c:v>
                </c:pt>
                <c:pt idx="13">
                  <c:v>Statele Unite ale Americii</c:v>
                </c:pt>
              </c:strCache>
            </c:strRef>
          </c:cat>
          <c:val>
            <c:numRef>
              <c:f>'Figura 11'!$E$23:$E$36</c:f>
              <c:numCache>
                <c:formatCode>#,##0.0</c:formatCode>
                <c:ptCount val="14"/>
                <c:pt idx="0">
                  <c:v>22.944939545456581</c:v>
                </c:pt>
                <c:pt idx="1">
                  <c:v>13.454481527319878</c:v>
                </c:pt>
                <c:pt idx="2">
                  <c:v>10.330258376686377</c:v>
                </c:pt>
                <c:pt idx="3">
                  <c:v>6.4890891253924066</c:v>
                </c:pt>
                <c:pt idx="4">
                  <c:v>7.1338837112059332</c:v>
                </c:pt>
                <c:pt idx="5">
                  <c:v>4.8485139241462027</c:v>
                </c:pt>
                <c:pt idx="6">
                  <c:v>3.4598988659155276</c:v>
                </c:pt>
                <c:pt idx="7">
                  <c:v>2.3722053909373706</c:v>
                </c:pt>
                <c:pt idx="8">
                  <c:v>1.7646628410360368</c:v>
                </c:pt>
                <c:pt idx="9">
                  <c:v>1.8237263881729902</c:v>
                </c:pt>
                <c:pt idx="10">
                  <c:v>1.7726913463310594</c:v>
                </c:pt>
                <c:pt idx="11">
                  <c:v>1.4929103272184328</c:v>
                </c:pt>
                <c:pt idx="12">
                  <c:v>1.5083500653136459</c:v>
                </c:pt>
                <c:pt idx="13">
                  <c:v>1.7903060839249845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5D-4027-9176-5A5FABFE2538}"/>
            </c:ext>
          </c:extLst>
        </c:ser>
        <c:ser>
          <c:idx val="4"/>
          <c:order val="4"/>
          <c:tx>
            <c:strRef>
              <c:f>'Figura 11'!$F$22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'Figura 11'!$A$23:$A$36</c:f>
              <c:strCache>
                <c:ptCount val="14"/>
                <c:pt idx="0">
                  <c:v>România</c:v>
                </c:pt>
                <c:pt idx="1">
                  <c:v>China</c:v>
                </c:pt>
                <c:pt idx="2">
                  <c:v>Ucraina</c:v>
                </c:pt>
                <c:pt idx="3">
                  <c:v>Germania</c:v>
                </c:pt>
                <c:pt idx="4">
                  <c:v>Turcia</c:v>
                </c:pt>
                <c:pt idx="5">
                  <c:v>Italia</c:v>
                </c:pt>
                <c:pt idx="6">
                  <c:v>Polonia</c:v>
                </c:pt>
                <c:pt idx="7">
                  <c:v>Franța</c:v>
                </c:pt>
                <c:pt idx="8">
                  <c:v>Cehia</c:v>
                </c:pt>
                <c:pt idx="9">
                  <c:v>Federația Rusă</c:v>
                </c:pt>
                <c:pt idx="10">
                  <c:v>Ungaria</c:v>
                </c:pt>
                <c:pt idx="11">
                  <c:v>Bulgaria</c:v>
                </c:pt>
                <c:pt idx="12">
                  <c:v>Spania</c:v>
                </c:pt>
                <c:pt idx="13">
                  <c:v>Statele Unite ale Americii</c:v>
                </c:pt>
              </c:strCache>
            </c:strRef>
          </c:cat>
          <c:val>
            <c:numRef>
              <c:f>'Figura 11'!$F$23:$F$36</c:f>
              <c:numCache>
                <c:formatCode>#,##0.0</c:formatCode>
                <c:ptCount val="14"/>
                <c:pt idx="0">
                  <c:v>22.888761759295075</c:v>
                </c:pt>
                <c:pt idx="1">
                  <c:v>14.482999409914965</c:v>
                </c:pt>
                <c:pt idx="2">
                  <c:v>9.4276280060792228</c:v>
                </c:pt>
                <c:pt idx="3">
                  <c:v>6.7613267320435613</c:v>
                </c:pt>
                <c:pt idx="4">
                  <c:v>6.530027005734965</c:v>
                </c:pt>
                <c:pt idx="5">
                  <c:v>4.8157980037308317</c:v>
                </c:pt>
                <c:pt idx="6">
                  <c:v>3.2074854014087331</c:v>
                </c:pt>
                <c:pt idx="7">
                  <c:v>2.1785332858456954</c:v>
                </c:pt>
                <c:pt idx="8">
                  <c:v>2.0252674610956451</c:v>
                </c:pt>
                <c:pt idx="9">
                  <c:v>1.9476648686394082</c:v>
                </c:pt>
                <c:pt idx="10">
                  <c:v>1.8395383855264962</c:v>
                </c:pt>
                <c:pt idx="11">
                  <c:v>1.6107856028750855</c:v>
                </c:pt>
                <c:pt idx="12">
                  <c:v>1.3233891988188367</c:v>
                </c:pt>
                <c:pt idx="13">
                  <c:v>1.2860863633625721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5D-4027-9176-5A5FABFE2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7567872"/>
        <c:axId val="128391360"/>
      </c:barChart>
      <c:catAx>
        <c:axId val="12756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8391360"/>
        <c:crosses val="autoZero"/>
        <c:auto val="1"/>
        <c:lblAlgn val="ctr"/>
        <c:lblOffset val="100"/>
        <c:noMultiLvlLbl val="0"/>
      </c:catAx>
      <c:valAx>
        <c:axId val="128391360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27567872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1.1070780304706016E-2"/>
          <c:y val="0.85575373015742551"/>
          <c:w val="0.96341244354436906"/>
          <c:h val="9.722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056650835502314"/>
          <c:y val="3.9693273567064299E-2"/>
          <c:w val="0.64110327903035802"/>
          <c:h val="0.801787930517166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'Figura 12'!$B$29</c:f>
              <c:strCache>
                <c:ptCount val="1"/>
                <c:pt idx="0">
                  <c:v>Ianuarie-august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'Figura 12'!$A$30:$A$42</c:f>
              <c:strCache>
                <c:ptCount val="13"/>
                <c:pt idx="0">
                  <c:v>Alte mărfuri</c:v>
                </c:pt>
                <c:pt idx="1">
                  <c:v>Petrol, produse petroliere </c:v>
                </c:pt>
                <c:pt idx="2">
                  <c:v>Gaz şi produse industriale obţinute din gaz</c:v>
                </c:pt>
                <c:pt idx="3">
                  <c:v>Vehicule rutiere</c:v>
                </c:pt>
                <c:pt idx="4">
                  <c:v>Maşini şi aparate electrice </c:v>
                </c:pt>
                <c:pt idx="5">
                  <c:v>Energie electrică</c:v>
                </c:pt>
                <c:pt idx="6">
                  <c:v>Maşini şi aparate industriale </c:v>
                </c:pt>
                <c:pt idx="7">
                  <c:v>Produse medicinale şi farmaceutice</c:v>
                </c:pt>
                <c:pt idx="8">
                  <c:v>Maşini şi aparate specializate </c:v>
                </c:pt>
                <c:pt idx="9">
                  <c:v>Legume şi fructe</c:v>
                </c:pt>
                <c:pt idx="10">
                  <c:v>Aparate şi echipamente de telecomunicaţii </c:v>
                </c:pt>
                <c:pt idx="11">
                  <c:v>Fire, tesături, articole textile </c:v>
                </c:pt>
                <c:pt idx="12">
                  <c:v>Articole prelucrate din metal</c:v>
                </c:pt>
              </c:strCache>
            </c:strRef>
          </c:cat>
          <c:val>
            <c:numRef>
              <c:f>'Figura 12'!$B$30:$B$42</c:f>
              <c:numCache>
                <c:formatCode>0.0</c:formatCode>
                <c:ptCount val="13"/>
                <c:pt idx="0">
                  <c:v>42</c:v>
                </c:pt>
                <c:pt idx="1">
                  <c:v>10.199999999999999</c:v>
                </c:pt>
                <c:pt idx="2">
                  <c:v>9.5</c:v>
                </c:pt>
                <c:pt idx="3">
                  <c:v>7.2</c:v>
                </c:pt>
                <c:pt idx="4">
                  <c:v>6.9</c:v>
                </c:pt>
                <c:pt idx="5">
                  <c:v>4.0999999999999996</c:v>
                </c:pt>
                <c:pt idx="6">
                  <c:v>3.3</c:v>
                </c:pt>
                <c:pt idx="7">
                  <c:v>3.1</c:v>
                </c:pt>
                <c:pt idx="8">
                  <c:v>3</c:v>
                </c:pt>
                <c:pt idx="9">
                  <c:v>2.9</c:v>
                </c:pt>
                <c:pt idx="10">
                  <c:v>2.8</c:v>
                </c:pt>
                <c:pt idx="11">
                  <c:v>2.6</c:v>
                </c:pt>
                <c:pt idx="12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1-4057-82C8-2A9DE05FFAAF}"/>
            </c:ext>
          </c:extLst>
        </c:ser>
        <c:ser>
          <c:idx val="1"/>
          <c:order val="1"/>
          <c:tx>
            <c:strRef>
              <c:f>'Figura 12'!$C$29</c:f>
              <c:strCache>
                <c:ptCount val="1"/>
                <c:pt idx="0">
                  <c:v>Ianuarie-august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'Figura 12'!$A$30:$A$42</c:f>
              <c:strCache>
                <c:ptCount val="13"/>
                <c:pt idx="0">
                  <c:v>Alte mărfuri</c:v>
                </c:pt>
                <c:pt idx="1">
                  <c:v>Petrol, produse petroliere </c:v>
                </c:pt>
                <c:pt idx="2">
                  <c:v>Gaz şi produse industriale obţinute din gaz</c:v>
                </c:pt>
                <c:pt idx="3">
                  <c:v>Vehicule rutiere</c:v>
                </c:pt>
                <c:pt idx="4">
                  <c:v>Maşini şi aparate electrice </c:v>
                </c:pt>
                <c:pt idx="5">
                  <c:v>Energie electrică</c:v>
                </c:pt>
                <c:pt idx="6">
                  <c:v>Maşini şi aparate industriale </c:v>
                </c:pt>
                <c:pt idx="7">
                  <c:v>Produse medicinale şi farmaceutice</c:v>
                </c:pt>
                <c:pt idx="8">
                  <c:v>Maşini şi aparate specializate </c:v>
                </c:pt>
                <c:pt idx="9">
                  <c:v>Legume şi fructe</c:v>
                </c:pt>
                <c:pt idx="10">
                  <c:v>Aparate şi echipamente de telecomunicaţii </c:v>
                </c:pt>
                <c:pt idx="11">
                  <c:v>Fire, tesături, articole textile </c:v>
                </c:pt>
                <c:pt idx="12">
                  <c:v>Articole prelucrate din metal</c:v>
                </c:pt>
              </c:strCache>
            </c:strRef>
          </c:cat>
          <c:val>
            <c:numRef>
              <c:f>'Figura 12'!$C$30:$C$42</c:f>
              <c:numCache>
                <c:formatCode>0.0</c:formatCode>
                <c:ptCount val="13"/>
                <c:pt idx="0">
                  <c:v>42.7</c:v>
                </c:pt>
                <c:pt idx="1">
                  <c:v>8.6</c:v>
                </c:pt>
                <c:pt idx="2">
                  <c:v>9.3000000000000007</c:v>
                </c:pt>
                <c:pt idx="3">
                  <c:v>7.7</c:v>
                </c:pt>
                <c:pt idx="4">
                  <c:v>7</c:v>
                </c:pt>
                <c:pt idx="5">
                  <c:v>4.0999999999999996</c:v>
                </c:pt>
                <c:pt idx="6">
                  <c:v>3.6</c:v>
                </c:pt>
                <c:pt idx="7">
                  <c:v>3.2</c:v>
                </c:pt>
                <c:pt idx="8">
                  <c:v>2.7</c:v>
                </c:pt>
                <c:pt idx="9">
                  <c:v>3.2</c:v>
                </c:pt>
                <c:pt idx="10">
                  <c:v>2.6</c:v>
                </c:pt>
                <c:pt idx="11">
                  <c:v>2.8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81-4057-82C8-2A9DE05FF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90317992"/>
        <c:axId val="890314392"/>
      </c:barChart>
      <c:catAx>
        <c:axId val="890317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90314392"/>
        <c:crossesAt val="0"/>
        <c:auto val="1"/>
        <c:lblAlgn val="ctr"/>
        <c:lblOffset val="100"/>
        <c:noMultiLvlLbl val="0"/>
      </c:catAx>
      <c:valAx>
        <c:axId val="890314392"/>
        <c:scaling>
          <c:orientation val="minMax"/>
          <c:max val="4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890317992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83673795280621E-2"/>
          <c:y val="0.92805714922170501"/>
          <c:w val="0.97985787812158376"/>
          <c:h val="6.10587632975048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ro-R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439292310683395E-2"/>
          <c:y val="0.11347936507936508"/>
          <c:w val="0.93642881088462071"/>
          <c:h val="0.643496428571428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'Figura 13'!$B$22</c:f>
              <c:strCache>
                <c:ptCount val="1"/>
                <c:pt idx="0">
                  <c:v>Ianuarie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13'!$B$23:$B$27</c:f>
              <c:numCache>
                <c:formatCode>0.0</c:formatCode>
                <c:ptCount val="5"/>
                <c:pt idx="0">
                  <c:v>-259.29999999999995</c:v>
                </c:pt>
                <c:pt idx="1">
                  <c:v>-371.8</c:v>
                </c:pt>
                <c:pt idx="2">
                  <c:v>-320.7</c:v>
                </c:pt>
                <c:pt idx="3">
                  <c:v>-460.29999999999995</c:v>
                </c:pt>
                <c:pt idx="4">
                  <c:v>-433.6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33-4221-BB37-7103809F1204}"/>
            </c:ext>
          </c:extLst>
        </c:ser>
        <c:ser>
          <c:idx val="2"/>
          <c:order val="1"/>
          <c:tx>
            <c:strRef>
              <c:f>'Figura 13'!$C$22</c:f>
              <c:strCache>
                <c:ptCount val="1"/>
                <c:pt idx="0">
                  <c:v>Februarie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13'!$C$23:$C$27</c:f>
              <c:numCache>
                <c:formatCode>0.0</c:formatCode>
                <c:ptCount val="5"/>
                <c:pt idx="0">
                  <c:v>-294.3</c:v>
                </c:pt>
                <c:pt idx="1">
                  <c:v>-370.90000000000003</c:v>
                </c:pt>
                <c:pt idx="2">
                  <c:v>-393.5</c:v>
                </c:pt>
                <c:pt idx="3">
                  <c:v>-576.4</c:v>
                </c:pt>
                <c:pt idx="4">
                  <c:v>-536.70000000000005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33-4221-BB37-7103809F1204}"/>
            </c:ext>
          </c:extLst>
        </c:ser>
        <c:ser>
          <c:idx val="3"/>
          <c:order val="2"/>
          <c:tx>
            <c:strRef>
              <c:f>'Figura 13'!$D$22</c:f>
              <c:strCache>
                <c:ptCount val="1"/>
                <c:pt idx="0">
                  <c:v>Martie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13'!$D$23:$D$27</c:f>
              <c:numCache>
                <c:formatCode>0.0</c:formatCode>
                <c:ptCount val="5"/>
                <c:pt idx="0">
                  <c:v>-319</c:v>
                </c:pt>
                <c:pt idx="1">
                  <c:v>-407.1</c:v>
                </c:pt>
                <c:pt idx="2">
                  <c:v>-423.00000000000006</c:v>
                </c:pt>
                <c:pt idx="3">
                  <c:v>-611.5</c:v>
                </c:pt>
                <c:pt idx="4">
                  <c:v>-634.4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33-4221-BB37-7103809F1204}"/>
            </c:ext>
          </c:extLst>
        </c:ser>
        <c:ser>
          <c:idx val="4"/>
          <c:order val="3"/>
          <c:tx>
            <c:strRef>
              <c:f>'Figura 13'!$E$22</c:f>
              <c:strCache>
                <c:ptCount val="1"/>
                <c:pt idx="0">
                  <c:v>Aprilie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13'!$E$23:$E$27</c:f>
              <c:numCache>
                <c:formatCode>0.0</c:formatCode>
                <c:ptCount val="5"/>
                <c:pt idx="0">
                  <c:v>-346.1</c:v>
                </c:pt>
                <c:pt idx="1">
                  <c:v>-340.19999999999993</c:v>
                </c:pt>
                <c:pt idx="2">
                  <c:v>-451.09999999999997</c:v>
                </c:pt>
                <c:pt idx="3">
                  <c:v>-528.1</c:v>
                </c:pt>
                <c:pt idx="4">
                  <c:v>-642.5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33-4221-BB37-7103809F1204}"/>
            </c:ext>
          </c:extLst>
        </c:ser>
        <c:ser>
          <c:idx val="5"/>
          <c:order val="4"/>
          <c:tx>
            <c:strRef>
              <c:f>'Figura 13'!$F$22</c:f>
              <c:strCache>
                <c:ptCount val="1"/>
                <c:pt idx="0">
                  <c:v>Mai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13'!$F$23:$F$27</c:f>
              <c:numCache>
                <c:formatCode>0.0</c:formatCode>
                <c:ptCount val="5"/>
                <c:pt idx="0">
                  <c:v>-336.80000000000007</c:v>
                </c:pt>
                <c:pt idx="1">
                  <c:v>-342.9</c:v>
                </c:pt>
                <c:pt idx="2">
                  <c:v>-382.80000000000007</c:v>
                </c:pt>
                <c:pt idx="3">
                  <c:v>-529.29999999999995</c:v>
                </c:pt>
                <c:pt idx="4">
                  <c:v>-548.4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733-4221-BB37-7103809F1204}"/>
            </c:ext>
          </c:extLst>
        </c:ser>
        <c:ser>
          <c:idx val="6"/>
          <c:order val="5"/>
          <c:tx>
            <c:strRef>
              <c:f>'Figura 13'!$G$22</c:f>
              <c:strCache>
                <c:ptCount val="1"/>
                <c:pt idx="0">
                  <c:v>Iunie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13'!$G$23:$G$27</c:f>
              <c:numCache>
                <c:formatCode>0.0</c:formatCode>
                <c:ptCount val="5"/>
                <c:pt idx="0">
                  <c:v>-332.59999999999997</c:v>
                </c:pt>
                <c:pt idx="1">
                  <c:v>-322.19999999999993</c:v>
                </c:pt>
                <c:pt idx="2">
                  <c:v>-375.6</c:v>
                </c:pt>
                <c:pt idx="3">
                  <c:v>-509.4</c:v>
                </c:pt>
                <c:pt idx="4">
                  <c:v>-539.6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733-4221-BB37-7103809F1204}"/>
            </c:ext>
          </c:extLst>
        </c:ser>
        <c:ser>
          <c:idx val="7"/>
          <c:order val="6"/>
          <c:tx>
            <c:strRef>
              <c:f>'Figura 13'!$H$22</c:f>
              <c:strCache>
                <c:ptCount val="1"/>
                <c:pt idx="0">
                  <c:v>Iulie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13'!$H$23:$H$27</c:f>
              <c:numCache>
                <c:formatCode>0.0</c:formatCode>
                <c:ptCount val="5"/>
                <c:pt idx="0">
                  <c:v>-415</c:v>
                </c:pt>
                <c:pt idx="1">
                  <c:v>-303.40000000000003</c:v>
                </c:pt>
                <c:pt idx="2">
                  <c:v>-464.59999999999997</c:v>
                </c:pt>
                <c:pt idx="3">
                  <c:v>-478</c:v>
                </c:pt>
                <c:pt idx="4">
                  <c:v>-537.29999999999995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33-4221-BB37-7103809F1204}"/>
            </c:ext>
          </c:extLst>
        </c:ser>
        <c:ser>
          <c:idx val="8"/>
          <c:order val="7"/>
          <c:tx>
            <c:strRef>
              <c:f>'Figura 13'!$I$22</c:f>
              <c:strCache>
                <c:ptCount val="1"/>
                <c:pt idx="0">
                  <c:v>August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13'!$I$23:$I$27</c:f>
              <c:numCache>
                <c:formatCode>0.0</c:formatCode>
                <c:ptCount val="5"/>
                <c:pt idx="0">
                  <c:v>-444.6</c:v>
                </c:pt>
                <c:pt idx="1">
                  <c:v>-345.79999999999995</c:v>
                </c:pt>
                <c:pt idx="2">
                  <c:v>-421.6</c:v>
                </c:pt>
                <c:pt idx="3">
                  <c:v>-477.9</c:v>
                </c:pt>
                <c:pt idx="4">
                  <c:v>-549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33-4221-BB37-7103809F1204}"/>
            </c:ext>
          </c:extLst>
        </c:ser>
        <c:ser>
          <c:idx val="9"/>
          <c:order val="8"/>
          <c:tx>
            <c:strRef>
              <c:f>'Figura 13'!$J$22</c:f>
              <c:strCache>
                <c:ptCount val="1"/>
                <c:pt idx="0">
                  <c:v>Septembrie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13'!$J$23:$J$27</c:f>
              <c:numCache>
                <c:formatCode>0.0</c:formatCode>
                <c:ptCount val="5"/>
                <c:pt idx="0">
                  <c:v>-531.4</c:v>
                </c:pt>
                <c:pt idx="1">
                  <c:v>-331.6</c:v>
                </c:pt>
                <c:pt idx="2">
                  <c:v>-443.7</c:v>
                </c:pt>
                <c:pt idx="3">
                  <c:v>-503.3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33-4221-BB37-7103809F1204}"/>
            </c:ext>
          </c:extLst>
        </c:ser>
        <c:ser>
          <c:idx val="10"/>
          <c:order val="9"/>
          <c:tx>
            <c:strRef>
              <c:f>'Figura 13'!$K$22</c:f>
              <c:strCache>
                <c:ptCount val="1"/>
                <c:pt idx="0">
                  <c:v>Octombrie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13'!$K$23:$K$27</c:f>
              <c:numCache>
                <c:formatCode>0.0</c:formatCode>
                <c:ptCount val="5"/>
                <c:pt idx="0">
                  <c:v>-406.6</c:v>
                </c:pt>
                <c:pt idx="1">
                  <c:v>-352.50000000000006</c:v>
                </c:pt>
                <c:pt idx="2">
                  <c:v>-422.40000000000003</c:v>
                </c:pt>
                <c:pt idx="3">
                  <c:v>-503.3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33-4221-BB37-7103809F1204}"/>
            </c:ext>
          </c:extLst>
        </c:ser>
        <c:ser>
          <c:idx val="11"/>
          <c:order val="10"/>
          <c:tx>
            <c:strRef>
              <c:f>'Figura 13'!$L$22</c:f>
              <c:strCache>
                <c:ptCount val="1"/>
                <c:pt idx="0">
                  <c:v>Noiembrie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13'!$L$23:$L$27</c:f>
              <c:numCache>
                <c:formatCode>0.0</c:formatCode>
                <c:ptCount val="5"/>
                <c:pt idx="0">
                  <c:v>-490.6</c:v>
                </c:pt>
                <c:pt idx="1">
                  <c:v>-331.1</c:v>
                </c:pt>
                <c:pt idx="2">
                  <c:v>-450.4</c:v>
                </c:pt>
                <c:pt idx="3">
                  <c:v>-504.1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33-4221-BB37-7103809F1204}"/>
            </c:ext>
          </c:extLst>
        </c:ser>
        <c:ser>
          <c:idx val="12"/>
          <c:order val="11"/>
          <c:tx>
            <c:strRef>
              <c:f>'Figura 13'!$M$22</c:f>
              <c:strCache>
                <c:ptCount val="1"/>
                <c:pt idx="0">
                  <c:v>Decembrie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'Figura 13'!$A$23:$A$27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'Figura 13'!$M$23:$M$27</c:f>
              <c:numCache>
                <c:formatCode>0.0</c:formatCode>
                <c:ptCount val="5"/>
                <c:pt idx="0">
                  <c:v>-496.9</c:v>
                </c:pt>
                <c:pt idx="1">
                  <c:v>-455.29999999999995</c:v>
                </c:pt>
                <c:pt idx="2">
                  <c:v>-549.29999999999995</c:v>
                </c:pt>
                <c:pt idx="3">
                  <c:v>-638.20000000000005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B1-46B9-BC71-3BBF0CA16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3858304"/>
        <c:axId val="133212992"/>
      </c:barChart>
      <c:catAx>
        <c:axId val="1338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33212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321299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3385830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</c:legendEntry>
      <c:layout>
        <c:manualLayout>
          <c:xMode val="edge"/>
          <c:yMode val="edge"/>
          <c:x val="0"/>
          <c:y val="0.9095502632723057"/>
          <c:w val="1"/>
          <c:h val="7.3858659458612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352146464646465E-2"/>
          <c:y val="9.0847916666666667E-2"/>
          <c:w val="0.91462992424242429"/>
          <c:h val="0.717602083333333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'Figura 14'!$B$27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9864016997875265E-2"/>
                      <c:h val="6.757670836797556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8713-450B-8629-87951D3C5A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14'!$A$28:$A$32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14'!$B$28:$B$32</c:f>
              <c:numCache>
                <c:formatCode>General</c:formatCode>
                <c:ptCount val="5"/>
                <c:pt idx="0">
                  <c:v>2756.4</c:v>
                </c:pt>
                <c:pt idx="1">
                  <c:v>2459.8000000000002</c:v>
                </c:pt>
                <c:pt idx="2">
                  <c:v>2157.3000000000002</c:v>
                </c:pt>
                <c:pt idx="3">
                  <c:v>2049.5</c:v>
                </c:pt>
                <c:pt idx="4">
                  <c:v>2239.4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2C-4A3E-9B06-2ADBC8010143}"/>
            </c:ext>
          </c:extLst>
        </c:ser>
        <c:ser>
          <c:idx val="1"/>
          <c:order val="1"/>
          <c:tx>
            <c:strRef>
              <c:f>'Figura 14'!$C$27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14'!$A$28:$A$32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14'!$C$28:$C$32</c:f>
              <c:numCache>
                <c:formatCode>General</c:formatCode>
                <c:ptCount val="5"/>
                <c:pt idx="0">
                  <c:v>5504.1</c:v>
                </c:pt>
                <c:pt idx="1">
                  <c:v>5264.1</c:v>
                </c:pt>
                <c:pt idx="2">
                  <c:v>5390.2</c:v>
                </c:pt>
                <c:pt idx="3">
                  <c:v>6220.5</c:v>
                </c:pt>
                <c:pt idx="4">
                  <c:v>6660.9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D2C-4A3E-9B06-2ADBC8010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axId val="133806080"/>
        <c:axId val="133217024"/>
      </c:barChart>
      <c:lineChart>
        <c:grouping val="standard"/>
        <c:varyColors val="0"/>
        <c:ser>
          <c:idx val="2"/>
          <c:order val="2"/>
          <c:tx>
            <c:strRef>
              <c:f>'Figura 14'!$D$27</c:f>
              <c:strCache>
                <c:ptCount val="1"/>
                <c:pt idx="0">
                  <c:v>Balanţa Comercială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70427994866987"/>
                      <c:h val="4.59881944444444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8713-450B-8629-87951D3C5A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o-R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'Figura 14'!$A$28:$A$32</c:f>
              <c:strCache>
                <c:ptCount val="5"/>
                <c:pt idx="0">
                  <c:v>Ianuarie-august 2022</c:v>
                </c:pt>
                <c:pt idx="1">
                  <c:v>Ianuarie-august 2023</c:v>
                </c:pt>
                <c:pt idx="2">
                  <c:v>Ianuarie-august 2024</c:v>
                </c:pt>
                <c:pt idx="3">
                  <c:v>Ianuarie-august 2025</c:v>
                </c:pt>
                <c:pt idx="4">
                  <c:v>Ianuarie-august 2026</c:v>
                </c:pt>
              </c:strCache>
            </c:strRef>
          </c:cat>
          <c:val>
            <c:numRef>
              <c:f>'Figura 14'!$D$28:$D$32</c:f>
              <c:numCache>
                <c:formatCode>#,##0.0</c:formatCode>
                <c:ptCount val="5"/>
                <c:pt idx="0">
                  <c:v>-2747.7000000000003</c:v>
                </c:pt>
                <c:pt idx="1">
                  <c:v>-2804.3</c:v>
                </c:pt>
                <c:pt idx="2">
                  <c:v>-3232.8999999999996</c:v>
                </c:pt>
                <c:pt idx="3">
                  <c:v>-4171</c:v>
                </c:pt>
                <c:pt idx="4">
                  <c:v>-4421.5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2C-4A3E-9B06-2ADBC8010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06080"/>
        <c:axId val="133217024"/>
      </c:lineChart>
      <c:catAx>
        <c:axId val="1338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33217024"/>
        <c:crosses val="autoZero"/>
        <c:auto val="1"/>
        <c:lblAlgn val="ctr"/>
        <c:lblOffset val="100"/>
        <c:noMultiLvlLbl val="0"/>
      </c:catAx>
      <c:valAx>
        <c:axId val="133217024"/>
        <c:scaling>
          <c:orientation val="minMax"/>
          <c:max val="8000"/>
          <c:min val="-5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o-RO"/>
          </a:p>
        </c:txPr>
        <c:crossAx val="133806080"/>
        <c:crosses val="autoZero"/>
        <c:crossBetween val="between"/>
        <c:majorUnit val="1000"/>
        <c:minorUnit val="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724427456859489E-2"/>
          <c:y val="0.93284861111111106"/>
          <c:w val="0.92503281730217912"/>
          <c:h val="6.28635416666666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o-R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ro-R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209551</xdr:colOff>
      <xdr:row>2</xdr:row>
      <xdr:rowOff>109537</xdr:rowOff>
    </xdr:from>
    <xdr:to>
      <xdr:col>13</xdr:col>
      <xdr:colOff>0</xdr:colOff>
      <xdr:row>20</xdr:row>
      <xdr:rowOff>109537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4CB5E4C-DC0B-B008-F73F-45B75CACFB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0.44828</cdr:x>
      <cdr:y>0.33333</cdr:y>
    </cdr:from>
    <cdr:to>
      <cdr:x>0.55172</cdr:x>
      <cdr:y>0.66667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9B93DB9-588B-08B6-6DEC-2E350DDAA861}"/>
            </a:ext>
          </a:extLst>
        </cdr:cNvPr>
        <cdr:cNvSpPr txBox="1"/>
      </cdr:nvSpPr>
      <cdr:spPr>
        <a:xfrm xmlns:a="http://schemas.openxmlformats.org/drawingml/2006/main">
          <a:off x="3962400" y="9144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o-RO" sz="1100" kern="1200"/>
        </a:p>
      </cdr:txBody>
    </cdr:sp>
  </cdr:relSizeAnchor>
  <cdr:relSizeAnchor xmlns:cdr="http://schemas.openxmlformats.org/drawingml/2006/chartDrawing">
    <cdr:from>
      <cdr:x>0.02586</cdr:x>
      <cdr:y>0</cdr:y>
    </cdr:from>
    <cdr:to>
      <cdr:x>0.17673</cdr:x>
      <cdr:y>0.09896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3ECAFDE-E112-38DA-3F8B-463CEB801431}"/>
            </a:ext>
          </a:extLst>
        </cdr:cNvPr>
        <cdr:cNvSpPr txBox="1"/>
      </cdr:nvSpPr>
      <cdr:spPr>
        <a:xfrm xmlns:a="http://schemas.openxmlformats.org/drawingml/2006/main">
          <a:off x="224413" y="0"/>
          <a:ext cx="1309111" cy="2714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o-RO" sz="1100" kern="1200"/>
            <a:t>milioane </a:t>
          </a:r>
          <a:r>
            <a:rPr lang="ro-RO" sz="900" kern="1200">
              <a:latin typeface="Arial" panose="020B0604020202020204" pitchFamily="34" charset="0"/>
              <a:cs typeface="Arial" panose="020B0604020202020204" pitchFamily="34" charset="0"/>
            </a:rPr>
            <a:t>EURO</a:t>
          </a:r>
        </a:p>
        <a:p xmlns:a="http://schemas.openxmlformats.org/drawingml/2006/main">
          <a:endParaRPr lang="ro-RO" sz="1100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2</xdr:row>
      <xdr:rowOff>190499</xdr:rowOff>
    </xdr:from>
    <xdr:to>
      <xdr:col>19</xdr:col>
      <xdr:colOff>352424</xdr:colOff>
      <xdr:row>15</xdr:row>
      <xdr:rowOff>176849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0.04275</cdr:x>
      <cdr:y>0.01512</cdr:y>
    </cdr:from>
    <cdr:to>
      <cdr:x>0.07103</cdr:x>
      <cdr:y>0.08235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338591" y="38101"/>
          <a:ext cx="223978" cy="1694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Raleway" panose="020B0503030101060003" pitchFamily="34" charset="0"/>
              <a:cs typeface="Arial" panose="020B0604020202020204" pitchFamily="34" charset="0"/>
            </a:rPr>
            <a:t>%</a:t>
          </a:r>
          <a:endParaRPr lang="en-US" sz="1000">
            <a:latin typeface="Raleway" panose="020B0503030101060003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60325</xdr:rowOff>
    </xdr:from>
    <xdr:to>
      <xdr:col>7</xdr:col>
      <xdr:colOff>161925</xdr:colOff>
      <xdr:row>16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</xdr:row>
      <xdr:rowOff>114300</xdr:rowOff>
    </xdr:from>
    <xdr:to>
      <xdr:col>6</xdr:col>
      <xdr:colOff>923925</xdr:colOff>
      <xdr:row>19</xdr:row>
      <xdr:rowOff>53025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0.04627</cdr:x>
      <cdr:y>0</cdr:y>
    </cdr:from>
    <cdr:to>
      <cdr:x>0.09555</cdr:x>
      <cdr:y>0.07092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14216" y="0"/>
          <a:ext cx="334677" cy="191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Raleway" panose="020B0503030101060003" pitchFamily="34" charset="0"/>
              <a:cs typeface="Arial" panose="020B0604020202020204" pitchFamily="34" charset="0"/>
            </a:rPr>
            <a:t>%</a:t>
          </a:r>
          <a:endParaRPr lang="en-US" sz="1000">
            <a:latin typeface="Raleway" panose="020B0503030101060003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76199</xdr:rowOff>
    </xdr:from>
    <xdr:to>
      <xdr:col>8</xdr:col>
      <xdr:colOff>295275</xdr:colOff>
      <xdr:row>17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14286</xdr:colOff>
      <xdr:row>3</xdr:row>
      <xdr:rowOff>4762</xdr:rowOff>
    </xdr:from>
    <xdr:to>
      <xdr:col>7</xdr:col>
      <xdr:colOff>371475</xdr:colOff>
      <xdr:row>25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BF19C5-9EE8-E939-FD6C-CDFE738E7D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2</xdr:row>
      <xdr:rowOff>133350</xdr:rowOff>
    </xdr:from>
    <xdr:to>
      <xdr:col>12</xdr:col>
      <xdr:colOff>300000</xdr:colOff>
      <xdr:row>19</xdr:row>
      <xdr:rowOff>62550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0.04255</cdr:x>
      <cdr:y>0.00369</cdr:y>
    </cdr:from>
    <cdr:to>
      <cdr:x>0.19093</cdr:x>
      <cdr:y>0.07938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6998" y="9300"/>
          <a:ext cx="1175169" cy="190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lvl="0" algn="l"/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milioane </a:t>
          </a:r>
          <a:r>
            <a:rPr lang="ro-RO" sz="900">
              <a:latin typeface="Arial" panose="020B0604020202020204" pitchFamily="34" charset="0"/>
              <a:cs typeface="Arial" panose="020B0604020202020204" pitchFamily="34" charset="0"/>
            </a:rPr>
            <a:t>EURO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2</xdr:row>
      <xdr:rowOff>47625</xdr:rowOff>
    </xdr:from>
    <xdr:to>
      <xdr:col>20</xdr:col>
      <xdr:colOff>38100</xdr:colOff>
      <xdr:row>20</xdr:row>
      <xdr:rowOff>4425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0.0609</cdr:x>
      <cdr:y>0.0086</cdr:y>
    </cdr:from>
    <cdr:to>
      <cdr:x>0.10578</cdr:x>
      <cdr:y>0.09858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5685" y="22225"/>
          <a:ext cx="409517" cy="2326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%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114295</xdr:colOff>
      <xdr:row>2</xdr:row>
      <xdr:rowOff>146049</xdr:rowOff>
    </xdr:from>
    <xdr:to>
      <xdr:col>6</xdr:col>
      <xdr:colOff>914399</xdr:colOff>
      <xdr:row>16</xdr:row>
      <xdr:rowOff>190500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2</xdr:row>
      <xdr:rowOff>85725</xdr:rowOff>
    </xdr:from>
    <xdr:to>
      <xdr:col>6</xdr:col>
      <xdr:colOff>771525</xdr:colOff>
      <xdr:row>19</xdr:row>
      <xdr:rowOff>14925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0.03751</cdr:x>
      <cdr:y>0</cdr:y>
    </cdr:from>
    <cdr:to>
      <cdr:x>0.07541</cdr:x>
      <cdr:y>0.06804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0090" y="0"/>
          <a:ext cx="272835" cy="171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Raleway" panose="020B0503030101060003" pitchFamily="34" charset="0"/>
              <a:cs typeface="Arial" panose="020B0604020202020204" pitchFamily="34" charset="0"/>
            </a:rPr>
            <a:t>%</a:t>
          </a:r>
          <a:endParaRPr lang="en-US" sz="1000">
            <a:latin typeface="Raleway" panose="020B0503030101060003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65406</xdr:colOff>
      <xdr:row>2</xdr:row>
      <xdr:rowOff>165735</xdr:rowOff>
    </xdr:from>
    <xdr:to>
      <xdr:col>8</xdr:col>
      <xdr:colOff>30480</xdr:colOff>
      <xdr:row>17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3</xdr:row>
      <xdr:rowOff>4762</xdr:rowOff>
    </xdr:from>
    <xdr:to>
      <xdr:col>6</xdr:col>
      <xdr:colOff>457200</xdr:colOff>
      <xdr:row>25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90DD17-D001-432D-AA7D-00B7F29F3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</xdr:row>
      <xdr:rowOff>104774</xdr:rowOff>
    </xdr:from>
    <xdr:to>
      <xdr:col>12</xdr:col>
      <xdr:colOff>357149</xdr:colOff>
      <xdr:row>19</xdr:row>
      <xdr:rowOff>33974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0.03771</cdr:x>
      <cdr:y>0</cdr:y>
    </cdr:from>
    <cdr:to>
      <cdr:x>0.1825</cdr:x>
      <cdr:y>0.09827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98663" y="0"/>
          <a:ext cx="1146737" cy="2476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milioane </a:t>
          </a:r>
          <a:r>
            <a:rPr lang="ro-RO" sz="900">
              <a:latin typeface="Arial" panose="020B0604020202020204" pitchFamily="34" charset="0"/>
              <a:cs typeface="Arial" panose="020B0604020202020204" pitchFamily="34" charset="0"/>
            </a:rPr>
            <a:t>EURO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69849</xdr:colOff>
      <xdr:row>3</xdr:row>
      <xdr:rowOff>114298</xdr:rowOff>
    </xdr:from>
    <xdr:to>
      <xdr:col>7</xdr:col>
      <xdr:colOff>312699</xdr:colOff>
      <xdr:row>22</xdr:row>
      <xdr:rowOff>9798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0.05401</cdr:x>
      <cdr:y>0</cdr:y>
    </cdr:from>
    <cdr:to>
      <cdr:x>0.21088</cdr:x>
      <cdr:y>0.06284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27754" y="0"/>
          <a:ext cx="1242411" cy="1809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milioane </a:t>
          </a:r>
          <a:r>
            <a:rPr lang="ro-RO" sz="900">
              <a:latin typeface="Arial" panose="020B0604020202020204" pitchFamily="34" charset="0"/>
              <a:cs typeface="Arial" panose="020B0604020202020204" pitchFamily="34" charset="0"/>
            </a:rPr>
            <a:t>EURO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18" displayName="Table18" ref="A27:D32" totalsRowShown="0" headerRowDxfId="8" dataDxfId="6" headerRowBorderDxfId="7" tableBorderDxfId="5" totalsRowBorderDxfId="4">
  <tableColumns count="4">
    <tableColumn id="1" xr3:uid="{00000000-0010-0000-0000-000001000000}" name="Perioada" dataDxfId="3"/>
    <tableColumn id="2" xr3:uid="{00000000-0010-0000-0000-000002000000}" name="Export" dataDxfId="2"/>
    <tableColumn id="4" xr3:uid="{00000000-0010-0000-0000-000004000000}" name="Import" dataDxfId="1"/>
    <tableColumn id="3" xr3:uid="{00000000-0010-0000-0000-000003000000}" name="Balanţa Comercială" dataDxfId="0" dataCellStyle="Normal 5">
      <calculatedColumnFormula>(B28-C28)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6"/>
  <sheetViews>
    <sheetView tabSelected="1" zoomScaleNormal="100" workbookViewId="0">
      <selection activeCell="A2" sqref="A2:M2"/>
    </sheetView>
  </sheetViews>
  <sheetFormatPr defaultColWidth="9.109375" defaultRowHeight="11.4" x14ac:dyDescent="0.2"/>
  <cols>
    <col min="1" max="1" width="9" style="3" customWidth="1"/>
    <col min="2" max="2" width="9.5546875" style="3" customWidth="1"/>
    <col min="3" max="4" width="9.88671875" style="3" customWidth="1"/>
    <col min="5" max="5" width="9.33203125" style="3" customWidth="1"/>
    <col min="6" max="6" width="9.88671875" style="3" customWidth="1"/>
    <col min="7" max="7" width="9.109375" style="3" customWidth="1"/>
    <col min="8" max="8" width="8.6640625" style="3" customWidth="1"/>
    <col min="9" max="9" width="9.109375" style="3" customWidth="1"/>
    <col min="10" max="10" width="11" style="3" customWidth="1"/>
    <col min="11" max="11" width="10.109375" style="3" customWidth="1"/>
    <col min="12" max="12" width="9.88671875" style="3" customWidth="1"/>
    <col min="13" max="13" width="10.44140625" style="3" customWidth="1"/>
    <col min="14" max="14" width="9.33203125" style="3" bestFit="1" customWidth="1"/>
    <col min="15" max="15" width="10.109375" style="3" bestFit="1" customWidth="1"/>
    <col min="16" max="16" width="9.33203125" style="3" bestFit="1" customWidth="1"/>
    <col min="17" max="17" width="10.109375" style="3" bestFit="1" customWidth="1"/>
    <col min="18" max="18" width="9.33203125" style="3" bestFit="1" customWidth="1"/>
    <col min="19" max="19" width="10.109375" style="3" bestFit="1" customWidth="1"/>
    <col min="20" max="20" width="9.33203125" style="3" bestFit="1" customWidth="1"/>
    <col min="21" max="21" width="10.109375" style="3" bestFit="1" customWidth="1"/>
    <col min="22" max="22" width="9.33203125" style="3" bestFit="1" customWidth="1"/>
    <col min="23" max="23" width="10.109375" style="3" bestFit="1" customWidth="1"/>
    <col min="24" max="24" width="9.33203125" style="3" bestFit="1" customWidth="1"/>
    <col min="25" max="16384" width="9.109375" style="3"/>
  </cols>
  <sheetData>
    <row r="2" spans="1:13" ht="18.75" customHeight="1" x14ac:dyDescent="0.2">
      <c r="A2" s="157" t="s">
        <v>84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3" ht="12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2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2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2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2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2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2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2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2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2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2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2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ht="12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4" ht="12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ht="12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4" ht="12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4" ht="12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4" ht="12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4" spans="1:14" ht="16.5" customHeight="1" x14ac:dyDescent="0.25">
      <c r="A24" s="16" t="s">
        <v>0</v>
      </c>
      <c r="B24" s="95" t="s">
        <v>1</v>
      </c>
      <c r="C24" s="95" t="s">
        <v>2</v>
      </c>
      <c r="D24" s="95" t="s">
        <v>3</v>
      </c>
      <c r="E24" s="95" t="s">
        <v>4</v>
      </c>
      <c r="F24" s="95" t="s">
        <v>5</v>
      </c>
      <c r="G24" s="95" t="s">
        <v>6</v>
      </c>
      <c r="H24" s="95" t="s">
        <v>7</v>
      </c>
      <c r="I24" s="95" t="s">
        <v>8</v>
      </c>
      <c r="J24" s="95" t="s">
        <v>9</v>
      </c>
      <c r="K24" s="95" t="s">
        <v>10</v>
      </c>
      <c r="L24" s="95" t="s">
        <v>11</v>
      </c>
      <c r="M24" s="104" t="s">
        <v>12</v>
      </c>
      <c r="N24" s="105"/>
    </row>
    <row r="25" spans="1:14" ht="12" x14ac:dyDescent="0.25">
      <c r="A25" s="94">
        <v>2022</v>
      </c>
      <c r="B25" s="106">
        <v>292</v>
      </c>
      <c r="C25" s="96">
        <v>296.7</v>
      </c>
      <c r="D25" s="96">
        <v>359.1</v>
      </c>
      <c r="E25" s="97">
        <v>365</v>
      </c>
      <c r="F25" s="84">
        <v>393.4</v>
      </c>
      <c r="G25" s="96">
        <v>393.3</v>
      </c>
      <c r="H25" s="84">
        <v>332</v>
      </c>
      <c r="I25" s="84">
        <v>324.89999999999998</v>
      </c>
      <c r="J25" s="84">
        <v>321.39999999999998</v>
      </c>
      <c r="K25" s="84">
        <v>358</v>
      </c>
      <c r="L25" s="84">
        <v>349.9</v>
      </c>
      <c r="M25" s="84">
        <v>328.6</v>
      </c>
      <c r="N25" s="105"/>
    </row>
    <row r="26" spans="1:14" ht="12" x14ac:dyDescent="0.25">
      <c r="A26" s="2">
        <v>2023</v>
      </c>
      <c r="B26" s="107">
        <v>307.2</v>
      </c>
      <c r="C26" s="98">
        <v>331.8</v>
      </c>
      <c r="D26" s="48">
        <v>359.9</v>
      </c>
      <c r="E26" s="48">
        <v>289.60000000000002</v>
      </c>
      <c r="F26" s="48">
        <v>309.39999999999998</v>
      </c>
      <c r="G26" s="48">
        <v>292.10000000000002</v>
      </c>
      <c r="H26" s="48">
        <v>275.2</v>
      </c>
      <c r="I26" s="48">
        <v>294.60000000000002</v>
      </c>
      <c r="J26" s="48">
        <v>325.5</v>
      </c>
      <c r="K26" s="48">
        <v>323.7</v>
      </c>
      <c r="L26" s="48">
        <v>351.4</v>
      </c>
      <c r="M26" s="48">
        <v>285.5</v>
      </c>
      <c r="N26" s="105"/>
    </row>
    <row r="27" spans="1:14" ht="12" x14ac:dyDescent="0.25">
      <c r="A27" s="2">
        <v>2024</v>
      </c>
      <c r="B27" s="108">
        <v>251.2</v>
      </c>
      <c r="C27" s="48">
        <v>303.10000000000002</v>
      </c>
      <c r="D27" s="48">
        <v>294.7</v>
      </c>
      <c r="E27" s="48">
        <v>272.7</v>
      </c>
      <c r="F27" s="48">
        <v>256.89999999999998</v>
      </c>
      <c r="G27" s="99">
        <v>267.89999999999998</v>
      </c>
      <c r="H27" s="99">
        <v>262.8</v>
      </c>
      <c r="I27" s="99">
        <v>247.9</v>
      </c>
      <c r="J27" s="100">
        <v>252.7</v>
      </c>
      <c r="K27" s="100">
        <v>303.3</v>
      </c>
      <c r="L27" s="99">
        <v>315.5</v>
      </c>
      <c r="M27" s="99">
        <v>257.10000000000002</v>
      </c>
      <c r="N27" s="105"/>
    </row>
    <row r="28" spans="1:14" ht="12" x14ac:dyDescent="0.25">
      <c r="A28" s="2">
        <v>2025</v>
      </c>
      <c r="B28" s="50">
        <v>234.6</v>
      </c>
      <c r="C28" s="101">
        <v>258.5</v>
      </c>
      <c r="D28" s="102">
        <v>277.2</v>
      </c>
      <c r="E28" s="102">
        <v>237.5</v>
      </c>
      <c r="F28" s="102">
        <v>228.3</v>
      </c>
      <c r="G28" s="41">
        <v>230.9</v>
      </c>
      <c r="H28" s="41">
        <v>296.60000000000002</v>
      </c>
      <c r="I28" s="41">
        <v>285.89999999999998</v>
      </c>
      <c r="J28" s="41">
        <v>294.10000000000002</v>
      </c>
      <c r="K28" s="48">
        <v>351.4</v>
      </c>
      <c r="L28" s="48">
        <v>342</v>
      </c>
      <c r="M28" s="103">
        <v>300.60000000000002</v>
      </c>
      <c r="N28" s="105"/>
    </row>
    <row r="29" spans="1:14" ht="12" x14ac:dyDescent="0.25">
      <c r="A29" s="29">
        <v>2026</v>
      </c>
      <c r="B29" s="93">
        <v>264.89999999999998</v>
      </c>
      <c r="C29" s="71">
        <v>285.5</v>
      </c>
      <c r="D29" s="73">
        <v>298.10000000000002</v>
      </c>
      <c r="E29" s="73">
        <v>269.60000000000002</v>
      </c>
      <c r="F29" s="71">
        <v>258.39999999999998</v>
      </c>
      <c r="G29" s="76">
        <v>274</v>
      </c>
      <c r="H29" s="76">
        <v>320.39999999999998</v>
      </c>
      <c r="I29" s="71">
        <v>268.5</v>
      </c>
      <c r="J29" s="71"/>
      <c r="K29" s="71"/>
      <c r="L29" s="71"/>
      <c r="M29" s="70"/>
    </row>
    <row r="31" spans="1:14" ht="14.4" x14ac:dyDescent="0.35">
      <c r="F31" s="61"/>
    </row>
    <row r="45" spans="3:3" ht="14.4" x14ac:dyDescent="0.35">
      <c r="C45" s="61"/>
    </row>
    <row r="46" spans="3:3" ht="14.4" x14ac:dyDescent="0.35">
      <c r="C46" s="61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6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S24"/>
  <sheetViews>
    <sheetView workbookViewId="0">
      <selection activeCell="A2" sqref="A2:T2"/>
    </sheetView>
  </sheetViews>
  <sheetFormatPr defaultColWidth="9.109375" defaultRowHeight="11.4" x14ac:dyDescent="0.2"/>
  <cols>
    <col min="1" max="1" width="17.88671875" style="3" customWidth="1"/>
    <col min="2" max="4" width="6" style="3" customWidth="1"/>
    <col min="5" max="5" width="5.88671875" style="3" customWidth="1"/>
    <col min="6" max="6" width="6.44140625" style="3" customWidth="1"/>
    <col min="7" max="7" width="5.88671875" style="3" customWidth="1"/>
    <col min="8" max="8" width="6.44140625" style="3" customWidth="1"/>
    <col min="9" max="9" width="6" style="3" customWidth="1"/>
    <col min="10" max="10" width="5.88671875" style="3" customWidth="1"/>
    <col min="11" max="11" width="6.88671875" style="3" customWidth="1"/>
    <col min="12" max="12" width="6.109375" style="3" customWidth="1"/>
    <col min="13" max="13" width="7.44140625" style="3" customWidth="1"/>
    <col min="14" max="21" width="5.6640625" style="3" customWidth="1"/>
    <col min="22" max="23" width="6.109375" style="3" customWidth="1"/>
    <col min="24" max="24" width="6.33203125" style="3" customWidth="1"/>
    <col min="25" max="25" width="6.109375" style="3" customWidth="1"/>
    <col min="26" max="27" width="5.88671875" style="3" customWidth="1"/>
    <col min="28" max="28" width="5.44140625" style="3" customWidth="1"/>
    <col min="29" max="29" width="5.6640625" style="3" customWidth="1"/>
    <col min="30" max="30" width="5.5546875" style="3" customWidth="1"/>
    <col min="31" max="31" width="6" style="3" customWidth="1"/>
    <col min="32" max="32" width="6.33203125" style="3" customWidth="1"/>
    <col min="33" max="33" width="5.5546875" style="3" customWidth="1"/>
    <col min="34" max="34" width="5.33203125" style="3" customWidth="1"/>
    <col min="35" max="35" width="5.109375" style="3" customWidth="1"/>
    <col min="36" max="36" width="5.44140625" style="3" customWidth="1"/>
    <col min="37" max="37" width="5.33203125" style="3" customWidth="1"/>
    <col min="38" max="41" width="5.6640625" style="3" customWidth="1"/>
    <col min="42" max="43" width="6.109375" style="3" customWidth="1"/>
    <col min="44" max="44" width="6.44140625" style="3" customWidth="1"/>
    <col min="45" max="45" width="6.6640625" style="3" customWidth="1"/>
    <col min="46" max="16384" width="9.109375" style="3"/>
  </cols>
  <sheetData>
    <row r="2" spans="1:21" ht="15.75" customHeight="1" x14ac:dyDescent="0.2">
      <c r="A2" s="160" t="s">
        <v>82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69"/>
    </row>
    <row r="3" spans="1:21" ht="15.75" customHeight="1" x14ac:dyDescent="0.2">
      <c r="A3" s="37"/>
      <c r="B3" s="37"/>
    </row>
    <row r="4" spans="1:21" ht="14.25" customHeight="1" x14ac:dyDescent="0.25">
      <c r="A4" s="4"/>
    </row>
    <row r="5" spans="1:21" ht="14.25" customHeight="1" x14ac:dyDescent="0.25">
      <c r="A5" s="4"/>
    </row>
    <row r="6" spans="1:21" ht="15" customHeight="1" x14ac:dyDescent="0.25">
      <c r="A6" s="4"/>
    </row>
    <row r="7" spans="1:21" ht="16.5" customHeight="1" x14ac:dyDescent="0.25">
      <c r="A7" s="4"/>
    </row>
    <row r="8" spans="1:21" ht="15" customHeight="1" x14ac:dyDescent="0.25">
      <c r="A8" s="4"/>
    </row>
    <row r="9" spans="1:21" ht="14.25" customHeight="1" x14ac:dyDescent="0.25">
      <c r="A9" s="4"/>
    </row>
    <row r="10" spans="1:21" ht="13.5" customHeight="1" x14ac:dyDescent="0.25">
      <c r="A10" s="4"/>
    </row>
    <row r="11" spans="1:21" ht="17.25" customHeight="1" x14ac:dyDescent="0.25">
      <c r="A11" s="4"/>
    </row>
    <row r="12" spans="1:21" ht="17.25" customHeight="1" x14ac:dyDescent="0.25">
      <c r="A12" s="4"/>
    </row>
    <row r="13" spans="1:21" ht="16.5" customHeight="1" x14ac:dyDescent="0.25">
      <c r="A13" s="4"/>
    </row>
    <row r="14" spans="1:21" ht="15" customHeight="1" x14ac:dyDescent="0.25">
      <c r="A14" s="4"/>
    </row>
    <row r="15" spans="1:21" ht="15" customHeight="1" x14ac:dyDescent="0.25">
      <c r="A15" s="4"/>
    </row>
    <row r="16" spans="1:21" ht="15.75" customHeight="1" x14ac:dyDescent="0.25">
      <c r="A16" s="4"/>
    </row>
    <row r="17" spans="1:45" ht="22.5" customHeight="1" x14ac:dyDescent="0.25">
      <c r="A17" s="4"/>
    </row>
    <row r="18" spans="1:45" ht="12" x14ac:dyDescent="0.25">
      <c r="A18" s="5"/>
    </row>
    <row r="19" spans="1:45" ht="19.5" customHeight="1" x14ac:dyDescent="0.25">
      <c r="A19" s="5"/>
    </row>
    <row r="20" spans="1:45" ht="15" customHeight="1" x14ac:dyDescent="0.25">
      <c r="A20" s="162"/>
      <c r="B20" s="164">
        <v>2023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6"/>
      <c r="N20" s="167">
        <v>2024</v>
      </c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8"/>
      <c r="Z20" s="161">
        <v>2025</v>
      </c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58">
        <v>2026</v>
      </c>
      <c r="AM20" s="159"/>
      <c r="AN20" s="159"/>
      <c r="AO20" s="159"/>
      <c r="AP20" s="159"/>
      <c r="AQ20" s="159"/>
      <c r="AR20" s="159"/>
      <c r="AS20" s="159"/>
    </row>
    <row r="21" spans="1:45" ht="12" x14ac:dyDescent="0.25">
      <c r="A21" s="163"/>
      <c r="B21" s="42" t="s">
        <v>13</v>
      </c>
      <c r="C21" s="42" t="s">
        <v>14</v>
      </c>
      <c r="D21" s="43" t="s">
        <v>15</v>
      </c>
      <c r="E21" s="40" t="s">
        <v>16</v>
      </c>
      <c r="F21" s="35" t="s">
        <v>17</v>
      </c>
      <c r="G21" s="35" t="s">
        <v>22</v>
      </c>
      <c r="H21" s="35" t="s">
        <v>18</v>
      </c>
      <c r="I21" s="35" t="s">
        <v>23</v>
      </c>
      <c r="J21" s="35" t="s">
        <v>19</v>
      </c>
      <c r="K21" s="35" t="s">
        <v>24</v>
      </c>
      <c r="L21" s="35" t="s">
        <v>20</v>
      </c>
      <c r="M21" s="35" t="s">
        <v>21</v>
      </c>
      <c r="N21" s="35" t="s">
        <v>13</v>
      </c>
      <c r="O21" s="35" t="s">
        <v>14</v>
      </c>
      <c r="P21" s="40" t="s">
        <v>15</v>
      </c>
      <c r="Q21" s="35" t="s">
        <v>16</v>
      </c>
      <c r="R21" s="49" t="s">
        <v>17</v>
      </c>
      <c r="S21" s="42" t="s">
        <v>22</v>
      </c>
      <c r="T21" s="42" t="s">
        <v>18</v>
      </c>
      <c r="U21" s="42" t="s">
        <v>23</v>
      </c>
      <c r="V21" s="2" t="s">
        <v>19</v>
      </c>
      <c r="W21" s="42" t="s">
        <v>24</v>
      </c>
      <c r="X21" s="42" t="s">
        <v>20</v>
      </c>
      <c r="Y21" s="42" t="s">
        <v>21</v>
      </c>
      <c r="Z21" s="49" t="s">
        <v>13</v>
      </c>
      <c r="AA21" s="35" t="s">
        <v>14</v>
      </c>
      <c r="AB21" s="42" t="s">
        <v>15</v>
      </c>
      <c r="AC21" s="42" t="s">
        <v>16</v>
      </c>
      <c r="AD21" s="42" t="s">
        <v>17</v>
      </c>
      <c r="AE21" s="42" t="s">
        <v>22</v>
      </c>
      <c r="AF21" s="42" t="s">
        <v>18</v>
      </c>
      <c r="AG21" s="42" t="s">
        <v>23</v>
      </c>
      <c r="AH21" s="42" t="s">
        <v>19</v>
      </c>
      <c r="AI21" s="2" t="s">
        <v>24</v>
      </c>
      <c r="AJ21" s="110" t="s">
        <v>20</v>
      </c>
      <c r="AK21" s="94" t="s">
        <v>21</v>
      </c>
      <c r="AL21" s="35" t="s">
        <v>13</v>
      </c>
      <c r="AM21" s="35" t="s">
        <v>14</v>
      </c>
      <c r="AN21" s="40" t="s">
        <v>15</v>
      </c>
      <c r="AO21" s="40" t="s">
        <v>16</v>
      </c>
      <c r="AP21" s="125" t="s">
        <v>17</v>
      </c>
      <c r="AQ21" s="29" t="s">
        <v>22</v>
      </c>
      <c r="AR21" s="124" t="s">
        <v>18</v>
      </c>
      <c r="AS21" s="137" t="s">
        <v>23</v>
      </c>
    </row>
    <row r="22" spans="1:45" ht="28.5" customHeight="1" x14ac:dyDescent="0.25">
      <c r="A22" s="9" t="s">
        <v>50</v>
      </c>
      <c r="B22" s="59">
        <v>93.47849763886515</v>
      </c>
      <c r="C22" s="56">
        <v>108.01611055143441</v>
      </c>
      <c r="D22" s="56">
        <v>108.4587863956742</v>
      </c>
      <c r="E22" s="56">
        <v>80.457293442762975</v>
      </c>
      <c r="F22" s="10">
        <v>106.85948623290066</v>
      </c>
      <c r="G22" s="56">
        <v>94.384285554123707</v>
      </c>
      <c r="H22" s="56">
        <v>94.216665758273606</v>
      </c>
      <c r="I22" s="56">
        <v>107.06413069379434</v>
      </c>
      <c r="J22" s="56">
        <v>110.48691933954528</v>
      </c>
      <c r="K22" s="56">
        <v>99.433916068106143</v>
      </c>
      <c r="L22" s="56">
        <v>108.56530066043015</v>
      </c>
      <c r="M22" s="58">
        <v>81.252858385105242</v>
      </c>
      <c r="N22" s="59">
        <v>87.983162596094587</v>
      </c>
      <c r="O22" s="56">
        <v>120.6490079453</v>
      </c>
      <c r="P22" s="111">
        <v>97.238493065677275</v>
      </c>
      <c r="Q22" s="56">
        <v>92.526413396039445</v>
      </c>
      <c r="R22" s="10">
        <v>94.228760305417651</v>
      </c>
      <c r="S22" s="56">
        <v>104.28125631524472</v>
      </c>
      <c r="T22" s="56">
        <v>98.099138716057595</v>
      </c>
      <c r="U22" s="56">
        <v>94.322327448772825</v>
      </c>
      <c r="V22" s="56">
        <v>101.92209582179825</v>
      </c>
      <c r="W22" s="56">
        <v>120.02394685175284</v>
      </c>
      <c r="X22" s="56">
        <v>104.03329974630738</v>
      </c>
      <c r="Y22" s="56">
        <v>81.491697256027962</v>
      </c>
      <c r="Z22" s="59">
        <v>91.254710925043909</v>
      </c>
      <c r="AA22" s="56">
        <v>110.15326527214661</v>
      </c>
      <c r="AB22" s="56">
        <v>107.23290308320111</v>
      </c>
      <c r="AC22" s="56">
        <v>85.704049968463167</v>
      </c>
      <c r="AD22" s="56">
        <v>96.130246073840482</v>
      </c>
      <c r="AE22" s="56">
        <v>101.13605512633966</v>
      </c>
      <c r="AF22" s="56">
        <v>128.44333985483746</v>
      </c>
      <c r="AG22" s="56">
        <v>96.372564805458666</v>
      </c>
      <c r="AH22" s="56">
        <v>102.8860905339767</v>
      </c>
      <c r="AI22" s="56">
        <v>119.47139061746412</v>
      </c>
      <c r="AJ22" s="56">
        <v>97.319422421996421</v>
      </c>
      <c r="AK22" s="58">
        <v>87.903816220352283</v>
      </c>
      <c r="AL22" s="56">
        <v>88.066633117569268</v>
      </c>
      <c r="AM22" s="56">
        <v>107.78454465056736</v>
      </c>
      <c r="AN22" s="56">
        <v>104.39228912262971</v>
      </c>
      <c r="AO22" s="56">
        <v>90.447566592654354</v>
      </c>
      <c r="AP22" s="56">
        <v>95.848781284922893</v>
      </c>
      <c r="AQ22" s="56">
        <v>106.04495033535808</v>
      </c>
      <c r="AR22" s="56">
        <v>116.93463025315216</v>
      </c>
      <c r="AS22" s="56">
        <v>83.806838911956248</v>
      </c>
    </row>
    <row r="23" spans="1:45" ht="40.5" customHeight="1" x14ac:dyDescent="0.25">
      <c r="A23" s="14" t="s">
        <v>51</v>
      </c>
      <c r="B23" s="57">
        <f>IF(291966.92712="","-",307215.14283/291966.92712*100)</f>
        <v>105.22258320845117</v>
      </c>
      <c r="C23" s="57">
        <f>IF(296695.00418="","-",331841.84831/296695.00418*100)</f>
        <v>111.84611929248291</v>
      </c>
      <c r="D23" s="57">
        <f>IF(359093.57212="","-",359911.64143/359093.57212*100)</f>
        <v>100.22781508038985</v>
      </c>
      <c r="E23" s="57">
        <f>IF(365031.40154="","-",289575.16548/365031.40154*100)</f>
        <v>79.328836987266286</v>
      </c>
      <c r="F23" s="57">
        <f>IF(393385.08158="","-",309438.53409/393385.08158*100)</f>
        <v>78.660464918284305</v>
      </c>
      <c r="G23" s="57">
        <f>IF(393353.87473="","-",292061.34963/393353.87473*100)</f>
        <v>74.249007927142543</v>
      </c>
      <c r="H23" s="57">
        <f>IF(332012.97934="","-",275170.46559/332012.97934*100)</f>
        <v>82.879430237035976</v>
      </c>
      <c r="I23" s="57">
        <f>IF(324860.84796="","-",294608.86691/324860.84796*100)</f>
        <v>90.687710987651883</v>
      </c>
      <c r="J23" s="57">
        <f>IF(321404.78123="","-",325504.26115/321404.78123*100)</f>
        <v>101.27548815680696</v>
      </c>
      <c r="K23" s="57">
        <f>IF(357969.84085="","-",323661.63383/357969.84085*100)</f>
        <v>90.415894551749091</v>
      </c>
      <c r="L23" s="57">
        <f>IF(349926.88874="","-",351384.22589/349926.88874*100)</f>
        <v>100.41646903878907</v>
      </c>
      <c r="M23" s="72">
        <f>IF(328647.92502="","-",285509.72745/328647.92502*100)</f>
        <v>86.874039272460095</v>
      </c>
      <c r="N23" s="83">
        <f>IF(307215.14283="","-",251200.48773/307215.14283*100)</f>
        <v>81.76696155534357</v>
      </c>
      <c r="O23" s="57">
        <f>IF(331841.84831="","-",303070.8964/331841.84831*100)</f>
        <v>91.329920546029896</v>
      </c>
      <c r="P23" s="57">
        <f>IF(359911.64143="","-",294701.57258/359911.64143*100)</f>
        <v>81.881645008506098</v>
      </c>
      <c r="Q23" s="57">
        <f>IF(289575.16548="","-",272676.79533/289575.16548*100)</f>
        <v>94.164427007409529</v>
      </c>
      <c r="R23" s="57">
        <f>IF(309438.53409="","-",256939.96388/309438.53409*100)</f>
        <v>83.034249317271261</v>
      </c>
      <c r="S23" s="57">
        <f>IF(292061.34963="","-",267940.22231/292061.34963*100)</f>
        <v>91.741075171172753</v>
      </c>
      <c r="T23" s="57">
        <f>IF(275170.46559="","-",262847.05036/275170.46559*100)</f>
        <v>95.521534186607909</v>
      </c>
      <c r="U23" s="57">
        <f>IF(294608.86691="","-",247923.45553/294608.86691*100)</f>
        <v>84.153426246243328</v>
      </c>
      <c r="V23" s="57">
        <f>IF(325504.26115="","-",252688.78191/325504.26115*100)</f>
        <v>77.629945923674128</v>
      </c>
      <c r="W23" s="57">
        <f>IF(323661.63383="","-",303287.0493/323661.63383*100)</f>
        <v>93.704973836750284</v>
      </c>
      <c r="X23" s="57">
        <f>IF(351384.22589="","-",315519.52509/351384.22589*100)</f>
        <v>89.793309386851263</v>
      </c>
      <c r="Y23" s="57">
        <f>IF(285509.72745="","-",257122.21617/285509.72745*100)</f>
        <v>90.057252502904177</v>
      </c>
      <c r="Z23" s="83">
        <f>IF(251200.48773="","-",234636.13509/251200.48773*100)</f>
        <v>93.405923376309687</v>
      </c>
      <c r="AA23" s="57">
        <f>IF(303070.8964="","-",258459.36431/303070.8964*100)</f>
        <v>85.280166251555642</v>
      </c>
      <c r="AB23" s="57">
        <f>IF(294701.57258="","-",277153.47964/294701.57258*100)</f>
        <v>94.045470206903502</v>
      </c>
      <c r="AC23" s="57">
        <f>IF(272676.79533="","-",237531.75668/272676.79533*100)</f>
        <v>87.111100301928275</v>
      </c>
      <c r="AD23" s="57">
        <f>IF(256939.96388="","-",228339.8622/256939.96388*100)</f>
        <v>88.868955514698655</v>
      </c>
      <c r="AE23" s="57">
        <f>IF(267940.22231="","-",230933.92891/267940.22231*100)</f>
        <v>86.188600919654135</v>
      </c>
      <c r="AF23" s="57">
        <f>IF(262847.05036="","-",296619.25115/262847.05036*100)</f>
        <v>112.84861319301282</v>
      </c>
      <c r="AG23" s="57">
        <f>IF(247923.45553="","-",285859.58004/247923.45553*100)</f>
        <v>115.30154717668877</v>
      </c>
      <c r="AH23" s="57">
        <f>IF(252688.78191="","-",294109.74632/252688.78191*100)</f>
        <v>116.39208677841222</v>
      </c>
      <c r="AI23" s="57">
        <f>IF(303287.0493="","-",351377.00387/303287.0493*100)</f>
        <v>115.85625059856454</v>
      </c>
      <c r="AJ23" s="57">
        <f>IF(315519.52509="","-",341958.07069/315519.52509*100)</f>
        <v>108.37936910321433</v>
      </c>
      <c r="AK23" s="72">
        <f>IF(257122.21617="","-",300594.19401/257122.21617*100)</f>
        <v>116.90712630263651</v>
      </c>
      <c r="AL23" s="57">
        <f>IF(234636.13509="","-",264900.41185/234636.13509*100)</f>
        <v>112.8983870060728</v>
      </c>
      <c r="AM23" s="57">
        <f>IF(258459.36431="","-",285521.70269/258459.36431*100)</f>
        <v>110.47063566539651</v>
      </c>
      <c r="AN23" s="57">
        <f>IF(277153.47964="","-",298062.64138/277153.47964*100)</f>
        <v>107.54425373520813</v>
      </c>
      <c r="AO23" s="57">
        <f>IF(237531.75668="","-",269590.40605/237531.75668*100)</f>
        <v>113.49657402365321</v>
      </c>
      <c r="AP23" s="57">
        <f>IF(228339.8622="","-",258399.11866/228339.8622*100)</f>
        <v>113.16426145237466</v>
      </c>
      <c r="AQ23" s="57">
        <f>IF(230933.92891="","-",274019.21705/230933.92891*100)</f>
        <v>118.6569761937369</v>
      </c>
      <c r="AR23" s="57">
        <f>IF(296619.25115="","-",320423.35828/296619.25115*100)</f>
        <v>108.02513897453076</v>
      </c>
      <c r="AS23" s="57">
        <f>IF(285859.58004="","-",268536.68771/285859.58004*100)</f>
        <v>93.940069341885973</v>
      </c>
    </row>
    <row r="24" spans="1:45" ht="13.2" x14ac:dyDescent="0.25">
      <c r="AL24" s="82"/>
      <c r="AM24" s="82"/>
    </row>
  </sheetData>
  <mergeCells count="6">
    <mergeCell ref="AL20:AS20"/>
    <mergeCell ref="A2:T2"/>
    <mergeCell ref="Z20:AK20"/>
    <mergeCell ref="A20:A21"/>
    <mergeCell ref="B20:M20"/>
    <mergeCell ref="N20:Y20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32" sqref="D32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38"/>
  <sheetViews>
    <sheetView workbookViewId="0">
      <selection activeCell="A2" sqref="A2:G2"/>
    </sheetView>
  </sheetViews>
  <sheetFormatPr defaultColWidth="9.109375" defaultRowHeight="11.4" x14ac:dyDescent="0.2"/>
  <cols>
    <col min="1" max="1" width="25.88671875" style="3" customWidth="1"/>
    <col min="2" max="6" width="12.44140625" style="3" customWidth="1"/>
    <col min="7" max="7" width="13.5546875" style="3" customWidth="1"/>
    <col min="8" max="8" width="14.88671875" style="3" customWidth="1"/>
    <col min="9" max="16384" width="9.109375" style="3"/>
  </cols>
  <sheetData>
    <row r="2" spans="1:13" ht="14.4" x14ac:dyDescent="0.2">
      <c r="A2" s="169" t="s">
        <v>95</v>
      </c>
      <c r="B2" s="170"/>
      <c r="C2" s="170"/>
      <c r="D2" s="170"/>
      <c r="E2" s="170"/>
      <c r="F2" s="170"/>
      <c r="G2" s="170"/>
      <c r="H2" s="66"/>
      <c r="I2" s="66"/>
      <c r="J2" s="66"/>
      <c r="K2" s="66"/>
      <c r="L2" s="66"/>
      <c r="M2" s="66"/>
    </row>
    <row r="3" spans="1:13" ht="9" customHeight="1" x14ac:dyDescent="0.2">
      <c r="A3" s="38"/>
      <c r="B3" s="38"/>
      <c r="C3" s="38"/>
      <c r="D3" s="38"/>
      <c r="E3" s="38"/>
      <c r="F3" s="38"/>
      <c r="G3" s="38"/>
    </row>
    <row r="4" spans="1:13" ht="17.25" customHeight="1" x14ac:dyDescent="0.2">
      <c r="A4" s="38"/>
      <c r="B4" s="38"/>
      <c r="C4" s="38"/>
      <c r="D4" s="38"/>
      <c r="E4" s="38"/>
      <c r="F4" s="38"/>
      <c r="G4" s="38"/>
    </row>
    <row r="5" spans="1:13" ht="17.25" customHeight="1" x14ac:dyDescent="0.25">
      <c r="A5" s="4"/>
      <c r="B5" s="4"/>
      <c r="C5" s="4"/>
      <c r="D5" s="4"/>
      <c r="E5" s="4"/>
      <c r="F5" s="4"/>
      <c r="G5" s="4"/>
    </row>
    <row r="6" spans="1:13" ht="17.25" customHeight="1" x14ac:dyDescent="0.25">
      <c r="A6" s="4"/>
      <c r="B6" s="4"/>
      <c r="C6" s="4"/>
      <c r="D6" s="4"/>
      <c r="E6" s="4"/>
      <c r="F6" s="4"/>
      <c r="G6" s="4"/>
    </row>
    <row r="7" spans="1:13" ht="17.100000000000001" customHeight="1" x14ac:dyDescent="0.25">
      <c r="A7" s="4"/>
      <c r="B7" s="4"/>
      <c r="C7" s="4"/>
      <c r="D7" s="4"/>
      <c r="E7" s="4"/>
      <c r="F7" s="4"/>
      <c r="G7" s="4"/>
    </row>
    <row r="8" spans="1:13" ht="17.25" customHeight="1" x14ac:dyDescent="0.25">
      <c r="A8" s="4"/>
      <c r="B8" s="4"/>
      <c r="C8" s="4"/>
      <c r="D8" s="4"/>
      <c r="E8" s="4"/>
      <c r="F8" s="4"/>
      <c r="G8" s="4"/>
    </row>
    <row r="9" spans="1:13" ht="17.25" customHeight="1" x14ac:dyDescent="0.25">
      <c r="A9" s="4"/>
      <c r="B9" s="4"/>
      <c r="C9" s="4"/>
      <c r="D9" s="4"/>
      <c r="E9" s="4"/>
      <c r="F9" s="4"/>
      <c r="G9" s="4"/>
    </row>
    <row r="10" spans="1:13" ht="17.25" customHeight="1" x14ac:dyDescent="0.25">
      <c r="A10" s="4"/>
      <c r="B10" s="4"/>
      <c r="C10" s="4"/>
      <c r="D10" s="4"/>
      <c r="E10" s="4"/>
      <c r="F10" s="4"/>
      <c r="G10" s="4"/>
    </row>
    <row r="11" spans="1:13" ht="17.25" customHeight="1" x14ac:dyDescent="0.25">
      <c r="A11" s="4"/>
      <c r="B11" s="4"/>
      <c r="C11" s="4"/>
      <c r="D11" s="4"/>
      <c r="E11" s="4"/>
      <c r="F11" s="4"/>
      <c r="G11" s="4"/>
    </row>
    <row r="12" spans="1:13" ht="17.25" customHeight="1" x14ac:dyDescent="0.25">
      <c r="A12" s="4"/>
      <c r="B12" s="4"/>
      <c r="C12" s="4"/>
      <c r="D12" s="4"/>
      <c r="E12" s="4"/>
      <c r="F12" s="4"/>
      <c r="G12" s="4"/>
    </row>
    <row r="13" spans="1:13" ht="17.25" customHeight="1" x14ac:dyDescent="0.25">
      <c r="A13" s="4"/>
      <c r="B13" s="4"/>
      <c r="C13" s="4"/>
      <c r="D13" s="4"/>
      <c r="E13" s="4"/>
      <c r="F13" s="4"/>
      <c r="G13" s="4"/>
    </row>
    <row r="14" spans="1:13" ht="17.25" customHeight="1" x14ac:dyDescent="0.25">
      <c r="A14" s="4"/>
      <c r="B14" s="4"/>
      <c r="C14" s="4"/>
      <c r="D14" s="4"/>
      <c r="E14" s="4"/>
      <c r="F14" s="4"/>
      <c r="G14" s="4"/>
    </row>
    <row r="15" spans="1:13" ht="17.25" customHeight="1" x14ac:dyDescent="0.25">
      <c r="A15" s="4"/>
      <c r="B15" s="4"/>
      <c r="C15" s="4"/>
      <c r="D15" s="4"/>
      <c r="E15" s="4"/>
      <c r="F15" s="4"/>
      <c r="G15" s="4"/>
    </row>
    <row r="16" spans="1:13" ht="17.25" customHeight="1" x14ac:dyDescent="0.25">
      <c r="A16" s="4"/>
      <c r="B16" s="4"/>
      <c r="C16" s="4"/>
      <c r="D16" s="4"/>
      <c r="E16" s="4"/>
      <c r="F16" s="4"/>
      <c r="G16" s="4"/>
    </row>
    <row r="17" spans="1:7" ht="17.25" customHeight="1" x14ac:dyDescent="0.25">
      <c r="A17" s="4"/>
      <c r="B17" s="4"/>
      <c r="C17" s="4"/>
      <c r="D17" s="4"/>
      <c r="E17" s="4"/>
      <c r="F17" s="4"/>
      <c r="G17" s="4"/>
    </row>
    <row r="18" spans="1:7" ht="17.25" customHeight="1" x14ac:dyDescent="0.25">
      <c r="A18" s="4"/>
      <c r="B18" s="4"/>
      <c r="C18" s="4"/>
      <c r="D18" s="4"/>
      <c r="E18" s="4"/>
      <c r="F18" s="4"/>
      <c r="G18" s="4"/>
    </row>
    <row r="19" spans="1:7" ht="34.5" customHeight="1" x14ac:dyDescent="0.2">
      <c r="A19" s="118" t="s">
        <v>25</v>
      </c>
      <c r="B19" s="123" t="s">
        <v>90</v>
      </c>
      <c r="C19" s="17" t="s">
        <v>91</v>
      </c>
      <c r="D19" s="17" t="s">
        <v>92</v>
      </c>
      <c r="E19" s="17" t="s">
        <v>93</v>
      </c>
      <c r="F19" s="17" t="s">
        <v>94</v>
      </c>
      <c r="G19" s="54"/>
    </row>
    <row r="20" spans="1:7" ht="12" x14ac:dyDescent="0.2">
      <c r="A20" s="120" t="s">
        <v>26</v>
      </c>
      <c r="B20" s="85">
        <v>18.3</v>
      </c>
      <c r="C20" s="86">
        <v>14.8</v>
      </c>
      <c r="D20" s="86">
        <v>13.9</v>
      </c>
      <c r="E20" s="86">
        <v>13.2</v>
      </c>
      <c r="F20" s="87">
        <v>15.4</v>
      </c>
      <c r="G20" s="50"/>
    </row>
    <row r="21" spans="1:7" ht="12" x14ac:dyDescent="0.2">
      <c r="A21" s="121" t="s">
        <v>27</v>
      </c>
      <c r="B21" s="50">
        <v>2.7</v>
      </c>
      <c r="C21" s="144">
        <v>2.7</v>
      </c>
      <c r="D21" s="144">
        <v>1.5</v>
      </c>
      <c r="E21" s="144">
        <v>3.1</v>
      </c>
      <c r="F21" s="88">
        <v>8.9</v>
      </c>
      <c r="G21" s="50"/>
    </row>
    <row r="22" spans="1:7" ht="12" x14ac:dyDescent="0.2">
      <c r="A22" s="121" t="s">
        <v>28</v>
      </c>
      <c r="B22" s="50">
        <v>77.2</v>
      </c>
      <c r="C22" s="144">
        <v>80</v>
      </c>
      <c r="D22" s="144">
        <v>81.5</v>
      </c>
      <c r="E22" s="144">
        <v>81.599999999999994</v>
      </c>
      <c r="F22" s="88">
        <v>74.599999999999994</v>
      </c>
      <c r="G22" s="50"/>
    </row>
    <row r="23" spans="1:7" ht="12" x14ac:dyDescent="0.2">
      <c r="A23" s="121" t="s">
        <v>29</v>
      </c>
      <c r="B23" s="50">
        <v>0.9</v>
      </c>
      <c r="C23" s="144">
        <v>0.9</v>
      </c>
      <c r="D23" s="144">
        <v>1.3</v>
      </c>
      <c r="E23" s="144">
        <v>1.1000000000000001</v>
      </c>
      <c r="F23" s="88">
        <v>0.8</v>
      </c>
      <c r="G23" s="50"/>
    </row>
    <row r="24" spans="1:7" ht="12" x14ac:dyDescent="0.2">
      <c r="A24" s="121" t="s">
        <v>74</v>
      </c>
      <c r="B24" s="50">
        <v>0</v>
      </c>
      <c r="C24" s="144">
        <v>0</v>
      </c>
      <c r="D24" s="144">
        <v>0.1</v>
      </c>
      <c r="E24" s="144">
        <v>0</v>
      </c>
      <c r="F24" s="88">
        <v>0</v>
      </c>
      <c r="G24" s="105"/>
    </row>
    <row r="25" spans="1:7" ht="12" x14ac:dyDescent="0.2">
      <c r="A25" s="121" t="s">
        <v>75</v>
      </c>
      <c r="B25" s="50">
        <v>0.9</v>
      </c>
      <c r="C25" s="144">
        <v>1.5</v>
      </c>
      <c r="D25" s="144">
        <v>1.7</v>
      </c>
      <c r="E25" s="144">
        <v>1</v>
      </c>
      <c r="F25" s="88">
        <v>0.3</v>
      </c>
      <c r="G25" s="105"/>
    </row>
    <row r="26" spans="1:7" ht="12" x14ac:dyDescent="0.2">
      <c r="A26" s="122" t="s">
        <v>42</v>
      </c>
      <c r="B26" s="89">
        <v>0</v>
      </c>
      <c r="C26" s="90">
        <v>0.1</v>
      </c>
      <c r="D26" s="90">
        <v>0</v>
      </c>
      <c r="E26" s="90">
        <v>0</v>
      </c>
      <c r="F26" s="91">
        <v>0</v>
      </c>
      <c r="G26" s="105"/>
    </row>
    <row r="37" spans="3:3" ht="14.4" x14ac:dyDescent="0.35">
      <c r="C37" s="61"/>
    </row>
    <row r="38" spans="3:3" ht="14.4" x14ac:dyDescent="0.35">
      <c r="C38" s="6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M50"/>
  <sheetViews>
    <sheetView zoomScaleNormal="100" workbookViewId="0">
      <selection activeCell="A2" sqref="A2:G2"/>
    </sheetView>
  </sheetViews>
  <sheetFormatPr defaultColWidth="9.109375" defaultRowHeight="11.4" x14ac:dyDescent="0.2"/>
  <cols>
    <col min="1" max="1" width="24.88671875" style="3" customWidth="1"/>
    <col min="2" max="6" width="12.6640625" style="3" customWidth="1"/>
    <col min="7" max="7" width="14.33203125" style="3" customWidth="1"/>
    <col min="8" max="16384" width="9.109375" style="3"/>
  </cols>
  <sheetData>
    <row r="2" spans="1:13" ht="14.4" x14ac:dyDescent="0.2">
      <c r="A2" s="169" t="s">
        <v>96</v>
      </c>
      <c r="B2" s="170"/>
      <c r="C2" s="170"/>
      <c r="D2" s="170"/>
      <c r="E2" s="170"/>
      <c r="F2" s="170"/>
      <c r="G2" s="170"/>
      <c r="H2" s="65"/>
      <c r="I2" s="65"/>
      <c r="J2" s="65"/>
      <c r="K2" s="65"/>
      <c r="L2" s="65"/>
      <c r="M2" s="65"/>
    </row>
    <row r="3" spans="1:13" ht="11.25" customHeight="1" x14ac:dyDescent="0.2">
      <c r="A3" s="39"/>
      <c r="B3" s="39"/>
      <c r="C3" s="39"/>
      <c r="D3" s="39"/>
      <c r="E3" s="39"/>
      <c r="F3" s="39"/>
      <c r="G3" s="39"/>
      <c r="H3" s="27"/>
      <c r="I3" s="27"/>
      <c r="J3" s="27"/>
      <c r="K3" s="27"/>
      <c r="L3" s="27"/>
      <c r="M3" s="27"/>
    </row>
    <row r="4" spans="1:13" ht="12" x14ac:dyDescent="0.25">
      <c r="A4" s="4"/>
      <c r="B4" s="4"/>
      <c r="C4" s="4"/>
      <c r="D4" s="4"/>
      <c r="E4" s="4"/>
      <c r="F4" s="4"/>
      <c r="G4" s="4"/>
    </row>
    <row r="5" spans="1:13" ht="12" x14ac:dyDescent="0.25">
      <c r="A5" s="4"/>
      <c r="B5" s="4"/>
      <c r="C5" s="4"/>
      <c r="D5" s="4"/>
      <c r="E5" s="4"/>
      <c r="F5" s="4"/>
      <c r="G5" s="4"/>
    </row>
    <row r="6" spans="1:13" ht="12" x14ac:dyDescent="0.25">
      <c r="A6" s="4"/>
      <c r="B6" s="4"/>
      <c r="C6" s="4"/>
      <c r="D6" s="4"/>
      <c r="E6" s="4"/>
      <c r="F6" s="4"/>
      <c r="G6" s="4"/>
    </row>
    <row r="7" spans="1:13" ht="12" x14ac:dyDescent="0.25">
      <c r="A7" s="4"/>
      <c r="B7" s="4"/>
      <c r="C7" s="4"/>
      <c r="D7" s="4"/>
      <c r="E7" s="4"/>
      <c r="F7" s="4"/>
      <c r="G7" s="4"/>
    </row>
    <row r="8" spans="1:13" ht="12" x14ac:dyDescent="0.25">
      <c r="A8" s="4"/>
      <c r="B8" s="4"/>
      <c r="C8" s="4"/>
      <c r="D8" s="4"/>
      <c r="E8" s="4"/>
      <c r="F8" s="4"/>
      <c r="G8" s="4"/>
    </row>
    <row r="9" spans="1:13" ht="12" x14ac:dyDescent="0.25">
      <c r="A9" s="4"/>
      <c r="B9" s="4"/>
      <c r="C9" s="4"/>
      <c r="D9" s="4"/>
      <c r="E9" s="4"/>
      <c r="F9" s="4"/>
      <c r="G9" s="4"/>
    </row>
    <row r="10" spans="1:13" ht="12" x14ac:dyDescent="0.25">
      <c r="A10" s="4"/>
      <c r="B10" s="4"/>
      <c r="C10" s="4"/>
      <c r="D10" s="4"/>
      <c r="E10" s="4"/>
      <c r="F10" s="4"/>
      <c r="G10" s="4"/>
    </row>
    <row r="11" spans="1:13" ht="12" x14ac:dyDescent="0.25">
      <c r="A11" s="4"/>
      <c r="B11" s="4"/>
      <c r="C11" s="4"/>
      <c r="D11" s="4"/>
      <c r="E11" s="4"/>
      <c r="F11" s="4"/>
      <c r="G11" s="4"/>
    </row>
    <row r="12" spans="1:13" ht="12" x14ac:dyDescent="0.25">
      <c r="A12" s="4"/>
      <c r="B12" s="4"/>
      <c r="C12" s="4"/>
      <c r="D12" s="4"/>
      <c r="E12" s="4"/>
      <c r="F12" s="4"/>
      <c r="G12" s="4"/>
    </row>
    <row r="13" spans="1:13" ht="12" x14ac:dyDescent="0.25">
      <c r="A13" s="4"/>
      <c r="B13" s="4"/>
      <c r="C13" s="4"/>
      <c r="D13" s="4"/>
      <c r="E13" s="4"/>
      <c r="F13" s="4"/>
      <c r="G13" s="4"/>
    </row>
    <row r="14" spans="1:13" ht="12" x14ac:dyDescent="0.25">
      <c r="A14" s="4"/>
      <c r="B14" s="4"/>
      <c r="C14" s="4"/>
      <c r="D14" s="4"/>
      <c r="E14" s="4"/>
      <c r="F14" s="4"/>
      <c r="G14" s="4"/>
    </row>
    <row r="15" spans="1:13" ht="12" x14ac:dyDescent="0.25">
      <c r="A15" s="4"/>
      <c r="B15" s="4"/>
      <c r="C15" s="4"/>
      <c r="D15" s="4"/>
      <c r="E15" s="4"/>
      <c r="F15" s="4"/>
      <c r="G15" s="4"/>
    </row>
    <row r="16" spans="1:13" ht="12" x14ac:dyDescent="0.25">
      <c r="A16" s="4"/>
      <c r="B16" s="4"/>
      <c r="C16" s="4"/>
      <c r="D16" s="4"/>
      <c r="E16" s="4"/>
      <c r="F16" s="4"/>
      <c r="G16" s="4"/>
    </row>
    <row r="17" spans="1:8" ht="12" x14ac:dyDescent="0.25">
      <c r="A17" s="4"/>
      <c r="B17" s="4"/>
      <c r="C17" s="4"/>
      <c r="D17" s="4"/>
      <c r="E17" s="4"/>
      <c r="F17" s="4"/>
      <c r="G17" s="4"/>
    </row>
    <row r="18" spans="1:8" ht="12" x14ac:dyDescent="0.25">
      <c r="A18" s="4"/>
      <c r="B18" s="4"/>
      <c r="C18" s="4"/>
      <c r="D18" s="4"/>
      <c r="E18" s="4"/>
      <c r="F18" s="4"/>
      <c r="G18" s="4"/>
    </row>
    <row r="19" spans="1:8" ht="12" x14ac:dyDescent="0.25">
      <c r="A19" s="4"/>
      <c r="B19" s="4"/>
      <c r="C19" s="4"/>
      <c r="D19" s="4"/>
      <c r="E19" s="4"/>
      <c r="F19" s="4"/>
      <c r="G19" s="4"/>
    </row>
    <row r="20" spans="1:8" ht="12" x14ac:dyDescent="0.25">
      <c r="A20" s="4"/>
      <c r="B20" s="4"/>
      <c r="C20" s="4"/>
      <c r="D20" s="4"/>
      <c r="E20" s="4"/>
      <c r="F20" s="4"/>
      <c r="G20" s="4"/>
    </row>
    <row r="21" spans="1:8" ht="12" x14ac:dyDescent="0.25">
      <c r="A21" s="4"/>
      <c r="B21" s="4"/>
      <c r="C21" s="4"/>
      <c r="D21" s="4"/>
      <c r="E21" s="4"/>
      <c r="F21" s="4"/>
      <c r="G21" s="4"/>
    </row>
    <row r="22" spans="1:8" ht="12" x14ac:dyDescent="0.25">
      <c r="A22" s="4"/>
      <c r="B22" s="4"/>
      <c r="C22" s="4"/>
      <c r="D22" s="4"/>
      <c r="E22" s="4"/>
      <c r="F22" s="4"/>
      <c r="G22" s="4"/>
    </row>
    <row r="23" spans="1:8" ht="12" x14ac:dyDescent="0.25">
      <c r="A23" s="5"/>
    </row>
    <row r="24" spans="1:8" ht="36" customHeight="1" x14ac:dyDescent="0.2">
      <c r="A24" s="15"/>
      <c r="B24" s="8" t="s">
        <v>94</v>
      </c>
      <c r="C24" s="8" t="s">
        <v>93</v>
      </c>
      <c r="D24" s="8" t="s">
        <v>92</v>
      </c>
      <c r="E24" s="8" t="s">
        <v>91</v>
      </c>
      <c r="F24" s="8" t="s">
        <v>90</v>
      </c>
    </row>
    <row r="25" spans="1:8" ht="15" customHeight="1" x14ac:dyDescent="0.25">
      <c r="A25" s="12" t="s">
        <v>30</v>
      </c>
      <c r="B25" s="85">
        <v>59.2</v>
      </c>
      <c r="C25" s="86">
        <v>63</v>
      </c>
      <c r="D25" s="86">
        <v>65.7</v>
      </c>
      <c r="E25" s="86">
        <v>67.3</v>
      </c>
      <c r="F25" s="87">
        <v>66.599999999999994</v>
      </c>
      <c r="H25" s="6"/>
    </row>
    <row r="26" spans="1:8" ht="14.25" customHeight="1" x14ac:dyDescent="0.25">
      <c r="A26" s="13" t="s">
        <v>31</v>
      </c>
      <c r="B26" s="50">
        <v>7.2</v>
      </c>
      <c r="C26" s="144">
        <v>7.9</v>
      </c>
      <c r="D26" s="144">
        <v>7.6</v>
      </c>
      <c r="E26" s="144">
        <v>6.3</v>
      </c>
      <c r="F26" s="88">
        <v>6.4</v>
      </c>
      <c r="H26" s="6"/>
    </row>
    <row r="27" spans="1:8" ht="15" customHeight="1" x14ac:dyDescent="0.25">
      <c r="A27" s="14" t="s">
        <v>32</v>
      </c>
      <c r="B27" s="89">
        <v>33.6</v>
      </c>
      <c r="C27" s="90">
        <v>29.1</v>
      </c>
      <c r="D27" s="90">
        <v>26.7</v>
      </c>
      <c r="E27" s="90">
        <v>26.4</v>
      </c>
      <c r="F27" s="91">
        <v>27</v>
      </c>
      <c r="H27" s="6"/>
    </row>
    <row r="31" spans="1:8" x14ac:dyDescent="0.2">
      <c r="E31" s="3" t="s">
        <v>73</v>
      </c>
    </row>
    <row r="33" spans="2:7" ht="15.6" x14ac:dyDescent="0.2">
      <c r="B33" s="33"/>
      <c r="C33" s="33"/>
      <c r="D33" s="33"/>
      <c r="E33" s="34"/>
      <c r="F33" s="33"/>
      <c r="G33" s="33"/>
    </row>
    <row r="34" spans="2:7" ht="15.6" x14ac:dyDescent="0.2">
      <c r="B34" s="33"/>
      <c r="C34" s="33"/>
      <c r="D34" s="33"/>
      <c r="E34" s="34"/>
      <c r="F34" s="33"/>
      <c r="G34" s="33"/>
    </row>
    <row r="35" spans="2:7" ht="15.6" x14ac:dyDescent="0.2">
      <c r="B35" s="33"/>
      <c r="C35" s="33"/>
      <c r="D35" s="33"/>
      <c r="E35" s="34"/>
      <c r="F35" s="64"/>
      <c r="G35" s="33"/>
    </row>
    <row r="49" spans="3:3" ht="14.4" x14ac:dyDescent="0.35">
      <c r="C49" s="61"/>
    </row>
    <row r="50" spans="3:3" ht="14.4" x14ac:dyDescent="0.35">
      <c r="C50" s="6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34"/>
  <sheetViews>
    <sheetView workbookViewId="0">
      <selection activeCell="A2" sqref="A2:H2"/>
    </sheetView>
  </sheetViews>
  <sheetFormatPr defaultColWidth="9.109375" defaultRowHeight="11.4" x14ac:dyDescent="0.2"/>
  <cols>
    <col min="1" max="1" width="26.33203125" style="3" customWidth="1"/>
    <col min="2" max="6" width="12.6640625" style="3" customWidth="1"/>
    <col min="7" max="7" width="14.33203125" style="3" customWidth="1"/>
    <col min="8" max="16384" width="9.109375" style="3"/>
  </cols>
  <sheetData>
    <row r="2" spans="1:13" ht="18" customHeight="1" x14ac:dyDescent="0.2">
      <c r="A2" s="169" t="s">
        <v>97</v>
      </c>
      <c r="B2" s="170"/>
      <c r="C2" s="170"/>
      <c r="D2" s="170"/>
      <c r="E2" s="170"/>
      <c r="F2" s="170"/>
      <c r="G2" s="170"/>
      <c r="H2" s="170"/>
      <c r="I2" s="66"/>
      <c r="J2" s="66"/>
      <c r="K2" s="66"/>
      <c r="L2" s="66"/>
      <c r="M2" s="66"/>
    </row>
    <row r="3" spans="1:13" x14ac:dyDescent="0.2">
      <c r="A3" s="38"/>
      <c r="B3" s="38"/>
      <c r="C3" s="38"/>
      <c r="D3" s="38"/>
      <c r="E3" s="38"/>
      <c r="F3" s="38"/>
      <c r="G3" s="38"/>
    </row>
    <row r="4" spans="1:13" ht="13.5" customHeight="1" x14ac:dyDescent="0.25">
      <c r="A4" s="4"/>
      <c r="B4" s="4"/>
      <c r="C4" s="4"/>
      <c r="D4" s="4"/>
      <c r="E4" s="4"/>
      <c r="F4" s="4"/>
      <c r="G4" s="4"/>
    </row>
    <row r="5" spans="1:13" ht="13.5" customHeight="1" x14ac:dyDescent="0.25">
      <c r="A5" s="4"/>
      <c r="B5" s="4"/>
      <c r="C5" s="4"/>
      <c r="D5" s="4"/>
      <c r="E5" s="4"/>
      <c r="F5" s="4"/>
      <c r="G5" s="4"/>
    </row>
    <row r="6" spans="1:13" ht="13.5" customHeight="1" x14ac:dyDescent="0.25">
      <c r="A6" s="4"/>
      <c r="B6" s="4"/>
      <c r="C6" s="4"/>
      <c r="D6" s="4"/>
      <c r="E6" s="4"/>
      <c r="F6" s="4"/>
      <c r="G6" s="4"/>
    </row>
    <row r="7" spans="1:13" ht="13.5" customHeight="1" x14ac:dyDescent="0.25">
      <c r="A7" s="4"/>
      <c r="B7" s="4"/>
      <c r="C7" s="4"/>
      <c r="D7" s="4"/>
      <c r="E7" s="4"/>
      <c r="F7" s="4"/>
      <c r="G7" s="4"/>
    </row>
    <row r="8" spans="1:13" ht="13.5" customHeight="1" x14ac:dyDescent="0.25">
      <c r="A8" s="4"/>
      <c r="B8" s="4"/>
      <c r="C8" s="4"/>
      <c r="D8" s="4"/>
      <c r="E8" s="4"/>
      <c r="F8" s="4"/>
      <c r="G8" s="4"/>
    </row>
    <row r="9" spans="1:13" ht="13.5" customHeight="1" x14ac:dyDescent="0.25">
      <c r="A9" s="4"/>
      <c r="B9" s="4"/>
      <c r="C9" s="4"/>
      <c r="D9" s="4"/>
      <c r="E9" s="4"/>
      <c r="F9" s="4"/>
      <c r="G9" s="4"/>
    </row>
    <row r="10" spans="1:13" ht="13.5" customHeight="1" x14ac:dyDescent="0.25">
      <c r="A10" s="4"/>
      <c r="B10" s="4"/>
      <c r="C10" s="4"/>
      <c r="D10" s="4"/>
      <c r="E10" s="4"/>
      <c r="F10" s="4"/>
      <c r="G10" s="4"/>
    </row>
    <row r="11" spans="1:13" ht="13.5" customHeight="1" x14ac:dyDescent="0.25">
      <c r="A11" s="4"/>
      <c r="B11" s="4"/>
      <c r="C11" s="4"/>
      <c r="D11" s="4"/>
      <c r="E11" s="4"/>
      <c r="F11" s="4"/>
      <c r="G11" s="4"/>
    </row>
    <row r="12" spans="1:13" ht="13.5" customHeight="1" x14ac:dyDescent="0.25">
      <c r="A12" s="4"/>
      <c r="B12" s="4"/>
      <c r="C12" s="4"/>
      <c r="D12" s="4"/>
      <c r="E12" s="4"/>
      <c r="F12" s="4"/>
      <c r="G12" s="4"/>
    </row>
    <row r="13" spans="1:13" ht="13.5" customHeight="1" x14ac:dyDescent="0.25">
      <c r="A13" s="4"/>
      <c r="B13" s="4"/>
      <c r="C13" s="4"/>
      <c r="D13" s="4"/>
      <c r="E13" s="4"/>
      <c r="F13" s="4"/>
      <c r="G13" s="4"/>
    </row>
    <row r="14" spans="1:13" ht="13.5" customHeight="1" x14ac:dyDescent="0.25">
      <c r="A14" s="4"/>
      <c r="B14" s="4"/>
      <c r="C14" s="4"/>
      <c r="D14" s="4"/>
      <c r="E14" s="4"/>
      <c r="F14" s="4"/>
      <c r="G14" s="4"/>
    </row>
    <row r="15" spans="1:13" ht="13.5" customHeight="1" x14ac:dyDescent="0.25">
      <c r="A15" s="4"/>
      <c r="B15" s="4"/>
      <c r="C15" s="4"/>
      <c r="D15" s="4"/>
      <c r="E15" s="4"/>
      <c r="F15" s="4"/>
      <c r="G15" s="4"/>
    </row>
    <row r="16" spans="1:13" ht="13.5" customHeight="1" x14ac:dyDescent="0.25">
      <c r="A16" s="4"/>
      <c r="B16" s="4"/>
      <c r="C16" s="4"/>
      <c r="D16" s="4"/>
      <c r="E16" s="4"/>
      <c r="F16" s="4"/>
      <c r="G16" s="4"/>
    </row>
    <row r="17" spans="1:7" ht="13.5" customHeight="1" x14ac:dyDescent="0.25">
      <c r="A17" s="4"/>
      <c r="B17" s="4"/>
      <c r="C17" s="4"/>
      <c r="D17" s="4"/>
      <c r="E17" s="4"/>
      <c r="F17" s="4"/>
      <c r="G17" s="4"/>
    </row>
    <row r="18" spans="1:7" ht="13.5" customHeight="1" x14ac:dyDescent="0.25">
      <c r="A18" s="4"/>
      <c r="B18" s="4"/>
      <c r="C18" s="4"/>
      <c r="D18" s="4"/>
      <c r="E18" s="4"/>
      <c r="F18" s="4"/>
      <c r="G18" s="4"/>
    </row>
    <row r="19" spans="1:7" ht="13.5" customHeight="1" x14ac:dyDescent="0.25">
      <c r="A19" s="4"/>
      <c r="B19" s="4"/>
      <c r="C19" s="4"/>
      <c r="D19" s="4"/>
      <c r="E19" s="4"/>
      <c r="F19" s="4"/>
      <c r="G19" s="4"/>
    </row>
    <row r="20" spans="1:7" ht="14.25" customHeight="1" x14ac:dyDescent="0.25">
      <c r="A20" s="5"/>
    </row>
    <row r="21" spans="1:7" ht="39" customHeight="1" x14ac:dyDescent="0.2">
      <c r="A21" s="25"/>
      <c r="B21" s="78" t="s">
        <v>94</v>
      </c>
      <c r="C21" s="8" t="s">
        <v>93</v>
      </c>
      <c r="D21" s="8" t="s">
        <v>92</v>
      </c>
      <c r="E21" s="8" t="s">
        <v>91</v>
      </c>
      <c r="F21" s="8" t="s">
        <v>90</v>
      </c>
      <c r="G21" s="53"/>
    </row>
    <row r="22" spans="1:7" ht="12" x14ac:dyDescent="0.2">
      <c r="A22" s="145" t="s">
        <v>88</v>
      </c>
      <c r="B22" s="48">
        <f>IF(777230.34435="","-",777230.34435/2756399.68857*100)</f>
        <v>28.197301994081318</v>
      </c>
      <c r="C22" s="48">
        <f>IF(819280.24793="","-",819280.24793/2459823.01427*100)</f>
        <v>33.306471367133589</v>
      </c>
      <c r="D22" s="48">
        <f>IF(690109.77913="","-",690109.77913/2157300.44412*100)</f>
        <v>31.989507118073561</v>
      </c>
      <c r="E22" s="48">
        <f>IF(604887.77785="","-",604887.77785/2049533.35802*100)</f>
        <v>29.513439021766697</v>
      </c>
      <c r="F22" s="126">
        <f>IF(668781.38506="","-",668781.38506/2239453.54367*100)</f>
        <v>29.863597168620249</v>
      </c>
      <c r="G22" s="48"/>
    </row>
    <row r="23" spans="1:7" ht="12" x14ac:dyDescent="0.2">
      <c r="A23" s="145" t="s">
        <v>34</v>
      </c>
      <c r="B23" s="48">
        <f>IF(236254.24321="","-",236254.24321/2756399.68857*100)</f>
        <v>8.5711170331965505</v>
      </c>
      <c r="C23" s="48">
        <f>IF(88411.34828="","-",88411.34828/2459823.01427*100)</f>
        <v>3.5942158345175814</v>
      </c>
      <c r="D23" s="48">
        <f>IF(125084.18081="","-",125084.18081/2157300.44412*100)</f>
        <v>5.7981808306271398</v>
      </c>
      <c r="E23" s="48">
        <f>IF(196211.22263="","-",196211.22263/2049533.35802*100)</f>
        <v>9.5734583612512889</v>
      </c>
      <c r="F23" s="126">
        <f>IF(246986.44161="","-",246986.44161/2239453.54367*100)</f>
        <v>11.02887096310292</v>
      </c>
      <c r="G23" s="48"/>
    </row>
    <row r="24" spans="1:7" ht="12" x14ac:dyDescent="0.2">
      <c r="A24" s="145" t="s">
        <v>35</v>
      </c>
      <c r="B24" s="48">
        <f>IF(224330.42676="","-",224330.42676/2756399.68857*100)</f>
        <v>8.138530405812844</v>
      </c>
      <c r="C24" s="48">
        <f>IF(166979.4877="","-",166979.4877/2459823.01427*100)</f>
        <v>6.7882724379483204</v>
      </c>
      <c r="D24" s="48">
        <f>IF(153503.69774="","-",153503.69774/2157300.44412*100)</f>
        <v>7.1155456421656087</v>
      </c>
      <c r="E24" s="48">
        <f>IF(191871.33366="","-",191871.33366/2049533.35802*100)</f>
        <v>9.3617082595504488</v>
      </c>
      <c r="F24" s="126">
        <f>IF(220613.53279="","-",220613.53279/2239453.54367*100)</f>
        <v>9.8512216702856961</v>
      </c>
      <c r="G24" s="48"/>
    </row>
    <row r="25" spans="1:7" ht="12" x14ac:dyDescent="0.2">
      <c r="A25" s="145" t="s">
        <v>53</v>
      </c>
      <c r="B25" s="48">
        <f>IF(61362.48029="","-",61362.48029/2756399.68857*100)</f>
        <v>2.2261822385357473</v>
      </c>
      <c r="C25" s="48">
        <f>IF(94600.80719="","-",94600.80719/2459823.01427*100)</f>
        <v>3.8458379583083389</v>
      </c>
      <c r="D25" s="48">
        <f>IF(116781.23157="","-",116781.23157/2157300.44412*100)</f>
        <v>5.413304015595152</v>
      </c>
      <c r="E25" s="48">
        <f>IF(176349.9157="","-",176349.9157/2049533.35802*100)</f>
        <v>8.6043935323095688</v>
      </c>
      <c r="F25" s="126">
        <f>IF(172173.80327="","-",172173.80327/2239453.54367*100)</f>
        <v>7.6882060695861929</v>
      </c>
      <c r="G25" s="48"/>
    </row>
    <row r="26" spans="1:7" ht="12" x14ac:dyDescent="0.2">
      <c r="A26" s="145" t="s">
        <v>37</v>
      </c>
      <c r="B26" s="48">
        <f>IF(391442.86187="","-",391442.86187/2756399.68857*100)</f>
        <v>14.20123734207348</v>
      </c>
      <c r="C26" s="48">
        <f>IF(407604.15116="","-",407604.15116/2459823.01427*100)</f>
        <v>16.570466606556423</v>
      </c>
      <c r="D26" s="48">
        <f>IF(206103.50453="","-",206103.50453/2157300.44412*100)</f>
        <v>9.5537691605154773</v>
      </c>
      <c r="E26" s="48">
        <f>IF(162172.50355="","-",162172.50355/2049533.35802*100)</f>
        <v>7.9126549912156872</v>
      </c>
      <c r="F26" s="126">
        <f>IF(153166.65882="","-",153166.65882/2239453.54367*100)</f>
        <v>6.8394657818617492</v>
      </c>
      <c r="G26" s="48"/>
    </row>
    <row r="27" spans="1:7" ht="12" x14ac:dyDescent="0.2">
      <c r="A27" s="145" t="s">
        <v>33</v>
      </c>
      <c r="B27" s="48">
        <f>IF(149790.69381="","-",149790.69381/2756399.68857*100)</f>
        <v>5.4342878658395977</v>
      </c>
      <c r="C27" s="48">
        <f>IF(134029.112="","-",134029.112/2459823.01427*100)</f>
        <v>5.4487298973327034</v>
      </c>
      <c r="D27" s="48">
        <f>IF(112283.50627="","-",112283.50627/2157300.44412*100)</f>
        <v>5.2048154245757994</v>
      </c>
      <c r="E27" s="48">
        <f>IF(72881.0133="","-",72881.0133/2049533.35802*100)</f>
        <v>3.5559808292365847</v>
      </c>
      <c r="F27" s="126">
        <f>IF(120841.98543="","-",120841.98543/2239453.54367*100)</f>
        <v>5.3960478783571926</v>
      </c>
      <c r="G27" s="48"/>
    </row>
    <row r="28" spans="1:7" ht="12" x14ac:dyDescent="0.2">
      <c r="A28" s="145" t="s">
        <v>76</v>
      </c>
      <c r="B28" s="48">
        <f>IF(136020.71757="","-",136020.71757/2756399.68857*100)</f>
        <v>4.9347240218477371</v>
      </c>
      <c r="C28" s="48">
        <f>IF(92396.20247="","-",92396.20247/2459823.01427*100)</f>
        <v>3.7562134321855005</v>
      </c>
      <c r="D28" s="48">
        <f>IF(79741.5642="","-",79741.5642/2157300.44412*100)</f>
        <v>3.696358771785631</v>
      </c>
      <c r="E28" s="48">
        <f>IF(62872.32061="","-",62872.32061/2049533.35802*100)</f>
        <v>3.0676407565641819</v>
      </c>
      <c r="F28" s="126">
        <f>IF(68147.98961="","-",68147.98961/2239453.54367*100)</f>
        <v>3.0430633313482174</v>
      </c>
      <c r="G28" s="48"/>
    </row>
    <row r="29" spans="1:7" ht="12" x14ac:dyDescent="0.2">
      <c r="A29" s="145" t="s">
        <v>36</v>
      </c>
      <c r="B29" s="48">
        <f>IF(76155.61954="","-",76155.61954/2756399.68857*100)</f>
        <v>2.7628656270640115</v>
      </c>
      <c r="C29" s="48">
        <f>IF(71751.28243="","-",71751.28243/2459823.01427*100)</f>
        <v>2.9169286576210678</v>
      </c>
      <c r="D29" s="48">
        <f>IF(86623.61186="","-",86623.61186/2157300.44412*100)</f>
        <v>4.0153707888070853</v>
      </c>
      <c r="E29" s="48">
        <f>IF(53121.10388="","-",53121.10388/2049533.35802*100)</f>
        <v>2.5918633464604302</v>
      </c>
      <c r="F29" s="126">
        <f>IF(61285.83332="","-",61285.83332/2239453.54367*100)</f>
        <v>2.7366423158555557</v>
      </c>
      <c r="G29" s="48"/>
    </row>
    <row r="30" spans="1:7" ht="12" x14ac:dyDescent="0.2">
      <c r="A30" s="145" t="s">
        <v>41</v>
      </c>
      <c r="B30" s="48">
        <f>IF(115243.20761="","-",115243.20761/2756399.68857*100)</f>
        <v>4.1809323984428151</v>
      </c>
      <c r="C30" s="48">
        <f>IF(40308.65336="","-",40308.65336/2459823.01427*100)</f>
        <v>1.6386810403090064</v>
      </c>
      <c r="D30" s="48">
        <f>IF(50220.04188="","-",50220.04188/2157300.44412*100)</f>
        <v>2.3279113494312389</v>
      </c>
      <c r="E30" s="48">
        <f>IF(61375.05774="","-",61375.05774/2049533.35802*100)</f>
        <v>2.9945869141301911</v>
      </c>
      <c r="F30" s="126">
        <f>IF(52397.61255="","-",52397.61255/2239453.54367*100)</f>
        <v>2.3397499223909408</v>
      </c>
      <c r="G30" s="48"/>
    </row>
    <row r="31" spans="1:7" ht="12" x14ac:dyDescent="0.2">
      <c r="A31" s="145" t="s">
        <v>38</v>
      </c>
      <c r="B31" s="48">
        <f>IF(41833.75107="","-",41833.75107/2756399.68857*100)</f>
        <v>1.5176953924161498</v>
      </c>
      <c r="C31" s="48">
        <f>IF(54918.18892="","-",54918.18892/2459823.01427*100)</f>
        <v>2.2326073299341833</v>
      </c>
      <c r="D31" s="48">
        <f>IF(53221.54353="","-",53221.54353/2157300.44412*100)</f>
        <v>2.467043645916922</v>
      </c>
      <c r="E31" s="48">
        <f>IF(45395.83699="","-",45395.83699/2049533.35802*100)</f>
        <v>2.2149352589145326</v>
      </c>
      <c r="F31" s="126">
        <f>IF(48192.38378="","-",48192.38378/2239453.54367*100)</f>
        <v>2.1519706857157068</v>
      </c>
      <c r="G31" s="48"/>
    </row>
    <row r="32" spans="1:7" ht="12" x14ac:dyDescent="0.2">
      <c r="A32" s="145" t="s">
        <v>52</v>
      </c>
      <c r="B32" s="48">
        <f>IF(21054.7587="","-",21054.7587/2756399.68857*100)</f>
        <v>0.76384998834922424</v>
      </c>
      <c r="C32" s="48">
        <f>IF(21325.32503="","-",21325.32503/2459823.01427*100)</f>
        <v>0.86694550405809179</v>
      </c>
      <c r="D32" s="48">
        <f>IF(41916.25668="","-",41916.25668/2157300.44412*100)</f>
        <v>1.9429957841175134</v>
      </c>
      <c r="E32" s="48">
        <f>IF(52230.79493="","-",52230.79493/2049533.35802*100)</f>
        <v>2.5484237534176457</v>
      </c>
      <c r="F32" s="126">
        <f>IF(45742.3="","-",45742.3/2239453.54367*100)</f>
        <v>2.0425652556756262</v>
      </c>
      <c r="G32" s="48"/>
    </row>
    <row r="33" spans="1:7" ht="12" x14ac:dyDescent="0.2">
      <c r="A33" s="145" t="s">
        <v>77</v>
      </c>
      <c r="B33" s="48">
        <f>IF(47429.22468="","-",47429.22468/2756399.68857*100)</f>
        <v>1.72069474817732</v>
      </c>
      <c r="C33" s="48">
        <f>IF(26948.38926="","-",26948.38926/2459823.01427*100)</f>
        <v>1.0955417972620869</v>
      </c>
      <c r="D33" s="48">
        <f>IF(28725.53074="","-",28725.53074/2157300.44412*100)</f>
        <v>1.3315498459333808</v>
      </c>
      <c r="E33" s="48">
        <f>IF(41058.44691="","-",41058.44691/2049533.35802*100)</f>
        <v>2.00330708204064</v>
      </c>
      <c r="F33" s="126">
        <f>IF(29444.81989="","-",29444.81989/2239453.54367*100)</f>
        <v>1.3148216435758717</v>
      </c>
      <c r="G33" s="48"/>
    </row>
    <row r="34" spans="1:7" ht="12" x14ac:dyDescent="0.2">
      <c r="A34" s="146" t="s">
        <v>87</v>
      </c>
      <c r="B34" s="127">
        <f>IF(14292.30964="","-",14292.30964/2756399.68857*100)</f>
        <v>0.518513686504396</v>
      </c>
      <c r="C34" s="127">
        <f>IF(24373.2087="","-",24373.2087/2459823.01427*100)</f>
        <v>0.99085212873468531</v>
      </c>
      <c r="D34" s="127">
        <f>IF(13725.7165="","-",13725.7165/2157300.44412*100)</f>
        <v>0.63624501341068218</v>
      </c>
      <c r="E34" s="127">
        <f>IF(15114.07351="","-",15114.07351/2049533.35802*100)</f>
        <v>0.73743974211775243</v>
      </c>
      <c r="F34" s="128">
        <f>IF(26326.5297="","-",26326.5297/2239453.54367*100)</f>
        <v>1.1755782911600958</v>
      </c>
      <c r="G34" s="48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41"/>
  <sheetViews>
    <sheetView zoomScaleNormal="100" workbookViewId="0">
      <selection activeCell="A2" sqref="A2:H2"/>
    </sheetView>
  </sheetViews>
  <sheetFormatPr defaultColWidth="9.109375" defaultRowHeight="11.4" x14ac:dyDescent="0.2"/>
  <cols>
    <col min="1" max="1" width="47.109375" style="3" customWidth="1"/>
    <col min="2" max="3" width="12.6640625" style="3" customWidth="1"/>
    <col min="4" max="4" width="12" style="3" customWidth="1"/>
    <col min="5" max="5" width="11.88671875" style="3" customWidth="1"/>
    <col min="6" max="6" width="8.33203125" style="3" customWidth="1"/>
    <col min="7" max="7" width="8" style="3" customWidth="1"/>
    <col min="8" max="8" width="6" style="3" customWidth="1"/>
    <col min="9" max="16384" width="9.109375" style="3"/>
  </cols>
  <sheetData>
    <row r="2" spans="1:13" ht="23.25" customHeight="1" x14ac:dyDescent="0.2">
      <c r="A2" s="171" t="s">
        <v>99</v>
      </c>
      <c r="B2" s="172"/>
      <c r="C2" s="172"/>
      <c r="D2" s="172"/>
      <c r="E2" s="172"/>
      <c r="F2" s="172"/>
      <c r="G2" s="172"/>
      <c r="H2" s="172"/>
      <c r="I2" s="68"/>
      <c r="J2" s="66"/>
      <c r="K2" s="66"/>
      <c r="L2" s="66"/>
      <c r="M2" s="66"/>
    </row>
    <row r="3" spans="1:13" ht="16.5" customHeight="1" x14ac:dyDescent="0.2">
      <c r="A3" s="67"/>
      <c r="B3" s="67"/>
      <c r="C3" s="67"/>
      <c r="D3" s="67"/>
      <c r="E3" s="67"/>
      <c r="F3" s="67"/>
      <c r="G3" s="67"/>
      <c r="H3" s="67"/>
      <c r="I3" s="68"/>
      <c r="J3" s="66"/>
      <c r="K3" s="66"/>
      <c r="L3" s="66"/>
      <c r="M3" s="66"/>
    </row>
    <row r="4" spans="1:13" ht="13.2" x14ac:dyDescent="0.25">
      <c r="A4" s="46"/>
      <c r="B4" s="46"/>
      <c r="C4" s="46"/>
      <c r="D4" s="46"/>
      <c r="E4" s="46"/>
      <c r="F4" s="46"/>
      <c r="G4" s="46"/>
    </row>
    <row r="5" spans="1:13" ht="15" customHeight="1" x14ac:dyDescent="0.2">
      <c r="A5" s="30"/>
      <c r="B5" s="30"/>
      <c r="C5" s="30"/>
      <c r="D5" s="30"/>
      <c r="E5" s="30"/>
      <c r="F5" s="30"/>
      <c r="G5" s="30"/>
    </row>
    <row r="6" spans="1:13" ht="15" customHeight="1" x14ac:dyDescent="0.2">
      <c r="A6" s="30"/>
      <c r="B6" s="30"/>
      <c r="C6" s="30"/>
      <c r="D6" s="30"/>
      <c r="E6" s="30"/>
      <c r="F6" s="30"/>
      <c r="G6" s="30"/>
    </row>
    <row r="7" spans="1:13" x14ac:dyDescent="0.2">
      <c r="A7" s="27"/>
      <c r="B7" s="27"/>
      <c r="C7" s="27"/>
      <c r="D7" s="27"/>
      <c r="E7" s="27"/>
      <c r="F7" s="27"/>
      <c r="G7" s="27"/>
      <c r="H7" s="27"/>
    </row>
    <row r="29" spans="1:6" ht="36" customHeight="1" x14ac:dyDescent="0.2">
      <c r="A29" s="25"/>
      <c r="B29" s="8" t="s">
        <v>90</v>
      </c>
      <c r="C29" s="8" t="s">
        <v>91</v>
      </c>
    </row>
    <row r="30" spans="1:6" ht="12" x14ac:dyDescent="0.2">
      <c r="A30" s="148" t="s">
        <v>61</v>
      </c>
      <c r="B30" s="147">
        <v>21.4</v>
      </c>
      <c r="C30" s="136">
        <v>23.4</v>
      </c>
    </row>
    <row r="31" spans="1:6" ht="13.8" x14ac:dyDescent="0.2">
      <c r="A31" s="145" t="s">
        <v>56</v>
      </c>
      <c r="B31" s="139">
        <v>15.6</v>
      </c>
      <c r="C31" s="140">
        <v>14</v>
      </c>
      <c r="D31" s="44"/>
      <c r="E31" s="45"/>
      <c r="F31" s="45"/>
    </row>
    <row r="32" spans="1:6" ht="12.75" customHeight="1" x14ac:dyDescent="0.2">
      <c r="A32" s="145" t="s">
        <v>58</v>
      </c>
      <c r="B32" s="139">
        <v>13.8</v>
      </c>
      <c r="C32" s="140">
        <v>16</v>
      </c>
      <c r="D32" s="44"/>
      <c r="E32" s="45"/>
      <c r="F32" s="45"/>
    </row>
    <row r="33" spans="1:6" ht="12.75" customHeight="1" x14ac:dyDescent="0.2">
      <c r="A33" s="145" t="s">
        <v>54</v>
      </c>
      <c r="B33" s="139">
        <v>12.1</v>
      </c>
      <c r="C33" s="140">
        <v>8.9</v>
      </c>
      <c r="D33" s="44"/>
      <c r="E33" s="45"/>
      <c r="F33" s="45"/>
    </row>
    <row r="34" spans="1:6" ht="12.75" customHeight="1" x14ac:dyDescent="0.2">
      <c r="A34" s="145" t="s">
        <v>55</v>
      </c>
      <c r="B34" s="139">
        <v>10.8</v>
      </c>
      <c r="C34" s="140">
        <v>10.199999999999999</v>
      </c>
      <c r="D34" s="44"/>
      <c r="E34" s="45"/>
      <c r="F34" s="45"/>
    </row>
    <row r="35" spans="1:6" ht="12.75" customHeight="1" x14ac:dyDescent="0.2">
      <c r="A35" s="145" t="s">
        <v>60</v>
      </c>
      <c r="B35" s="139">
        <v>7.7</v>
      </c>
      <c r="C35" s="140">
        <v>8.5</v>
      </c>
      <c r="F35" s="63"/>
    </row>
    <row r="36" spans="1:6" ht="12.75" customHeight="1" x14ac:dyDescent="0.2">
      <c r="A36" s="145" t="s">
        <v>62</v>
      </c>
      <c r="B36" s="139">
        <v>5.2</v>
      </c>
      <c r="C36" s="140">
        <v>6.4</v>
      </c>
      <c r="D36" s="44"/>
      <c r="E36" s="45"/>
      <c r="F36" s="45"/>
    </row>
    <row r="37" spans="1:6" ht="12.75" customHeight="1" x14ac:dyDescent="0.2">
      <c r="A37" s="145" t="s">
        <v>59</v>
      </c>
      <c r="B37" s="139">
        <v>3.4</v>
      </c>
      <c r="C37" s="140">
        <v>3.7</v>
      </c>
      <c r="D37" s="44"/>
      <c r="E37" s="45"/>
      <c r="F37" s="45"/>
    </row>
    <row r="38" spans="1:6" ht="12.75" customHeight="1" x14ac:dyDescent="0.2">
      <c r="A38" s="145" t="s">
        <v>78</v>
      </c>
      <c r="B38" s="139">
        <v>2.9</v>
      </c>
      <c r="C38" s="140">
        <v>2.1</v>
      </c>
      <c r="D38" s="44"/>
      <c r="E38" s="45"/>
      <c r="F38" s="45"/>
    </row>
    <row r="39" spans="1:6" ht="12.75" customHeight="1" x14ac:dyDescent="0.2">
      <c r="A39" s="145" t="s">
        <v>67</v>
      </c>
      <c r="B39" s="139">
        <v>2.6</v>
      </c>
      <c r="C39" s="140">
        <v>3</v>
      </c>
      <c r="D39" s="44"/>
      <c r="E39" s="45"/>
      <c r="F39" s="45"/>
    </row>
    <row r="40" spans="1:6" ht="12.75" customHeight="1" x14ac:dyDescent="0.2">
      <c r="A40" s="145" t="s">
        <v>80</v>
      </c>
      <c r="B40" s="139">
        <v>2.5</v>
      </c>
      <c r="C40" s="140">
        <v>1.5</v>
      </c>
      <c r="D40" s="81"/>
      <c r="E40" s="81"/>
      <c r="F40" s="45"/>
    </row>
    <row r="41" spans="1:6" ht="12.75" customHeight="1" x14ac:dyDescent="0.2">
      <c r="A41" s="146" t="s">
        <v>70</v>
      </c>
      <c r="B41" s="142">
        <v>2</v>
      </c>
      <c r="C41" s="143">
        <v>2.2999999999999998</v>
      </c>
      <c r="D41" s="44"/>
      <c r="E41" s="45"/>
      <c r="F41" s="45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27"/>
  <sheetViews>
    <sheetView workbookViewId="0">
      <selection activeCell="A2" sqref="A2:M2"/>
    </sheetView>
  </sheetViews>
  <sheetFormatPr defaultColWidth="9.109375" defaultRowHeight="11.4" x14ac:dyDescent="0.2"/>
  <cols>
    <col min="1" max="1" width="8.5546875" style="3" customWidth="1"/>
    <col min="2" max="2" width="9.6640625" style="3" customWidth="1"/>
    <col min="3" max="3" width="10" style="3" customWidth="1"/>
    <col min="4" max="4" width="9.5546875" style="3" customWidth="1"/>
    <col min="5" max="5" width="10.109375" style="3" bestFit="1" customWidth="1"/>
    <col min="6" max="6" width="10.33203125" style="3" customWidth="1"/>
    <col min="7" max="7" width="10.109375" style="3" bestFit="1" customWidth="1"/>
    <col min="8" max="8" width="10" style="3" customWidth="1"/>
    <col min="9" max="9" width="10.109375" style="3" bestFit="1" customWidth="1"/>
    <col min="10" max="10" width="12" style="3" bestFit="1" customWidth="1"/>
    <col min="11" max="11" width="11.21875" style="3" bestFit="1" customWidth="1"/>
    <col min="12" max="12" width="11.44140625" style="3" bestFit="1" customWidth="1"/>
    <col min="13" max="13" width="11.5546875" style="3" bestFit="1" customWidth="1"/>
    <col min="14" max="14" width="9.33203125" style="3" bestFit="1" customWidth="1"/>
    <col min="15" max="15" width="11.33203125" style="3" bestFit="1" customWidth="1"/>
    <col min="16" max="16" width="9.33203125" style="3" bestFit="1" customWidth="1"/>
    <col min="17" max="17" width="11.33203125" style="3" bestFit="1" customWidth="1"/>
    <col min="18" max="18" width="9.33203125" style="3" bestFit="1" customWidth="1"/>
    <col min="19" max="19" width="11.33203125" style="3" bestFit="1" customWidth="1"/>
    <col min="20" max="20" width="9.33203125" style="3" bestFit="1" customWidth="1"/>
    <col min="21" max="21" width="11.33203125" style="3" bestFit="1" customWidth="1"/>
    <col min="22" max="22" width="9.33203125" style="3" bestFit="1" customWidth="1"/>
    <col min="23" max="23" width="11.33203125" style="3" bestFit="1" customWidth="1"/>
    <col min="24" max="24" width="9.33203125" style="3" bestFit="1" customWidth="1"/>
    <col min="25" max="16384" width="9.109375" style="3"/>
  </cols>
  <sheetData>
    <row r="2" spans="1:13" ht="18.75" customHeight="1" x14ac:dyDescent="0.2">
      <c r="A2" s="170" t="s">
        <v>85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2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ht="12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3" ht="12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3" ht="12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ht="12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ht="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ht="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ht="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3" ht="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3" ht="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3" ht="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3" ht="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3" ht="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3" ht="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3" ht="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3" ht="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3" ht="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2" spans="1:13" ht="12" x14ac:dyDescent="0.2">
      <c r="A22" s="18" t="s">
        <v>0</v>
      </c>
      <c r="B22" s="18" t="s">
        <v>1</v>
      </c>
      <c r="C22" s="25" t="s">
        <v>2</v>
      </c>
      <c r="D22" s="25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25" t="s">
        <v>12</v>
      </c>
    </row>
    <row r="23" spans="1:13" ht="12" x14ac:dyDescent="0.25">
      <c r="A23" s="52">
        <v>2022</v>
      </c>
      <c r="B23" s="109">
        <v>551.29999999999995</v>
      </c>
      <c r="C23" s="109">
        <v>591</v>
      </c>
      <c r="D23" s="109">
        <v>678.1</v>
      </c>
      <c r="E23" s="109">
        <v>711.1</v>
      </c>
      <c r="F23" s="109">
        <v>730.2</v>
      </c>
      <c r="G23" s="109">
        <v>725.9</v>
      </c>
      <c r="H23" s="109">
        <v>747</v>
      </c>
      <c r="I23" s="109">
        <v>769.5</v>
      </c>
      <c r="J23" s="109">
        <v>852.8</v>
      </c>
      <c r="K23" s="109">
        <v>764.6</v>
      </c>
      <c r="L23" s="109">
        <v>840.5</v>
      </c>
      <c r="M23" s="22">
        <v>825.5</v>
      </c>
    </row>
    <row r="24" spans="1:13" ht="12" x14ac:dyDescent="0.25">
      <c r="A24" s="20">
        <v>2023</v>
      </c>
      <c r="B24" s="109">
        <v>679</v>
      </c>
      <c r="C24" s="109">
        <v>702.7</v>
      </c>
      <c r="D24" s="109">
        <v>767</v>
      </c>
      <c r="E24" s="109">
        <v>629.79999999999995</v>
      </c>
      <c r="F24" s="109">
        <v>652.29999999999995</v>
      </c>
      <c r="G24" s="109">
        <v>614.29999999999995</v>
      </c>
      <c r="H24" s="109">
        <v>578.6</v>
      </c>
      <c r="I24" s="109">
        <v>640.4</v>
      </c>
      <c r="J24" s="109">
        <v>657.1</v>
      </c>
      <c r="K24" s="109">
        <v>676.2</v>
      </c>
      <c r="L24" s="109">
        <v>682.5</v>
      </c>
      <c r="M24" s="22">
        <v>740.8</v>
      </c>
    </row>
    <row r="25" spans="1:13" ht="12" x14ac:dyDescent="0.25">
      <c r="A25" s="20">
        <v>2024</v>
      </c>
      <c r="B25" s="109">
        <v>571.9</v>
      </c>
      <c r="C25" s="109">
        <v>696.6</v>
      </c>
      <c r="D25" s="109">
        <v>717.7</v>
      </c>
      <c r="E25" s="109">
        <v>723.8</v>
      </c>
      <c r="F25" s="109">
        <v>639.70000000000005</v>
      </c>
      <c r="G25" s="109">
        <v>643.5</v>
      </c>
      <c r="H25" s="109">
        <v>727.4</v>
      </c>
      <c r="I25" s="109">
        <v>669.5</v>
      </c>
      <c r="J25" s="109">
        <v>696.4</v>
      </c>
      <c r="K25" s="109">
        <v>725.7</v>
      </c>
      <c r="L25" s="109">
        <v>765.9</v>
      </c>
      <c r="M25" s="22">
        <v>806.4</v>
      </c>
    </row>
    <row r="26" spans="1:13" ht="12" x14ac:dyDescent="0.25">
      <c r="A26" s="20">
        <v>2025</v>
      </c>
      <c r="B26" s="109">
        <v>694.9</v>
      </c>
      <c r="C26" s="109">
        <v>834.9</v>
      </c>
      <c r="D26" s="109">
        <v>888.7</v>
      </c>
      <c r="E26" s="109">
        <v>765.6</v>
      </c>
      <c r="F26" s="109">
        <v>757.6</v>
      </c>
      <c r="G26" s="109">
        <v>740.3</v>
      </c>
      <c r="H26" s="109">
        <v>774.6</v>
      </c>
      <c r="I26" s="109">
        <v>763.8</v>
      </c>
      <c r="J26" s="109">
        <v>797.4</v>
      </c>
      <c r="K26" s="109">
        <v>854.7</v>
      </c>
      <c r="L26" s="109">
        <v>846.1</v>
      </c>
      <c r="M26" s="22">
        <v>938.8</v>
      </c>
    </row>
    <row r="27" spans="1:13" ht="12" x14ac:dyDescent="0.25">
      <c r="A27" s="21">
        <v>2026</v>
      </c>
      <c r="B27" s="23">
        <v>698.5</v>
      </c>
      <c r="C27" s="23">
        <v>822.2</v>
      </c>
      <c r="D27" s="23">
        <v>932.5</v>
      </c>
      <c r="E27" s="23">
        <v>912.1</v>
      </c>
      <c r="F27" s="23">
        <v>806.8</v>
      </c>
      <c r="G27" s="23">
        <v>813.6</v>
      </c>
      <c r="H27" s="23">
        <v>857.7</v>
      </c>
      <c r="I27" s="23">
        <v>817.5</v>
      </c>
      <c r="J27" s="23"/>
      <c r="K27" s="23"/>
      <c r="L27" s="23"/>
      <c r="M27" s="24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S29"/>
  <sheetViews>
    <sheetView workbookViewId="0">
      <selection activeCell="A2" sqref="A2:T2"/>
    </sheetView>
  </sheetViews>
  <sheetFormatPr defaultColWidth="9.109375" defaultRowHeight="11.4" x14ac:dyDescent="0.2"/>
  <cols>
    <col min="1" max="1" width="17.44140625" style="3" customWidth="1"/>
    <col min="2" max="2" width="5.5546875" style="3" customWidth="1"/>
    <col min="3" max="4" width="5.88671875" style="3" customWidth="1"/>
    <col min="5" max="5" width="5.5546875" style="3" customWidth="1"/>
    <col min="6" max="6" width="5.44140625" style="3" customWidth="1"/>
    <col min="7" max="7" width="6" style="3" customWidth="1"/>
    <col min="8" max="8" width="5.44140625" style="3" bestFit="1" customWidth="1"/>
    <col min="9" max="12" width="6" style="3" customWidth="1"/>
    <col min="13" max="13" width="6.44140625" style="3" customWidth="1"/>
    <col min="14" max="16" width="6.33203125" style="3" customWidth="1"/>
    <col min="17" max="18" width="6.6640625" style="3" customWidth="1"/>
    <col min="19" max="19" width="6.5546875" style="3" customWidth="1"/>
    <col min="20" max="20" width="6.109375" style="3" customWidth="1"/>
    <col min="21" max="22" width="5.88671875" style="3" customWidth="1"/>
    <col min="23" max="23" width="5.6640625" style="3" customWidth="1"/>
    <col min="24" max="24" width="5.44140625" style="3" customWidth="1"/>
    <col min="25" max="25" width="5.6640625" style="3" customWidth="1"/>
    <col min="26" max="27" width="5.44140625" style="3" customWidth="1"/>
    <col min="28" max="28" width="5.5546875" style="3" customWidth="1"/>
    <col min="29" max="30" width="5.88671875" style="3" customWidth="1"/>
    <col min="31" max="31" width="5.6640625" style="3" customWidth="1"/>
    <col min="32" max="32" width="5.88671875" style="3" customWidth="1"/>
    <col min="33" max="33" width="6.44140625" style="3" customWidth="1"/>
    <col min="34" max="34" width="5.33203125" style="3" customWidth="1"/>
    <col min="35" max="35" width="5.6640625" style="3" customWidth="1"/>
    <col min="36" max="36" width="5.88671875" style="3" customWidth="1"/>
    <col min="37" max="37" width="5.5546875" style="3" customWidth="1"/>
    <col min="38" max="39" width="5.6640625" style="3" customWidth="1"/>
    <col min="40" max="40" width="6" style="3" customWidth="1"/>
    <col min="41" max="41" width="5.5546875" style="3" customWidth="1"/>
    <col min="42" max="42" width="5.6640625" style="3" customWidth="1"/>
    <col min="43" max="44" width="5.88671875" style="3" customWidth="1"/>
    <col min="45" max="45" width="6.109375" style="3" customWidth="1"/>
    <col min="46" max="16384" width="9.109375" style="3"/>
  </cols>
  <sheetData>
    <row r="2" spans="1:20" ht="18.75" customHeight="1" x14ac:dyDescent="0.2">
      <c r="A2" s="160" t="s">
        <v>86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</row>
    <row r="3" spans="1:20" ht="12" x14ac:dyDescent="0.25">
      <c r="A3" s="4"/>
    </row>
    <row r="4" spans="1:20" ht="12" x14ac:dyDescent="0.25">
      <c r="A4" s="4"/>
    </row>
    <row r="5" spans="1:20" ht="12" x14ac:dyDescent="0.25">
      <c r="A5" s="4"/>
    </row>
    <row r="6" spans="1:20" ht="12" x14ac:dyDescent="0.25">
      <c r="A6" s="4"/>
    </row>
    <row r="7" spans="1:20" ht="12" x14ac:dyDescent="0.25">
      <c r="A7" s="4"/>
    </row>
    <row r="8" spans="1:20" ht="12" x14ac:dyDescent="0.25">
      <c r="A8" s="4"/>
    </row>
    <row r="9" spans="1:20" ht="12" x14ac:dyDescent="0.25">
      <c r="A9" s="4"/>
    </row>
    <row r="10" spans="1:20" ht="12" x14ac:dyDescent="0.25">
      <c r="A10" s="4"/>
    </row>
    <row r="11" spans="1:20" ht="12" x14ac:dyDescent="0.25">
      <c r="A11" s="4"/>
    </row>
    <row r="12" spans="1:20" ht="12" x14ac:dyDescent="0.25">
      <c r="A12" s="4"/>
    </row>
    <row r="13" spans="1:20" ht="12" x14ac:dyDescent="0.25">
      <c r="A13" s="4"/>
    </row>
    <row r="14" spans="1:20" ht="12" x14ac:dyDescent="0.25">
      <c r="A14" s="4"/>
    </row>
    <row r="15" spans="1:20" ht="12" x14ac:dyDescent="0.25">
      <c r="A15" s="4"/>
    </row>
    <row r="16" spans="1:20" ht="12" x14ac:dyDescent="0.25">
      <c r="A16" s="4"/>
    </row>
    <row r="17" spans="1:45" ht="12" x14ac:dyDescent="0.25">
      <c r="A17" s="4"/>
    </row>
    <row r="18" spans="1:45" ht="12" x14ac:dyDescent="0.25">
      <c r="A18" s="4"/>
    </row>
    <row r="19" spans="1:45" ht="12" x14ac:dyDescent="0.25">
      <c r="A19" s="4"/>
    </row>
    <row r="20" spans="1:45" ht="12" x14ac:dyDescent="0.25">
      <c r="A20" s="4"/>
    </row>
    <row r="21" spans="1:45" ht="15" customHeight="1" x14ac:dyDescent="0.25">
      <c r="A21" s="4"/>
    </row>
    <row r="22" spans="1:45" ht="12" x14ac:dyDescent="0.25">
      <c r="A22" s="4"/>
    </row>
    <row r="23" spans="1:45" ht="12" x14ac:dyDescent="0.25">
      <c r="A23" s="173"/>
      <c r="B23" s="164">
        <v>2023</v>
      </c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6"/>
      <c r="N23" s="167">
        <v>2024</v>
      </c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8"/>
      <c r="Z23" s="167">
        <v>2025</v>
      </c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7">
        <v>2026</v>
      </c>
      <c r="AM23" s="161"/>
      <c r="AN23" s="161"/>
      <c r="AO23" s="161"/>
      <c r="AP23" s="161"/>
      <c r="AQ23" s="161"/>
      <c r="AR23" s="161"/>
      <c r="AS23" s="161"/>
    </row>
    <row r="24" spans="1:45" ht="12" x14ac:dyDescent="0.25">
      <c r="A24" s="174"/>
      <c r="B24" s="42" t="s">
        <v>13</v>
      </c>
      <c r="C24" s="42" t="s">
        <v>14</v>
      </c>
      <c r="D24" s="42" t="s">
        <v>15</v>
      </c>
      <c r="E24" s="35" t="s">
        <v>16</v>
      </c>
      <c r="F24" s="35" t="s">
        <v>17</v>
      </c>
      <c r="G24" s="35" t="s">
        <v>22</v>
      </c>
      <c r="H24" s="35" t="s">
        <v>18</v>
      </c>
      <c r="I24" s="35" t="s">
        <v>23</v>
      </c>
      <c r="J24" s="35" t="s">
        <v>19</v>
      </c>
      <c r="K24" s="40" t="s">
        <v>24</v>
      </c>
      <c r="L24" s="114" t="s">
        <v>20</v>
      </c>
      <c r="M24" s="114" t="s">
        <v>21</v>
      </c>
      <c r="N24" s="35" t="s">
        <v>13</v>
      </c>
      <c r="O24" s="35" t="s">
        <v>14</v>
      </c>
      <c r="P24" s="35" t="s">
        <v>15</v>
      </c>
      <c r="Q24" s="35" t="s">
        <v>16</v>
      </c>
      <c r="R24" s="35" t="s">
        <v>17</v>
      </c>
      <c r="S24" s="42" t="s">
        <v>22</v>
      </c>
      <c r="T24" s="42" t="s">
        <v>18</v>
      </c>
      <c r="U24" s="42" t="s">
        <v>23</v>
      </c>
      <c r="V24" s="42" t="s">
        <v>19</v>
      </c>
      <c r="W24" s="42" t="s">
        <v>24</v>
      </c>
      <c r="X24" s="110" t="s">
        <v>20</v>
      </c>
      <c r="Y24" s="110" t="s">
        <v>21</v>
      </c>
      <c r="Z24" s="35" t="s">
        <v>13</v>
      </c>
      <c r="AA24" s="35" t="s">
        <v>14</v>
      </c>
      <c r="AB24" s="42" t="s">
        <v>15</v>
      </c>
      <c r="AC24" s="42" t="s">
        <v>16</v>
      </c>
      <c r="AD24" s="42" t="s">
        <v>17</v>
      </c>
      <c r="AE24" s="42" t="s">
        <v>22</v>
      </c>
      <c r="AF24" s="42" t="s">
        <v>18</v>
      </c>
      <c r="AG24" s="42" t="s">
        <v>23</v>
      </c>
      <c r="AH24" s="42" t="s">
        <v>19</v>
      </c>
      <c r="AI24" s="43" t="s">
        <v>24</v>
      </c>
      <c r="AJ24" s="110" t="s">
        <v>20</v>
      </c>
      <c r="AK24" s="52" t="s">
        <v>21</v>
      </c>
      <c r="AL24" s="20" t="s">
        <v>13</v>
      </c>
      <c r="AM24" s="42" t="s">
        <v>14</v>
      </c>
      <c r="AN24" s="43" t="s">
        <v>15</v>
      </c>
      <c r="AO24" s="43" t="s">
        <v>16</v>
      </c>
      <c r="AP24" s="131" t="s">
        <v>17</v>
      </c>
      <c r="AQ24" s="131" t="s">
        <v>22</v>
      </c>
      <c r="AR24" s="29" t="s">
        <v>18</v>
      </c>
      <c r="AS24" s="29" t="s">
        <v>23</v>
      </c>
    </row>
    <row r="25" spans="1:45" ht="27.75" customHeight="1" x14ac:dyDescent="0.25">
      <c r="A25" s="112" t="s">
        <v>50</v>
      </c>
      <c r="B25" s="59">
        <v>82.252283708917631</v>
      </c>
      <c r="C25" s="56">
        <v>103.48453332116594</v>
      </c>
      <c r="D25" s="56">
        <v>109.14931788315596</v>
      </c>
      <c r="E25" s="56">
        <v>82.116742546916299</v>
      </c>
      <c r="F25" s="56">
        <v>103.58234248839011</v>
      </c>
      <c r="G25" s="56">
        <v>94.159962908645028</v>
      </c>
      <c r="H25" s="56">
        <v>94.197873539667725</v>
      </c>
      <c r="I25" s="56">
        <v>110.68204564271207</v>
      </c>
      <c r="J25" s="56">
        <v>102.60163799542805</v>
      </c>
      <c r="K25" s="56">
        <v>102.90415729294948</v>
      </c>
      <c r="L25" s="56">
        <v>100.94103787876509</v>
      </c>
      <c r="M25" s="58">
        <v>108.54391428423472</v>
      </c>
      <c r="N25" s="59">
        <v>77.200423490896014</v>
      </c>
      <c r="O25" s="56">
        <v>121.80309679859795</v>
      </c>
      <c r="P25" s="56">
        <v>103.02988146068498</v>
      </c>
      <c r="Q25" s="56">
        <v>100.84623159561619</v>
      </c>
      <c r="R25" s="56">
        <v>88.38096780878837</v>
      </c>
      <c r="S25" s="56">
        <v>100.59675350829211</v>
      </c>
      <c r="T25" s="56">
        <v>113.02429366992068</v>
      </c>
      <c r="U25" s="56">
        <v>92.041079174009695</v>
      </c>
      <c r="V25" s="56">
        <v>104.01867889955554</v>
      </c>
      <c r="W25" s="56">
        <v>104.21014653190718</v>
      </c>
      <c r="X25" s="56">
        <v>105.53702135630085</v>
      </c>
      <c r="Y25" s="56">
        <v>105.29693257994357</v>
      </c>
      <c r="Z25" s="59">
        <v>86.16854833754897</v>
      </c>
      <c r="AA25" s="56">
        <v>120.15346600679437</v>
      </c>
      <c r="AB25" s="56">
        <v>106.4378738578267</v>
      </c>
      <c r="AC25" s="56">
        <v>86.1509742923609</v>
      </c>
      <c r="AD25" s="56">
        <v>98.958855110262689</v>
      </c>
      <c r="AE25" s="56">
        <v>97.714064263175288</v>
      </c>
      <c r="AF25" s="56">
        <v>104.62362504106866</v>
      </c>
      <c r="AG25" s="56">
        <v>98.614889465225147</v>
      </c>
      <c r="AH25" s="56">
        <v>104.39953253264311</v>
      </c>
      <c r="AI25" s="56">
        <v>107.18399632033208</v>
      </c>
      <c r="AJ25" s="56">
        <v>98.997092888230256</v>
      </c>
      <c r="AK25" s="58">
        <v>110.94500767651709</v>
      </c>
      <c r="AL25" s="56">
        <v>74.366676697988723</v>
      </c>
      <c r="AM25" s="56">
        <v>117.71062532806742</v>
      </c>
      <c r="AN25" s="56">
        <v>113.41378743680312</v>
      </c>
      <c r="AO25" s="56">
        <v>97.81031391758323</v>
      </c>
      <c r="AP25" s="56">
        <v>88.459017745069062</v>
      </c>
      <c r="AQ25" s="56">
        <v>100.84694617661407</v>
      </c>
      <c r="AR25" s="56">
        <v>105.41195803900891</v>
      </c>
      <c r="AS25" s="56">
        <v>95.321301603753611</v>
      </c>
    </row>
    <row r="26" spans="1:45" ht="36.75" customHeight="1" x14ac:dyDescent="0.25">
      <c r="A26" s="113" t="s">
        <v>51</v>
      </c>
      <c r="B26" s="83">
        <f>IF(551258.99586="","-",679004.15032/551258.99586*100)</f>
        <v>123.17334599877307</v>
      </c>
      <c r="C26" s="57">
        <f>IF(591024.32547="","-",702664.27619/591024.32547*100)</f>
        <v>118.88923110418857</v>
      </c>
      <c r="D26" s="57">
        <f>IF(678155.41274="","-",766953.26447/678155.41274*100)</f>
        <v>113.09402683541575</v>
      </c>
      <c r="E26" s="57">
        <f>IF(711082.37685="","-",629797.03764/711082.37685*100)</f>
        <v>88.568787266240065</v>
      </c>
      <c r="F26" s="57">
        <f>IF(730223.06006="","-",652358.52451/730223.06006*100)</f>
        <v>89.336883507403599</v>
      </c>
      <c r="G26" s="57">
        <f>IF(725910.04491="","-",614260.54471/725910.04491*100)</f>
        <v>84.619375226603651</v>
      </c>
      <c r="H26" s="57">
        <f>IF(746973.20906="","-",578620.37111/746973.20906*100)</f>
        <v>77.461997845698207</v>
      </c>
      <c r="I26" s="57">
        <f>IF(769517.35839="","-",640428.86325/769517.35839*100)</f>
        <v>83.224745519700619</v>
      </c>
      <c r="J26" s="57">
        <f>IF(852789.03418="","-",657090.50389/852789.03418*100)</f>
        <v>77.051941049151267</v>
      </c>
      <c r="K26" s="57">
        <f>IF(764595.58357="","-",676173.44568/764595.58357*100)</f>
        <v>88.435437008785073</v>
      </c>
      <c r="L26" s="57">
        <f>IF(840464.23421="","-",682536.49393/840464.23421*100)</f>
        <v>81.209463311851067</v>
      </c>
      <c r="M26" s="72">
        <f>IF(825514.0401="","-",740851.82693/825514.0401*100)</f>
        <v>89.744303663236991</v>
      </c>
      <c r="N26" s="83">
        <f>IF(679004.15032="","-",571940.74783/679004.15032*100)</f>
        <v>84.232290415376212</v>
      </c>
      <c r="O26" s="57">
        <f>IF(702664.27619="","-",696641.54271/702664.27619*100)</f>
        <v>99.142871825979739</v>
      </c>
      <c r="P26" s="57">
        <f>IF(766953.26447="","-",717748.95566/766953.26447*100)</f>
        <v>93.58444496041065</v>
      </c>
      <c r="Q26" s="57">
        <f>IF(629797.03764="","-",723822.7741/629797.03764*100)</f>
        <v>114.92952980730695</v>
      </c>
      <c r="R26" s="57">
        <f>IF(652358.52451="","-",639721.57297/652358.52451*100)</f>
        <v>98.062882438841143</v>
      </c>
      <c r="S26" s="57">
        <f>IF(614260.54471="","-",643539.1339/614260.54471*100)</f>
        <v>104.76647726150516</v>
      </c>
      <c r="T26" s="57">
        <f>IF(578620.37111="","-",727355.56058/578620.37111*100)</f>
        <v>125.70514224804651</v>
      </c>
      <c r="U26" s="57">
        <f>IF(640428.86325="","-",669465.90739/640428.86325*100)</f>
        <v>104.53399991884265</v>
      </c>
      <c r="V26" s="57">
        <f>IF(657090.50389="","-",696369.59255/657090.50389*100)</f>
        <v>105.9777288558374</v>
      </c>
      <c r="W26" s="57">
        <f>IF(676173.44568="","-",725687.7728/676173.44568*100)</f>
        <v>107.32272576457147</v>
      </c>
      <c r="X26" s="57">
        <f>IF(682536.49393="","-",765869.25976/682536.49393*100)</f>
        <v>112.20927621762398</v>
      </c>
      <c r="Y26" s="57">
        <f>IF(740851.82693="","-",806436.8381/740851.82693*100)</f>
        <v>108.8526489084567</v>
      </c>
      <c r="Z26" s="83">
        <f>IF(571940.74783="","-",694894.91665/571940.74783*100)</f>
        <v>121.49771095808444</v>
      </c>
      <c r="AA26" s="57">
        <f>IF(696641.54271="","-",834940.32746/696641.54271*100)</f>
        <v>119.85221613571953</v>
      </c>
      <c r="AB26" s="57">
        <f>IF(717748.95566="","-",888692.73253/717748.95566*100)</f>
        <v>123.81665281739214</v>
      </c>
      <c r="AC26" s="57">
        <f>IF(723822.7741="","-",765617.44754/723822.7741*100)</f>
        <v>105.77415839007931</v>
      </c>
      <c r="AD26" s="57">
        <f>IF(639721.57297="","-",757646.26061/639721.57297*100)</f>
        <v>118.4337519043664</v>
      </c>
      <c r="AE26" s="57">
        <f>IF(643539.1339="","-",740326.95398/643539.1339*100)</f>
        <v>115.03992764098786</v>
      </c>
      <c r="AF26" s="57">
        <f>IF(727355.56058="","-",774556.89641/727355.56058*100)</f>
        <v>106.48944455616194</v>
      </c>
      <c r="AG26" s="57">
        <f>IF(669465.90739="","-",763828.42724/669465.90739*100)</f>
        <v>114.09519421502503</v>
      </c>
      <c r="AH26" s="57">
        <f>IF(696369.59255="","-",797433.30739/696369.59255*100)</f>
        <v>114.51294196662435</v>
      </c>
      <c r="AI26" s="57">
        <f>IF(725687.7728="","-",854720.88685/725687.7728*100)</f>
        <v>117.78080310656709</v>
      </c>
      <c r="AJ26" s="57">
        <f>IF(765869.25976="","-",846148.83029/765869.25976*100)</f>
        <v>110.48215077272549</v>
      </c>
      <c r="AK26" s="72">
        <f>IF(806436.8381="","-",938759.88472/806436.8381*100)</f>
        <v>116.40835839441048</v>
      </c>
      <c r="AL26" s="57">
        <f>IF(694894.91665="","-",698490.91999/694894.91665*100)</f>
        <v>100.51748879633999</v>
      </c>
      <c r="AM26" s="57">
        <f>IF(834940.32746="","-",822198.02978/834940.32746*100)</f>
        <v>98.473867262015744</v>
      </c>
      <c r="AN26" s="57">
        <f>IF(888692.73253="","-",932485.92636/888692.73253*100)</f>
        <v>104.92782175739484</v>
      </c>
      <c r="AO26" s="57">
        <f>IF(765617.44754="","-",912067.41181/765617.44754*100)</f>
        <v>119.12834728891791</v>
      </c>
      <c r="AP26" s="57">
        <f>IF(757646.26061="","-",806805.87366/757646.26061*100)</f>
        <v>106.48846508005205</v>
      </c>
      <c r="AQ26" s="57">
        <f>IF(740326.95398="","-",813639.0852/740326.95398*100)</f>
        <v>109.90266946595335</v>
      </c>
      <c r="AR26" s="57">
        <f>IF(774556.89641="","-",857672.89108/774556.89641*100)</f>
        <v>110.73077976004538</v>
      </c>
      <c r="AS26" s="57">
        <f>IF(763828.42724="","-",817544.96328/763828.42724*100)</f>
        <v>107.03253952384281</v>
      </c>
    </row>
    <row r="27" spans="1:45" x14ac:dyDescent="0.2">
      <c r="A27" s="7"/>
    </row>
    <row r="29" spans="1:45" x14ac:dyDescent="0.2"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</row>
  </sheetData>
  <mergeCells count="6">
    <mergeCell ref="AL23:AS23"/>
    <mergeCell ref="A2:T2"/>
    <mergeCell ref="Z23:AK23"/>
    <mergeCell ref="A23:A24"/>
    <mergeCell ref="B23:M23"/>
    <mergeCell ref="N23:Y23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M45"/>
  <sheetViews>
    <sheetView workbookViewId="0">
      <selection activeCell="A2" sqref="A2:G2"/>
    </sheetView>
  </sheetViews>
  <sheetFormatPr defaultColWidth="9.109375" defaultRowHeight="11.4" x14ac:dyDescent="0.2"/>
  <cols>
    <col min="1" max="1" width="26.109375" style="3" customWidth="1"/>
    <col min="2" max="6" width="12.33203125" style="3" customWidth="1"/>
    <col min="7" max="7" width="14" style="3" customWidth="1"/>
    <col min="8" max="16384" width="9.109375" style="3"/>
  </cols>
  <sheetData>
    <row r="2" spans="1:13" ht="20.25" customHeight="1" x14ac:dyDescent="0.2">
      <c r="A2" s="160" t="s">
        <v>103</v>
      </c>
      <c r="B2" s="160"/>
      <c r="C2" s="160"/>
      <c r="D2" s="160"/>
      <c r="E2" s="160"/>
      <c r="F2" s="160"/>
      <c r="G2" s="160"/>
      <c r="H2" s="65"/>
      <c r="I2" s="65"/>
      <c r="J2" s="65"/>
      <c r="K2" s="65"/>
      <c r="L2" s="65"/>
      <c r="M2" s="65"/>
    </row>
    <row r="3" spans="1:13" ht="16.5" customHeight="1" x14ac:dyDescent="0.25">
      <c r="A3" s="4"/>
      <c r="B3" s="4"/>
      <c r="C3" s="4"/>
      <c r="D3" s="4"/>
      <c r="E3" s="4"/>
      <c r="F3" s="4"/>
      <c r="G3" s="4"/>
    </row>
    <row r="4" spans="1:13" ht="16.5" customHeight="1" x14ac:dyDescent="0.25">
      <c r="A4" s="4"/>
      <c r="B4" s="4"/>
      <c r="C4" s="4"/>
      <c r="D4" s="4"/>
      <c r="E4" s="4"/>
      <c r="F4" s="4"/>
      <c r="G4" s="4"/>
    </row>
    <row r="5" spans="1:13" ht="16.5" customHeight="1" x14ac:dyDescent="0.25">
      <c r="A5" s="4"/>
      <c r="B5" s="4"/>
      <c r="C5" s="4"/>
      <c r="D5" s="4"/>
      <c r="E5" s="4"/>
      <c r="F5" s="4"/>
      <c r="G5" s="4"/>
    </row>
    <row r="6" spans="1:13" ht="16.5" customHeight="1" x14ac:dyDescent="0.25">
      <c r="A6" s="4"/>
      <c r="B6" s="4"/>
      <c r="C6" s="4"/>
      <c r="D6" s="4"/>
      <c r="E6" s="4"/>
      <c r="F6" s="4"/>
      <c r="G6" s="4"/>
    </row>
    <row r="7" spans="1:13" ht="16.5" customHeight="1" x14ac:dyDescent="0.25">
      <c r="A7" s="4"/>
      <c r="B7" s="4"/>
      <c r="C7" s="4"/>
      <c r="D7" s="4"/>
      <c r="E7" s="4"/>
      <c r="F7" s="4"/>
      <c r="G7" s="4"/>
    </row>
    <row r="8" spans="1:13" ht="16.5" customHeight="1" x14ac:dyDescent="0.25">
      <c r="A8" s="4"/>
      <c r="B8" s="4"/>
      <c r="C8" s="4"/>
      <c r="D8" s="4"/>
      <c r="E8" s="4"/>
      <c r="F8" s="4"/>
      <c r="G8" s="4"/>
    </row>
    <row r="9" spans="1:13" ht="16.5" customHeight="1" x14ac:dyDescent="0.25">
      <c r="A9" s="4"/>
      <c r="B9" s="4"/>
      <c r="C9" s="4"/>
      <c r="D9" s="4"/>
      <c r="E9" s="4"/>
      <c r="F9" s="4"/>
      <c r="G9" s="4"/>
    </row>
    <row r="10" spans="1:13" ht="16.5" customHeight="1" x14ac:dyDescent="0.25">
      <c r="A10" s="4"/>
      <c r="B10" s="4"/>
      <c r="C10" s="4"/>
      <c r="D10" s="4"/>
      <c r="E10" s="4"/>
      <c r="F10" s="4"/>
      <c r="G10" s="4"/>
    </row>
    <row r="11" spans="1:13" ht="16.5" customHeight="1" x14ac:dyDescent="0.25">
      <c r="A11" s="4"/>
      <c r="B11" s="4"/>
      <c r="C11" s="4"/>
      <c r="D11" s="4"/>
      <c r="E11" s="4"/>
      <c r="F11" s="4"/>
      <c r="G11" s="4"/>
    </row>
    <row r="12" spans="1:13" ht="16.5" customHeight="1" x14ac:dyDescent="0.25">
      <c r="A12" s="4"/>
      <c r="B12" s="4"/>
      <c r="C12" s="4"/>
      <c r="D12" s="4"/>
      <c r="E12" s="4"/>
      <c r="F12" s="4"/>
      <c r="G12" s="4"/>
    </row>
    <row r="13" spans="1:13" ht="16.5" customHeight="1" x14ac:dyDescent="0.25">
      <c r="A13" s="4"/>
      <c r="B13" s="4"/>
      <c r="C13" s="4"/>
      <c r="D13" s="4"/>
      <c r="E13" s="4"/>
      <c r="F13" s="4"/>
      <c r="G13" s="4"/>
    </row>
    <row r="14" spans="1:13" ht="16.5" customHeight="1" x14ac:dyDescent="0.25">
      <c r="A14" s="4"/>
      <c r="B14" s="4"/>
      <c r="C14" s="4"/>
      <c r="D14" s="4"/>
      <c r="E14" s="4"/>
      <c r="F14" s="4"/>
      <c r="G14" s="4"/>
    </row>
    <row r="15" spans="1:13" ht="16.5" customHeight="1" x14ac:dyDescent="0.25">
      <c r="A15" s="4"/>
      <c r="B15" s="4"/>
      <c r="C15" s="4"/>
      <c r="D15" s="4"/>
      <c r="E15" s="4"/>
      <c r="F15" s="4"/>
      <c r="G15" s="4"/>
    </row>
    <row r="16" spans="1:13" ht="16.5" customHeight="1" x14ac:dyDescent="0.25">
      <c r="A16" s="4"/>
      <c r="B16" s="4"/>
      <c r="C16" s="4"/>
      <c r="D16" s="4"/>
      <c r="E16" s="4"/>
      <c r="F16" s="4"/>
      <c r="G16" s="4"/>
    </row>
    <row r="17" spans="1:7" ht="16.5" customHeight="1" x14ac:dyDescent="0.25">
      <c r="A17" s="4"/>
      <c r="B17" s="4"/>
      <c r="C17" s="4"/>
      <c r="D17" s="4"/>
      <c r="E17" s="4"/>
      <c r="F17" s="4"/>
      <c r="G17" s="4"/>
    </row>
    <row r="18" spans="1:7" ht="16.5" customHeight="1" x14ac:dyDescent="0.25">
      <c r="A18" s="4"/>
      <c r="B18" s="4"/>
      <c r="C18" s="4"/>
      <c r="D18" s="4"/>
      <c r="E18" s="4"/>
      <c r="F18" s="4"/>
      <c r="G18" s="4"/>
    </row>
    <row r="19" spans="1:7" ht="16.5" customHeight="1" x14ac:dyDescent="0.25">
      <c r="A19" s="2"/>
      <c r="B19" s="2"/>
      <c r="C19" s="2"/>
      <c r="D19" s="2"/>
      <c r="E19" s="2"/>
      <c r="F19" s="2"/>
      <c r="G19" s="2"/>
    </row>
    <row r="20" spans="1:7" ht="34.5" customHeight="1" x14ac:dyDescent="0.2">
      <c r="A20" s="26" t="s">
        <v>25</v>
      </c>
      <c r="B20" s="17" t="s">
        <v>90</v>
      </c>
      <c r="C20" s="17" t="s">
        <v>91</v>
      </c>
      <c r="D20" s="17" t="s">
        <v>92</v>
      </c>
      <c r="E20" s="17" t="s">
        <v>93</v>
      </c>
      <c r="F20" s="17" t="s">
        <v>94</v>
      </c>
      <c r="G20" s="54"/>
    </row>
    <row r="21" spans="1:7" ht="12" x14ac:dyDescent="0.2">
      <c r="A21" s="120" t="s">
        <v>26</v>
      </c>
      <c r="B21" s="86">
        <v>5.2</v>
      </c>
      <c r="C21" s="86">
        <v>3.1</v>
      </c>
      <c r="D21" s="86">
        <v>4.0999999999999996</v>
      </c>
      <c r="E21" s="86">
        <v>7.7</v>
      </c>
      <c r="F21" s="87">
        <v>7.5</v>
      </c>
      <c r="G21" s="51"/>
    </row>
    <row r="22" spans="1:7" ht="12" x14ac:dyDescent="0.2">
      <c r="A22" s="121" t="s">
        <v>27</v>
      </c>
      <c r="B22" s="144">
        <v>1.5</v>
      </c>
      <c r="C22" s="144">
        <v>1.6</v>
      </c>
      <c r="D22" s="144">
        <v>2.5</v>
      </c>
      <c r="E22" s="144">
        <v>4</v>
      </c>
      <c r="F22" s="88">
        <v>4.8</v>
      </c>
      <c r="G22" s="51"/>
    </row>
    <row r="23" spans="1:7" ht="12" x14ac:dyDescent="0.2">
      <c r="A23" s="121" t="s">
        <v>28</v>
      </c>
      <c r="B23" s="144">
        <v>78</v>
      </c>
      <c r="C23" s="144">
        <v>79.7</v>
      </c>
      <c r="D23" s="144">
        <v>84.8</v>
      </c>
      <c r="E23" s="144">
        <v>78.7</v>
      </c>
      <c r="F23" s="88">
        <v>76.8</v>
      </c>
      <c r="G23" s="51"/>
    </row>
    <row r="24" spans="1:7" ht="12" x14ac:dyDescent="0.2">
      <c r="A24" s="121" t="s">
        <v>29</v>
      </c>
      <c r="B24" s="144">
        <v>1.5</v>
      </c>
      <c r="C24" s="144">
        <v>1.9</v>
      </c>
      <c r="D24" s="144">
        <v>2.1</v>
      </c>
      <c r="E24" s="144">
        <v>1.8</v>
      </c>
      <c r="F24" s="88">
        <v>1.6</v>
      </c>
      <c r="G24" s="51"/>
    </row>
    <row r="25" spans="1:7" ht="12" x14ac:dyDescent="0.2">
      <c r="A25" s="121" t="s">
        <v>74</v>
      </c>
      <c r="B25" s="144">
        <v>0</v>
      </c>
      <c r="C25" s="144">
        <v>0.1</v>
      </c>
      <c r="D25" s="144">
        <v>0.1</v>
      </c>
      <c r="E25" s="144">
        <v>0.1</v>
      </c>
      <c r="F25" s="88">
        <v>0.1</v>
      </c>
      <c r="G25" s="51"/>
    </row>
    <row r="26" spans="1:7" ht="12" x14ac:dyDescent="0.2">
      <c r="A26" s="121" t="s">
        <v>75</v>
      </c>
      <c r="B26" s="144">
        <v>13.3</v>
      </c>
      <c r="C26" s="144">
        <v>13</v>
      </c>
      <c r="D26" s="144">
        <v>5.6</v>
      </c>
      <c r="E26" s="144">
        <v>7</v>
      </c>
      <c r="F26" s="88">
        <v>8.6</v>
      </c>
      <c r="G26" s="51"/>
    </row>
    <row r="27" spans="1:7" ht="12" x14ac:dyDescent="0.2">
      <c r="A27" s="122" t="s">
        <v>42</v>
      </c>
      <c r="B27" s="90">
        <v>0.5</v>
      </c>
      <c r="C27" s="90">
        <v>0.6</v>
      </c>
      <c r="D27" s="90">
        <v>0.8</v>
      </c>
      <c r="E27" s="90">
        <v>0.7</v>
      </c>
      <c r="F27" s="91">
        <v>0.6</v>
      </c>
      <c r="G27" s="51"/>
    </row>
    <row r="30" spans="1:7" ht="14.4" x14ac:dyDescent="0.35">
      <c r="F30" s="61"/>
    </row>
    <row r="32" spans="1:7" ht="13.8" x14ac:dyDescent="0.2">
      <c r="B32" s="31"/>
      <c r="C32" s="31"/>
      <c r="D32" s="32"/>
      <c r="E32" s="32"/>
      <c r="F32" s="32"/>
      <c r="G32" s="32"/>
    </row>
    <row r="33" spans="2:7" ht="13.8" x14ac:dyDescent="0.2">
      <c r="B33" s="31"/>
      <c r="C33" s="31"/>
      <c r="D33" s="32"/>
      <c r="E33" s="32"/>
      <c r="F33" s="32"/>
      <c r="G33" s="32"/>
    </row>
    <row r="34" spans="2:7" ht="13.8" x14ac:dyDescent="0.2">
      <c r="B34" s="31"/>
      <c r="C34" s="31"/>
      <c r="D34" s="32"/>
      <c r="E34" s="32"/>
      <c r="F34" s="32"/>
      <c r="G34" s="32"/>
    </row>
    <row r="35" spans="2:7" ht="13.8" x14ac:dyDescent="0.2">
      <c r="B35" s="31"/>
      <c r="C35" s="31"/>
      <c r="D35" s="32"/>
      <c r="E35" s="32"/>
      <c r="F35" s="32"/>
      <c r="G35" s="32"/>
    </row>
    <row r="36" spans="2:7" ht="13.8" x14ac:dyDescent="0.2">
      <c r="B36" s="31"/>
      <c r="C36" s="31"/>
      <c r="D36" s="32"/>
      <c r="E36" s="32"/>
      <c r="F36" s="32"/>
      <c r="G36" s="32"/>
    </row>
    <row r="37" spans="2:7" ht="13.8" x14ac:dyDescent="0.2">
      <c r="B37" s="31"/>
      <c r="C37" s="31"/>
      <c r="D37" s="32"/>
      <c r="E37" s="32"/>
      <c r="F37" s="32"/>
      <c r="G37" s="32"/>
    </row>
    <row r="38" spans="2:7" ht="13.8" x14ac:dyDescent="0.2">
      <c r="B38" s="31"/>
      <c r="C38" s="31"/>
      <c r="D38" s="32"/>
      <c r="E38" s="32"/>
      <c r="F38" s="32"/>
      <c r="G38" s="32"/>
    </row>
    <row r="44" spans="2:7" ht="14.4" x14ac:dyDescent="0.35">
      <c r="C44" s="61"/>
    </row>
    <row r="45" spans="2:7" ht="14.4" x14ac:dyDescent="0.35">
      <c r="C45" s="6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M47"/>
  <sheetViews>
    <sheetView workbookViewId="0">
      <selection activeCell="A2" sqref="A2:G2"/>
    </sheetView>
  </sheetViews>
  <sheetFormatPr defaultColWidth="9.109375" defaultRowHeight="11.4" x14ac:dyDescent="0.2"/>
  <cols>
    <col min="1" max="1" width="26.44140625" style="3" bestFit="1" customWidth="1"/>
    <col min="2" max="6" width="12.6640625" style="3" customWidth="1"/>
    <col min="7" max="7" width="14.109375" style="3" customWidth="1"/>
    <col min="8" max="16384" width="9.109375" style="3"/>
  </cols>
  <sheetData>
    <row r="2" spans="1:13" ht="14.4" x14ac:dyDescent="0.2">
      <c r="A2" s="171" t="s">
        <v>100</v>
      </c>
      <c r="B2" s="172"/>
      <c r="C2" s="172"/>
      <c r="D2" s="172"/>
      <c r="E2" s="172"/>
      <c r="F2" s="172"/>
      <c r="G2" s="172"/>
      <c r="H2" s="66"/>
      <c r="I2" s="66"/>
      <c r="J2" s="66"/>
      <c r="K2" s="66"/>
      <c r="L2" s="66"/>
      <c r="M2" s="66"/>
    </row>
    <row r="3" spans="1:13" x14ac:dyDescent="0.2">
      <c r="A3" s="28"/>
      <c r="B3" s="28"/>
      <c r="C3" s="28"/>
      <c r="D3" s="28"/>
      <c r="E3" s="28"/>
      <c r="F3" s="28"/>
      <c r="G3" s="28"/>
      <c r="H3" s="27"/>
      <c r="I3" s="27"/>
      <c r="J3" s="27"/>
      <c r="K3" s="27"/>
      <c r="L3" s="27"/>
      <c r="M3" s="27"/>
    </row>
    <row r="4" spans="1:13" ht="12" x14ac:dyDescent="0.25">
      <c r="A4" s="4"/>
      <c r="B4" s="4"/>
      <c r="C4" s="4"/>
      <c r="D4" s="4"/>
      <c r="E4" s="4"/>
      <c r="F4" s="4"/>
      <c r="G4" s="4"/>
    </row>
    <row r="5" spans="1:13" ht="12" x14ac:dyDescent="0.25">
      <c r="A5" s="4"/>
      <c r="B5" s="4"/>
      <c r="C5" s="4"/>
      <c r="D5" s="4"/>
      <c r="E5" s="4"/>
      <c r="F5" s="4"/>
      <c r="G5" s="4"/>
    </row>
    <row r="6" spans="1:13" ht="12" x14ac:dyDescent="0.25">
      <c r="A6" s="4"/>
      <c r="B6" s="4"/>
      <c r="C6" s="4"/>
      <c r="D6" s="4"/>
      <c r="E6" s="4"/>
      <c r="F6" s="4"/>
      <c r="G6" s="4"/>
    </row>
    <row r="7" spans="1:13" ht="12" x14ac:dyDescent="0.25">
      <c r="A7" s="4"/>
      <c r="B7" s="4"/>
      <c r="C7" s="4"/>
      <c r="D7" s="4"/>
      <c r="E7" s="4"/>
      <c r="F7" s="4"/>
      <c r="G7" s="4"/>
    </row>
    <row r="8" spans="1:13" ht="12" x14ac:dyDescent="0.25">
      <c r="A8" s="4"/>
      <c r="B8" s="4"/>
      <c r="C8" s="4"/>
      <c r="D8" s="4"/>
      <c r="E8" s="4"/>
      <c r="F8" s="4"/>
      <c r="G8" s="4"/>
    </row>
    <row r="9" spans="1:13" ht="12" x14ac:dyDescent="0.25">
      <c r="A9" s="4"/>
      <c r="B9" s="4"/>
      <c r="C9" s="4"/>
      <c r="D9" s="4"/>
      <c r="E9" s="4"/>
      <c r="F9" s="4"/>
      <c r="G9" s="4"/>
    </row>
    <row r="10" spans="1:13" ht="12" x14ac:dyDescent="0.25">
      <c r="A10" s="4"/>
      <c r="B10" s="4"/>
      <c r="C10" s="4"/>
      <c r="D10" s="4"/>
      <c r="E10" s="4"/>
      <c r="F10" s="4"/>
      <c r="G10" s="4"/>
    </row>
    <row r="11" spans="1:13" ht="12" x14ac:dyDescent="0.25">
      <c r="A11" s="4"/>
      <c r="B11" s="4"/>
      <c r="C11" s="4"/>
      <c r="D11" s="4"/>
      <c r="E11" s="4"/>
      <c r="F11" s="4"/>
      <c r="G11" s="4"/>
    </row>
    <row r="12" spans="1:13" ht="12" x14ac:dyDescent="0.25">
      <c r="A12" s="4"/>
      <c r="B12" s="4"/>
      <c r="C12" s="4"/>
      <c r="D12" s="4"/>
      <c r="E12" s="4"/>
      <c r="F12" s="4"/>
      <c r="G12" s="4"/>
    </row>
    <row r="13" spans="1:13" ht="12" x14ac:dyDescent="0.25">
      <c r="A13" s="4"/>
      <c r="B13" s="4"/>
      <c r="C13" s="4"/>
      <c r="D13" s="4"/>
      <c r="E13" s="4"/>
      <c r="F13" s="4"/>
      <c r="G13" s="4"/>
    </row>
    <row r="14" spans="1:13" ht="12" x14ac:dyDescent="0.25">
      <c r="A14" s="4"/>
      <c r="B14" s="4"/>
      <c r="C14" s="4"/>
      <c r="D14" s="4"/>
      <c r="E14" s="4"/>
      <c r="F14" s="4"/>
      <c r="G14" s="4"/>
    </row>
    <row r="15" spans="1:13" ht="12" x14ac:dyDescent="0.25">
      <c r="A15" s="4"/>
      <c r="B15" s="4"/>
      <c r="C15" s="4"/>
      <c r="D15" s="4"/>
      <c r="E15" s="4"/>
      <c r="F15" s="4"/>
      <c r="G15" s="4"/>
    </row>
    <row r="16" spans="1:13" ht="12" x14ac:dyDescent="0.25">
      <c r="A16" s="4"/>
      <c r="B16" s="4"/>
      <c r="C16" s="4"/>
      <c r="D16" s="4"/>
      <c r="E16" s="4"/>
      <c r="F16" s="4"/>
      <c r="G16" s="4"/>
    </row>
    <row r="17" spans="1:7" ht="12" x14ac:dyDescent="0.25">
      <c r="A17" s="4"/>
      <c r="B17" s="4"/>
      <c r="C17" s="4"/>
      <c r="D17" s="4"/>
      <c r="E17" s="4"/>
      <c r="F17" s="4"/>
      <c r="G17" s="4"/>
    </row>
    <row r="18" spans="1:7" ht="12" x14ac:dyDescent="0.25">
      <c r="A18" s="4"/>
      <c r="B18" s="4"/>
      <c r="C18" s="4"/>
      <c r="D18" s="4"/>
      <c r="E18" s="4"/>
      <c r="F18" s="4"/>
      <c r="G18" s="4"/>
    </row>
    <row r="19" spans="1:7" ht="12" x14ac:dyDescent="0.25">
      <c r="A19" s="5"/>
    </row>
    <row r="20" spans="1:7" ht="12" x14ac:dyDescent="0.25">
      <c r="A20" s="5"/>
    </row>
    <row r="21" spans="1:7" ht="12" x14ac:dyDescent="0.25">
      <c r="A21" s="5"/>
    </row>
    <row r="22" spans="1:7" ht="36" customHeight="1" x14ac:dyDescent="0.2">
      <c r="A22" s="15"/>
      <c r="B22" s="8" t="s">
        <v>94</v>
      </c>
      <c r="C22" s="8" t="s">
        <v>93</v>
      </c>
      <c r="D22" s="8" t="s">
        <v>92</v>
      </c>
      <c r="E22" s="8" t="s">
        <v>91</v>
      </c>
      <c r="F22" s="8" t="s">
        <v>90</v>
      </c>
      <c r="G22" s="55"/>
    </row>
    <row r="23" spans="1:7" ht="15" customHeight="1" x14ac:dyDescent="0.25">
      <c r="A23" s="12" t="s">
        <v>43</v>
      </c>
      <c r="B23" s="85">
        <v>46.2</v>
      </c>
      <c r="C23" s="86">
        <v>48.8</v>
      </c>
      <c r="D23" s="86">
        <v>49.2</v>
      </c>
      <c r="E23" s="86">
        <v>54</v>
      </c>
      <c r="F23" s="87">
        <v>53.6</v>
      </c>
      <c r="G23" s="50"/>
    </row>
    <row r="24" spans="1:7" ht="15" customHeight="1" x14ac:dyDescent="0.25">
      <c r="A24" s="13" t="s">
        <v>44</v>
      </c>
      <c r="B24" s="50">
        <v>15.4</v>
      </c>
      <c r="C24" s="144">
        <v>6.7</v>
      </c>
      <c r="D24" s="144">
        <v>3.9</v>
      </c>
      <c r="E24" s="144">
        <v>2.9</v>
      </c>
      <c r="F24" s="88">
        <v>2.7</v>
      </c>
      <c r="G24" s="50"/>
    </row>
    <row r="25" spans="1:7" ht="15.75" customHeight="1" x14ac:dyDescent="0.25">
      <c r="A25" s="14" t="s">
        <v>45</v>
      </c>
      <c r="B25" s="89">
        <v>38.4</v>
      </c>
      <c r="C25" s="90">
        <v>44.5</v>
      </c>
      <c r="D25" s="90">
        <v>46.9</v>
      </c>
      <c r="E25" s="90">
        <v>43.1</v>
      </c>
      <c r="F25" s="91">
        <v>43.7</v>
      </c>
      <c r="G25" s="50"/>
    </row>
    <row r="26" spans="1:7" x14ac:dyDescent="0.2">
      <c r="G26" s="6"/>
    </row>
    <row r="27" spans="1:7" x14ac:dyDescent="0.2">
      <c r="C27" s="47"/>
    </row>
    <row r="30" spans="1:7" ht="15.6" x14ac:dyDescent="0.2">
      <c r="B30" s="34"/>
      <c r="C30" s="34"/>
      <c r="D30" s="34"/>
      <c r="E30" s="34"/>
      <c r="F30" s="34"/>
      <c r="G30" s="34"/>
    </row>
    <row r="31" spans="1:7" ht="15.6" x14ac:dyDescent="0.2">
      <c r="B31" s="34"/>
      <c r="C31" s="34"/>
      <c r="D31" s="34"/>
      <c r="E31" s="34"/>
      <c r="F31" s="34"/>
      <c r="G31" s="34"/>
    </row>
    <row r="32" spans="1:7" ht="15.6" x14ac:dyDescent="0.2">
      <c r="B32" s="34"/>
      <c r="C32" s="34"/>
      <c r="D32" s="34"/>
      <c r="E32" s="34"/>
      <c r="F32" s="62"/>
      <c r="G32" s="34"/>
    </row>
    <row r="46" spans="3:3" ht="14.4" x14ac:dyDescent="0.35">
      <c r="C46" s="61"/>
    </row>
    <row r="47" spans="3:3" ht="14.4" x14ac:dyDescent="0.35">
      <c r="C47" s="61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M36"/>
  <sheetViews>
    <sheetView workbookViewId="0">
      <selection activeCell="A2" sqref="A2:H2"/>
    </sheetView>
  </sheetViews>
  <sheetFormatPr defaultColWidth="9.109375" defaultRowHeight="11.4" x14ac:dyDescent="0.2"/>
  <cols>
    <col min="1" max="1" width="26.44140625" style="3" customWidth="1"/>
    <col min="2" max="6" width="12.5546875" style="3" customWidth="1"/>
    <col min="7" max="7" width="14.109375" style="3" customWidth="1"/>
    <col min="8" max="16384" width="9.109375" style="3"/>
  </cols>
  <sheetData>
    <row r="2" spans="1:13" ht="17.25" customHeight="1" x14ac:dyDescent="0.2">
      <c r="A2" s="160" t="s">
        <v>101</v>
      </c>
      <c r="B2" s="160"/>
      <c r="C2" s="160"/>
      <c r="D2" s="160"/>
      <c r="E2" s="160"/>
      <c r="F2" s="160"/>
      <c r="G2" s="160"/>
      <c r="H2" s="160"/>
      <c r="I2" s="65"/>
      <c r="J2" s="65"/>
      <c r="K2" s="66"/>
      <c r="L2" s="66"/>
      <c r="M2" s="66"/>
    </row>
    <row r="3" spans="1:13" ht="15" customHeight="1" x14ac:dyDescent="0.2"/>
    <row r="4" spans="1:13" ht="13.5" customHeight="1" x14ac:dyDescent="0.2"/>
    <row r="5" spans="1:13" ht="13.5" customHeight="1" x14ac:dyDescent="0.2"/>
    <row r="6" spans="1:13" ht="15" customHeight="1" x14ac:dyDescent="0.2"/>
    <row r="7" spans="1:13" ht="15.75" customHeight="1" x14ac:dyDescent="0.2"/>
    <row r="8" spans="1:13" ht="16.5" customHeight="1" x14ac:dyDescent="0.2"/>
    <row r="9" spans="1:13" ht="13.5" customHeight="1" x14ac:dyDescent="0.2"/>
    <row r="10" spans="1:13" ht="14.25" customHeight="1" x14ac:dyDescent="0.2"/>
    <row r="11" spans="1:13" ht="16.5" customHeight="1" x14ac:dyDescent="0.2"/>
    <row r="12" spans="1:13" ht="17.25" customHeight="1" x14ac:dyDescent="0.2"/>
    <row r="13" spans="1:13" ht="21.75" customHeight="1" x14ac:dyDescent="0.2"/>
    <row r="17" spans="1:7" ht="15.75" customHeight="1" x14ac:dyDescent="0.2"/>
    <row r="22" spans="1:7" ht="35.25" customHeight="1" x14ac:dyDescent="0.2">
      <c r="A22" s="25"/>
      <c r="B22" s="78" t="s">
        <v>94</v>
      </c>
      <c r="C22" s="8" t="s">
        <v>93</v>
      </c>
      <c r="D22" s="8" t="s">
        <v>92</v>
      </c>
      <c r="E22" s="8" t="s">
        <v>91</v>
      </c>
      <c r="F22" s="8" t="s">
        <v>90</v>
      </c>
      <c r="G22" s="55"/>
    </row>
    <row r="23" spans="1:7" ht="12" x14ac:dyDescent="0.2">
      <c r="A23" s="149" t="s">
        <v>88</v>
      </c>
      <c r="B23" s="119">
        <f>IF(929121.48968="","-",929121.48968/5504144.78334*100)</f>
        <v>16.880396978151342</v>
      </c>
      <c r="C23" s="84">
        <f>IF(820723.35844="","-",820723.35844/5264087.0322*100)</f>
        <v>15.590991437255894</v>
      </c>
      <c r="D23" s="84">
        <f>IF(841794.32925="","-",841794.32925/5390236.19514*100)</f>
        <v>15.617021198606976</v>
      </c>
      <c r="E23" s="84">
        <f>IF(1427290.8736="","-",1427290.8736/6220503.96242*100)</f>
        <v>22.944939545456581</v>
      </c>
      <c r="F23" s="74">
        <f>IF(1524598.69975="","-",1524598.69975/6660905.10174*100)</f>
        <v>22.888761759295075</v>
      </c>
      <c r="G23" s="11"/>
    </row>
    <row r="24" spans="1:7" ht="12" x14ac:dyDescent="0.2">
      <c r="A24" s="150" t="s">
        <v>72</v>
      </c>
      <c r="B24" s="108">
        <f>IF(559391.42976="","-",559391.42976/5504144.78334*100)</f>
        <v>10.163094391215353</v>
      </c>
      <c r="C24" s="48">
        <f>IF(585622.35036="","-",585622.35036/5264087.0322*100)</f>
        <v>11.124860717115711</v>
      </c>
      <c r="D24" s="48">
        <f>IF(714042.89515="","-",714042.89515/5390236.19514*100)</f>
        <v>13.246968579851892</v>
      </c>
      <c r="E24" s="48">
        <f>IF(836936.55653="","-",836936.55653/6220503.96242*100)</f>
        <v>13.454481527319878</v>
      </c>
      <c r="F24" s="126">
        <f>IF(964698.84658="","-",964698.84658/6660905.10174*100)</f>
        <v>14.482999409914965</v>
      </c>
      <c r="G24" s="11"/>
    </row>
    <row r="25" spans="1:7" ht="12" x14ac:dyDescent="0.2">
      <c r="A25" s="150" t="s">
        <v>37</v>
      </c>
      <c r="B25" s="108">
        <f>IF(539015.18251="","-",539015.18251/5504144.78334*100)</f>
        <v>9.7928961487622281</v>
      </c>
      <c r="C25" s="48">
        <f>IF(638460.83761="","-",638460.83761/5264087.0322*100)</f>
        <v>12.128614776020724</v>
      </c>
      <c r="D25" s="48">
        <f>IF(708084.8416="","-",708084.8416/5390236.19514*100)</f>
        <v>13.13643439666764</v>
      </c>
      <c r="E25" s="48">
        <f>IF(642594.13165="","-",642594.13165/6220503.96242*100)</f>
        <v>10.330258376686377</v>
      </c>
      <c r="F25" s="126">
        <f>IF(627965.35483="","-",627965.35483/6660905.10174*100)</f>
        <v>9.4276280060792228</v>
      </c>
      <c r="G25" s="11"/>
    </row>
    <row r="26" spans="1:7" ht="12" x14ac:dyDescent="0.2">
      <c r="A26" s="150" t="s">
        <v>33</v>
      </c>
      <c r="B26" s="108">
        <f>IF(358527.12952="","-",358527.12952/5504144.78334*100)</f>
        <v>6.5137663276081241</v>
      </c>
      <c r="C26" s="48">
        <f>IF(374867.54958="","-",374867.54958/5264087.0322*100)</f>
        <v>7.1212262883756496</v>
      </c>
      <c r="D26" s="48">
        <f>IF(399025.77363="","-",399025.77363/5390236.19514*100)</f>
        <v>7.4027511816601592</v>
      </c>
      <c r="E26" s="48">
        <f>IF(403654.04617="","-",403654.04617/6220503.96242*100)</f>
        <v>6.4890891253924066</v>
      </c>
      <c r="F26" s="126">
        <f>IF(450365.55724="","-",450365.55724/6660905.10174*100)</f>
        <v>6.7613267320435613</v>
      </c>
      <c r="G26" s="11"/>
    </row>
    <row r="27" spans="1:7" ht="12" x14ac:dyDescent="0.2">
      <c r="A27" s="150" t="s">
        <v>34</v>
      </c>
      <c r="B27" s="108">
        <f>IF(381429.48664="","-",381429.48664/5504144.78334*100)</f>
        <v>6.9298592543298385</v>
      </c>
      <c r="C27" s="48">
        <f>IF(459065.93078="","-",459065.93078/5264087.0322*100)</f>
        <v>8.7207131639718405</v>
      </c>
      <c r="D27" s="48">
        <f>IF(406446.68382="","-",406446.68382/5390236.19514*100)</f>
        <v>7.5404243729887854</v>
      </c>
      <c r="E27" s="48">
        <f>IF(443763.51893="","-",443763.51893/6220503.96242*100)</f>
        <v>7.1338837112059332</v>
      </c>
      <c r="F27" s="126">
        <f>IF(434958.90197="","-",434958.90197/6660905.10174*100)</f>
        <v>6.530027005734965</v>
      </c>
      <c r="G27" s="11"/>
    </row>
    <row r="28" spans="1:7" ht="12" x14ac:dyDescent="0.2">
      <c r="A28" s="150" t="s">
        <v>35</v>
      </c>
      <c r="B28" s="108">
        <f>IF(277577.16597="","-",277577.16597/5504144.78334*100)</f>
        <v>5.0430571305132332</v>
      </c>
      <c r="C28" s="48">
        <f>IF(289138.39096="","-",289138.39096/5264087.0322*100)</f>
        <v>5.4926597754057545</v>
      </c>
      <c r="D28" s="48">
        <f>IF(288524.81032="","-",288524.81032/5390236.19514*100)</f>
        <v>5.3527303790535683</v>
      </c>
      <c r="E28" s="48">
        <f>IF(301602.00077="","-",301602.00077/6220503.96242*100)</f>
        <v>4.8485139241462027</v>
      </c>
      <c r="F28" s="126">
        <f>IF(320775.73492="","-",320775.73492/6660905.10174*100)</f>
        <v>4.8157980037308317</v>
      </c>
      <c r="G28" s="11"/>
    </row>
    <row r="29" spans="1:7" ht="12" x14ac:dyDescent="0.2">
      <c r="A29" s="150" t="s">
        <v>36</v>
      </c>
      <c r="B29" s="108">
        <f>IF(183537.66275="","-",183537.66275/5504144.78334*100)</f>
        <v>3.3345355177707829</v>
      </c>
      <c r="C29" s="48">
        <f>IF(190857.61904="","-",190857.61904/5264087.0322*100)</f>
        <v>3.6256547027535668</v>
      </c>
      <c r="D29" s="48">
        <f>IF(210534.08757="","-",210534.08757/5390236.19514*100)</f>
        <v>3.9058415985522843</v>
      </c>
      <c r="E29" s="48">
        <f>IF(215223.14605="","-",215223.14605/6220503.96242*100)</f>
        <v>3.4598988659155276</v>
      </c>
      <c r="F29" s="126">
        <f>IF(213647.55874="","-",213647.55874/6660905.10174*100)</f>
        <v>3.2074854014087331</v>
      </c>
      <c r="G29" s="11"/>
    </row>
    <row r="30" spans="1:7" ht="12" x14ac:dyDescent="0.2">
      <c r="A30" s="150" t="s">
        <v>89</v>
      </c>
      <c r="B30" s="108">
        <f>IF(118623.3198="","-",118623.3198/5504144.78334*100)</f>
        <v>2.1551635080358031</v>
      </c>
      <c r="C30" s="48">
        <f>IF(132250.06601="","-",132250.06601/5264087.0322*100)</f>
        <v>2.5123077411341588</v>
      </c>
      <c r="D30" s="48">
        <f>IF(138203.97843="","-",138203.97843/5390236.19514*100)</f>
        <v>2.5639688768111659</v>
      </c>
      <c r="E30" s="48">
        <f>IF(147563.13034="","-",147563.13034/6220503.96242*100)</f>
        <v>2.3722053909373706</v>
      </c>
      <c r="F30" s="126">
        <f>IF(145110.03478="","-",145110.03478/6660905.10174*100)</f>
        <v>2.1785332858456954</v>
      </c>
      <c r="G30" s="11"/>
    </row>
    <row r="31" spans="1:7" ht="12" x14ac:dyDescent="0.2">
      <c r="A31" s="150" t="s">
        <v>53</v>
      </c>
      <c r="B31" s="108">
        <f>IF(82090.11428="","-",82090.11428/5504144.78334*100)</f>
        <v>1.4914236000562917</v>
      </c>
      <c r="C31" s="48">
        <f>IF(93011.38087="","-",93011.38087/5264087.0322*100)</f>
        <v>1.7669043141015108</v>
      </c>
      <c r="D31" s="48">
        <f>IF(104163.34949="","-",104163.34949/5390236.19514*100)</f>
        <v>1.9324449934850128</v>
      </c>
      <c r="E31" s="48">
        <f>IF(109770.92195="","-",109770.92195/6220503.96242*100)</f>
        <v>1.7646628410360368</v>
      </c>
      <c r="F31" s="126">
        <f>IF(134901.14364="","-",134901.14364/6660905.10174*100)</f>
        <v>2.0252674610956451</v>
      </c>
      <c r="G31" s="11"/>
    </row>
    <row r="32" spans="1:7" ht="12" x14ac:dyDescent="0.2">
      <c r="A32" s="150" t="s">
        <v>76</v>
      </c>
      <c r="B32" s="108">
        <f>IF(738385.1932="","-",738385.1932/5504144.78334*100)</f>
        <v>13.415075770443968</v>
      </c>
      <c r="C32" s="48">
        <f>IF(216819.84614="","-",216819.84614/5264087.0322*100)</f>
        <v>4.1188499508790475</v>
      </c>
      <c r="D32" s="48">
        <f>IF(131244.11145="","-",131244.11145/5390236.19514*100)</f>
        <v>2.4348489880338384</v>
      </c>
      <c r="E32" s="48">
        <f>IF(113444.97224="","-",113444.97224/6220503.96242*100)</f>
        <v>1.8237263881729902</v>
      </c>
      <c r="F32" s="126">
        <f>IF(129732.1086="","-",129732.1086/6660905.10174*100)</f>
        <v>1.9476648686394082</v>
      </c>
      <c r="G32" s="11"/>
    </row>
    <row r="33" spans="1:7" ht="12" x14ac:dyDescent="0.2">
      <c r="A33" s="150" t="s">
        <v>39</v>
      </c>
      <c r="B33" s="108">
        <f>IF(111464.12406="","-",111464.12406/5504144.78334*100)</f>
        <v>2.0250943324997683</v>
      </c>
      <c r="C33" s="48">
        <f>IF(113149.39065="","-",113149.39065/5264087.0322*100)</f>
        <v>2.1494589652084817</v>
      </c>
      <c r="D33" s="48">
        <f>IF(103923.55881="","-",103923.55881/5390236.19514*100)</f>
        <v>1.9279963817485515</v>
      </c>
      <c r="E33" s="48">
        <f>IF(110270.33544="","-",110270.33544/6220503.96242*100)</f>
        <v>1.7726913463310594</v>
      </c>
      <c r="F33" s="126">
        <f>IF(122529.90617="","-",122529.90617/6660905.10174*100)</f>
        <v>1.8395383855264962</v>
      </c>
      <c r="G33" s="11"/>
    </row>
    <row r="34" spans="1:7" ht="12" x14ac:dyDescent="0.2">
      <c r="A34" s="150" t="s">
        <v>41</v>
      </c>
      <c r="B34" s="108">
        <f>IF(81641.62875="","-",81641.62875/5504144.78334*100)</f>
        <v>1.4832754581077463</v>
      </c>
      <c r="C34" s="48">
        <f>IF(88252.87606="","-",88252.87606/5264087.0322*100)</f>
        <v>1.676508680805697</v>
      </c>
      <c r="D34" s="48">
        <f>IF(95635.35623="","-",95635.35623/5390236.19514*100)</f>
        <v>1.774233127598893</v>
      </c>
      <c r="E34" s="48">
        <f>IF(92866.54606="","-",92866.54606/6220503.96242*100)</f>
        <v>1.4929103272184328</v>
      </c>
      <c r="F34" s="126">
        <f>IF(107292.9004="","-",107292.9004/6660905.10174*100)</f>
        <v>1.6107856028750855</v>
      </c>
      <c r="G34" s="11"/>
    </row>
    <row r="35" spans="1:7" ht="12" x14ac:dyDescent="0.2">
      <c r="A35" s="150" t="s">
        <v>40</v>
      </c>
      <c r="B35" s="108">
        <f>IF(66080.77618="","-",66080.77618/5504144.78334*100)</f>
        <v>1.2005639164873343</v>
      </c>
      <c r="C35" s="48">
        <f>IF(73023.87255="","-",73023.87255/5264087.0322*100)</f>
        <v>1.3872086860137152</v>
      </c>
      <c r="D35" s="48">
        <f>IF(90745.7535="","-",90745.7535/5390236.19514*100)</f>
        <v>1.6835209110468874</v>
      </c>
      <c r="E35" s="48">
        <f>IF(93826.97558="","-",93826.97558/6220503.96242*100)</f>
        <v>1.5083500653136459</v>
      </c>
      <c r="F35" s="126">
        <f>IF(88149.69866="","-",88149.69866/6660905.10174*100)</f>
        <v>1.3233891988188367</v>
      </c>
      <c r="G35" s="11"/>
    </row>
    <row r="36" spans="1:7" ht="12" x14ac:dyDescent="0.2">
      <c r="A36" s="151" t="s">
        <v>98</v>
      </c>
      <c r="B36" s="132">
        <f>IF(84398.0022="","-",84398.0022/5504144.78334*100)</f>
        <v>1.533353600280587</v>
      </c>
      <c r="C36" s="127">
        <f>IF(73640.35092="","-",73640.35092/5264087.0322*100)</f>
        <v>1.3989197076254221</v>
      </c>
      <c r="D36" s="127">
        <f>IF(82629.71199="","-",82629.71199/5390236.19514*100)</f>
        <v>1.5329515998668377</v>
      </c>
      <c r="E36" s="127">
        <f>IF(111366.06089="","-",111366.06089/6220503.96242*100)</f>
        <v>1.7903060839249845</v>
      </c>
      <c r="F36" s="128">
        <f>IF(85664.99219="","-",85664.99219/6660905.10174*100)</f>
        <v>1.2860863633625721</v>
      </c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M56"/>
  <sheetViews>
    <sheetView workbookViewId="0">
      <selection activeCell="A2" sqref="A2:G2"/>
    </sheetView>
  </sheetViews>
  <sheetFormatPr defaultColWidth="9.109375" defaultRowHeight="11.4" x14ac:dyDescent="0.2"/>
  <cols>
    <col min="1" max="1" width="49.44140625" style="3" customWidth="1"/>
    <col min="2" max="3" width="12.5546875" style="3" customWidth="1"/>
    <col min="4" max="4" width="12" style="3" customWidth="1"/>
    <col min="5" max="5" width="11.88671875" style="3" customWidth="1"/>
    <col min="6" max="6" width="8.33203125" style="3" customWidth="1"/>
    <col min="7" max="7" width="8" style="3" customWidth="1"/>
    <col min="8" max="8" width="6" style="3" customWidth="1"/>
    <col min="9" max="16384" width="9.109375" style="3"/>
  </cols>
  <sheetData>
    <row r="2" spans="1:13" ht="16.5" customHeight="1" x14ac:dyDescent="0.2">
      <c r="A2" s="171" t="s">
        <v>104</v>
      </c>
      <c r="B2" s="171"/>
      <c r="C2" s="171"/>
      <c r="D2" s="171"/>
      <c r="E2" s="171"/>
      <c r="F2" s="171"/>
      <c r="G2" s="171"/>
      <c r="H2" s="68"/>
      <c r="I2" s="68"/>
      <c r="J2" s="66"/>
      <c r="K2" s="66"/>
      <c r="L2" s="66"/>
      <c r="M2" s="66"/>
    </row>
    <row r="3" spans="1:13" ht="14.4" x14ac:dyDescent="0.2">
      <c r="A3" s="67"/>
      <c r="B3" s="67"/>
      <c r="C3" s="67"/>
      <c r="D3" s="67"/>
      <c r="E3" s="67"/>
      <c r="F3" s="67"/>
      <c r="G3" s="67"/>
      <c r="H3" s="67"/>
      <c r="I3" s="68"/>
    </row>
    <row r="4" spans="1:13" ht="13.2" x14ac:dyDescent="0.25">
      <c r="A4" s="46"/>
      <c r="B4" s="46"/>
      <c r="C4" s="46"/>
      <c r="D4" s="46"/>
      <c r="E4" s="46"/>
      <c r="F4" s="46"/>
      <c r="G4" s="46"/>
      <c r="J4" s="27"/>
    </row>
    <row r="5" spans="1:13" x14ac:dyDescent="0.2">
      <c r="A5" s="30"/>
      <c r="B5" s="30"/>
      <c r="C5" s="30"/>
      <c r="D5" s="30"/>
      <c r="E5" s="30"/>
      <c r="F5" s="30"/>
      <c r="G5" s="30"/>
    </row>
    <row r="6" spans="1:13" x14ac:dyDescent="0.2">
      <c r="A6" s="30"/>
      <c r="B6" s="30"/>
      <c r="C6" s="30"/>
      <c r="D6" s="30"/>
      <c r="E6" s="30"/>
      <c r="F6" s="30"/>
      <c r="G6" s="30"/>
    </row>
    <row r="7" spans="1:13" x14ac:dyDescent="0.2">
      <c r="A7" s="27"/>
      <c r="B7" s="27"/>
      <c r="C7" s="27"/>
      <c r="D7" s="27"/>
      <c r="E7" s="27"/>
      <c r="F7" s="27"/>
      <c r="G7" s="27"/>
      <c r="H7" s="27"/>
    </row>
    <row r="23" spans="1:6" ht="16.5" customHeight="1" x14ac:dyDescent="0.2"/>
    <row r="24" spans="1:6" ht="16.5" customHeight="1" x14ac:dyDescent="0.2"/>
    <row r="25" spans="1:6" ht="9.75" customHeight="1" x14ac:dyDescent="0.2"/>
    <row r="29" spans="1:6" ht="33" customHeight="1" x14ac:dyDescent="0.2">
      <c r="A29" s="25"/>
      <c r="B29" s="8" t="s">
        <v>90</v>
      </c>
      <c r="C29" s="8" t="s">
        <v>91</v>
      </c>
    </row>
    <row r="30" spans="1:6" ht="12" x14ac:dyDescent="0.2">
      <c r="A30" s="149" t="s">
        <v>61</v>
      </c>
      <c r="B30" s="133">
        <v>42</v>
      </c>
      <c r="C30" s="77">
        <v>42.7</v>
      </c>
    </row>
    <row r="31" spans="1:6" ht="13.8" x14ac:dyDescent="0.2">
      <c r="A31" s="150" t="s">
        <v>68</v>
      </c>
      <c r="B31" s="138">
        <v>10.199999999999999</v>
      </c>
      <c r="C31" s="140">
        <v>8.6</v>
      </c>
      <c r="D31" s="44"/>
      <c r="E31" s="45"/>
      <c r="F31" s="45"/>
    </row>
    <row r="32" spans="1:6" ht="13.8" x14ac:dyDescent="0.2">
      <c r="A32" s="150" t="s">
        <v>63</v>
      </c>
      <c r="B32" s="138">
        <v>9.5</v>
      </c>
      <c r="C32" s="140">
        <v>9.3000000000000007</v>
      </c>
      <c r="D32" s="44"/>
      <c r="E32" s="45"/>
      <c r="F32" s="45"/>
    </row>
    <row r="33" spans="1:6" ht="13.8" x14ac:dyDescent="0.2">
      <c r="A33" s="150" t="s">
        <v>66</v>
      </c>
      <c r="B33" s="138">
        <v>7.2</v>
      </c>
      <c r="C33" s="140">
        <v>7.7</v>
      </c>
      <c r="D33" s="44"/>
      <c r="E33" s="45"/>
      <c r="F33" s="45"/>
    </row>
    <row r="34" spans="1:6" ht="14.4" x14ac:dyDescent="0.2">
      <c r="A34" s="150" t="s">
        <v>58</v>
      </c>
      <c r="B34" s="138">
        <v>6.9</v>
      </c>
      <c r="C34" s="140">
        <v>7</v>
      </c>
      <c r="D34" s="44"/>
      <c r="E34" s="45"/>
      <c r="F34" s="63"/>
    </row>
    <row r="35" spans="1:6" ht="13.8" x14ac:dyDescent="0.2">
      <c r="A35" s="150" t="s">
        <v>79</v>
      </c>
      <c r="B35" s="138">
        <v>4.0999999999999996</v>
      </c>
      <c r="C35" s="140">
        <v>4.0999999999999996</v>
      </c>
      <c r="D35" s="44"/>
      <c r="E35" s="45"/>
      <c r="F35" s="45"/>
    </row>
    <row r="36" spans="1:6" ht="13.8" x14ac:dyDescent="0.2">
      <c r="A36" s="150" t="s">
        <v>65</v>
      </c>
      <c r="B36" s="138">
        <v>3.3</v>
      </c>
      <c r="C36" s="140">
        <v>3.6</v>
      </c>
      <c r="D36" s="44"/>
      <c r="E36" s="45"/>
      <c r="F36" s="45"/>
    </row>
    <row r="37" spans="1:6" ht="13.8" x14ac:dyDescent="0.2">
      <c r="A37" s="150" t="s">
        <v>57</v>
      </c>
      <c r="B37" s="138">
        <v>3.1</v>
      </c>
      <c r="C37" s="140">
        <v>3.2</v>
      </c>
      <c r="D37" s="44"/>
      <c r="E37" s="45"/>
      <c r="F37" s="45"/>
    </row>
    <row r="38" spans="1:6" ht="13.8" x14ac:dyDescent="0.2">
      <c r="A38" s="150" t="s">
        <v>64</v>
      </c>
      <c r="B38" s="138">
        <v>3</v>
      </c>
      <c r="C38" s="140">
        <v>2.7</v>
      </c>
      <c r="F38" s="45"/>
    </row>
    <row r="39" spans="1:6" ht="13.8" x14ac:dyDescent="0.2">
      <c r="A39" s="150" t="s">
        <v>55</v>
      </c>
      <c r="B39" s="138">
        <v>2.9</v>
      </c>
      <c r="C39" s="140">
        <v>3.2</v>
      </c>
      <c r="D39" s="44"/>
      <c r="E39" s="45"/>
      <c r="F39" s="45"/>
    </row>
    <row r="40" spans="1:6" ht="13.8" x14ac:dyDescent="0.2">
      <c r="A40" s="150" t="s">
        <v>71</v>
      </c>
      <c r="B40" s="138">
        <v>2.8</v>
      </c>
      <c r="C40" s="140">
        <v>2.6</v>
      </c>
      <c r="D40" s="44"/>
      <c r="E40" s="45"/>
      <c r="F40" s="45"/>
    </row>
    <row r="41" spans="1:6" ht="13.8" x14ac:dyDescent="0.2">
      <c r="A41" s="150" t="s">
        <v>69</v>
      </c>
      <c r="B41" s="138">
        <v>2.6</v>
      </c>
      <c r="C41" s="140">
        <v>2.8</v>
      </c>
      <c r="D41" s="44"/>
      <c r="E41" s="45"/>
      <c r="F41" s="45"/>
    </row>
    <row r="42" spans="1:6" ht="13.8" x14ac:dyDescent="0.2">
      <c r="A42" s="151" t="s">
        <v>81</v>
      </c>
      <c r="B42" s="141">
        <v>2.4</v>
      </c>
      <c r="C42" s="143">
        <v>2.5</v>
      </c>
      <c r="D42" s="60"/>
      <c r="E42" s="45"/>
      <c r="F42" s="45"/>
    </row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N27"/>
  <sheetViews>
    <sheetView workbookViewId="0">
      <selection activeCell="A2" sqref="A2:M2"/>
    </sheetView>
  </sheetViews>
  <sheetFormatPr defaultColWidth="9.109375" defaultRowHeight="11.4" x14ac:dyDescent="0.2"/>
  <cols>
    <col min="1" max="1" width="9.109375" style="3"/>
    <col min="2" max="2" width="9.88671875" style="3" customWidth="1"/>
    <col min="3" max="3" width="9.6640625" style="3" customWidth="1"/>
    <col min="4" max="4" width="10" style="3" customWidth="1"/>
    <col min="5" max="6" width="9.6640625" style="3" customWidth="1"/>
    <col min="7" max="7" width="9.5546875" style="3" customWidth="1"/>
    <col min="8" max="9" width="9.109375" style="3"/>
    <col min="10" max="10" width="10.6640625" style="3" customWidth="1"/>
    <col min="11" max="11" width="10.88671875" style="3" customWidth="1"/>
    <col min="12" max="12" width="10.44140625" style="3" customWidth="1"/>
    <col min="13" max="13" width="10.5546875" style="3" customWidth="1"/>
    <col min="14" max="16384" width="9.109375" style="3"/>
  </cols>
  <sheetData>
    <row r="2" spans="1:13" ht="18.75" customHeight="1" x14ac:dyDescent="0.2">
      <c r="A2" s="160" t="s">
        <v>83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12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3" ht="12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ht="12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3" ht="12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3" ht="12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ht="12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ht="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ht="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ht="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3" ht="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3" ht="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3" ht="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3" ht="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3" ht="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4" ht="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4" ht="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4" ht="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4" ht="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2" spans="1:14" ht="12" x14ac:dyDescent="0.25">
      <c r="A22" s="19" t="s">
        <v>0</v>
      </c>
      <c r="B22" s="18" t="s">
        <v>1</v>
      </c>
      <c r="C22" s="25" t="s">
        <v>2</v>
      </c>
      <c r="D22" s="25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92" t="s">
        <v>12</v>
      </c>
      <c r="N22" s="105"/>
    </row>
    <row r="23" spans="1:14" ht="12" x14ac:dyDescent="0.25">
      <c r="A23" s="52">
        <v>2022</v>
      </c>
      <c r="B23" s="115">
        <v>-259.29999999999995</v>
      </c>
      <c r="C23" s="115">
        <v>-294.3</v>
      </c>
      <c r="D23" s="115">
        <v>-319</v>
      </c>
      <c r="E23" s="115">
        <v>-346.1</v>
      </c>
      <c r="F23" s="115">
        <v>-336.80000000000007</v>
      </c>
      <c r="G23" s="115">
        <v>-332.59999999999997</v>
      </c>
      <c r="H23" s="115">
        <v>-415</v>
      </c>
      <c r="I23" s="115">
        <v>-444.6</v>
      </c>
      <c r="J23" s="115">
        <v>-531.4</v>
      </c>
      <c r="K23" s="115">
        <v>-406.6</v>
      </c>
      <c r="L23" s="115">
        <v>-490.6</v>
      </c>
      <c r="M23" s="115">
        <v>-496.9</v>
      </c>
      <c r="N23" s="105"/>
    </row>
    <row r="24" spans="1:14" ht="12" x14ac:dyDescent="0.25">
      <c r="A24" s="2">
        <v>2023</v>
      </c>
      <c r="B24" s="116">
        <v>-371.8</v>
      </c>
      <c r="C24" s="115">
        <v>-370.90000000000003</v>
      </c>
      <c r="D24" s="115">
        <v>-407.1</v>
      </c>
      <c r="E24" s="115">
        <v>-340.19999999999993</v>
      </c>
      <c r="F24" s="115">
        <v>-342.9</v>
      </c>
      <c r="G24" s="115">
        <v>-322.19999999999993</v>
      </c>
      <c r="H24" s="115">
        <v>-303.40000000000003</v>
      </c>
      <c r="I24" s="115">
        <v>-345.79999999999995</v>
      </c>
      <c r="J24" s="115">
        <v>-331.6</v>
      </c>
      <c r="K24" s="115">
        <v>-352.50000000000006</v>
      </c>
      <c r="L24" s="115">
        <v>-331.1</v>
      </c>
      <c r="M24" s="115">
        <v>-455.29999999999995</v>
      </c>
      <c r="N24" s="105"/>
    </row>
    <row r="25" spans="1:14" ht="12" x14ac:dyDescent="0.25">
      <c r="A25" s="2">
        <v>2024</v>
      </c>
      <c r="B25" s="116">
        <v>-320.7</v>
      </c>
      <c r="C25" s="115">
        <v>-393.5</v>
      </c>
      <c r="D25" s="115">
        <v>-423.00000000000006</v>
      </c>
      <c r="E25" s="115">
        <v>-451.09999999999997</v>
      </c>
      <c r="F25" s="115">
        <v>-382.80000000000007</v>
      </c>
      <c r="G25" s="115">
        <v>-375.6</v>
      </c>
      <c r="H25" s="115">
        <v>-464.59999999999997</v>
      </c>
      <c r="I25" s="115">
        <v>-421.6</v>
      </c>
      <c r="J25" s="115">
        <v>-443.7</v>
      </c>
      <c r="K25" s="115">
        <v>-422.40000000000003</v>
      </c>
      <c r="L25" s="115">
        <v>-450.4</v>
      </c>
      <c r="M25" s="115">
        <v>-549.29999999999995</v>
      </c>
      <c r="N25" s="105"/>
    </row>
    <row r="26" spans="1:14" ht="12" x14ac:dyDescent="0.25">
      <c r="A26" s="20">
        <v>2025</v>
      </c>
      <c r="B26" s="115">
        <v>-460.29999999999995</v>
      </c>
      <c r="C26" s="115">
        <v>-576.4</v>
      </c>
      <c r="D26" s="115">
        <v>-611.5</v>
      </c>
      <c r="E26" s="115">
        <v>-528.1</v>
      </c>
      <c r="F26" s="115">
        <v>-529.29999999999995</v>
      </c>
      <c r="G26" s="115">
        <v>-509.4</v>
      </c>
      <c r="H26" s="115">
        <v>-478</v>
      </c>
      <c r="I26" s="115">
        <v>-477.9</v>
      </c>
      <c r="J26" s="115">
        <v>-503.3</v>
      </c>
      <c r="K26" s="115">
        <v>-503.3</v>
      </c>
      <c r="L26" s="115">
        <v>-504.1</v>
      </c>
      <c r="M26" s="115">
        <v>-638.20000000000005</v>
      </c>
      <c r="N26" s="105"/>
    </row>
    <row r="27" spans="1:14" ht="12" x14ac:dyDescent="0.25">
      <c r="A27" s="21">
        <v>2026</v>
      </c>
      <c r="B27" s="76">
        <v>-433.6</v>
      </c>
      <c r="C27" s="76">
        <v>-536.70000000000005</v>
      </c>
      <c r="D27" s="76">
        <v>-634.4</v>
      </c>
      <c r="E27" s="76">
        <v>-642.5</v>
      </c>
      <c r="F27" s="76">
        <v>-548.4</v>
      </c>
      <c r="G27" s="76">
        <v>-539.6</v>
      </c>
      <c r="H27" s="76">
        <v>-537.29999999999995</v>
      </c>
      <c r="I27" s="76">
        <v>-549</v>
      </c>
      <c r="J27" s="76"/>
      <c r="K27" s="76"/>
      <c r="L27" s="76"/>
      <c r="M27" s="117"/>
      <c r="N27" s="105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M47"/>
  <sheetViews>
    <sheetView zoomScaleNormal="100" workbookViewId="0">
      <selection activeCell="C25" sqref="C25"/>
    </sheetView>
  </sheetViews>
  <sheetFormatPr defaultColWidth="9.109375" defaultRowHeight="11.4" x14ac:dyDescent="0.2"/>
  <cols>
    <col min="1" max="2" width="21.5546875" style="3" customWidth="1"/>
    <col min="3" max="3" width="21.44140625" style="3" customWidth="1"/>
    <col min="4" max="4" width="22.109375" style="3" customWidth="1"/>
    <col min="5" max="16384" width="9.109375" style="3"/>
  </cols>
  <sheetData>
    <row r="2" spans="1:13" ht="19.5" customHeight="1" x14ac:dyDescent="0.2">
      <c r="A2" s="169" t="s">
        <v>102</v>
      </c>
      <c r="B2" s="170"/>
      <c r="C2" s="170"/>
      <c r="D2" s="170"/>
      <c r="E2" s="170"/>
      <c r="F2" s="170"/>
      <c r="G2" s="170"/>
      <c r="H2" s="170"/>
      <c r="I2" s="65"/>
      <c r="J2" s="65"/>
      <c r="K2" s="65"/>
      <c r="L2" s="65"/>
      <c r="M2" s="65"/>
    </row>
    <row r="3" spans="1:13" x14ac:dyDescent="0.2">
      <c r="A3" s="38"/>
      <c r="B3" s="38"/>
      <c r="C3" s="38"/>
      <c r="D3" s="38"/>
      <c r="E3" s="38"/>
      <c r="F3" s="38"/>
      <c r="G3" s="27"/>
      <c r="H3" s="27"/>
      <c r="I3" s="27"/>
      <c r="J3" s="27"/>
      <c r="K3" s="27"/>
      <c r="L3" s="27"/>
      <c r="M3" s="27"/>
    </row>
    <row r="4" spans="1:13" ht="19.5" customHeight="1" x14ac:dyDescent="0.25">
      <c r="A4" s="4"/>
      <c r="B4" s="4"/>
      <c r="C4" s="4"/>
      <c r="D4" s="4"/>
      <c r="E4" s="4"/>
      <c r="F4" s="4"/>
    </row>
    <row r="5" spans="1:13" ht="12" x14ac:dyDescent="0.25">
      <c r="A5" s="4"/>
      <c r="B5" s="4"/>
      <c r="C5" s="4"/>
      <c r="D5" s="4"/>
      <c r="E5" s="4"/>
      <c r="F5" s="4"/>
    </row>
    <row r="6" spans="1:13" ht="12" x14ac:dyDescent="0.25">
      <c r="A6" s="4"/>
      <c r="B6" s="4"/>
      <c r="C6" s="4"/>
      <c r="D6" s="4"/>
      <c r="E6" s="4"/>
      <c r="F6" s="4"/>
    </row>
    <row r="7" spans="1:13" ht="12" x14ac:dyDescent="0.25">
      <c r="A7" s="4"/>
      <c r="B7" s="4"/>
      <c r="C7" s="4"/>
      <c r="D7" s="4"/>
      <c r="E7" s="4"/>
      <c r="F7" s="4"/>
    </row>
    <row r="8" spans="1:13" ht="12" x14ac:dyDescent="0.25">
      <c r="A8" s="4"/>
      <c r="B8" s="4"/>
      <c r="C8" s="4"/>
      <c r="D8" s="4"/>
      <c r="E8" s="4"/>
      <c r="F8" s="4"/>
    </row>
    <row r="9" spans="1:13" ht="12" x14ac:dyDescent="0.25">
      <c r="A9" s="4"/>
      <c r="B9" s="4"/>
      <c r="C9" s="4"/>
      <c r="D9" s="4"/>
      <c r="E9" s="4"/>
      <c r="F9" s="4"/>
    </row>
    <row r="10" spans="1:13" ht="12" x14ac:dyDescent="0.25">
      <c r="A10" s="4"/>
      <c r="B10" s="4"/>
      <c r="C10" s="4"/>
      <c r="D10" s="4"/>
      <c r="E10" s="4"/>
      <c r="F10" s="4"/>
    </row>
    <row r="11" spans="1:13" ht="12" x14ac:dyDescent="0.25">
      <c r="A11" s="4"/>
      <c r="B11" s="4"/>
      <c r="C11" s="4"/>
      <c r="D11" s="4"/>
      <c r="E11" s="4"/>
      <c r="F11" s="4"/>
    </row>
    <row r="12" spans="1:13" ht="12" x14ac:dyDescent="0.25">
      <c r="A12" s="4"/>
      <c r="B12" s="4"/>
      <c r="C12" s="4"/>
      <c r="D12" s="4"/>
      <c r="E12" s="4"/>
      <c r="F12" s="4"/>
    </row>
    <row r="13" spans="1:13" ht="12" x14ac:dyDescent="0.25">
      <c r="A13" s="4"/>
      <c r="B13" s="4"/>
      <c r="C13" s="4"/>
      <c r="D13" s="4"/>
      <c r="E13" s="4"/>
      <c r="F13" s="4"/>
    </row>
    <row r="14" spans="1:13" ht="12" x14ac:dyDescent="0.25">
      <c r="A14" s="4"/>
      <c r="B14" s="4"/>
      <c r="C14" s="4"/>
      <c r="D14" s="4"/>
      <c r="E14" s="4"/>
      <c r="F14" s="4"/>
    </row>
    <row r="15" spans="1:13" ht="12" x14ac:dyDescent="0.25">
      <c r="A15" s="4"/>
      <c r="B15" s="4"/>
      <c r="C15" s="4"/>
      <c r="D15" s="4"/>
      <c r="E15" s="4"/>
      <c r="F15" s="4"/>
    </row>
    <row r="16" spans="1:13" ht="12" x14ac:dyDescent="0.25">
      <c r="A16" s="4"/>
      <c r="B16" s="4"/>
      <c r="C16" s="4"/>
      <c r="D16" s="4"/>
      <c r="E16" s="4"/>
      <c r="F16" s="4"/>
    </row>
    <row r="17" spans="1:6" ht="12" x14ac:dyDescent="0.25">
      <c r="A17" s="4"/>
      <c r="B17" s="4"/>
      <c r="C17" s="4"/>
      <c r="D17" s="4"/>
      <c r="E17" s="4"/>
      <c r="F17" s="4"/>
    </row>
    <row r="18" spans="1:6" ht="12" x14ac:dyDescent="0.25">
      <c r="A18" s="4"/>
      <c r="B18" s="4"/>
      <c r="C18" s="4"/>
      <c r="D18" s="4"/>
      <c r="E18" s="4"/>
      <c r="F18" s="4"/>
    </row>
    <row r="19" spans="1:6" ht="12" x14ac:dyDescent="0.25">
      <c r="A19" s="4"/>
      <c r="B19" s="4"/>
      <c r="C19" s="4"/>
      <c r="D19" s="4"/>
      <c r="E19" s="4"/>
      <c r="F19" s="4"/>
    </row>
    <row r="20" spans="1:6" ht="12" x14ac:dyDescent="0.25">
      <c r="A20" s="4"/>
      <c r="B20" s="4"/>
      <c r="C20" s="4"/>
      <c r="D20" s="4"/>
      <c r="E20" s="4"/>
      <c r="F20" s="4"/>
    </row>
    <row r="21" spans="1:6" ht="12" x14ac:dyDescent="0.25">
      <c r="A21" s="4"/>
      <c r="B21" s="4"/>
      <c r="C21" s="4"/>
      <c r="D21" s="4"/>
      <c r="E21" s="4"/>
      <c r="F21" s="4"/>
    </row>
    <row r="22" spans="1:6" ht="12" x14ac:dyDescent="0.25">
      <c r="A22" s="4"/>
      <c r="B22" s="4"/>
      <c r="C22" s="4"/>
      <c r="D22" s="4"/>
      <c r="E22" s="4"/>
      <c r="F22" s="4"/>
    </row>
    <row r="23" spans="1:6" ht="12" x14ac:dyDescent="0.25">
      <c r="A23" s="4"/>
      <c r="B23" s="4"/>
      <c r="C23" s="4"/>
      <c r="D23" s="4"/>
      <c r="E23" s="4"/>
      <c r="F23" s="4"/>
    </row>
    <row r="24" spans="1:6" ht="12" x14ac:dyDescent="0.25">
      <c r="A24" s="4"/>
      <c r="B24" s="4"/>
      <c r="C24" s="4"/>
      <c r="D24" s="4"/>
      <c r="E24" s="4"/>
      <c r="F24" s="4"/>
    </row>
    <row r="25" spans="1:6" ht="12" x14ac:dyDescent="0.25">
      <c r="A25" s="4"/>
      <c r="B25" s="4"/>
      <c r="C25" s="4"/>
      <c r="D25" s="4"/>
      <c r="E25" s="4"/>
      <c r="F25" s="4"/>
    </row>
    <row r="27" spans="1:6" ht="15.75" customHeight="1" x14ac:dyDescent="0.2">
      <c r="A27" s="80" t="s">
        <v>46</v>
      </c>
      <c r="B27" s="134" t="s">
        <v>47</v>
      </c>
      <c r="C27" s="134" t="s">
        <v>48</v>
      </c>
      <c r="D27" s="15" t="s">
        <v>49</v>
      </c>
    </row>
    <row r="28" spans="1:6" ht="14.25" customHeight="1" x14ac:dyDescent="0.2">
      <c r="A28" s="75" t="s">
        <v>94</v>
      </c>
      <c r="B28" s="135">
        <v>2756.4</v>
      </c>
      <c r="C28" s="154">
        <v>5504.1</v>
      </c>
      <c r="D28" s="153">
        <f>(B28-C28)</f>
        <v>-2747.7000000000003</v>
      </c>
    </row>
    <row r="29" spans="1:6" ht="14.25" customHeight="1" x14ac:dyDescent="0.2">
      <c r="A29" s="75" t="s">
        <v>93</v>
      </c>
      <c r="B29" s="129">
        <v>2459.8000000000002</v>
      </c>
      <c r="C29" s="155">
        <v>5264.1</v>
      </c>
      <c r="D29" s="153">
        <f t="shared" ref="D29:D32" si="0">(B29-C29)</f>
        <v>-2804.3</v>
      </c>
    </row>
    <row r="30" spans="1:6" ht="14.25" customHeight="1" x14ac:dyDescent="0.2">
      <c r="A30" s="75" t="s">
        <v>92</v>
      </c>
      <c r="B30" s="129">
        <v>2157.3000000000002</v>
      </c>
      <c r="C30" s="155">
        <v>5390.2</v>
      </c>
      <c r="D30" s="153">
        <f t="shared" si="0"/>
        <v>-3232.8999999999996</v>
      </c>
    </row>
    <row r="31" spans="1:6" ht="14.25" customHeight="1" x14ac:dyDescent="0.2">
      <c r="A31" s="75" t="s">
        <v>91</v>
      </c>
      <c r="B31" s="129">
        <v>2049.5</v>
      </c>
      <c r="C31" s="155">
        <v>6220.5</v>
      </c>
      <c r="D31" s="153">
        <f t="shared" si="0"/>
        <v>-4171</v>
      </c>
    </row>
    <row r="32" spans="1:6" ht="14.25" customHeight="1" x14ac:dyDescent="0.35">
      <c r="A32" s="75" t="s">
        <v>90</v>
      </c>
      <c r="B32" s="130">
        <v>2239.4</v>
      </c>
      <c r="C32" s="156">
        <v>6660.9</v>
      </c>
      <c r="D32" s="153">
        <f t="shared" si="0"/>
        <v>-4421.5</v>
      </c>
      <c r="F32" s="61"/>
    </row>
    <row r="33" spans="1:4" x14ac:dyDescent="0.2">
      <c r="A33" s="1"/>
      <c r="B33" s="79"/>
      <c r="C33" s="79"/>
      <c r="D33" s="79"/>
    </row>
    <row r="46" spans="1:4" ht="14.4" x14ac:dyDescent="0.35">
      <c r="C46" s="61"/>
    </row>
    <row r="47" spans="1:4" ht="14.4" x14ac:dyDescent="0.35">
      <c r="C47" s="61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Figura 1</vt:lpstr>
      <vt:lpstr>Figura 2</vt:lpstr>
      <vt:lpstr>Sheet1</vt:lpstr>
      <vt:lpstr>Figura 3</vt:lpstr>
      <vt:lpstr>Figura 4</vt:lpstr>
      <vt:lpstr>Figura 5</vt:lpstr>
      <vt:lpstr>Figura 6</vt:lpstr>
      <vt:lpstr>Figura 7</vt:lpstr>
      <vt:lpstr>Figura 8</vt:lpstr>
      <vt:lpstr>Figura 9</vt:lpstr>
      <vt:lpstr>Figura 10</vt:lpstr>
      <vt:lpstr>Figura 11</vt:lpstr>
      <vt:lpstr>Figura 12</vt:lpstr>
      <vt:lpstr>Figura 13</vt:lpstr>
      <vt:lpstr>Figura 14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Petrusca</dc:creator>
  <cp:lastModifiedBy>Galina Ciobanu</cp:lastModifiedBy>
  <cp:lastPrinted>2024-08-15T09:03:07Z</cp:lastPrinted>
  <dcterms:created xsi:type="dcterms:W3CDTF">2017-02-13T11:50:10Z</dcterms:created>
  <dcterms:modified xsi:type="dcterms:W3CDTF">2026-10-12T09:33:15Z</dcterms:modified>
</cp:coreProperties>
</file>