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6_2023_REV\"/>
    </mc:Choice>
  </mc:AlternateContent>
  <xr:revisionPtr revIDLastSave="0" documentId="13_ncr:1_{D552C507-992D-4BAE-95D9-7C0F936FDB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8" l="1"/>
  <c r="E10" i="8"/>
  <c r="E69" i="4" l="1"/>
  <c r="E68" i="4"/>
  <c r="E67" i="4"/>
  <c r="E66" i="4"/>
  <c r="E65" i="4"/>
  <c r="E64" i="4"/>
  <c r="E63" i="4"/>
  <c r="E62" i="4"/>
  <c r="E61" i="4"/>
  <c r="E60" i="4"/>
  <c r="E5" i="4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D51" i="3" l="1"/>
  <c r="D46" i="3"/>
  <c r="D4" i="3"/>
  <c r="F78" i="6"/>
  <c r="F77" i="6"/>
  <c r="F76" i="6"/>
  <c r="F75" i="6"/>
  <c r="F74" i="6"/>
  <c r="F73" i="6"/>
  <c r="F72" i="6"/>
  <c r="F71" i="6"/>
  <c r="F70" i="6"/>
  <c r="F6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H6" i="6"/>
  <c r="D6" i="6"/>
  <c r="E39" i="8"/>
  <c r="E38" i="8"/>
  <c r="E36" i="8"/>
  <c r="E35" i="8"/>
  <c r="E34" i="8"/>
  <c r="E32" i="8"/>
  <c r="E30" i="8"/>
  <c r="E29" i="8"/>
  <c r="E28" i="8"/>
  <c r="E27" i="8"/>
  <c r="E26" i="8"/>
  <c r="E25" i="8"/>
  <c r="E23" i="8"/>
  <c r="E22" i="8"/>
  <c r="E21" i="8"/>
  <c r="E20" i="8"/>
  <c r="E19" i="8"/>
  <c r="E18" i="8"/>
  <c r="E17" i="8"/>
  <c r="E16" i="8"/>
  <c r="E14" i="8"/>
  <c r="E13" i="8"/>
  <c r="E12" i="8"/>
  <c r="E11" i="8"/>
  <c r="E9" i="8"/>
  <c r="E8" i="8"/>
  <c r="E7" i="8"/>
  <c r="G51" i="2"/>
  <c r="F51" i="2"/>
  <c r="E51" i="2"/>
  <c r="D51" i="2"/>
  <c r="C51" i="2"/>
  <c r="G47" i="2"/>
  <c r="E47" i="2"/>
  <c r="C47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0" i="2"/>
  <c r="E49" i="2"/>
  <c r="E48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G5" i="2"/>
  <c r="C5" i="2"/>
  <c r="C79" i="4" l="1"/>
  <c r="E78" i="4"/>
  <c r="C78" i="4"/>
  <c r="E77" i="4"/>
  <c r="C77" i="4"/>
  <c r="E76" i="4"/>
  <c r="C76" i="4"/>
  <c r="E75" i="4"/>
  <c r="C75" i="4"/>
  <c r="E74" i="4"/>
  <c r="C74" i="4"/>
  <c r="C73" i="4"/>
  <c r="E72" i="4"/>
  <c r="C72" i="4"/>
  <c r="E71" i="4"/>
  <c r="C71" i="4"/>
  <c r="E70" i="4"/>
  <c r="C70" i="4"/>
  <c r="C69" i="4"/>
  <c r="C68" i="4"/>
  <c r="C67" i="4"/>
  <c r="C66" i="4"/>
  <c r="C65" i="4"/>
  <c r="C64" i="4"/>
  <c r="C63" i="4"/>
  <c r="C62" i="4"/>
  <c r="C61" i="4"/>
  <c r="C60" i="4"/>
  <c r="E59" i="4"/>
  <c r="C59" i="4"/>
  <c r="E58" i="4"/>
  <c r="C58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E26" i="4"/>
  <c r="C26" i="4"/>
  <c r="E25" i="4"/>
  <c r="C25" i="4"/>
  <c r="E24" i="4"/>
  <c r="C24" i="4"/>
  <c r="E23" i="4"/>
  <c r="C23" i="4"/>
  <c r="E22" i="4"/>
  <c r="C22" i="4"/>
  <c r="C21" i="4"/>
  <c r="E20" i="4"/>
  <c r="C20" i="4"/>
  <c r="C19" i="4"/>
  <c r="C18" i="4"/>
  <c r="E17" i="4"/>
  <c r="C17" i="4"/>
  <c r="E16" i="4"/>
  <c r="C16" i="4"/>
  <c r="E15" i="4"/>
  <c r="C15" i="4"/>
  <c r="C14" i="4"/>
  <c r="E13" i="4"/>
  <c r="C13" i="4"/>
  <c r="E12" i="4"/>
  <c r="C12" i="4"/>
  <c r="E11" i="4"/>
  <c r="C11" i="4"/>
  <c r="E10" i="4"/>
  <c r="C10" i="4"/>
  <c r="E9" i="4"/>
  <c r="C9" i="4"/>
  <c r="C8" i="4"/>
  <c r="C7" i="4"/>
  <c r="H78" i="6"/>
  <c r="G78" i="6"/>
  <c r="E78" i="6"/>
  <c r="D78" i="6"/>
  <c r="H77" i="6"/>
  <c r="G77" i="6"/>
  <c r="E77" i="6"/>
  <c r="D77" i="6"/>
  <c r="H76" i="6"/>
  <c r="G76" i="6"/>
  <c r="E76" i="6"/>
  <c r="D76" i="6"/>
  <c r="H75" i="6"/>
  <c r="G75" i="6"/>
  <c r="E75" i="6"/>
  <c r="D75" i="6"/>
  <c r="H74" i="6"/>
  <c r="G74" i="6"/>
  <c r="E74" i="6"/>
  <c r="D74" i="6"/>
  <c r="H73" i="6"/>
  <c r="G73" i="6"/>
  <c r="E73" i="6"/>
  <c r="D73" i="6"/>
  <c r="H72" i="6"/>
  <c r="G72" i="6"/>
  <c r="E72" i="6"/>
  <c r="D72" i="6"/>
  <c r="H71" i="6"/>
  <c r="G71" i="6"/>
  <c r="E71" i="6"/>
  <c r="D71" i="6"/>
  <c r="H70" i="6"/>
  <c r="G70" i="6"/>
  <c r="E70" i="6"/>
  <c r="D70" i="6"/>
  <c r="H69" i="6"/>
  <c r="G69" i="6"/>
  <c r="E69" i="6"/>
  <c r="D69" i="6"/>
  <c r="H58" i="6"/>
  <c r="G58" i="6"/>
  <c r="E58" i="6"/>
  <c r="D58" i="6"/>
  <c r="H57" i="6"/>
  <c r="G57" i="6"/>
  <c r="E57" i="6"/>
  <c r="D57" i="6"/>
  <c r="H56" i="6"/>
  <c r="G56" i="6"/>
  <c r="E56" i="6"/>
  <c r="D56" i="6"/>
  <c r="H55" i="6"/>
  <c r="G55" i="6"/>
  <c r="E55" i="6"/>
  <c r="D55" i="6"/>
  <c r="H54" i="6"/>
  <c r="G54" i="6"/>
  <c r="E54" i="6"/>
  <c r="D54" i="6"/>
  <c r="H53" i="6"/>
  <c r="G53" i="6"/>
  <c r="E53" i="6"/>
  <c r="D53" i="6"/>
  <c r="H52" i="6"/>
  <c r="G52" i="6"/>
  <c r="E52" i="6"/>
  <c r="D52" i="6"/>
  <c r="H51" i="6"/>
  <c r="G51" i="6"/>
  <c r="E51" i="6"/>
  <c r="D51" i="6"/>
  <c r="H50" i="6"/>
  <c r="G50" i="6"/>
  <c r="E50" i="6"/>
  <c r="D50" i="6"/>
  <c r="H49" i="6"/>
  <c r="G49" i="6"/>
  <c r="E49" i="6"/>
  <c r="D49" i="6"/>
  <c r="H48" i="6"/>
  <c r="G48" i="6"/>
  <c r="E48" i="6"/>
  <c r="D48" i="6"/>
  <c r="H47" i="6"/>
  <c r="G47" i="6"/>
  <c r="E47" i="6"/>
  <c r="D47" i="6"/>
  <c r="H46" i="6"/>
  <c r="G46" i="6"/>
  <c r="E46" i="6"/>
  <c r="D46" i="6"/>
  <c r="H45" i="6"/>
  <c r="G45" i="6"/>
  <c r="E45" i="6"/>
  <c r="D45" i="6"/>
  <c r="H44" i="6"/>
  <c r="G44" i="6"/>
  <c r="E44" i="6"/>
  <c r="D44" i="6"/>
  <c r="H43" i="6"/>
  <c r="G43" i="6"/>
  <c r="E43" i="6"/>
  <c r="D43" i="6"/>
  <c r="H42" i="6"/>
  <c r="G42" i="6"/>
  <c r="E42" i="6"/>
  <c r="D42" i="6"/>
  <c r="H41" i="6"/>
  <c r="G41" i="6"/>
  <c r="E41" i="6"/>
  <c r="D41" i="6"/>
  <c r="H40" i="6"/>
  <c r="G40" i="6"/>
  <c r="E40" i="6"/>
  <c r="D40" i="6"/>
  <c r="H39" i="6"/>
  <c r="G39" i="6"/>
  <c r="E39" i="6"/>
  <c r="D39" i="6"/>
  <c r="H38" i="6"/>
  <c r="G38" i="6"/>
  <c r="E38" i="6"/>
  <c r="D38" i="6"/>
  <c r="H37" i="6"/>
  <c r="G37" i="6"/>
  <c r="E37" i="6"/>
  <c r="D37" i="6"/>
  <c r="H36" i="6"/>
  <c r="G36" i="6"/>
  <c r="E36" i="6"/>
  <c r="D36" i="6"/>
  <c r="H35" i="6"/>
  <c r="G35" i="6"/>
  <c r="E35" i="6"/>
  <c r="D35" i="6"/>
  <c r="H34" i="6"/>
  <c r="G34" i="6"/>
  <c r="E34" i="6"/>
  <c r="H33" i="6"/>
  <c r="G33" i="6"/>
  <c r="E33" i="6"/>
  <c r="D33" i="6"/>
  <c r="H32" i="6"/>
  <c r="G32" i="6"/>
  <c r="E32" i="6"/>
  <c r="D32" i="6"/>
  <c r="H31" i="6"/>
  <c r="G31" i="6"/>
  <c r="E31" i="6"/>
  <c r="D31" i="6"/>
  <c r="H30" i="6"/>
  <c r="G30" i="6"/>
  <c r="E30" i="6"/>
  <c r="D30" i="6"/>
  <c r="H29" i="6"/>
  <c r="G29" i="6"/>
  <c r="E29" i="6"/>
  <c r="D29" i="6"/>
  <c r="H28" i="6"/>
  <c r="G28" i="6"/>
  <c r="E28" i="6"/>
  <c r="H27" i="6"/>
  <c r="G27" i="6"/>
  <c r="E27" i="6"/>
  <c r="D27" i="6"/>
  <c r="H26" i="6"/>
  <c r="G26" i="6"/>
  <c r="E26" i="6"/>
  <c r="D26" i="6"/>
  <c r="H25" i="6"/>
  <c r="G25" i="6"/>
  <c r="E25" i="6"/>
  <c r="D25" i="6"/>
  <c r="H24" i="6"/>
  <c r="G24" i="6"/>
  <c r="E24" i="6"/>
  <c r="D24" i="6"/>
  <c r="H23" i="6"/>
  <c r="G23" i="6"/>
  <c r="E23" i="6"/>
  <c r="D23" i="6"/>
  <c r="H22" i="6"/>
  <c r="G22" i="6"/>
  <c r="E22" i="6"/>
  <c r="D22" i="6"/>
  <c r="H21" i="6"/>
  <c r="G21" i="6"/>
  <c r="E21" i="6"/>
  <c r="D21" i="6"/>
  <c r="H20" i="6"/>
  <c r="G20" i="6"/>
  <c r="E20" i="6"/>
  <c r="D20" i="6"/>
  <c r="H19" i="6"/>
  <c r="G19" i="6"/>
  <c r="E19" i="6"/>
  <c r="D19" i="6"/>
  <c r="H18" i="6"/>
  <c r="G18" i="6"/>
  <c r="E18" i="6"/>
  <c r="D18" i="6"/>
  <c r="H17" i="6"/>
  <c r="G17" i="6"/>
  <c r="E17" i="6"/>
  <c r="D17" i="6"/>
  <c r="H16" i="6"/>
  <c r="G16" i="6"/>
  <c r="E16" i="6"/>
  <c r="D16" i="6"/>
  <c r="H15" i="6"/>
  <c r="G15" i="6"/>
  <c r="E15" i="6"/>
  <c r="D15" i="6"/>
  <c r="H14" i="6"/>
  <c r="G14" i="6"/>
  <c r="E14" i="6"/>
  <c r="D14" i="6"/>
  <c r="H13" i="6"/>
  <c r="G13" i="6"/>
  <c r="E13" i="6"/>
  <c r="D13" i="6"/>
  <c r="H12" i="6"/>
  <c r="G12" i="6"/>
  <c r="E12" i="6"/>
  <c r="D12" i="6"/>
  <c r="H11" i="6"/>
  <c r="G11" i="6"/>
  <c r="E11" i="6"/>
  <c r="D11" i="6"/>
  <c r="H10" i="6"/>
  <c r="G10" i="6"/>
  <c r="E10" i="6"/>
  <c r="D10" i="6"/>
  <c r="H9" i="6"/>
  <c r="G9" i="6"/>
  <c r="E9" i="6"/>
  <c r="D9" i="6"/>
  <c r="H8" i="6"/>
  <c r="G8" i="6"/>
  <c r="E8" i="6"/>
  <c r="D8" i="6"/>
  <c r="H7" i="6"/>
  <c r="G7" i="6"/>
  <c r="E7" i="6"/>
  <c r="D7" i="6"/>
  <c r="G6" i="6"/>
  <c r="H79" i="5"/>
  <c r="G79" i="5"/>
  <c r="F79" i="5"/>
  <c r="E79" i="5"/>
  <c r="H78" i="5"/>
  <c r="G78" i="5"/>
  <c r="F78" i="5"/>
  <c r="E78" i="5"/>
  <c r="D78" i="5"/>
  <c r="H77" i="5"/>
  <c r="G77" i="5"/>
  <c r="F77" i="5"/>
  <c r="E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H34" i="5"/>
  <c r="G34" i="5"/>
  <c r="F34" i="5"/>
  <c r="E34" i="5"/>
  <c r="D34" i="5"/>
  <c r="H33" i="5"/>
  <c r="G33" i="5"/>
  <c r="F33" i="5"/>
  <c r="E33" i="5"/>
  <c r="D33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H6" i="5"/>
  <c r="G6" i="5"/>
  <c r="D6" i="5"/>
  <c r="D31" i="8" l="1"/>
  <c r="D39" i="8"/>
  <c r="D38" i="8"/>
  <c r="D37" i="8"/>
  <c r="D36" i="8"/>
  <c r="D35" i="8"/>
  <c r="D34" i="8"/>
  <c r="D32" i="8"/>
  <c r="D30" i="8"/>
  <c r="D29" i="8"/>
  <c r="D28" i="8"/>
  <c r="D27" i="8"/>
  <c r="D26" i="8"/>
  <c r="D25" i="8"/>
  <c r="D23" i="8"/>
  <c r="D22" i="8"/>
  <c r="D20" i="8"/>
  <c r="D19" i="8"/>
  <c r="D18" i="8"/>
  <c r="D17" i="8"/>
  <c r="D16" i="8"/>
  <c r="D14" i="8"/>
  <c r="D13" i="8"/>
  <c r="D12" i="8"/>
  <c r="D11" i="8"/>
  <c r="D10" i="8"/>
  <c r="D9" i="8"/>
  <c r="D8" i="8"/>
  <c r="D7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39" i="3" l="1"/>
  <c r="D138" i="3"/>
  <c r="B138" i="3"/>
  <c r="D135" i="3"/>
  <c r="D134" i="3"/>
  <c r="D133" i="3"/>
  <c r="D130" i="3"/>
  <c r="D129" i="3"/>
  <c r="D127" i="3"/>
  <c r="D125" i="3"/>
  <c r="D124" i="3"/>
  <c r="D123" i="3"/>
  <c r="D122" i="3"/>
  <c r="D120" i="3"/>
  <c r="D119" i="3"/>
  <c r="D117" i="3"/>
  <c r="D114" i="3"/>
  <c r="D113" i="3"/>
  <c r="D110" i="3"/>
  <c r="D104" i="3"/>
  <c r="D103" i="3"/>
  <c r="D102" i="3"/>
  <c r="D101" i="3"/>
  <c r="B100" i="3"/>
  <c r="D99" i="3"/>
  <c r="D98" i="3"/>
  <c r="D97" i="3"/>
  <c r="D95" i="3"/>
  <c r="D94" i="3"/>
  <c r="D91" i="3"/>
  <c r="D90" i="3"/>
  <c r="D87" i="3"/>
  <c r="D86" i="3"/>
  <c r="D85" i="3"/>
  <c r="D84" i="3"/>
  <c r="D83" i="3"/>
  <c r="D82" i="3"/>
  <c r="B82" i="3"/>
  <c r="D80" i="3"/>
  <c r="D79" i="3"/>
  <c r="D78" i="3"/>
  <c r="B74" i="3"/>
  <c r="D73" i="3"/>
  <c r="D72" i="3"/>
  <c r="D66" i="3"/>
  <c r="D65" i="3"/>
  <c r="D64" i="3"/>
  <c r="D62" i="3"/>
  <c r="D61" i="3"/>
  <c r="D60" i="3"/>
  <c r="D59" i="3"/>
  <c r="D58" i="3"/>
  <c r="D57" i="3"/>
  <c r="D55" i="3"/>
  <c r="D53" i="3"/>
  <c r="D52" i="3"/>
  <c r="D49" i="3"/>
  <c r="D47" i="3"/>
  <c r="B47" i="3"/>
  <c r="D42" i="3"/>
  <c r="D41" i="3"/>
  <c r="D37" i="3"/>
  <c r="D36" i="3"/>
  <c r="D35" i="3"/>
  <c r="D30" i="3"/>
  <c r="D29" i="3"/>
  <c r="D28" i="3"/>
  <c r="D27" i="3"/>
  <c r="D26" i="3"/>
  <c r="D25" i="3"/>
  <c r="D24" i="3"/>
  <c r="D23" i="3"/>
  <c r="D22" i="3"/>
  <c r="D20" i="3"/>
  <c r="D19" i="3"/>
  <c r="D18" i="3"/>
  <c r="D15" i="3"/>
  <c r="D14" i="3"/>
  <c r="D11" i="3"/>
  <c r="D10" i="3"/>
  <c r="D8" i="3"/>
  <c r="D7" i="3"/>
  <c r="D6" i="3"/>
  <c r="G125" i="2"/>
  <c r="F125" i="2"/>
  <c r="D125" i="2"/>
  <c r="C125" i="2"/>
  <c r="G124" i="2"/>
  <c r="F124" i="2"/>
  <c r="D124" i="2"/>
  <c r="C124" i="2"/>
  <c r="G123" i="2"/>
  <c r="F123" i="2"/>
  <c r="D123" i="2"/>
  <c r="C123" i="2"/>
  <c r="G122" i="2"/>
  <c r="F122" i="2"/>
  <c r="D122" i="2"/>
  <c r="C122" i="2"/>
  <c r="G121" i="2"/>
  <c r="F121" i="2"/>
  <c r="D121" i="2"/>
  <c r="G120" i="2"/>
  <c r="F120" i="2"/>
  <c r="D120" i="2"/>
  <c r="G119" i="2"/>
  <c r="F119" i="2"/>
  <c r="D119" i="2"/>
  <c r="G118" i="2"/>
  <c r="F118" i="2"/>
  <c r="D118" i="2"/>
  <c r="C118" i="2"/>
  <c r="G117" i="2"/>
  <c r="F117" i="2"/>
  <c r="D117" i="2"/>
  <c r="G116" i="2"/>
  <c r="F116" i="2"/>
  <c r="D116" i="2"/>
  <c r="C116" i="2"/>
  <c r="G115" i="2"/>
  <c r="F115" i="2"/>
  <c r="D115" i="2"/>
  <c r="C115" i="2"/>
  <c r="G114" i="2"/>
  <c r="F114" i="2"/>
  <c r="D114" i="2"/>
  <c r="C114" i="2"/>
  <c r="G113" i="2"/>
  <c r="F113" i="2"/>
  <c r="D113" i="2"/>
  <c r="C113" i="2"/>
  <c r="G112" i="2"/>
  <c r="F112" i="2"/>
  <c r="D112" i="2"/>
  <c r="G111" i="2"/>
  <c r="F111" i="2"/>
  <c r="D111" i="2"/>
  <c r="C111" i="2"/>
  <c r="G110" i="2"/>
  <c r="F110" i="2"/>
  <c r="D110" i="2"/>
  <c r="G109" i="2"/>
  <c r="F109" i="2"/>
  <c r="D109" i="2"/>
  <c r="C109" i="2"/>
  <c r="G108" i="2"/>
  <c r="F108" i="2"/>
  <c r="D108" i="2"/>
  <c r="C108" i="2"/>
  <c r="G107" i="2"/>
  <c r="F107" i="2"/>
  <c r="D107" i="2"/>
  <c r="C107" i="2"/>
  <c r="G106" i="2"/>
  <c r="F106" i="2"/>
  <c r="D106" i="2"/>
  <c r="G105" i="2"/>
  <c r="F105" i="2"/>
  <c r="D105" i="2"/>
  <c r="C105" i="2"/>
  <c r="G104" i="2"/>
  <c r="F104" i="2"/>
  <c r="D104" i="2"/>
  <c r="G103" i="2"/>
  <c r="F103" i="2"/>
  <c r="D103" i="2"/>
  <c r="C103" i="2"/>
  <c r="G102" i="2"/>
  <c r="F102" i="2"/>
  <c r="D102" i="2"/>
  <c r="G101" i="2"/>
  <c r="F101" i="2"/>
  <c r="D101" i="2"/>
  <c r="G100" i="2"/>
  <c r="F100" i="2"/>
  <c r="D100" i="2"/>
  <c r="G99" i="2"/>
  <c r="F99" i="2"/>
  <c r="D99" i="2"/>
  <c r="G98" i="2"/>
  <c r="F98" i="2"/>
  <c r="D98" i="2"/>
  <c r="C98" i="2"/>
  <c r="G97" i="2"/>
  <c r="F97" i="2"/>
  <c r="D97" i="2"/>
  <c r="G96" i="2"/>
  <c r="F96" i="2"/>
  <c r="D96" i="2"/>
  <c r="C96" i="2"/>
  <c r="G95" i="2"/>
  <c r="F95" i="2"/>
  <c r="D95" i="2"/>
  <c r="C95" i="2"/>
  <c r="G94" i="2"/>
  <c r="F94" i="2"/>
  <c r="D94" i="2"/>
  <c r="C94" i="2"/>
  <c r="G93" i="2"/>
  <c r="F93" i="2"/>
  <c r="D93" i="2"/>
  <c r="C93" i="2"/>
  <c r="G92" i="2"/>
  <c r="F92" i="2"/>
  <c r="D92" i="2"/>
  <c r="C92" i="2"/>
  <c r="G91" i="2"/>
  <c r="F91" i="2"/>
  <c r="D91" i="2"/>
  <c r="C91" i="2"/>
  <c r="G90" i="2"/>
  <c r="F90" i="2"/>
  <c r="D90" i="2"/>
  <c r="C90" i="2"/>
  <c r="G89" i="2"/>
  <c r="F89" i="2"/>
  <c r="D89" i="2"/>
  <c r="C89" i="2"/>
  <c r="G88" i="2"/>
  <c r="F88" i="2"/>
  <c r="D88" i="2"/>
  <c r="G87" i="2"/>
  <c r="F87" i="2"/>
  <c r="D87" i="2"/>
  <c r="G86" i="2"/>
  <c r="F86" i="2"/>
  <c r="D86" i="2"/>
  <c r="C86" i="2"/>
  <c r="G85" i="2"/>
  <c r="F85" i="2"/>
  <c r="D85" i="2"/>
  <c r="C85" i="2"/>
  <c r="G84" i="2"/>
  <c r="F84" i="2"/>
  <c r="D84" i="2"/>
  <c r="C84" i="2"/>
  <c r="G83" i="2"/>
  <c r="F83" i="2"/>
  <c r="D83" i="2"/>
  <c r="G82" i="2"/>
  <c r="F82" i="2"/>
  <c r="D82" i="2"/>
  <c r="G81" i="2"/>
  <c r="F81" i="2"/>
  <c r="D81" i="2"/>
  <c r="C81" i="2"/>
  <c r="G80" i="2"/>
  <c r="F80" i="2"/>
  <c r="D80" i="2"/>
  <c r="C80" i="2"/>
  <c r="G79" i="2"/>
  <c r="F79" i="2"/>
  <c r="D79" i="2"/>
  <c r="C79" i="2"/>
  <c r="G78" i="2"/>
  <c r="F78" i="2"/>
  <c r="D78" i="2"/>
  <c r="C78" i="2"/>
  <c r="G77" i="2"/>
  <c r="F77" i="2"/>
  <c r="D77" i="2"/>
  <c r="C77" i="2"/>
  <c r="G76" i="2"/>
  <c r="F76" i="2"/>
  <c r="D76" i="2"/>
  <c r="G75" i="2"/>
  <c r="F75" i="2"/>
  <c r="D75" i="2"/>
  <c r="G74" i="2"/>
  <c r="F74" i="2"/>
  <c r="D74" i="2"/>
  <c r="G73" i="2"/>
  <c r="F73" i="2"/>
  <c r="D73" i="2"/>
  <c r="C73" i="2"/>
  <c r="G72" i="2"/>
  <c r="F72" i="2"/>
  <c r="D72" i="2"/>
  <c r="G71" i="2"/>
  <c r="F71" i="2"/>
  <c r="D71" i="2"/>
  <c r="G70" i="2"/>
  <c r="F70" i="2"/>
  <c r="D70" i="2"/>
  <c r="C70" i="2"/>
  <c r="G69" i="2"/>
  <c r="F69" i="2"/>
  <c r="D69" i="2"/>
  <c r="C69" i="2"/>
  <c r="G68" i="2"/>
  <c r="F68" i="2"/>
  <c r="D68" i="2"/>
  <c r="G67" i="2"/>
  <c r="F67" i="2"/>
  <c r="D67" i="2"/>
  <c r="C67" i="2"/>
  <c r="G66" i="2"/>
  <c r="F66" i="2"/>
  <c r="D66" i="2"/>
  <c r="C66" i="2"/>
  <c r="G65" i="2"/>
  <c r="F65" i="2"/>
  <c r="D65" i="2"/>
  <c r="C65" i="2"/>
  <c r="G64" i="2"/>
  <c r="F64" i="2"/>
  <c r="D64" i="2"/>
  <c r="C64" i="2"/>
  <c r="G63" i="2"/>
  <c r="F63" i="2"/>
  <c r="D63" i="2"/>
  <c r="C63" i="2"/>
  <c r="G62" i="2"/>
  <c r="F62" i="2"/>
  <c r="D62" i="2"/>
  <c r="C62" i="2"/>
  <c r="G61" i="2"/>
  <c r="F61" i="2"/>
  <c r="D61" i="2"/>
  <c r="G60" i="2"/>
  <c r="F60" i="2"/>
  <c r="D60" i="2"/>
  <c r="C60" i="2"/>
  <c r="G59" i="2"/>
  <c r="F59" i="2"/>
  <c r="D59" i="2"/>
  <c r="C59" i="2"/>
  <c r="G58" i="2"/>
  <c r="F58" i="2"/>
  <c r="D58" i="2"/>
  <c r="C58" i="2"/>
  <c r="G57" i="2"/>
  <c r="F57" i="2"/>
  <c r="D57" i="2"/>
  <c r="C57" i="2"/>
  <c r="G56" i="2"/>
  <c r="F56" i="2"/>
  <c r="D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0" i="2"/>
  <c r="F50" i="2"/>
  <c r="D50" i="2"/>
  <c r="C50" i="2"/>
  <c r="G49" i="2"/>
  <c r="F49" i="2"/>
  <c r="D49" i="2"/>
  <c r="C49" i="2"/>
  <c r="G48" i="2"/>
  <c r="F48" i="2"/>
  <c r="D48" i="2"/>
  <c r="C48" i="2"/>
  <c r="F47" i="2"/>
  <c r="D47" i="2"/>
  <c r="G46" i="2"/>
  <c r="F46" i="2"/>
  <c r="D46" i="2"/>
  <c r="C46" i="2"/>
  <c r="G45" i="2"/>
  <c r="F45" i="2"/>
  <c r="D45" i="2"/>
  <c r="C45" i="2"/>
  <c r="G44" i="2"/>
  <c r="F44" i="2"/>
  <c r="D44" i="2"/>
  <c r="G43" i="2"/>
  <c r="F43" i="2"/>
  <c r="D43" i="2"/>
  <c r="C43" i="2"/>
  <c r="G42" i="2"/>
  <c r="F42" i="2"/>
  <c r="D42" i="2"/>
  <c r="G41" i="2"/>
  <c r="F41" i="2"/>
  <c r="D41" i="2"/>
  <c r="G40" i="2"/>
  <c r="F40" i="2"/>
  <c r="D40" i="2"/>
  <c r="C40" i="2"/>
  <c r="G39" i="2"/>
  <c r="F39" i="2"/>
  <c r="D39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9" i="2"/>
  <c r="F29" i="2"/>
  <c r="D29" i="2"/>
  <c r="C29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G19" i="2"/>
  <c r="F19" i="2"/>
  <c r="D19" i="2"/>
  <c r="C19" i="2"/>
  <c r="G18" i="2"/>
  <c r="F18" i="2"/>
  <c r="D18" i="2"/>
  <c r="C18" i="2"/>
  <c r="G17" i="2"/>
  <c r="F17" i="2"/>
  <c r="D17" i="2"/>
  <c r="C17" i="2"/>
  <c r="G16" i="2"/>
  <c r="F16" i="2"/>
  <c r="D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G11" i="2"/>
  <c r="F11" i="2"/>
  <c r="D11" i="2"/>
  <c r="C11" i="2"/>
  <c r="G10" i="2"/>
  <c r="F10" i="2"/>
  <c r="D10" i="2"/>
  <c r="C10" i="2"/>
  <c r="G9" i="2"/>
  <c r="F9" i="2"/>
  <c r="D9" i="2"/>
  <c r="C9" i="2"/>
  <c r="G8" i="2"/>
  <c r="F8" i="2"/>
  <c r="D8" i="2"/>
  <c r="C8" i="2"/>
  <c r="G7" i="2"/>
  <c r="F7" i="2"/>
  <c r="D7" i="2"/>
  <c r="C7" i="2"/>
  <c r="F5" i="2"/>
  <c r="G110" i="1" l="1"/>
  <c r="F110" i="1"/>
  <c r="E110" i="1"/>
  <c r="D110" i="1"/>
  <c r="C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C107" i="1"/>
  <c r="G106" i="1"/>
  <c r="F106" i="1"/>
  <c r="E106" i="1"/>
  <c r="D106" i="1"/>
  <c r="G105" i="1"/>
  <c r="F105" i="1"/>
  <c r="E105" i="1"/>
  <c r="D105" i="1"/>
  <c r="C105" i="1"/>
  <c r="G104" i="1"/>
  <c r="F104" i="1"/>
  <c r="E104" i="1"/>
  <c r="D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G93" i="1"/>
  <c r="F93" i="1"/>
  <c r="E93" i="1"/>
  <c r="D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G68" i="1"/>
  <c r="F68" i="1"/>
  <c r="E68" i="1"/>
  <c r="D68" i="1"/>
  <c r="C68" i="1"/>
  <c r="G67" i="1"/>
  <c r="F67" i="1"/>
  <c r="E67" i="1"/>
  <c r="D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<sst xmlns="http://schemas.openxmlformats.org/spreadsheetml/2006/main" count="1119" uniqueCount="416">
  <si>
    <t>Structura,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</si>
  <si>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</si>
  <si>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</si>
  <si>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</si>
  <si>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</si>
  <si>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</si>
  <si>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</si>
  <si>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</si>
  <si>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</si>
  <si>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</si>
  <si>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</si>
  <si>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</si>
  <si>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</si>
  <si>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</si>
  <si>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</si>
  <si>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</si>
  <si>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</si>
  <si>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</si>
  <si>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</si>
  <si>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</si>
  <si>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</si>
  <si>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</si>
  <si>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</si>
  <si>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</si>
  <si>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</si>
  <si>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</si>
  <si>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</si>
  <si>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</si>
  <si>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</si>
  <si>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</si>
  <si>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</si>
  <si>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</si>
  <si>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</si>
  <si>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</si>
  <si>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</si>
  <si>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</si>
  <si>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</si>
  <si>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</si>
  <si>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</si>
  <si>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</si>
  <si>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</si>
  <si>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</si>
  <si>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</si>
  <si>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</si>
  <si>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</si>
  <si>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</si>
  <si>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</si>
  <si>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</si>
  <si>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</si>
  <si>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</si>
  <si>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</si>
  <si>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</si>
  <si>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</si>
  <si>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</si>
  <si>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</si>
  <si>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</si>
  <si>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</si>
  <si>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</si>
  <si>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</si>
  <si>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</si>
  <si>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</si>
  <si>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</si>
  <si>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</si>
  <si>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</si>
  <si>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</si>
  <si>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</si>
  <si>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</si>
  <si>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</si>
  <si>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</si>
  <si>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</si>
  <si>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</si>
  <si>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</si>
  <si>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</si>
  <si>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</si>
  <si>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</si>
  <si>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</si>
  <si>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</si>
  <si>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</si>
  <si>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</si>
  <si>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</si>
  <si>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</si>
  <si>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</si>
  <si>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</si>
  <si>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</si>
  <si>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</si>
  <si>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</si>
  <si>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</si>
  <si>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</si>
  <si>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</si>
  <si>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</si>
  <si>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</si>
  <si>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</si>
  <si>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</si>
  <si>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</si>
  <si>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</si>
  <si>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</si>
  <si>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</si>
  <si>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</si>
  <si>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</si>
  <si>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</si>
  <si>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</si>
  <si>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</si>
  <si>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</si>
  <si>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</si>
  <si>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</si>
  <si>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</si>
  <si>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</si>
  <si>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</si>
  <si>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</si>
  <si>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</si>
  <si>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mii dolari             SUA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</si>
  <si>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</si>
  <si>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</si>
  <si>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</si>
  <si>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</si>
  <si>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</si>
  <si>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</si>
  <si>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</si>
  <si>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</si>
  <si>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</si>
  <si>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</si>
  <si>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</si>
  <si>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</si>
  <si>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</si>
  <si>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</si>
  <si>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</si>
  <si>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</si>
  <si>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</si>
  <si>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</si>
  <si>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</si>
  <si>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</si>
  <si>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</si>
  <si>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</si>
  <si>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</si>
  <si>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</si>
  <si>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</si>
  <si>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</si>
  <si>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</si>
  <si>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</si>
  <si>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</si>
  <si>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</si>
  <si>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</si>
  <si>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</si>
  <si>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</si>
  <si>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</si>
  <si>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</si>
  <si>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</si>
  <si>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</si>
  <si>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</si>
  <si>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</si>
  <si>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</si>
  <si>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</si>
  <si>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</si>
  <si>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</si>
  <si>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</si>
  <si>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</si>
  <si>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</si>
  <si>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</si>
  <si>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</si>
  <si>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</si>
  <si>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</si>
  <si>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</si>
  <si>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</si>
  <si>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</si>
  <si>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</si>
  <si>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</si>
  <si>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</si>
  <si>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</si>
  <si>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</si>
  <si>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</si>
  <si>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</si>
  <si>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</si>
  <si>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</si>
  <si>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</si>
  <si>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</si>
  <si>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</si>
  <si>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</si>
  <si>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</si>
  <si>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</si>
  <si>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</si>
  <si>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</si>
  <si>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</si>
  <si>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</si>
  <si>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</si>
  <si>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</si>
  <si>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</si>
  <si>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</si>
  <si>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</si>
  <si>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</si>
  <si>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</si>
  <si>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</si>
  <si>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</si>
  <si>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</si>
  <si>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</si>
  <si>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</si>
  <si>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</si>
  <si>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</si>
  <si>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</si>
  <si>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</si>
  <si>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</si>
  <si>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</si>
  <si>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</si>
  <si>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</si>
  <si>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</si>
  <si>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</si>
  <si>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</si>
  <si>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</si>
  <si>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</si>
  <si>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</si>
  <si>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</si>
  <si>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</si>
  <si>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</si>
  <si>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</si>
  <si>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</si>
  <si>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</si>
  <si>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</si>
  <si>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</si>
  <si>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</si>
  <si>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</si>
  <si>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</si>
  <si>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</si>
  <si>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</si>
  <si>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</si>
  <si>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</si>
  <si>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</si>
  <si>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</si>
  <si>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</si>
  <si>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</si>
  <si>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</si>
  <si>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</si>
  <si>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</si>
  <si>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</si>
  <si>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</si>
  <si>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</si>
  <si>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</si>
  <si>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</si>
  <si>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</si>
  <si>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</si>
  <si>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</si>
  <si>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</si>
  <si>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</si>
  <si>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</si>
  <si>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</si>
  <si>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</si>
  <si>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</si>
  <si>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</si>
  <si>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</si>
  <si>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</si>
  <si>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</si>
  <si>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</si>
  <si>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</si>
  <si>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</si>
  <si>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</si>
  <si>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</si>
  <si>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</si>
  <si>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</si>
  <si>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</si>
  <si>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</si>
  <si>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</si>
  <si>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</si>
  <si>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</si>
  <si>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</si>
  <si>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</si>
  <si>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</si>
  <si>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</si>
  <si>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</si>
  <si>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</si>
  <si>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</si>
  <si>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</si>
  <si>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</si>
  <si>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</si>
  <si>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</si>
  <si>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</si>
  <si>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</si>
  <si>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t>Celelalte țări ale lumii</t>
  </si>
  <si>
    <t>Malawi</t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</si>
  <si>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</si>
  <si>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</si>
  <si>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</si>
  <si>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</si>
  <si>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</si>
  <si>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</si>
  <si>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</si>
  <si>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Cehia</t>
  </si>
  <si>
    <t>Kârgâzstan</t>
  </si>
  <si>
    <t>Taiwan, provincie a Chinei</t>
  </si>
  <si>
    <t>Insulele Feroe</t>
  </si>
  <si>
    <t>Burkina Faso</t>
  </si>
  <si>
    <t>de 3,1 ori</t>
  </si>
  <si>
    <t>Regatul Țărilor de Jos (Netherlands)</t>
  </si>
  <si>
    <t>Țările Uniunii Europene - total</t>
  </si>
  <si>
    <t>Gaz și produse industriale obținute din gaz</t>
  </si>
  <si>
    <t>de 2,6 ori</t>
  </si>
  <si>
    <t>de 2,7 ori</t>
  </si>
  <si>
    <t>de 2,3 ori</t>
  </si>
  <si>
    <t>de 2,9 ori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</si>
  <si>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</si>
  <si>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</si>
  <si>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</si>
  <si>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</si>
  <si>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</si>
  <si>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</si>
  <si>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de 3,7 ori</t>
  </si>
  <si>
    <t>de 4,2 ori</t>
  </si>
  <si>
    <t>Uganda</t>
  </si>
  <si>
    <t>Nepal</t>
  </si>
  <si>
    <t>BALANŢA COMERCIALĂ – total, mii dolari SUA</t>
  </si>
  <si>
    <t>Instrumente şi aparate, profesionale, ştiinţifice şi de control</t>
  </si>
  <si>
    <t>de 3,8 ori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</si>
  <si>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</si>
  <si>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</si>
  <si>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</si>
  <si>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</si>
  <si>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</si>
  <si>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</si>
  <si>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</si>
  <si>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</si>
  <si>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</si>
  <si>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de 2,4 ori</t>
  </si>
  <si>
    <t>de 6,0 ori</t>
  </si>
  <si>
    <t>Sudan</t>
  </si>
  <si>
    <t>Muntenegru</t>
  </si>
  <si>
    <t>de 5,5 ori</t>
  </si>
  <si>
    <t>Belize</t>
  </si>
  <si>
    <t>Venezuela</t>
  </si>
  <si>
    <t>de 7,2 ori</t>
  </si>
  <si>
    <t>de 10,1 ori</t>
  </si>
  <si>
    <t>de 4,4 ori</t>
  </si>
  <si>
    <t>de 3,2 ori</t>
  </si>
  <si>
    <t>Mărfuri produse în UE, cu origine neidentificată</t>
  </si>
  <si>
    <t>San Marino</t>
  </si>
  <si>
    <t>Mauritius</t>
  </si>
  <si>
    <t>Guatemala</t>
  </si>
  <si>
    <t>Laos</t>
  </si>
  <si>
    <t>de 5,8 ori</t>
  </si>
  <si>
    <t>de 12,8 ori</t>
  </si>
  <si>
    <t>de 45,7 ori</t>
  </si>
  <si>
    <t>de 4,0 ori</t>
  </si>
  <si>
    <t>de 72,3 ori</t>
  </si>
  <si>
    <t xml:space="preserve"> Ianuarie-iunie 2023</t>
  </si>
  <si>
    <t>ianuarie-iunie 2022</t>
  </si>
  <si>
    <t>ianuarie-iunie 2023</t>
  </si>
  <si>
    <t>Ianuarie-iunie    2022</t>
  </si>
  <si>
    <t>Ianuarie-iunie    2023</t>
  </si>
  <si>
    <t>Ianuarie-iunie 2023</t>
  </si>
  <si>
    <t>Mărfuri manufacturate, clasificate iunie ales după materia primă</t>
  </si>
  <si>
    <t>Ianuarie-iunie        2022</t>
  </si>
  <si>
    <t>Ianuarie-iunie         2023</t>
  </si>
  <si>
    <t>ianuarie-iunie     2022</t>
  </si>
  <si>
    <t>ianuarie-iunie     2023</t>
  </si>
  <si>
    <t>Yemen</t>
  </si>
  <si>
    <t>Haiti</t>
  </si>
  <si>
    <t>Sierra Leone</t>
  </si>
  <si>
    <t>Șri Lanka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</si>
  <si>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</si>
  <si>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</si>
  <si>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</si>
  <si>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de 3,4 ori</t>
  </si>
  <si>
    <t>de 7,0 ori</t>
  </si>
  <si>
    <t>de 5,0 ori</t>
  </si>
  <si>
    <t>de 7,6 ori</t>
  </si>
  <si>
    <t>de 32,8 ori</t>
  </si>
  <si>
    <t>de 7,5 ori</t>
  </si>
  <si>
    <t>de 46,9 ori</t>
  </si>
  <si>
    <t>de 52,7 ori</t>
  </si>
  <si>
    <t>de 13,0 ori</t>
  </si>
  <si>
    <t>de 14,1 ori</t>
  </si>
  <si>
    <t>de 3,0 ori</t>
  </si>
  <si>
    <t>de 46,8 ori</t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</si>
  <si>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</si>
  <si>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</si>
  <si>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</si>
  <si>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t>Republica Arabă Siria</t>
  </si>
  <si>
    <t>Republica Unită Tanzania</t>
  </si>
  <si>
    <t>de 3,3 ori</t>
  </si>
  <si>
    <t>de 4,3 ori</t>
  </si>
  <si>
    <t>de 40,3 ori</t>
  </si>
  <si>
    <t>de 1080,6 ori</t>
  </si>
  <si>
    <t>de 6,7 ori</t>
  </si>
  <si>
    <t>de 1703,2 ori</t>
  </si>
  <si>
    <t>de 95,6 ori</t>
  </si>
  <si>
    <t>de 3,5 ori</t>
  </si>
  <si>
    <t>de 10029,2 ori</t>
  </si>
  <si>
    <t xml:space="preserve">Mărfuri produse în UE, cu origine neidentificată </t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</si>
  <si>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</si>
  <si>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t>de 23,2 ori</t>
  </si>
  <si>
    <t>de 6,6 ori</t>
  </si>
  <si>
    <t>de 4,8 ori</t>
  </si>
  <si>
    <t>de 13,9 ori</t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</si>
  <si>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</si>
  <si>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t>de 18,2 ori</t>
  </si>
  <si>
    <t>de 8,3 ori</t>
  </si>
  <si>
    <t>de 91,3 ori</t>
  </si>
  <si>
    <t>de 9,0 ori</t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</si>
  <si>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</si>
  <si>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t>de 9,5 ori</t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</si>
  <si>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</si>
  <si>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de 6,2 ori</t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</si>
  <si>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</si>
  <si>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</si>
  <si>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</si>
  <si>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</si>
  <si>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</si>
  <si>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</si>
  <si>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r>
      <t>în % faţă de  ianuarie-iunie 2022</t>
    </r>
    <r>
      <rPr>
        <b/>
        <vertAlign val="superscript"/>
        <sz val="9"/>
        <rFont val="Arial"/>
        <family val="2"/>
        <charset val="204"/>
      </rPr>
      <t>1</t>
    </r>
  </si>
  <si>
    <r>
      <t>ianuarie-iunie       2022</t>
    </r>
    <r>
      <rPr>
        <b/>
        <vertAlign val="superscript"/>
        <sz val="9"/>
        <rFont val="Arial"/>
        <family val="2"/>
        <charset val="204"/>
      </rPr>
      <t>1,2</t>
    </r>
  </si>
  <si>
    <r>
      <t>ianuarie-iunie        2023</t>
    </r>
    <r>
      <rPr>
        <b/>
        <vertAlign val="superscript"/>
        <sz val="9"/>
        <rFont val="Arial"/>
        <family val="2"/>
        <charset val="204"/>
      </rPr>
      <t>1,2</t>
    </r>
  </si>
  <si>
    <t xml:space="preserve">   EXPORT - total</t>
  </si>
  <si>
    <t xml:space="preserve">      din care:</t>
  </si>
  <si>
    <r>
      <t>ianuarie-iunie 2022</t>
    </r>
    <r>
      <rPr>
        <b/>
        <vertAlign val="superscript"/>
        <sz val="9"/>
        <rFont val="Arial"/>
        <family val="2"/>
        <charset val="204"/>
      </rPr>
      <t>1,2</t>
    </r>
  </si>
  <si>
    <r>
      <t>ianuarie-iunie 2023</t>
    </r>
    <r>
      <rPr>
        <b/>
        <vertAlign val="superscript"/>
        <sz val="9"/>
        <rFont val="Arial"/>
        <family val="2"/>
        <charset val="204"/>
      </rPr>
      <t>1,2</t>
    </r>
  </si>
  <si>
    <r>
      <t>în % faţă de 
ianuarie-iunie 2022</t>
    </r>
    <r>
      <rPr>
        <b/>
        <vertAlign val="superscript"/>
        <sz val="9"/>
        <rFont val="Arial"/>
        <family val="2"/>
        <charset val="204"/>
      </rPr>
      <t>1</t>
    </r>
  </si>
  <si>
    <r>
      <t>în % faţă de  ianuarie-iunie 2022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</si>
  <si>
    <r>
      <t>ianuarie-iunie                2022</t>
    </r>
    <r>
      <rPr>
        <b/>
        <vertAlign val="superscript"/>
        <sz val="9"/>
        <rFont val="Arial"/>
        <family val="2"/>
        <charset val="204"/>
      </rPr>
      <t>1,2</t>
    </r>
  </si>
  <si>
    <r>
      <t>Ianuarie-iunie 2023
în % faţă de ianuarie-iunie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</si>
  <si>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>Ianuarie-iunie 2023
în % faţă de ianuarie-iunie
2022</t>
    </r>
    <r>
      <rPr>
        <b/>
        <vertAlign val="superscript"/>
        <sz val="9"/>
        <color rgb="FF000000"/>
        <rFont val="Arial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</si>
</sst>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b/>
      <vertAlign val="superscript"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/>
    </xf>
    <xf numFmtId="38" fontId="18" fillId="0" borderId="0" xfId="0" applyNumberFormat="1" applyFont="1" applyAlignment="1">
      <alignment horizontal="left" vertical="top" wrapText="1" indent="1"/>
    </xf>
    <xf numFmtId="4" fontId="18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indent="1"/>
    </xf>
    <xf numFmtId="4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4" fontId="12" fillId="0" borderId="0" xfId="0" applyNumberFormat="1" applyFont="1" applyAlignment="1">
      <alignment horizontal="right" vertical="top" indent="1"/>
    </xf>
    <xf numFmtId="0" fontId="18" fillId="0" borderId="0" xfId="0" applyFont="1" applyAlignment="1">
      <alignment horizontal="left" vertical="top" wrapText="1" indent="1"/>
    </xf>
    <xf numFmtId="2" fontId="21" fillId="0" borderId="0" xfId="0" applyNumberFormat="1" applyFont="1" applyAlignment="1">
      <alignment horizontal="right" vertical="top"/>
    </xf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38" fontId="18" fillId="0" borderId="3" xfId="0" applyNumberFormat="1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/>
    </xf>
    <xf numFmtId="4" fontId="18" fillId="0" borderId="3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4" fontId="1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right" vertical="top" indent="1"/>
    </xf>
    <xf numFmtId="4" fontId="21" fillId="0" borderId="0" xfId="0" applyNumberFormat="1" applyFont="1" applyAlignment="1">
      <alignment horizontal="right" vertical="top" indent="1"/>
    </xf>
    <xf numFmtId="0" fontId="30" fillId="0" borderId="0" xfId="0" applyFont="1"/>
    <xf numFmtId="4" fontId="12" fillId="0" borderId="5" xfId="0" applyNumberFormat="1" applyFont="1" applyBorder="1" applyAlignment="1">
      <alignment horizontal="right" vertical="top" indent="1"/>
    </xf>
    <xf numFmtId="4" fontId="18" fillId="0" borderId="0" xfId="0" applyNumberFormat="1" applyFont="1" applyAlignment="1">
      <alignment horizontal="right" vertical="top" wrapText="1" indent="1"/>
    </xf>
    <xf numFmtId="0" fontId="22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 inden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4" fontId="20" fillId="0" borderId="0" xfId="0" applyNumberFormat="1" applyFont="1" applyAlignment="1">
      <alignment horizontal="right" vertical="top" wrapText="1" indent="1"/>
    </xf>
    <xf numFmtId="4" fontId="17" fillId="0" borderId="0" xfId="0" applyNumberFormat="1" applyFont="1" applyAlignment="1">
      <alignment horizontal="right" vertical="top" wrapText="1" indent="1"/>
    </xf>
    <xf numFmtId="4" fontId="34" fillId="0" borderId="0" xfId="0" applyNumberFormat="1" applyFont="1" applyAlignment="1">
      <alignment horizontal="right" vertical="top" indent="1"/>
    </xf>
    <xf numFmtId="4" fontId="12" fillId="0" borderId="5" xfId="0" applyNumberFormat="1" applyFont="1" applyBorder="1" applyAlignment="1">
      <alignment horizontal="right" vertical="top" wrapText="1" indent="1"/>
    </xf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 indent="1"/>
    </xf>
    <xf numFmtId="0" fontId="21" fillId="0" borderId="3" xfId="0" applyFont="1" applyBorder="1" applyAlignment="1">
      <alignment horizontal="left" vertical="top" wrapText="1" indent="1"/>
    </xf>
    <xf numFmtId="4" fontId="20" fillId="0" borderId="0" xfId="0" applyNumberFormat="1" applyFont="1" applyAlignment="1">
      <alignment horizontal="right" vertical="top"/>
    </xf>
    <xf numFmtId="4" fontId="35" fillId="0" borderId="0" xfId="0" applyNumberFormat="1" applyFont="1" applyAlignment="1">
      <alignment horizontal="right" vertical="top" indent="1"/>
    </xf>
    <xf numFmtId="4" fontId="30" fillId="0" borderId="0" xfId="0" applyNumberFormat="1" applyFont="1" applyAlignment="1">
      <alignment horizontal="right" vertical="top" inden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2"/>
  <sheetViews>
    <sheetView tabSelected="1" zoomScale="99" zoomScaleNormal="99" workbookViewId="0">
      <selection sqref="A1:G1"/>
    </sheetView>
  </sheetViews>
  <sheetFormatPr defaultRowHeight="15.75" x14ac:dyDescent="0.25"/>
  <cols>
    <col min="1" max="1" width="29.25" style="25" customWidth="1"/>
    <col min="2" max="2" width="11.75" style="25" customWidth="1"/>
    <col min="3" max="3" width="10.625" style="26" customWidth="1"/>
    <col min="4" max="4" width="9" style="25" customWidth="1"/>
    <col min="5" max="5" width="8.75" style="25" customWidth="1"/>
    <col min="6" max="7" width="10" style="25" customWidth="1"/>
    <col min="9" max="9" width="8.875" customWidth="1"/>
  </cols>
  <sheetData>
    <row r="1" spans="1:9" x14ac:dyDescent="0.25">
      <c r="A1" s="81" t="s">
        <v>356</v>
      </c>
      <c r="B1" s="81"/>
      <c r="C1" s="81"/>
      <c r="D1" s="81"/>
      <c r="E1" s="81"/>
      <c r="F1" s="81"/>
      <c r="G1" s="81"/>
    </row>
    <row r="2" spans="1:9" x14ac:dyDescent="0.25">
      <c r="A2" s="90"/>
      <c r="B2" s="90"/>
      <c r="C2" s="90"/>
      <c r="D2" s="90"/>
      <c r="E2" s="90"/>
      <c r="F2" s="90"/>
      <c r="G2" s="90"/>
    </row>
    <row r="3" spans="1:9" ht="54" customHeight="1" x14ac:dyDescent="0.25">
      <c r="A3" s="82"/>
      <c r="B3" s="84" t="s">
        <v>339</v>
      </c>
      <c r="C3" s="85"/>
      <c r="D3" s="86" t="s">
        <v>102</v>
      </c>
      <c r="E3" s="87"/>
      <c r="F3" s="88" t="s">
        <v>400</v>
      </c>
      <c r="G3" s="89"/>
    </row>
    <row r="4" spans="1:9" ht="37.5" x14ac:dyDescent="0.25">
      <c r="A4" s="83"/>
      <c r="B4" s="15" t="s">
        <v>94</v>
      </c>
      <c r="C4" s="14" t="s">
        <v>404</v>
      </c>
      <c r="D4" s="15" t="s">
        <v>348</v>
      </c>
      <c r="E4" s="15" t="s">
        <v>349</v>
      </c>
      <c r="F4" s="15" t="s">
        <v>405</v>
      </c>
      <c r="G4" s="13" t="s">
        <v>406</v>
      </c>
    </row>
    <row r="5" spans="1:9" s="27" customFormat="1" ht="15.75" customHeight="1" x14ac:dyDescent="0.2">
      <c r="A5" s="67" t="s">
        <v>407</v>
      </c>
      <c r="B5" s="68">
        <v>2042225.30373</v>
      </c>
      <c r="C5" s="45">
        <f>IF(2291388.90956="","-",2042225.30373/2291388.90956*100)</f>
        <v>89.126088339240269</v>
      </c>
      <c r="D5" s="45">
        <v>100</v>
      </c>
      <c r="E5" s="45">
        <v>100</v>
      </c>
      <c r="F5" s="45">
        <f>IF(1331502.34087="","-",(2291388.90956-1331502.34087)/1331502.34087*100)</f>
        <v>72.090490510351856</v>
      </c>
      <c r="G5" s="45">
        <f>IF(2291388.90956="","-",(2042225.30373-2291388.90956)/2291388.90956*100)</f>
        <v>-10.873911660759727</v>
      </c>
    </row>
    <row r="6" spans="1:9" ht="13.5" customHeight="1" x14ac:dyDescent="0.25">
      <c r="A6" s="71" t="s">
        <v>408</v>
      </c>
      <c r="B6" s="16"/>
      <c r="C6" s="16"/>
      <c r="D6" s="16"/>
      <c r="E6" s="16"/>
      <c r="F6" s="16"/>
      <c r="G6" s="16"/>
    </row>
    <row r="7" spans="1:9" x14ac:dyDescent="0.25">
      <c r="A7" s="17" t="s">
        <v>123</v>
      </c>
      <c r="B7" s="18">
        <v>1250875.32115</v>
      </c>
      <c r="C7" s="33">
        <f>IF(1410266.36309="","-",1250875.32115/1410266.36309*100)</f>
        <v>88.697805881807867</v>
      </c>
      <c r="D7" s="33">
        <f>IF(1410266.36309="","-",1410266.36309/2291388.90956*100)</f>
        <v>61.546355453069033</v>
      </c>
      <c r="E7" s="33">
        <f>IF(1250875.32115="","-",1250875.32115/2042225.30373*100)</f>
        <v>61.250603391572533</v>
      </c>
      <c r="F7" s="33">
        <f>IF(1331502.34087="","-",(1410266.36309-859323.64349)/1331502.34087*100)</f>
        <v>41.37752542290054</v>
      </c>
      <c r="G7" s="33">
        <f>IF(2291388.90956="","-",(1250875.32115-1410266.36309)/2291388.90956*100)</f>
        <v>-6.9560885659783924</v>
      </c>
      <c r="I7" s="7"/>
    </row>
    <row r="8" spans="1:9" ht="15.75" customHeight="1" x14ac:dyDescent="0.25">
      <c r="A8" s="19" t="s">
        <v>1</v>
      </c>
      <c r="B8" s="20">
        <v>644949.38093999994</v>
      </c>
      <c r="C8" s="34">
        <f>IF(OR(664092.56172="",644949.38094=""),"-",644949.38094/664092.56172*100)</f>
        <v>97.117392682366571</v>
      </c>
      <c r="D8" s="34">
        <f>IF(664092.56172="","-",664092.56172/2291388.90956*100)</f>
        <v>28.982097231478754</v>
      </c>
      <c r="E8" s="34">
        <f>IF(644949.38094="","-",644949.38094/2042225.30373*100)</f>
        <v>31.580716376495737</v>
      </c>
      <c r="F8" s="34">
        <f>IF(OR(1331502.34087="",372797.84571="",664092.56172=""),"-",(664092.56172-372797.84571)/1331502.34087*100)</f>
        <v>21.877146368339751</v>
      </c>
      <c r="G8" s="34">
        <f>IF(OR(2291388.90956="",644949.38094="",664092.56172=""),"-",(644949.38094-664092.56172)/2291388.90956*100)</f>
        <v>-0.83544005559824364</v>
      </c>
    </row>
    <row r="9" spans="1:9" ht="15.75" customHeight="1" x14ac:dyDescent="0.25">
      <c r="A9" s="19" t="s">
        <v>2</v>
      </c>
      <c r="B9" s="20">
        <v>138835.66346000001</v>
      </c>
      <c r="C9" s="34">
        <f>IF(OR(194879.09186="",138835.66346=""),"-",138835.66346/194879.09186*100)</f>
        <v>71.241949115679759</v>
      </c>
      <c r="D9" s="34">
        <f>IF(194879.09186="","-",194879.09186/2291388.90956*100)</f>
        <v>8.5048457312041936</v>
      </c>
      <c r="E9" s="34">
        <f>IF(138835.66346="","-",138835.66346/2042225.30373*100)</f>
        <v>6.7982540029459599</v>
      </c>
      <c r="F9" s="34">
        <f>IF(OR(1331502.34087="",94262.19702="",194879.09186=""),"-",(194879.09186-94262.19702)/1331502.34087*100)</f>
        <v>7.5566442319776304</v>
      </c>
      <c r="G9" s="34">
        <f>IF(OR(2291388.90956="",138835.66346="",194879.09186=""),"-",(138835.66346-194879.09186)/2291388.90956*100)</f>
        <v>-2.4458278630126395</v>
      </c>
    </row>
    <row r="10" spans="1:9" ht="13.5" customHeight="1" x14ac:dyDescent="0.25">
      <c r="A10" s="19" t="s">
        <v>3</v>
      </c>
      <c r="B10" s="20">
        <v>111972.0946</v>
      </c>
      <c r="C10" s="34">
        <f>IF(OR(128914.89151="",111972.0946=""),"-",111972.0946/128914.89151*100)</f>
        <v>86.857377986711697</v>
      </c>
      <c r="D10" s="34">
        <f>IF(128914.89151="","-",128914.89151/2291388.90956*100)</f>
        <v>5.6260589798680076</v>
      </c>
      <c r="E10" s="34">
        <f>IF(111972.0946="","-",111972.0946/2042225.30373*100)</f>
        <v>5.4828472840626246</v>
      </c>
      <c r="F10" s="34">
        <f>IF(OR(1331502.34087="",134639.37704="",128914.89151=""),"-",(128914.89151-134639.37704)/1331502.34087*100)</f>
        <v>-0.42992680931072402</v>
      </c>
      <c r="G10" s="34">
        <f>IF(OR(2291388.90956="",111972.0946="",128914.89151=""),"-",(111972.0946-128914.89151)/2291388.90956*100)</f>
        <v>-0.73941166596871666</v>
      </c>
    </row>
    <row r="11" spans="1:9" ht="15.75" customHeight="1" x14ac:dyDescent="0.25">
      <c r="A11" s="19" t="s">
        <v>283</v>
      </c>
      <c r="B11" s="20">
        <v>79636.393230000001</v>
      </c>
      <c r="C11" s="34">
        <f>IF(OR(50234.41683="",79636.39323=""),"-",79636.39323/50234.41683*100)</f>
        <v>158.52954658456616</v>
      </c>
      <c r="D11" s="34">
        <f>IF(50234.41683="","-",50234.41683/2291388.90956*100)</f>
        <v>2.1923129949881002</v>
      </c>
      <c r="E11" s="34">
        <f>IF(79636.39323="","-",79636.39323/2042225.30373*100)</f>
        <v>3.8994910642106424</v>
      </c>
      <c r="F11" s="34">
        <f>IF(OR(1331502.34087="",42546.95593="",50234.41683=""),"-",(50234.41683-42546.95593)/1331502.34087*100)</f>
        <v>0.57735241343826993</v>
      </c>
      <c r="G11" s="34">
        <f>IF(OR(2291388.90956="",79636.39323="",50234.41683=""),"-",(79636.39323-50234.41683)/2291388.90956*100)</f>
        <v>1.2831508556810578</v>
      </c>
    </row>
    <row r="12" spans="1:9" s="4" customFormat="1" x14ac:dyDescent="0.25">
      <c r="A12" s="19" t="s">
        <v>4</v>
      </c>
      <c r="B12" s="20">
        <v>57235.854729999999</v>
      </c>
      <c r="C12" s="34">
        <f>IF(OR(63012.15815="",57235.85473=""),"-",57235.85473/63012.15815*100)</f>
        <v>90.833033513548997</v>
      </c>
      <c r="D12" s="34">
        <f>IF(63012.15815="","-",63012.15815/2291388.90956*100)</f>
        <v>2.7499547495889645</v>
      </c>
      <c r="E12" s="34">
        <f>IF(57235.85473="","-",57235.85473/2042225.30373*100)</f>
        <v>2.8026219548578797</v>
      </c>
      <c r="F12" s="34">
        <f>IF(OR(1331502.34087="",51781.25467="",63012.15815=""),"-",(63012.15815-51781.25467)/1331502.34087*100)</f>
        <v>0.84347605973127771</v>
      </c>
      <c r="G12" s="34">
        <f>IF(OR(2291388.90956="",57235.85473="",63012.15815=""),"-",(57235.85473-63012.15815)/2291388.90956*100)</f>
        <v>-0.25208743028738795</v>
      </c>
    </row>
    <row r="13" spans="1:9" s="4" customFormat="1" x14ac:dyDescent="0.25">
      <c r="A13" s="19" t="s">
        <v>37</v>
      </c>
      <c r="B13" s="20">
        <v>38535.4326</v>
      </c>
      <c r="C13" s="34" t="s">
        <v>292</v>
      </c>
      <c r="D13" s="34">
        <f>IF(14697.4172="","-",14697.4172/2291388.90956*100)</f>
        <v>0.64141958349716566</v>
      </c>
      <c r="E13" s="34">
        <f>IF(38535.4326="","-",38535.4326/2042225.30373*100)</f>
        <v>1.8869334607507497</v>
      </c>
      <c r="F13" s="34">
        <f>IF(OR(1331502.34087="",18605.90427="",14697.4172=""),"-",(14697.4172-18605.90427)/1331502.34087*100)</f>
        <v>-0.29353963189026044</v>
      </c>
      <c r="G13" s="34">
        <f>IF(OR(2291388.90956="",38535.4326="",14697.4172=""),"-",(38535.4326-14697.4172)/2291388.90956*100)</f>
        <v>1.0403303996342312</v>
      </c>
    </row>
    <row r="14" spans="1:9" s="4" customFormat="1" x14ac:dyDescent="0.25">
      <c r="A14" s="19" t="s">
        <v>5</v>
      </c>
      <c r="B14" s="20">
        <v>26816.173449999998</v>
      </c>
      <c r="C14" s="34">
        <f>IF(OR(111426.18143="",26816.17345=""),"-",26816.17345/111426.18143*100)</f>
        <v>24.066312877145858</v>
      </c>
      <c r="D14" s="34">
        <f>IF(111426.18143="","-",111426.18143/2291388.90956*100)</f>
        <v>4.8628227606895598</v>
      </c>
      <c r="E14" s="34">
        <f>IF(26816.17345="","-",26816.17345/2042225.30373*100)</f>
        <v>1.3130859460521762</v>
      </c>
      <c r="F14" s="34">
        <f>IF(OR(1331502.34087="",16463.55649="",111426.18143=""),"-",(111426.18143-16463.55649)/1331502.34087*100)</f>
        <v>7.1319908366027862</v>
      </c>
      <c r="G14" s="34">
        <f>IF(OR(2291388.90956="",26816.17345="",111426.18143=""),"-",(26816.17345-111426.18143)/2291388.90956*100)</f>
        <v>-3.6925206204409484</v>
      </c>
    </row>
    <row r="15" spans="1:9" s="4" customFormat="1" x14ac:dyDescent="0.25">
      <c r="A15" s="19" t="s">
        <v>39</v>
      </c>
      <c r="B15" s="20">
        <v>25329.022560000001</v>
      </c>
      <c r="C15" s="34">
        <f>IF(OR(27394.40994="",25329.02256=""),"-",25329.02256/27394.40994*100)</f>
        <v>92.460551679982643</v>
      </c>
      <c r="D15" s="34">
        <f>IF(27394.40994="","-",27394.40994/2291388.90956*100)</f>
        <v>1.1955373365781179</v>
      </c>
      <c r="E15" s="34">
        <f>IF(25329.02256="","-",25329.02256/2042225.30373*100)</f>
        <v>1.2402658273667497</v>
      </c>
      <c r="F15" s="34">
        <f>IF(OR(1331502.34087="",19218.27851="",27394.40994=""),"-",(27394.40994-19218.27851)/1331502.34087*100)</f>
        <v>0.61405310220166331</v>
      </c>
      <c r="G15" s="34">
        <f>IF(OR(2291388.90956="",25329.02256="",27394.40994=""),"-",(25329.02256-27394.40994)/2291388.90956*100)</f>
        <v>-9.0136919637819252E-2</v>
      </c>
    </row>
    <row r="16" spans="1:9" s="4" customFormat="1" x14ac:dyDescent="0.25">
      <c r="A16" s="19" t="s">
        <v>276</v>
      </c>
      <c r="B16" s="20">
        <v>23739.323189999999</v>
      </c>
      <c r="C16" s="34">
        <f>IF(OR(23355.90786="",23739.32319=""),"-",23739.32319/23355.90786*100)</f>
        <v>101.64162032278202</v>
      </c>
      <c r="D16" s="34">
        <f>IF(23355.90786="","-",23355.90786/2291388.90956*100)</f>
        <v>1.0192904295973431</v>
      </c>
      <c r="E16" s="34">
        <f>IF(23739.32319="","-",23739.32319/2042225.30373*100)</f>
        <v>1.1624242999360341</v>
      </c>
      <c r="F16" s="34">
        <f>IF(OR(1331502.34087="",17840.99208="",23355.90786=""),"-",(23355.90786-17840.99208)/1331502.34087*100)</f>
        <v>0.41418746409387225</v>
      </c>
      <c r="G16" s="34">
        <f>IF(OR(2291388.90956="",23739.32319="",23355.90786=""),"-",(23739.32319-23355.90786)/2291388.90956*100)</f>
        <v>1.6732878840441997E-2</v>
      </c>
    </row>
    <row r="17" spans="1:7" s="4" customFormat="1" x14ac:dyDescent="0.25">
      <c r="A17" s="19" t="s">
        <v>44</v>
      </c>
      <c r="B17" s="20">
        <v>21768.94945</v>
      </c>
      <c r="C17" s="34" t="s">
        <v>188</v>
      </c>
      <c r="D17" s="34">
        <f>IF(11777.62325="","-",11777.62325/2291388.90956*100)</f>
        <v>0.5139949486908173</v>
      </c>
      <c r="E17" s="34">
        <f>IF(21768.94945="","-",21768.94945/2042225.30373*100)</f>
        <v>1.0659425975302697</v>
      </c>
      <c r="F17" s="34">
        <f>IF(OR(1331502.34087="",4228.19008="",11777.62325=""),"-",(11777.62325-4228.19008)/1331502.34087*100)</f>
        <v>0.56698609820447043</v>
      </c>
      <c r="G17" s="34">
        <f>IF(OR(2291388.90956="",21768.94945="",11777.62325=""),"-",(21768.94945-11777.62325)/2291388.90956*100)</f>
        <v>0.43603799242960312</v>
      </c>
    </row>
    <row r="18" spans="1:7" s="6" customFormat="1" x14ac:dyDescent="0.25">
      <c r="A18" s="19" t="s">
        <v>289</v>
      </c>
      <c r="B18" s="20">
        <v>19341.10297</v>
      </c>
      <c r="C18" s="34">
        <f>IF(OR(44975.93727="",19341.10297=""),"-",19341.10297/44975.93727*100)</f>
        <v>43.003223821420981</v>
      </c>
      <c r="D18" s="34">
        <f>IF(44975.93727="","-",44975.93727/2291388.90956*100)</f>
        <v>1.9628242539864795</v>
      </c>
      <c r="E18" s="34">
        <f>IF(19341.10297="","-",19341.10297/2042225.30373*100)</f>
        <v>0.94706019628072646</v>
      </c>
      <c r="F18" s="34">
        <f>IF(OR(1331502.34087="",18798.03581="",44975.93727=""),"-",(44975.93727-18798.03581)/1331502.34087*100)</f>
        <v>1.9660424662036591</v>
      </c>
      <c r="G18" s="34">
        <f>IF(OR(2291388.90956="",19341.10297="",44975.93727=""),"-",(19341.10297-44975.93727)/2291388.90956*100)</f>
        <v>-1.1187465468235371</v>
      </c>
    </row>
    <row r="19" spans="1:7" s="4" customFormat="1" x14ac:dyDescent="0.25">
      <c r="A19" s="19" t="s">
        <v>7</v>
      </c>
      <c r="B19" s="20">
        <v>17265.370490000001</v>
      </c>
      <c r="C19" s="34">
        <f>IF(OR(19684.66888="",17265.37049=""),"-",17265.37049/19684.66888*100)</f>
        <v>87.709732864960444</v>
      </c>
      <c r="D19" s="34">
        <f>IF(19684.66888="","-",19684.66888/2291388.90956*100)</f>
        <v>0.85907149143791206</v>
      </c>
      <c r="E19" s="34">
        <f>IF(17265.37049="","-",17265.37049/2042225.30373*100)</f>
        <v>0.84541947739389256</v>
      </c>
      <c r="F19" s="34">
        <f>IF(OR(1331502.34087="",13606.23085="",19684.66888=""),"-",(19684.66888-13606.23085)/1331502.34087*100)</f>
        <v>0.4565097516860816</v>
      </c>
      <c r="G19" s="34">
        <f>IF(OR(2291388.90956="",17265.37049="",19684.66888=""),"-",(17265.37049-19684.66888)/2291388.90956*100)</f>
        <v>-0.10558218117868788</v>
      </c>
    </row>
    <row r="20" spans="1:7" s="4" customFormat="1" x14ac:dyDescent="0.25">
      <c r="A20" s="19" t="s">
        <v>40</v>
      </c>
      <c r="B20" s="20">
        <v>10915.03347</v>
      </c>
      <c r="C20" s="34" t="s">
        <v>187</v>
      </c>
      <c r="D20" s="34">
        <f>IF(4939.0313="","-",4939.0313/2291388.90956*100)</f>
        <v>0.21554749084250427</v>
      </c>
      <c r="E20" s="34">
        <f>IF(10915.03347="","-",10915.03347/2042225.30373*100)</f>
        <v>0.53446764419500425</v>
      </c>
      <c r="F20" s="34">
        <f>IF(OR(1331502.34087="",3516.94312="",4939.0313=""),"-",(4939.0313-3516.94312)/1331502.34087*100)</f>
        <v>0.10680328050124278</v>
      </c>
      <c r="G20" s="34">
        <f>IF(OR(2291388.90956="",10915.03347="",4939.0313=""),"-",(10915.03347-4939.0313)/2291388.90956*100)</f>
        <v>0.26080261386739156</v>
      </c>
    </row>
    <row r="21" spans="1:7" s="4" customFormat="1" x14ac:dyDescent="0.25">
      <c r="A21" s="19" t="s">
        <v>38</v>
      </c>
      <c r="B21" s="20">
        <v>7893.2702200000003</v>
      </c>
      <c r="C21" s="34">
        <f>IF(OR(11123.22263="",7893.27022=""),"-",7893.27022/11123.22263*100)</f>
        <v>70.962080707720219</v>
      </c>
      <c r="D21" s="34">
        <f>IF(11123.22263="","-",11123.22263/2291388.90956*100)</f>
        <v>0.48543582381813649</v>
      </c>
      <c r="E21" s="34">
        <f>IF(7893.27022="","-",7893.27022/2042225.30373*100)</f>
        <v>0.38650339928623073</v>
      </c>
      <c r="F21" s="34">
        <f>IF(OR(1331502.34087="",11502.23636="",11123.22263=""),"-",(11123.22263-11502.23636)/1331502.34087*100)</f>
        <v>-2.8465119314199178E-2</v>
      </c>
      <c r="G21" s="34">
        <f>IF(OR(2291388.90956="",7893.27022="",11123.22263=""),"-",(7893.27022-11123.22263)/2291388.90956*100)</f>
        <v>-0.14096046273612392</v>
      </c>
    </row>
    <row r="22" spans="1:7" s="4" customFormat="1" x14ac:dyDescent="0.25">
      <c r="A22" s="19" t="s">
        <v>6</v>
      </c>
      <c r="B22" s="20">
        <v>7027.3152600000003</v>
      </c>
      <c r="C22" s="34">
        <f>IF(OR(11147.86355="",7027.31526=""),"-",7027.31526/11147.86355*100)</f>
        <v>63.03732754245992</v>
      </c>
      <c r="D22" s="34">
        <f>IF(11147.86355="","-",11147.86355/2291388.90956*100)</f>
        <v>0.48651119430182843</v>
      </c>
      <c r="E22" s="34">
        <f>IF(7027.31526="","-",7027.31526/2042225.30373*100)</f>
        <v>0.3441008808952194</v>
      </c>
      <c r="F22" s="34">
        <f>IF(OR(1331502.34087="",10033.03768="",11147.86355=""),"-",(11147.86355-10033.03768)/1331502.34087*100)</f>
        <v>8.3726917766556566E-2</v>
      </c>
      <c r="G22" s="34">
        <f>IF(OR(2291388.90956="",7027.31526="",11147.86355=""),"-",(7027.31526-11147.86355)/2291388.90956*100)</f>
        <v>-0.17982753921905126</v>
      </c>
    </row>
    <row r="23" spans="1:7" s="4" customFormat="1" x14ac:dyDescent="0.25">
      <c r="A23" s="19" t="s">
        <v>41</v>
      </c>
      <c r="B23" s="20">
        <v>6594.0360000000001</v>
      </c>
      <c r="C23" s="34">
        <f>IF(OR(5975.65292="",6594.036=""),"-",6594.036/5975.65292*100)</f>
        <v>110.34837679294131</v>
      </c>
      <c r="D23" s="34">
        <f>IF(5975.65292="","-",5975.65292/2291388.90956*100)</f>
        <v>0.26078737202003238</v>
      </c>
      <c r="E23" s="34">
        <f>IF(6594.036="","-",6594.036/2042225.30373*100)</f>
        <v>0.32288484468174961</v>
      </c>
      <c r="F23" s="34">
        <f>IF(OR(1331502.34087="",6481.40931="",5975.65292=""),"-",(5975.65292-6481.40931)/1331502.34087*100)</f>
        <v>-3.7983890412805414E-2</v>
      </c>
      <c r="G23" s="34">
        <f>IF(OR(2291388.90956="",6594.036="",5975.65292=""),"-",(6594.036-5975.65292)/2291388.90956*100)</f>
        <v>2.6987259885042539E-2</v>
      </c>
    </row>
    <row r="24" spans="1:7" s="4" customFormat="1" x14ac:dyDescent="0.25">
      <c r="A24" s="19" t="s">
        <v>277</v>
      </c>
      <c r="B24" s="20">
        <v>4217.4998800000003</v>
      </c>
      <c r="C24" s="34" t="s">
        <v>357</v>
      </c>
      <c r="D24" s="34">
        <f>IF(1239.40966="","-",1239.40966/2291388.90956*100)</f>
        <v>5.4089886480160873E-2</v>
      </c>
      <c r="E24" s="34">
        <f>IF(4217.49988="","-",4217.49988/2042225.30373*100)</f>
        <v>0.20651491646377085</v>
      </c>
      <c r="F24" s="34">
        <f>IF(OR(1331502.34087="",405.18054="",1239.40966=""),"-",(1239.40966-405.18054)/1331502.34087*100)</f>
        <v>6.2653222183215757E-2</v>
      </c>
      <c r="G24" s="34">
        <f>IF(OR(2291388.90956="",4217.49988="",1239.40966=""),"-",(4217.49988-1239.40966)/2291388.90956*100)</f>
        <v>0.12996878040104778</v>
      </c>
    </row>
    <row r="25" spans="1:7" s="2" customFormat="1" x14ac:dyDescent="0.25">
      <c r="A25" s="19" t="s">
        <v>42</v>
      </c>
      <c r="B25" s="20">
        <v>4145.1354199999996</v>
      </c>
      <c r="C25" s="34">
        <f>IF(OR(2635.46883="",4145.13542=""),"-",4145.13542/2635.46883*100)</f>
        <v>157.28265775012031</v>
      </c>
      <c r="D25" s="34">
        <f>IF(2635.46883="","-",2635.46883/2291388.90956*100)</f>
        <v>0.11501621654030224</v>
      </c>
      <c r="E25" s="34">
        <f>IF(4145.13542="","-",4145.13542/2042225.30373*100)</f>
        <v>0.20297150429138072</v>
      </c>
      <c r="F25" s="34">
        <f>IF(OR(1331502.34087="",2441.58398="",2635.46883=""),"-",(2635.46883-2441.58398)/1331502.34087*100)</f>
        <v>1.4561360055387969E-2</v>
      </c>
      <c r="G25" s="34">
        <f>IF(OR(2291388.90956="",4145.13542="",2635.46883=""),"-",(4145.13542-2635.46883)/2291388.90956*100)</f>
        <v>6.5884345677918593E-2</v>
      </c>
    </row>
    <row r="26" spans="1:7" s="2" customFormat="1" x14ac:dyDescent="0.25">
      <c r="A26" s="19" t="s">
        <v>43</v>
      </c>
      <c r="B26" s="20">
        <v>1977.0237999999999</v>
      </c>
      <c r="C26" s="34">
        <f>IF(OR(1665.26009="",1977.0238=""),"-",1977.0238/1665.26009*100)</f>
        <v>118.72162263853929</v>
      </c>
      <c r="D26" s="34">
        <f>IF(1665.26009="","-",1665.26009/2291388.90956*100)</f>
        <v>7.2674703235766663E-2</v>
      </c>
      <c r="E26" s="34">
        <f>IF(1977.0238="","-",1977.0238/2042225.30373*100)</f>
        <v>9.6807330532487607E-2</v>
      </c>
      <c r="F26" s="34">
        <f>IF(OR(1331502.34087="",1328.44919="",1665.26009=""),"-",(1665.26009-1328.44919)/1331502.34087*100)</f>
        <v>2.5295554477202692E-2</v>
      </c>
      <c r="G26" s="34">
        <f>IF(OR(2291388.90956="",1977.0238="",1665.26009=""),"-",(1977.0238-1665.26009)/2291388.90956*100)</f>
        <v>1.3605883693478546E-2</v>
      </c>
    </row>
    <row r="27" spans="1:7" s="4" customFormat="1" x14ac:dyDescent="0.25">
      <c r="A27" s="19" t="s">
        <v>45</v>
      </c>
      <c r="B27" s="20">
        <v>1224.2479800000001</v>
      </c>
      <c r="C27" s="34">
        <f>IF(OR(957.03804="",1224.24798=""),"-",1224.24798/957.03804*100)</f>
        <v>127.92051400590097</v>
      </c>
      <c r="D27" s="34">
        <f>IF(957.03804="","-",957.03804/2291388.90956*100)</f>
        <v>4.1766722183523772E-2</v>
      </c>
      <c r="E27" s="34">
        <f>IF(1224.24798="","-",1224.24798/2042225.30373*100)</f>
        <v>5.9946763844517338E-2</v>
      </c>
      <c r="F27" s="34">
        <f>IF(OR(1331502.34087="",783.78775="",957.03804=""),"-",(957.03804-783.78775)/1331502.34087*100)</f>
        <v>1.3011639910959437E-2</v>
      </c>
      <c r="G27" s="34">
        <f>IF(OR(2291388.90956="",1224.24798="",957.03804=""),"-",(1224.24798-957.03804)/2291388.90956*100)</f>
        <v>1.1661483517056499E-2</v>
      </c>
    </row>
    <row r="28" spans="1:7" s="4" customFormat="1" x14ac:dyDescent="0.25">
      <c r="A28" s="19" t="s">
        <v>48</v>
      </c>
      <c r="B28" s="20">
        <v>448.66809000000001</v>
      </c>
      <c r="C28" s="34">
        <f>IF(OR(14548.81161="",448.66809=""),"-",448.66809/14548.81161*100)</f>
        <v>3.0838813645206034</v>
      </c>
      <c r="D28" s="34">
        <f>IF(14548.81161="","-",14548.81161/2291388.90956*100)</f>
        <v>0.63493418988371164</v>
      </c>
      <c r="E28" s="34">
        <f>IF(448.66809="","-",448.66809/2042225.30373*100)</f>
        <v>2.1969568645562029E-2</v>
      </c>
      <c r="F28" s="34">
        <f>IF(OR(1331502.34087="",16117.97122="",14548.81161=""),"-",(14548.81161-16117.97122)/1331502.34087*100)</f>
        <v>-0.11784880595663949</v>
      </c>
      <c r="G28" s="34">
        <f>IF(OR(2291388.90956="",448.66809="",14548.81161=""),"-",(448.66809-14548.81161)/2291388.90956*100)</f>
        <v>-0.61535357272491797</v>
      </c>
    </row>
    <row r="29" spans="1:7" s="2" customFormat="1" x14ac:dyDescent="0.25">
      <c r="A29" s="19" t="s">
        <v>50</v>
      </c>
      <c r="B29" s="20">
        <v>427.42451999999997</v>
      </c>
      <c r="C29" s="34">
        <f>IF(OR(485.00396="",427.42452=""),"-",427.42452/485.00396*100)</f>
        <v>88.128047449344521</v>
      </c>
      <c r="D29" s="34">
        <f>IF(485.00396="","-",485.00396/2291388.90956*100)</f>
        <v>2.1166374593875992E-2</v>
      </c>
      <c r="E29" s="34">
        <f>IF(427.42452="","-",427.42452/2042225.30373*100)</f>
        <v>2.0929351879997529E-2</v>
      </c>
      <c r="F29" s="34">
        <f>IF(OR(1331502.34087="",348.19837="",485.00396=""),"-",(485.00396-348.19837)/1331502.34087*100)</f>
        <v>1.0274528688444633E-2</v>
      </c>
      <c r="G29" s="34">
        <f>IF(OR(2291388.90956="",427.42452="",485.00396=""),"-",(427.42452-485.00396)/2291388.90956*100)</f>
        <v>-2.5128619484789524E-3</v>
      </c>
    </row>
    <row r="30" spans="1:7" s="2" customFormat="1" x14ac:dyDescent="0.25">
      <c r="A30" s="19" t="s">
        <v>47</v>
      </c>
      <c r="B30" s="20">
        <v>347.56743999999998</v>
      </c>
      <c r="C30" s="34">
        <f>IF(OR(898.94194="",347.56744=""),"-",347.56744/898.94194*100)</f>
        <v>38.664058771137093</v>
      </c>
      <c r="D30" s="34">
        <f>IF(898.94194="","-",898.94194/2291388.90956*100)</f>
        <v>3.9231312338533483E-2</v>
      </c>
      <c r="E30" s="34">
        <f>IF(347.56744="","-",347.56744/2042225.30373*100)</f>
        <v>1.7019054624638586E-2</v>
      </c>
      <c r="F30" s="34">
        <f>IF(OR(1331502.34087="",456.47727="",898.94194=""),"-",(898.94194-456.47727)/1331502.34087*100)</f>
        <v>3.3230483824076111E-2</v>
      </c>
      <c r="G30" s="34">
        <f>IF(OR(2291388.90956="",347.56744="",898.94194=""),"-",(347.56744-898.94194)/2291388.90956*100)</f>
        <v>-2.4062894679274537E-2</v>
      </c>
    </row>
    <row r="31" spans="1:7" s="2" customFormat="1" x14ac:dyDescent="0.25">
      <c r="A31" s="19" t="s">
        <v>46</v>
      </c>
      <c r="B31" s="20">
        <v>160.73860999999999</v>
      </c>
      <c r="C31" s="34">
        <f>IF(OR(124.63935="",160.73861=""),"-",160.73861/124.63935*100)</f>
        <v>128.96297196671838</v>
      </c>
      <c r="D31" s="34">
        <f>IF(124.63935="","-",124.63935/2291388.90956*100)</f>
        <v>5.4394672803026551E-3</v>
      </c>
      <c r="E31" s="34">
        <f>IF(160.73861="","-",160.73861/2042225.30373*100)</f>
        <v>7.8707579279534302E-3</v>
      </c>
      <c r="F31" s="34">
        <f>IF(OR(1331502.34087="",923.41471="",124.63935=""),"-",(124.63935-923.41471)/1331502.34087*100)</f>
        <v>-5.9990533661253828E-2</v>
      </c>
      <c r="G31" s="34">
        <f>IF(OR(2291388.90956="",160.73861="",124.63935=""),"-",(160.73861-124.63935)/2291388.90956*100)</f>
        <v>1.5754313835328766E-3</v>
      </c>
    </row>
    <row r="32" spans="1:7" s="2" customFormat="1" x14ac:dyDescent="0.25">
      <c r="A32" s="19" t="s">
        <v>49</v>
      </c>
      <c r="B32" s="20">
        <v>66.418019999999999</v>
      </c>
      <c r="C32" s="34">
        <f>IF(OR(49.14482="",66.41802=""),"-",66.41802/49.14482*100)</f>
        <v>135.14754962984907</v>
      </c>
      <c r="D32" s="34">
        <f>IF(49.14482="","-",49.14482/2291388.90956*100)</f>
        <v>2.1447611880707298E-3</v>
      </c>
      <c r="E32" s="34">
        <f>IF(66.41802="","-",66.41802/2042225.30373*100)</f>
        <v>3.2522376389466693E-3</v>
      </c>
      <c r="F32" s="34">
        <f>IF(OR(1331502.34087="",192.48939="",49.14482=""),"-",(49.14482-192.48939)/1331502.34087*100)</f>
        <v>-1.0765626585856322E-2</v>
      </c>
      <c r="G32" s="34">
        <f>IF(OR(2291388.90956="",66.41802="",49.14482=""),"-",(66.41802-49.14482)/2291388.90956*100)</f>
        <v>7.538310030189005E-4</v>
      </c>
    </row>
    <row r="33" spans="1:7" s="2" customFormat="1" x14ac:dyDescent="0.25">
      <c r="A33" s="19" t="s">
        <v>51</v>
      </c>
      <c r="B33" s="20">
        <v>4.4631499999999997</v>
      </c>
      <c r="C33" s="34">
        <f>IF(OR(21.75936="",4.46315=""),"-",4.46315/21.75936*100)</f>
        <v>20.511402908909083</v>
      </c>
      <c r="D33" s="34">
        <f>IF(21.75936="","-",21.75936/2291388.90956*100)</f>
        <v>9.4961444166971663E-4</v>
      </c>
      <c r="E33" s="34">
        <f>IF(4.46315="","-",4.46315/2042225.30373*100)</f>
        <v>2.1854346784599762E-4</v>
      </c>
      <c r="F33" s="34">
        <f>IF(OR(1331502.34087="",3.64614="",21.75936=""),"-",(21.75936-3.64614)/1331502.34087*100)</f>
        <v>1.360359606139699E-3</v>
      </c>
      <c r="G33" s="34">
        <f>IF(OR(2291388.90956="",4.46315="",21.75936=""),"-",(4.46315-21.75936)/2291388.90956*100)</f>
        <v>-7.5483519745765356E-4</v>
      </c>
    </row>
    <row r="34" spans="1:7" s="5" customFormat="1" ht="14.25" customHeight="1" x14ac:dyDescent="0.2">
      <c r="A34" s="19" t="s">
        <v>52</v>
      </c>
      <c r="B34" s="20">
        <v>1.7176199999999999</v>
      </c>
      <c r="C34" s="34">
        <f>IF(OR(9.84913="",1.71762=""),"-",1.71762/9.84913*100)</f>
        <v>17.439306822023873</v>
      </c>
      <c r="D34" s="34">
        <f>IF(9.84913="","-",9.84913/2291388.90956*100)</f>
        <v>4.298323151913685E-4</v>
      </c>
      <c r="E34" s="34">
        <f>IF(1.71762="","-",1.71762/2042225.30373*100)</f>
        <v>8.4105313789956064E-5</v>
      </c>
      <c r="F34" s="34" t="str">
        <f>IF(OR(1331502.34087="",""="",9.84913=""),"-",(9.84913-"")/1331502.34087*100)</f>
        <v>-</v>
      </c>
      <c r="G34" s="34">
        <f>IF(OR(2291388.90956="",1.71762="",9.84913=""),"-",(1.71762-9.84913)/2291388.90956*100)</f>
        <v>-3.5487253892493701E-4</v>
      </c>
    </row>
    <row r="35" spans="1:7" s="5" customFormat="1" ht="14.25" customHeight="1" x14ac:dyDescent="0.2">
      <c r="A35" s="17" t="s">
        <v>125</v>
      </c>
      <c r="B35" s="18">
        <v>523786.22152999998</v>
      </c>
      <c r="C35" s="33">
        <f>IF(411053.08731="","-",523786.22153/411053.08731*100)</f>
        <v>127.42544398772053</v>
      </c>
      <c r="D35" s="33">
        <f>IF(411053.08731="","-",411053.08731/2291388.90956*100)</f>
        <v>17.939036258534205</v>
      </c>
      <c r="E35" s="33">
        <f>IF(523786.22153="","-",523786.22153/2042225.30373*100)</f>
        <v>25.64781763174398</v>
      </c>
      <c r="F35" s="33">
        <f>IF(1331502.34087="","-",(411053.08731-208434.06465)/1331502.34087*100)</f>
        <v>15.217323803397093</v>
      </c>
      <c r="G35" s="33">
        <f>IF(2291388.90956="","-",(523786.22153-411053.08731)/2291388.90956*100)</f>
        <v>4.9198603410211756</v>
      </c>
    </row>
    <row r="36" spans="1:7" s="5" customFormat="1" ht="14.25" customHeight="1" x14ac:dyDescent="0.2">
      <c r="A36" s="19" t="s">
        <v>9</v>
      </c>
      <c r="B36" s="20">
        <v>359269.83084000001</v>
      </c>
      <c r="C36" s="34">
        <f>IF(OR(249419.16065="",359269.83084=""),"-",359269.83084/249419.16065*100)</f>
        <v>144.04259476446123</v>
      </c>
      <c r="D36" s="34">
        <f>IF(249419.16065="","-",249419.16065/2291388.90956*100)</f>
        <v>10.885064495572438</v>
      </c>
      <c r="E36" s="34">
        <f>IF(359269.83084="","-",359269.83084/2042225.30373*100)</f>
        <v>17.592076162400669</v>
      </c>
      <c r="F36" s="34">
        <f>IF(OR(1331502.34087="",36994.72555="",249419.16065=""),"-",(249419.16065-36994.72555)/1331502.34087*100)</f>
        <v>15.953741017173312</v>
      </c>
      <c r="G36" s="34">
        <f>IF(OR(2291388.90956="",359269.83084="",249419.16065=""),"-",(359269.83084-249419.16065)/2291388.90956*100)</f>
        <v>4.7940648456352131</v>
      </c>
    </row>
    <row r="37" spans="1:7" s="3" customFormat="1" ht="14.25" customHeight="1" x14ac:dyDescent="0.2">
      <c r="A37" s="19" t="s">
        <v>278</v>
      </c>
      <c r="B37" s="20">
        <v>80890.443910000002</v>
      </c>
      <c r="C37" s="34">
        <f>IF(OR(116897.16416="",80890.44391=""),"-",80890.44391/116897.16416*100)</f>
        <v>69.197952312413051</v>
      </c>
      <c r="D37" s="34">
        <f>IF(116897.16416="","-",116897.16416/2291388.90956*100)</f>
        <v>5.1015854913274836</v>
      </c>
      <c r="E37" s="34">
        <f>IF(80890.44391="","-",80890.44391/2042225.30373*100)</f>
        <v>3.9608971528390393</v>
      </c>
      <c r="F37" s="34">
        <f>IF(OR(1331502.34087="",128518.68923="",116897.16416=""),"-",(116897.16416-128518.68923)/1331502.34087*100)</f>
        <v>-0.87281296572160227</v>
      </c>
      <c r="G37" s="34">
        <f>IF(OR(2291388.90956="",80890.44391="",116897.16416=""),"-",(80890.44391-116897.16416)/2291388.90956*100)</f>
        <v>-1.5713927958617084</v>
      </c>
    </row>
    <row r="38" spans="1:7" s="5" customFormat="1" ht="14.25" customHeight="1" x14ac:dyDescent="0.2">
      <c r="A38" s="19" t="s">
        <v>8</v>
      </c>
      <c r="B38" s="20">
        <v>47485.758269999998</v>
      </c>
      <c r="C38" s="34">
        <f>IF(OR(31167.81166="",47485.75827=""),"-",47485.75827/31167.81166*100)</f>
        <v>152.35512453683765</v>
      </c>
      <c r="D38" s="34">
        <f>IF(31167.81166="","-",31167.81166/2291388.90956*100)</f>
        <v>1.3602148256004671</v>
      </c>
      <c r="E38" s="34">
        <f>IF(47485.75827="","-",47485.75827/2042225.30373*100)</f>
        <v>2.3251968420560725</v>
      </c>
      <c r="F38" s="34">
        <f>IF(OR(1331502.34087="",30628.56379="",31167.81166=""),"-",(31167.81166-30628.56379)/1331502.34087*100)</f>
        <v>4.0499205555106735E-2</v>
      </c>
      <c r="G38" s="34">
        <f>IF(OR(2291388.90956="",47485.75827="",31167.81166=""),"-",(47485.75827-31167.81166)/2291388.90956*100)</f>
        <v>0.71214216591165336</v>
      </c>
    </row>
    <row r="39" spans="1:7" s="3" customFormat="1" ht="14.25" customHeight="1" x14ac:dyDescent="0.2">
      <c r="A39" s="19" t="s">
        <v>10</v>
      </c>
      <c r="B39" s="20">
        <v>21599.904890000002</v>
      </c>
      <c r="C39" s="34" t="s">
        <v>337</v>
      </c>
      <c r="D39" s="34">
        <f>IF(5461.77389="","-",5461.77389/2291388.90956*100)</f>
        <v>0.23836084163682139</v>
      </c>
      <c r="E39" s="34">
        <f>IF(21599.90489="","-",21599.90489/2042225.30373*100)</f>
        <v>1.0576651288449463</v>
      </c>
      <c r="F39" s="34">
        <f>IF(OR(1331502.34087="",5890.31615="",5461.77389=""),"-",(5461.77389-5890.31615)/1331502.34087*100)</f>
        <v>-3.2184867186939449E-2</v>
      </c>
      <c r="G39" s="34">
        <f>IF(OR(2291388.90956="",21599.90489="",5461.77389=""),"-",(21599.90489-5461.77389)/2291388.90956*100)</f>
        <v>0.70429471543086486</v>
      </c>
    </row>
    <row r="40" spans="1:7" s="3" customFormat="1" ht="14.25" customHeight="1" x14ac:dyDescent="0.2">
      <c r="A40" s="19" t="s">
        <v>284</v>
      </c>
      <c r="B40" s="20">
        <v>4589.6690099999996</v>
      </c>
      <c r="C40" s="34" t="s">
        <v>358</v>
      </c>
      <c r="D40" s="34">
        <f>IF(657.77317="","-",657.77317/2291388.90956*100)</f>
        <v>2.8706308529978346E-2</v>
      </c>
      <c r="E40" s="34">
        <f>IF(4589.66901="","-",4589.66901/2042225.30373*100)</f>
        <v>0.2247386222086882</v>
      </c>
      <c r="F40" s="34">
        <f>IF(OR(1331502.34087="",679.49199="",657.77317=""),"-",(657.77317-679.49199)/1331502.34087*100)</f>
        <v>-1.6311514695354513E-3</v>
      </c>
      <c r="G40" s="34">
        <f>IF(OR(2291388.90956="",4589.66901="",657.77317=""),"-",(4589.66901-657.77317)/2291388.90956*100)</f>
        <v>0.17159443443212855</v>
      </c>
    </row>
    <row r="41" spans="1:7" s="3" customFormat="1" ht="14.25" customHeight="1" x14ac:dyDescent="0.2">
      <c r="A41" s="19" t="s">
        <v>12</v>
      </c>
      <c r="B41" s="20">
        <v>4237.2203600000003</v>
      </c>
      <c r="C41" s="34">
        <f>IF(OR(3963.10521="",4237.22036=""),"-",4237.22036/3963.10521*100)</f>
        <v>106.91667607784755</v>
      </c>
      <c r="D41" s="34">
        <f>IF(3963.10521="","-",3963.10521/2291388.90956*100)</f>
        <v>0.17295646293238839</v>
      </c>
      <c r="E41" s="34">
        <f>IF(4237.22036="","-",4237.22036/2042225.30373*100)</f>
        <v>0.20748055330922477</v>
      </c>
      <c r="F41" s="34">
        <f>IF(OR(1331502.34087="",3479.13567="",3963.10521=""),"-",(3963.10521-3479.13567)/1331502.34087*100)</f>
        <v>3.6347629676998963E-2</v>
      </c>
      <c r="G41" s="34">
        <f>IF(OR(2291388.90956="",4237.22036="",3963.10521=""),"-",(4237.22036-3963.10521)/2291388.90956*100)</f>
        <v>1.196283829673578E-2</v>
      </c>
    </row>
    <row r="42" spans="1:7" s="3" customFormat="1" ht="12.75" x14ac:dyDescent="0.2">
      <c r="A42" s="19" t="s">
        <v>11</v>
      </c>
      <c r="B42" s="20">
        <v>2593.9363699999999</v>
      </c>
      <c r="C42" s="34" t="s">
        <v>98</v>
      </c>
      <c r="D42" s="34">
        <f>IF(1500.41134="","-",1500.41134/2291388.90956*100)</f>
        <v>6.5480431267694053E-2</v>
      </c>
      <c r="E42" s="34">
        <f>IF(2593.93637="","-",2593.93637/2042225.30373*100)</f>
        <v>0.12701519099103967</v>
      </c>
      <c r="F42" s="34">
        <f>IF(OR(1331502.34087="",1200.2076="",1500.41134=""),"-",(1500.41134-1200.2076)/1331502.34087*100)</f>
        <v>2.2546241999383033E-2</v>
      </c>
      <c r="G42" s="34">
        <f>IF(OR(2291388.90956="",2593.93637="",1500.41134=""),"-",(2593.93637-1500.41134)/2291388.90956*100)</f>
        <v>4.7723240059234728E-2</v>
      </c>
    </row>
    <row r="43" spans="1:7" s="2" customFormat="1" x14ac:dyDescent="0.25">
      <c r="A43" s="19" t="s">
        <v>14</v>
      </c>
      <c r="B43" s="20">
        <v>2129.8818799999999</v>
      </c>
      <c r="C43" s="34" t="s">
        <v>100</v>
      </c>
      <c r="D43" s="34">
        <f>IF(1101.81808="","-",1101.81808/2291388.90956*100)</f>
        <v>4.8085162470807921E-2</v>
      </c>
      <c r="E43" s="34">
        <f>IF(2129.88188="","-",2129.88188/2042225.30373*100)</f>
        <v>0.10429220890123633</v>
      </c>
      <c r="F43" s="34">
        <f>IF(OR(1331502.34087="",421.88727="",1101.81808=""),"-",(1101.81808-421.88727)/1331502.34087*100)</f>
        <v>5.1064935383871357E-2</v>
      </c>
      <c r="G43" s="34">
        <f>IF(OR(2291388.90956="",2129.88188="",1101.81808=""),"-",(2129.88188-1101.81808)/2291388.90956*100)</f>
        <v>4.4866403765452985E-2</v>
      </c>
    </row>
    <row r="44" spans="1:7" s="2" customFormat="1" x14ac:dyDescent="0.25">
      <c r="A44" s="19" t="s">
        <v>13</v>
      </c>
      <c r="B44" s="20">
        <v>877.30557999999996</v>
      </c>
      <c r="C44" s="34">
        <f>IF(OR(840.80737="",877.30558=""),"-",877.30558/840.80737*100)</f>
        <v>104.34085276869065</v>
      </c>
      <c r="D44" s="34">
        <f>IF(840.80737="","-",840.80737/2291388.90956*100)</f>
        <v>3.6694223599146883E-2</v>
      </c>
      <c r="E44" s="34">
        <f>IF(877.30558="","-",877.30558/2042225.30373*100)</f>
        <v>4.2958315049649753E-2</v>
      </c>
      <c r="F44" s="34">
        <f>IF(OR(1331502.34087="",448.08482="",840.80737=""),"-",(840.80737-448.08482)/1331502.34087*100)</f>
        <v>2.949469467274058E-2</v>
      </c>
      <c r="G44" s="34">
        <f>IF(OR(2291388.90956="",877.30558="",840.80737=""),"-",(877.30558-840.80737)/2291388.90956*100)</f>
        <v>1.5928422210531026E-3</v>
      </c>
    </row>
    <row r="45" spans="1:7" s="4" customFormat="1" x14ac:dyDescent="0.25">
      <c r="A45" s="19" t="s">
        <v>15</v>
      </c>
      <c r="B45" s="20">
        <v>112.27042</v>
      </c>
      <c r="C45" s="34" t="s">
        <v>292</v>
      </c>
      <c r="D45" s="34">
        <f>IF(43.26178="","-",43.26178/2291388.90956*100)</f>
        <v>1.8880155969816259E-3</v>
      </c>
      <c r="E45" s="34">
        <f>IF(112.27042="","-",112.27042/2042225.30373*100)</f>
        <v>5.4974551434136543E-3</v>
      </c>
      <c r="F45" s="34">
        <f>IF(OR(1331502.34087="",172.96258="",43.26178=""),"-",(43.26178-172.96258)/1331502.34087*100)</f>
        <v>-9.740936686243741E-3</v>
      </c>
      <c r="G45" s="34">
        <f>IF(OR(2291388.90956="",112.27042="",43.26178=""),"-",(112.27042-43.26178)/2291388.90956*100)</f>
        <v>3.0116511305473353E-3</v>
      </c>
    </row>
    <row r="46" spans="1:7" s="2" customFormat="1" x14ac:dyDescent="0.25">
      <c r="A46" s="17" t="s">
        <v>126</v>
      </c>
      <c r="B46" s="18">
        <v>267563.76104999997</v>
      </c>
      <c r="C46" s="33">
        <f>IF(470069.45916="","-",267563.76105/470069.45916*100)</f>
        <v>56.920047843169463</v>
      </c>
      <c r="D46" s="33">
        <f>IF(470069.45916="","-",470069.45916/2291388.90956*100)</f>
        <v>20.514608288396765</v>
      </c>
      <c r="E46" s="33">
        <f>IF(267563.76105="","-",267563.76105/2042225.30373*100)</f>
        <v>13.101578976683479</v>
      </c>
      <c r="F46" s="33">
        <f>IF(1331502.34087="","-",(470069.45916-263744.63273)/1331502.34087*100)</f>
        <v>15.495641284054217</v>
      </c>
      <c r="G46" s="33">
        <f>IF(2291388.90956="","-",(267563.76105-470069.45916)/2291388.90956*100)</f>
        <v>-8.8376834358025178</v>
      </c>
    </row>
    <row r="47" spans="1:7" s="6" customFormat="1" x14ac:dyDescent="0.25">
      <c r="A47" s="75" t="s">
        <v>53</v>
      </c>
      <c r="B47" s="22">
        <v>79873.696649999998</v>
      </c>
      <c r="C47" s="34">
        <f>IF(OR(211626.48713="",79873.69665=""),"-",79873.69665/211626.48713*100)</f>
        <v>37.742769221952074</v>
      </c>
      <c r="D47" s="34">
        <f>IF(211626.48713="","-",211626.48713/2291388.90956*100)</f>
        <v>9.2357297465770323</v>
      </c>
      <c r="E47" s="34">
        <f>IF(79873.69665="","-",79873.69665/2042225.30373*100)</f>
        <v>3.9111109094631016</v>
      </c>
      <c r="F47" s="34">
        <f>IF(OR(1331502.34087="",114951.2905="",211626.48713=""),"-",(211626.48713-114951.2905)/1331502.34087*100)</f>
        <v>7.2606103393579229</v>
      </c>
      <c r="G47" s="34">
        <f>IF(OR(2291388.90956="",79873.69665="",211626.48713=""),"-",(79873.69665-211626.48713)/2291388.90956*100)</f>
        <v>-5.7499095823632835</v>
      </c>
    </row>
    <row r="48" spans="1:7" s="4" customFormat="1" x14ac:dyDescent="0.25">
      <c r="A48" s="75" t="s">
        <v>16</v>
      </c>
      <c r="B48" s="22">
        <v>27712.512770000001</v>
      </c>
      <c r="C48" s="34">
        <f>IF(OR(21462.14225="",27712.51277=""),"-",27712.51277/21462.14225*100)</f>
        <v>129.12277091071837</v>
      </c>
      <c r="D48" s="34">
        <f>IF(21462.14225="","-",21462.14225/2291388.90956*100)</f>
        <v>0.93664336771714718</v>
      </c>
      <c r="E48" s="34">
        <f>IF(27712.51277="","-",27712.51277/2042225.30373*100)</f>
        <v>1.3569762709033517</v>
      </c>
      <c r="F48" s="34">
        <f>IF(OR(1331502.34087="",11507.30844="",21462.14225=""),"-",(21462.14225-11507.30844)/1331502.34087*100)</f>
        <v>0.74763922709257424</v>
      </c>
      <c r="G48" s="34">
        <f>IF(OR(2291388.90956="",27712.51277="",21462.14225=""),"-",(27712.51277-21462.14225)/2291388.90956*100)</f>
        <v>0.27277650223070238</v>
      </c>
    </row>
    <row r="49" spans="1:7" s="2" customFormat="1" x14ac:dyDescent="0.25">
      <c r="A49" s="19" t="s">
        <v>57</v>
      </c>
      <c r="B49" s="20">
        <v>25215.418519999999</v>
      </c>
      <c r="C49" s="34" t="s">
        <v>99</v>
      </c>
      <c r="D49" s="34">
        <f>IF(15398.39887="","-",15398.39887/2291388.90956*100)</f>
        <v>0.67201158239684644</v>
      </c>
      <c r="E49" s="34">
        <f>IF(25215.41852="","-",25215.41852/2042225.30373*100)</f>
        <v>1.2347030699279642</v>
      </c>
      <c r="F49" s="34">
        <f>IF(OR(1331502.34087="",14266.01887="",15398.39887=""),"-",(15398.39887-14266.01887)/1331502.34087*100)</f>
        <v>8.5045287960974006E-2</v>
      </c>
      <c r="G49" s="34">
        <f>IF(OR(2291388.90956="",25215.41852="",15398.39887=""),"-",(25215.41852-15398.39887)/2291388.90956*100)</f>
        <v>0.42843096643446243</v>
      </c>
    </row>
    <row r="50" spans="1:7" s="6" customFormat="1" ht="24" x14ac:dyDescent="0.25">
      <c r="A50" s="19" t="s">
        <v>280</v>
      </c>
      <c r="B50" s="20">
        <v>20835.872319999999</v>
      </c>
      <c r="C50" s="34">
        <f>IF(OR(37637.61874="",20835.87232=""),"-",20835.87232/37637.61874*100)</f>
        <v>55.359167284024622</v>
      </c>
      <c r="D50" s="34">
        <f>IF(37637.61874="","-",37637.61874/2291388.90956*100)</f>
        <v>1.6425679020689377</v>
      </c>
      <c r="E50" s="34">
        <f>IF(20835.87232="","-",20835.87232/2042225.30373*100)</f>
        <v>1.0202533619549492</v>
      </c>
      <c r="F50" s="34">
        <f>IF(OR(1331502.34087="",25929.58601="",37637.61874=""),"-",(37637.61874-25929.58601)/1331502.34087*100)</f>
        <v>0.87930996218527135</v>
      </c>
      <c r="G50" s="34">
        <f>IF(OR(2291388.90956="",20835.87232="",37637.61874=""),"-",(20835.87232-37637.61874)/2291388.90956*100)</f>
        <v>-0.7332559894089008</v>
      </c>
    </row>
    <row r="51" spans="1:7" s="2" customFormat="1" x14ac:dyDescent="0.25">
      <c r="A51" s="19" t="s">
        <v>279</v>
      </c>
      <c r="B51" s="20">
        <v>17180.79984</v>
      </c>
      <c r="C51" s="34">
        <f>IF(OR(55010.29349="",17180.79984=""),"-",17180.79984/55010.29349*100)</f>
        <v>31.231972690935013</v>
      </c>
      <c r="D51" s="34">
        <f>IF(55010.29349="","-",55010.29349/2291388.90956*100)</f>
        <v>2.4007401476235324</v>
      </c>
      <c r="E51" s="34">
        <f>IF(17180.79984="","-",17180.79984/2042225.30373*100)</f>
        <v>0.84127837455643695</v>
      </c>
      <c r="F51" s="34">
        <f>IF(OR(1331502.34087="",15743.33442="",55010.29349=""),"-",(55010.29349-15743.33442)/1331502.34087*100)</f>
        <v>2.9490717263285524</v>
      </c>
      <c r="G51" s="34">
        <f>IF(OR(2291388.90956="",17180.79984="",55010.29349=""),"-",(17180.79984-55010.29349)/2291388.90956*100)</f>
        <v>-1.6509416403374377</v>
      </c>
    </row>
    <row r="52" spans="1:7" s="4" customFormat="1" x14ac:dyDescent="0.25">
      <c r="A52" s="19" t="s">
        <v>60</v>
      </c>
      <c r="B52" s="20">
        <v>11978.80091</v>
      </c>
      <c r="C52" s="34" t="s">
        <v>294</v>
      </c>
      <c r="D52" s="34">
        <f>IF(5250.82149="","-",5250.82149/2291388.90956*100)</f>
        <v>0.22915453016695797</v>
      </c>
      <c r="E52" s="34">
        <f>IF(11978.80091="","-",11978.80091/2042225.30373*100)</f>
        <v>0.58655628681720129</v>
      </c>
      <c r="F52" s="34">
        <f>IF(OR(1331502.34087="",2193.80342="",5250.82149=""),"-",(5250.82149-2193.80342)/1331502.34087*100)</f>
        <v>0.22959164067278717</v>
      </c>
      <c r="G52" s="34">
        <f>IF(OR(2291388.90956="",11978.80091="",5250.82149=""),"-",(11978.80091-5250.82149)/2291388.90956*100)</f>
        <v>0.29362014418110843</v>
      </c>
    </row>
    <row r="53" spans="1:7" s="2" customFormat="1" x14ac:dyDescent="0.25">
      <c r="A53" s="19" t="s">
        <v>55</v>
      </c>
      <c r="B53" s="20">
        <v>8864.30501</v>
      </c>
      <c r="C53" s="34">
        <f>IF(OR(6522.47077="",8864.30501=""),"-",8864.30501/6522.47077*100)</f>
        <v>135.90409712177217</v>
      </c>
      <c r="D53" s="34">
        <f>IF(6522.47077="","-",6522.47077/2291388.90956*100)</f>
        <v>0.28465140696052621</v>
      </c>
      <c r="E53" s="34">
        <f>IF(8864.30501="","-",8864.30501/2042225.30373*100)</f>
        <v>0.43405127699719948</v>
      </c>
      <c r="F53" s="34">
        <f>IF(OR(1331502.34087="",10011.74706="",6522.47077=""),"-",(6522.47077-10011.74706)/1331502.34087*100)</f>
        <v>-0.2620555881050961</v>
      </c>
      <c r="G53" s="34">
        <f>IF(OR(2291388.90956="",8864.30501="",6522.47077=""),"-",(8864.30501-6522.47077)/2291388.90956*100)</f>
        <v>0.10220151761359823</v>
      </c>
    </row>
    <row r="54" spans="1:7" s="4" customFormat="1" x14ac:dyDescent="0.25">
      <c r="A54" s="19" t="s">
        <v>63</v>
      </c>
      <c r="B54" s="20">
        <v>7854.3494300000002</v>
      </c>
      <c r="C54" s="34">
        <f>IF(OR(8054.5578="",7854.34943=""),"-",7854.34943/8054.5578*100)</f>
        <v>97.51434684595597</v>
      </c>
      <c r="D54" s="34">
        <f>IF(8054.5578="","-",8054.5578/2291388.90956*100)</f>
        <v>0.35151421770417235</v>
      </c>
      <c r="E54" s="34">
        <f>IF(7854.34943="","-",7854.34943/2042225.30373*100)</f>
        <v>0.3845975963403504</v>
      </c>
      <c r="F54" s="34">
        <f>IF(OR(1331502.34087="",4931.18036="",8054.5578=""),"-",(8054.5578-4931.18036)/1331502.34087*100)</f>
        <v>0.23457543739346287</v>
      </c>
      <c r="G54" s="34">
        <f>IF(OR(2291388.90956="",7854.34943="",8054.5578=""),"-",(7854.34943-8054.5578)/2291388.90956*100)</f>
        <v>-8.7374242392769565E-3</v>
      </c>
    </row>
    <row r="55" spans="1:7" s="2" customFormat="1" x14ac:dyDescent="0.25">
      <c r="A55" s="19" t="s">
        <v>71</v>
      </c>
      <c r="B55" s="20">
        <v>7610.4533600000004</v>
      </c>
      <c r="C55" s="34" t="s">
        <v>359</v>
      </c>
      <c r="D55" s="34">
        <f>IF(1532.67154="","-",1532.67154/2291388.90956*100)</f>
        <v>6.6888319726323045E-2</v>
      </c>
      <c r="E55" s="34">
        <f>IF(7610.45336="","-",7610.45336/2042225.30373*100)</f>
        <v>0.37265493411035361</v>
      </c>
      <c r="F55" s="34">
        <f>IF(OR(1331502.34087="",11803.65034="",1532.67154=""),"-",(1532.67154-11803.65034)/1331502.34087*100)</f>
        <v>-0.77138270694206756</v>
      </c>
      <c r="G55" s="34">
        <f>IF(OR(2291388.90956="",7610.45336="",1532.67154=""),"-",(7610.45336-1532.67154)/2291388.90956*100)</f>
        <v>0.26524444604940833</v>
      </c>
    </row>
    <row r="56" spans="1:7" s="4" customFormat="1" x14ac:dyDescent="0.25">
      <c r="A56" s="19" t="s">
        <v>65</v>
      </c>
      <c r="B56" s="20">
        <v>6107.2723999999998</v>
      </c>
      <c r="C56" s="34">
        <f>IF(OR(6877.35435="",6107.2724=""),"-",6107.2724/6877.35435*100)</f>
        <v>88.802642545239792</v>
      </c>
      <c r="D56" s="34">
        <f>IF(6877.35435="","-",6877.35435/2291388.90956*100)</f>
        <v>0.30013911306398927</v>
      </c>
      <c r="E56" s="34">
        <f>IF(6107.2724="","-",6107.2724/2042225.30373*100)</f>
        <v>0.29904988391072418</v>
      </c>
      <c r="F56" s="34">
        <f>IF(OR(1331502.34087="",4264.7123="",6877.35435=""),"-",(6877.35435-4264.7123)/1331502.34087*100)</f>
        <v>0.19621760847171374</v>
      </c>
      <c r="G56" s="34">
        <f>IF(OR(2291388.90956="",6107.2724="",6877.35435=""),"-",(6107.2724-6877.35435)/2291388.90956*100)</f>
        <v>-3.3607649351321746E-2</v>
      </c>
    </row>
    <row r="57" spans="1:7" s="2" customFormat="1" x14ac:dyDescent="0.25">
      <c r="A57" s="19" t="s">
        <v>34</v>
      </c>
      <c r="B57" s="20">
        <v>5430.8993700000001</v>
      </c>
      <c r="C57" s="34">
        <f>IF(OR(4302.07792="",5430.89937=""),"-",5430.89937/4302.07792*100)</f>
        <v>126.23898197548222</v>
      </c>
      <c r="D57" s="34">
        <f>IF(4302.07792="","-",4302.07792/2291388.90956*100)</f>
        <v>0.18774979236615483</v>
      </c>
      <c r="E57" s="34">
        <f>IF(5430.89937="","-",5430.89937/2042225.30373*100)</f>
        <v>0.26593047104454109</v>
      </c>
      <c r="F57" s="34">
        <f>IF(OR(1331502.34087="",1913.79155="",4302.07792=""),"-",(4302.07792-1913.79155)/1331502.34087*100)</f>
        <v>0.17936779355862792</v>
      </c>
      <c r="G57" s="34">
        <f>IF(OR(2291388.90956="",5430.89937="",4302.07792=""),"-",(5430.89937-4302.07792)/2291388.90956*100)</f>
        <v>4.9263634177960661E-2</v>
      </c>
    </row>
    <row r="58" spans="1:7" s="2" customFormat="1" x14ac:dyDescent="0.25">
      <c r="A58" s="19" t="s">
        <v>59</v>
      </c>
      <c r="B58" s="20">
        <v>4353.7167900000004</v>
      </c>
      <c r="C58" s="34">
        <f>IF(OR(4129.38972="",4353.71679=""),"-",4353.71679/4129.38972*100)</f>
        <v>105.43245092400724</v>
      </c>
      <c r="D58" s="34">
        <f>IF(4129.38972="","-",4129.38972/2291388.90956*100)</f>
        <v>0.18021339384037338</v>
      </c>
      <c r="E58" s="34">
        <f>IF(4353.71679="","-",4353.71679/2042225.30373*100)</f>
        <v>0.21318494007728736</v>
      </c>
      <c r="F58" s="34">
        <f>IF(OR(1331502.34087="",5891.65147="",4129.38972=""),"-",(4129.38972-5891.65147)/1331502.34087*100)</f>
        <v>-0.13235138203726646</v>
      </c>
      <c r="G58" s="34">
        <f>IF(OR(2291388.90956="",4353.71679="",4129.38972=""),"-",(4353.71679-4129.38972)/2291388.90956*100)</f>
        <v>9.7900041788661837E-3</v>
      </c>
    </row>
    <row r="59" spans="1:7" s="4" customFormat="1" x14ac:dyDescent="0.25">
      <c r="A59" s="75" t="s">
        <v>304</v>
      </c>
      <c r="B59" s="22">
        <v>3000.3</v>
      </c>
      <c r="C59" s="34" t="str">
        <f>IF(OR(""="",3000.3=""),"-",3000.3/""*100)</f>
        <v>-</v>
      </c>
      <c r="D59" s="34" t="str">
        <f>IF(""="","-",""/2291388.90956*100)</f>
        <v>-</v>
      </c>
      <c r="E59" s="34">
        <f>IF(3000.3="","-",3000.3/2042225.30373*100)</f>
        <v>0.14691327124975562</v>
      </c>
      <c r="F59" s="34" t="str">
        <f>IF(OR(1331502.34087="",""="",""=""),"-",(""-"")/1331502.34087*100)</f>
        <v>-</v>
      </c>
      <c r="G59" s="34" t="str">
        <f>IF(OR(2291388.90956="",3000.3="",""=""),"-",(3000.3-"")/2291388.90956*100)</f>
        <v>-</v>
      </c>
    </row>
    <row r="60" spans="1:7" s="6" customFormat="1" x14ac:dyDescent="0.25">
      <c r="A60" s="19" t="s">
        <v>56</v>
      </c>
      <c r="B60" s="20">
        <v>2889.4238799999998</v>
      </c>
      <c r="C60" s="34">
        <f>IF(OR(4083.55692="",2889.42388=""),"-",2889.42388/4083.55692*100)</f>
        <v>70.757526749498567</v>
      </c>
      <c r="D60" s="34">
        <f>IF(4083.55692="","-",4083.55692/2291388.90956*100)</f>
        <v>0.1782131746803356</v>
      </c>
      <c r="E60" s="34">
        <f>IF(2889.42388="","-",2889.42388/2042225.30373*100)</f>
        <v>0.14148408967035339</v>
      </c>
      <c r="F60" s="34">
        <f>IF(OR(1331502.34087="",6512.93816="",4083.55692=""),"-",(4083.55692-6512.93816)/1331502.34087*100)</f>
        <v>-0.18245414712621899</v>
      </c>
      <c r="G60" s="34">
        <f>IF(OR(2291388.90956="",2889.42388="",4083.55692=""),"-",(2889.42388-4083.55692)/2291388.90956*100)</f>
        <v>-5.2113939934766526E-2</v>
      </c>
    </row>
    <row r="61" spans="1:7" s="2" customFormat="1" x14ac:dyDescent="0.25">
      <c r="A61" s="19" t="s">
        <v>54</v>
      </c>
      <c r="B61" s="20">
        <v>2765.4304099999999</v>
      </c>
      <c r="C61" s="34">
        <f>IF(OR(5035.905="",2765.43041=""),"-",2765.43041/5035.905*100)</f>
        <v>54.914268835492329</v>
      </c>
      <c r="D61" s="34">
        <f>IF(5035.905="","-",5035.905/2291388.90956*100)</f>
        <v>0.21977521925629859</v>
      </c>
      <c r="E61" s="34">
        <f>IF(2765.43041="","-",2765.43041/2042225.30373*100)</f>
        <v>0.13541260138874539</v>
      </c>
      <c r="F61" s="34">
        <f>IF(OR(1331502.34087="",3459.50622="",5035.905=""),"-",(5035.905-3459.50622)/1331502.34087*100)</f>
        <v>0.11839249031811577</v>
      </c>
      <c r="G61" s="34">
        <f>IF(OR(2291388.90956="",2765.43041="",5035.905=""),"-",(2765.43041-5035.905)/2291388.90956*100)</f>
        <v>-9.9087264520102067E-2</v>
      </c>
    </row>
    <row r="62" spans="1:7" s="2" customFormat="1" x14ac:dyDescent="0.25">
      <c r="A62" s="19" t="s">
        <v>62</v>
      </c>
      <c r="B62" s="20">
        <v>1977.02568</v>
      </c>
      <c r="C62" s="34" t="s">
        <v>360</v>
      </c>
      <c r="D62" s="34">
        <f>IF(259.72862="","-",259.72862/2291388.90956*100)</f>
        <v>1.1334986344586694E-2</v>
      </c>
      <c r="E62" s="34">
        <f>IF(1977.02568="","-",1977.02568/2042225.30373*100)</f>
        <v>9.6807422588931935E-2</v>
      </c>
      <c r="F62" s="34">
        <f>IF(OR(1331502.34087="",924.52369="",259.72862=""),"-",(259.72862-924.52369)/1331502.34087*100)</f>
        <v>-4.992819385999913E-2</v>
      </c>
      <c r="G62" s="34">
        <f>IF(OR(2291388.90956="",1977.02568="",259.72862=""),"-",(1977.02568-259.72862)/2291388.90956*100)</f>
        <v>7.4945682630966431E-2</v>
      </c>
    </row>
    <row r="63" spans="1:7" s="2" customFormat="1" x14ac:dyDescent="0.25">
      <c r="A63" s="19" t="s">
        <v>81</v>
      </c>
      <c r="B63" s="20">
        <v>1807.8151399999999</v>
      </c>
      <c r="C63" s="34" t="s">
        <v>319</v>
      </c>
      <c r="D63" s="34">
        <f>IF(300.23392="","-",300.23392/2291388.90956*100)</f>
        <v>1.3102704597520807E-2</v>
      </c>
      <c r="E63" s="34">
        <f>IF(1807.81514="","-",1807.81514/2042225.30373*100)</f>
        <v>8.8521826494762146E-2</v>
      </c>
      <c r="F63" s="34">
        <f>IF(OR(1331502.34087="",87.93338="",300.23392=""),"-",(300.23392-87.93338)/1331502.34087*100)</f>
        <v>1.5944436106757682E-2</v>
      </c>
      <c r="G63" s="34">
        <f>IF(OR(2291388.90956="",1807.81514="",300.23392=""),"-",(1807.81514-300.23392)/2291388.90956*100)</f>
        <v>6.5793336683709902E-2</v>
      </c>
    </row>
    <row r="64" spans="1:7" s="2" customFormat="1" x14ac:dyDescent="0.25">
      <c r="A64" s="19" t="s">
        <v>72</v>
      </c>
      <c r="B64" s="20">
        <v>1704.44317</v>
      </c>
      <c r="C64" s="34">
        <f>IF(OR(1609.19642="",1704.44317=""),"-",1704.44317/1609.19642*100)</f>
        <v>105.91890143528906</v>
      </c>
      <c r="D64" s="34">
        <f>IF(1609.19642="","-",1609.19642/2291388.90956*100)</f>
        <v>7.0227991995867836E-2</v>
      </c>
      <c r="E64" s="34">
        <f>IF(1704.44317="","-",1704.44317/2042225.30373*100)</f>
        <v>8.346009457854324E-2</v>
      </c>
      <c r="F64" s="34">
        <f>IF(OR(1331502.34087="",1359.54314="",1609.19642=""),"-",(1609.19642-1359.54314)/1331502.34087*100)</f>
        <v>1.8749743979937519E-2</v>
      </c>
      <c r="G64" s="34">
        <f>IF(OR(2291388.90956="",1704.44317="",1609.19642=""),"-",(1704.44317-1609.19642)/2291388.90956*100)</f>
        <v>4.1567256262181008E-3</v>
      </c>
    </row>
    <row r="65" spans="1:7" s="2" customFormat="1" x14ac:dyDescent="0.25">
      <c r="A65" s="19" t="s">
        <v>35</v>
      </c>
      <c r="B65" s="20">
        <v>1630.5374400000001</v>
      </c>
      <c r="C65" s="34" t="s">
        <v>327</v>
      </c>
      <c r="D65" s="34">
        <f>IF(373.403="","-",373.403/2291388.90956*100)</f>
        <v>1.6295924207458175E-2</v>
      </c>
      <c r="E65" s="34">
        <f>IF(1630.53744="","-",1630.53744/2042225.30373*100)</f>
        <v>7.9841212280639312E-2</v>
      </c>
      <c r="F65" s="34">
        <f>IF(OR(1331502.34087="",533.80687="",373.403=""),"-",(373.403-533.80687)/1331502.34087*100)</f>
        <v>-1.204683349600366E-2</v>
      </c>
      <c r="G65" s="34">
        <f>IF(OR(2291388.90956="",1630.53744="",373.403=""),"-",(1630.53744-373.403)/2291388.90956*100)</f>
        <v>5.4863425180904757E-2</v>
      </c>
    </row>
    <row r="66" spans="1:7" s="2" customFormat="1" x14ac:dyDescent="0.25">
      <c r="A66" s="19" t="s">
        <v>116</v>
      </c>
      <c r="B66" s="20">
        <v>1603.0842500000001</v>
      </c>
      <c r="C66" s="34">
        <f>IF(OR(1731.66863="",1603.08425=""),"-",1603.08425/1731.66863*100)</f>
        <v>92.574538928963577</v>
      </c>
      <c r="D66" s="34">
        <f>IF(1731.66863="","-",1731.66863/2291388.90956*100)</f>
        <v>7.5572881703984532E-2</v>
      </c>
      <c r="E66" s="34">
        <f>IF(1603.08425="","-",1603.08425/2042225.30373*100)</f>
        <v>7.8496934058747803E-2</v>
      </c>
      <c r="F66" s="34">
        <f>IF(OR(1331502.34087="",1208.42509="",1731.66863=""),"-",(1731.66863-1208.42509)/1331502.34087*100)</f>
        <v>3.9297230199243513E-2</v>
      </c>
      <c r="G66" s="34">
        <f>IF(OR(2291388.90956="",1603.08425="",1731.66863=""),"-",(1603.08425-1731.66863)/2291388.90956*100)</f>
        <v>-5.6116349111897798E-3</v>
      </c>
    </row>
    <row r="67" spans="1:7" s="2" customFormat="1" x14ac:dyDescent="0.25">
      <c r="A67" s="19" t="s">
        <v>317</v>
      </c>
      <c r="B67" s="20">
        <v>1600.23658</v>
      </c>
      <c r="C67" s="34" t="s">
        <v>361</v>
      </c>
      <c r="D67" s="34">
        <f>IF(48.74235="","-",48.74235/2291388.90956*100)</f>
        <v>2.1271967319314495E-3</v>
      </c>
      <c r="E67" s="34">
        <f>IF(1600.23658="","-",1600.23658/2042225.30373*100)</f>
        <v>7.8357494497657304E-2</v>
      </c>
      <c r="F67" s="34">
        <f>IF(OR(1331502.34087="",2085.50385="",48.74235=""),"-",(48.74235-2085.50385)/1331502.34087*100)</f>
        <v>-0.15296717380678324</v>
      </c>
      <c r="G67" s="34">
        <f>IF(OR(2291388.90956="",1600.23658="",48.74235=""),"-",(1600.23658-48.74235)/2291388.90956*100)</f>
        <v>6.7709773034465945E-2</v>
      </c>
    </row>
    <row r="68" spans="1:7" s="2" customFormat="1" x14ac:dyDescent="0.25">
      <c r="A68" s="19" t="s">
        <v>281</v>
      </c>
      <c r="B68" s="20">
        <v>1231.3960199999999</v>
      </c>
      <c r="C68" s="34">
        <f>IF(OR(793.45667="",1231.39602=""),"-",1231.39602/793.45667*100)</f>
        <v>155.19385828592252</v>
      </c>
      <c r="D68" s="34">
        <f>IF(793.45667="","-",793.45667/2291388.90956*100)</f>
        <v>3.4627760773807796E-2</v>
      </c>
      <c r="E68" s="34">
        <f>IF(1231.39602="","-",1231.39602/2042225.30373*100)</f>
        <v>6.0296776156427513E-2</v>
      </c>
      <c r="F68" s="34">
        <f>IF(OR(1331502.34087="",730.44736="",793.45667=""),"-",(793.45667-730.44736)/1331502.34087*100)</f>
        <v>4.7321967123865449E-3</v>
      </c>
      <c r="G68" s="34">
        <f>IF(OR(2291388.90956="",1231.39602="",793.45667=""),"-",(1231.39602-793.45667)/2291388.90956*100)</f>
        <v>1.9112397209083743E-2</v>
      </c>
    </row>
    <row r="69" spans="1:7" s="2" customFormat="1" x14ac:dyDescent="0.25">
      <c r="A69" s="19" t="s">
        <v>58</v>
      </c>
      <c r="B69" s="20">
        <v>998.95965000000001</v>
      </c>
      <c r="C69" s="34" t="s">
        <v>325</v>
      </c>
      <c r="D69" s="34">
        <f>IF(139.03816="","-",139.03816/2291388.90956*100)</f>
        <v>6.0678551519522958E-3</v>
      </c>
      <c r="E69" s="34">
        <f>IF(998.95965="","-",998.95965/2042225.30373*100)</f>
        <v>4.8915251817488556E-2</v>
      </c>
      <c r="F69" s="34">
        <f>IF(OR(1331502.34087="",37.77762="",139.03816=""),"-",(139.03816-37.77762)/1331502.34087*100)</f>
        <v>7.6049840012926044E-3</v>
      </c>
      <c r="G69" s="34">
        <f>IF(OR(2291388.90956="",998.95965="",139.03816=""),"-",(998.95965-139.03816)/2291388.90956*100)</f>
        <v>3.7528395394264384E-2</v>
      </c>
    </row>
    <row r="70" spans="1:7" x14ac:dyDescent="0.25">
      <c r="A70" s="19" t="s">
        <v>73</v>
      </c>
      <c r="B70" s="20">
        <v>921.21633999999995</v>
      </c>
      <c r="C70" s="34">
        <f>IF(OR(928.41309="",921.21634=""),"-",921.21634/928.41309*100)</f>
        <v>99.22483320436595</v>
      </c>
      <c r="D70" s="34">
        <f>IF(928.41309="","-",928.41309/2291388.90956*100)</f>
        <v>4.0517482044472183E-2</v>
      </c>
      <c r="E70" s="34">
        <f>IF(921.21634="","-",921.21634/2042225.30373*100)</f>
        <v>4.5108457833592332E-2</v>
      </c>
      <c r="F70" s="34">
        <f>IF(OR(1331502.34087="",1423.70239="",928.41309=""),"-",(928.41309-1423.70239)/1331502.34087*100)</f>
        <v>-3.7197779139943474E-2</v>
      </c>
      <c r="G70" s="34">
        <f>IF(OR(2291388.90956="",921.21634="",928.41309=""),"-",(921.21634-928.41309)/2291388.90956*100)</f>
        <v>-3.1407806723573648E-4</v>
      </c>
    </row>
    <row r="71" spans="1:7" x14ac:dyDescent="0.25">
      <c r="A71" s="19" t="s">
        <v>74</v>
      </c>
      <c r="B71" s="20">
        <v>842.15738999999996</v>
      </c>
      <c r="C71" s="34">
        <f>IF(OR(936.08498="",842.15739=""),"-",842.15739/936.08498*100)</f>
        <v>89.965912069222597</v>
      </c>
      <c r="D71" s="34">
        <f>IF(936.08498="","-",936.08498/2291388.90956*100)</f>
        <v>4.0852296006780885E-2</v>
      </c>
      <c r="E71" s="34">
        <f>IF(842.15739="","-",842.15739/2042225.30373*100)</f>
        <v>4.1237241966488751E-2</v>
      </c>
      <c r="F71" s="34">
        <f>IF(OR(1331502.34087="",157.16102="",936.08498=""),"-",(936.08498-157.16102)/1331502.34087*100)</f>
        <v>5.8499631287997081E-2</v>
      </c>
      <c r="G71" s="34">
        <f>IF(OR(2291388.90956="",842.15739="",936.08498=""),"-",(842.15739-936.08498)/2291388.90956*100)</f>
        <v>-4.099155303061857E-3</v>
      </c>
    </row>
    <row r="72" spans="1:7" x14ac:dyDescent="0.25">
      <c r="A72" s="75" t="s">
        <v>68</v>
      </c>
      <c r="B72" s="22">
        <v>837.23409000000004</v>
      </c>
      <c r="C72" s="34">
        <f>IF(OR(782.42088="",837.23409=""),"-",837.23409/782.42088*100)</f>
        <v>107.00559141519844</v>
      </c>
      <c r="D72" s="34">
        <f>IF(782.42088="","-",782.42088/2291388.90956*100)</f>
        <v>3.414614065450125E-2</v>
      </c>
      <c r="E72" s="34">
        <f>IF(837.23409="","-",837.23409/2042225.30373*100)</f>
        <v>4.0996166704566975E-2</v>
      </c>
      <c r="F72" s="34">
        <f>IF(OR(1331502.34087="",460.17578="",782.42088=""),"-",(782.42088-460.17578)/1331502.34087*100)</f>
        <v>2.4201617234067045E-2</v>
      </c>
      <c r="G72" s="34">
        <f>IF(OR(2291388.90956="",837.23409="",782.42088=""),"-",(837.23409-782.42088)/2291388.90956*100)</f>
        <v>2.3921390983133212E-3</v>
      </c>
    </row>
    <row r="73" spans="1:7" x14ac:dyDescent="0.25">
      <c r="A73" s="75" t="s">
        <v>82</v>
      </c>
      <c r="B73" s="22">
        <v>796.58998999999994</v>
      </c>
      <c r="C73" s="34" t="s">
        <v>362</v>
      </c>
      <c r="D73" s="34">
        <f>IF(106.1322="","-",106.1322/2291388.90956*100)</f>
        <v>4.631784659391576E-3</v>
      </c>
      <c r="E73" s="34">
        <f>IF(796.58999="","-",796.58999/2042225.30373*100)</f>
        <v>3.900597982725397E-2</v>
      </c>
      <c r="F73" s="34">
        <f>IF(OR(1331502.34087="",104.18641="",106.1322=""),"-",(106.1322-104.18641)/1331502.34087*100)</f>
        <v>1.4613492896517393E-4</v>
      </c>
      <c r="G73" s="34">
        <f>IF(OR(2291388.90956="",796.58999="",106.1322=""),"-",(796.58999-106.1322)/2291388.90956*100)</f>
        <v>3.0132719379033036E-2</v>
      </c>
    </row>
    <row r="74" spans="1:7" x14ac:dyDescent="0.25">
      <c r="A74" s="19" t="s">
        <v>127</v>
      </c>
      <c r="B74" s="20">
        <v>622.57764999999995</v>
      </c>
      <c r="C74" s="34" t="s">
        <v>99</v>
      </c>
      <c r="D74" s="34">
        <f>IF(379.2656="","-",379.2656/2291388.90956*100)</f>
        <v>1.65517777631571E-2</v>
      </c>
      <c r="E74" s="34">
        <f>IF(622.57765="","-",622.57765/2042225.30373*100)</f>
        <v>3.0485257863708762E-2</v>
      </c>
      <c r="F74" s="34">
        <f>IF(OR(1331502.34087="",299.4="",379.2656=""),"-",(379.2656-299.4)/1331502.34087*100)</f>
        <v>5.9981569351065557E-3</v>
      </c>
      <c r="G74" s="34">
        <f>IF(OR(2291388.90956="",622.57765="",379.2656=""),"-",(622.57765-379.2656)/2291388.90956*100)</f>
        <v>1.0618540090897162E-2</v>
      </c>
    </row>
    <row r="75" spans="1:7" x14ac:dyDescent="0.25">
      <c r="A75" s="19" t="s">
        <v>129</v>
      </c>
      <c r="B75" s="20">
        <v>589.19483000000002</v>
      </c>
      <c r="C75" s="34">
        <f>IF(OR(395.24746="",589.19483=""),"-",589.19483/395.24746*100)</f>
        <v>149.06985866525241</v>
      </c>
      <c r="D75" s="34">
        <f>IF(395.24746="","-",395.24746/2291388.90956*100)</f>
        <v>1.7249252553810112E-2</v>
      </c>
      <c r="E75" s="34">
        <f>IF(589.19483="","-",589.19483/2042225.30373*100)</f>
        <v>2.8850628230091536E-2</v>
      </c>
      <c r="F75" s="34">
        <f>IF(OR(1331502.34087="",483.62667="",395.24746=""),"-",(395.24746-483.62667)/1331502.34087*100)</f>
        <v>-6.6375557358955353E-3</v>
      </c>
      <c r="G75" s="34">
        <f>IF(OR(2291388.90956="",589.19483="",395.24746=""),"-",(589.19483-395.24746)/2291388.90956*100)</f>
        <v>8.4641838489670634E-3</v>
      </c>
    </row>
    <row r="76" spans="1:7" x14ac:dyDescent="0.25">
      <c r="A76" s="19" t="s">
        <v>64</v>
      </c>
      <c r="B76" s="20">
        <v>510.20247000000001</v>
      </c>
      <c r="C76" s="34">
        <f>IF(OR(3542.07828="",510.20247=""),"-",510.20247/3542.07828*100)</f>
        <v>14.40404275876139</v>
      </c>
      <c r="D76" s="34">
        <f>IF(3542.07828="","-",3542.07828/2291388.90956*100)</f>
        <v>0.15458215169070366</v>
      </c>
      <c r="E76" s="34">
        <f>IF(510.20247="","-",510.20247/2042225.30373*100)</f>
        <v>2.4982673021832914E-2</v>
      </c>
      <c r="F76" s="34">
        <f>IF(OR(1331502.34087="",545.24712="",3542.07828=""),"-",(3542.07828-545.24712)/1331502.34087*100)</f>
        <v>0.2250714150484992</v>
      </c>
      <c r="G76" s="34">
        <f>IF(OR(2291388.90956="",510.20247="",3542.07828=""),"-",(510.20247-3542.07828)/2291388.90956*100)</f>
        <v>-0.13231607246376131</v>
      </c>
    </row>
    <row r="77" spans="1:7" x14ac:dyDescent="0.25">
      <c r="A77" s="19" t="s">
        <v>88</v>
      </c>
      <c r="B77" s="20">
        <v>497.39821999999998</v>
      </c>
      <c r="C77" s="34" t="s">
        <v>99</v>
      </c>
      <c r="D77" s="34">
        <f>IF(305.26048="","-",305.26048/2291388.90956*100)</f>
        <v>1.3322071985528511E-2</v>
      </c>
      <c r="E77" s="34">
        <f>IF(497.39822="","-",497.39822/2042225.30373*100)</f>
        <v>2.4355697634905044E-2</v>
      </c>
      <c r="F77" s="34">
        <f>IF(OR(1331502.34087="",234.12068="",305.26048=""),"-",(305.26048-234.12068)/1331502.34087*100)</f>
        <v>5.3428220001113498E-3</v>
      </c>
      <c r="G77" s="34">
        <f>IF(OR(2291388.90956="",497.39822="",305.26048=""),"-",(497.39822-305.26048)/2291388.90956*100)</f>
        <v>8.3852086041952129E-3</v>
      </c>
    </row>
    <row r="78" spans="1:7" x14ac:dyDescent="0.25">
      <c r="A78" s="19" t="s">
        <v>117</v>
      </c>
      <c r="B78" s="20">
        <v>475.70308999999997</v>
      </c>
      <c r="C78" s="34" t="s">
        <v>99</v>
      </c>
      <c r="D78" s="34">
        <f>IF(295.30431="","-",295.30431/2291388.90956*100)</f>
        <v>1.2887568267785029E-2</v>
      </c>
      <c r="E78" s="34">
        <f>IF(475.70309="","-",475.70309/2042225.30373*100)</f>
        <v>2.3293369694869476E-2</v>
      </c>
      <c r="F78" s="34">
        <f>IF(OR(1331502.34087="",305.84127="",295.30431=""),"-",(295.30431-305.84127)/1331502.34087*100)</f>
        <v>-7.9135872890131011E-4</v>
      </c>
      <c r="G78" s="34">
        <f>IF(OR(2291388.90956="",475.70309="",295.30431=""),"-",(475.70309-295.30431)/2291388.90956*100)</f>
        <v>7.8729009836501634E-3</v>
      </c>
    </row>
    <row r="79" spans="1:7" x14ac:dyDescent="0.25">
      <c r="A79" s="19" t="s">
        <v>67</v>
      </c>
      <c r="B79" s="20">
        <v>400.20361000000003</v>
      </c>
      <c r="C79" s="34" t="s">
        <v>326</v>
      </c>
      <c r="D79" s="34">
        <f>IF(39.67116="","-",39.67116/2291388.90956*100)</f>
        <v>1.7313150043838602E-3</v>
      </c>
      <c r="E79" s="34">
        <f>IF(400.20361="","-",400.20361/2042225.30373*100)</f>
        <v>1.9596447525601243E-2</v>
      </c>
      <c r="F79" s="34" t="str">
        <f>IF(OR(1331502.34087="",""="",39.67116=""),"-",(39.67116-"")/1331502.34087*100)</f>
        <v>-</v>
      </c>
      <c r="G79" s="34">
        <f>IF(OR(2291388.90956="",400.20361="",39.67116=""),"-",(400.20361-39.67116)/2291388.90956*100)</f>
        <v>1.573423212863637E-2</v>
      </c>
    </row>
    <row r="80" spans="1:7" x14ac:dyDescent="0.25">
      <c r="A80" s="19" t="s">
        <v>92</v>
      </c>
      <c r="B80" s="20">
        <v>399.71109000000001</v>
      </c>
      <c r="C80" s="34" t="s">
        <v>363</v>
      </c>
      <c r="D80" s="34">
        <f>IF(8.52692="","-",8.52692/2291388.90956*100)</f>
        <v>3.7212888499304846E-4</v>
      </c>
      <c r="E80" s="34">
        <f>IF(399.71109="","-",399.71109/2042225.30373*100)</f>
        <v>1.9572330695832241E-2</v>
      </c>
      <c r="F80" s="34">
        <f>IF(OR(1331502.34087="",28.60973="",8.52692=""),"-",(8.52692-28.60973)/1331502.34087*100)</f>
        <v>-1.5082819897168146E-3</v>
      </c>
      <c r="G80" s="34">
        <f>IF(OR(2291388.90956="",399.71109="",8.52692=""),"-",(399.71109-8.52692)/2291388.90956*100)</f>
        <v>1.7071923861022634E-2</v>
      </c>
    </row>
    <row r="81" spans="1:7" x14ac:dyDescent="0.25">
      <c r="A81" s="19" t="s">
        <v>83</v>
      </c>
      <c r="B81" s="20">
        <v>323.19358999999997</v>
      </c>
      <c r="C81" s="34">
        <f>IF(OR(328.45526="",323.19359=""),"-",323.19359/328.45526*100)</f>
        <v>98.398055796092279</v>
      </c>
      <c r="D81" s="34">
        <f>IF(328.45526="","-",328.45526/2291388.90956*100)</f>
        <v>1.4334330528948535E-2</v>
      </c>
      <c r="E81" s="34">
        <f>IF(323.19359="","-",323.19359/2042225.30373*100)</f>
        <v>1.5825559961954568E-2</v>
      </c>
      <c r="F81" s="34">
        <f>IF(OR(1331502.34087="",27.5959="",328.45526=""),"-",(328.45526-27.5959)/1331502.34087*100)</f>
        <v>2.2595481116722587E-2</v>
      </c>
      <c r="G81" s="34">
        <f>IF(OR(2291388.90956="",323.19359="",328.45526=""),"-",(323.19359-328.45526)/2291388.90956*100)</f>
        <v>-2.2962797707746612E-4</v>
      </c>
    </row>
    <row r="82" spans="1:7" x14ac:dyDescent="0.25">
      <c r="A82" s="19" t="s">
        <v>36</v>
      </c>
      <c r="B82" s="20">
        <v>291.39604000000003</v>
      </c>
      <c r="C82" s="34">
        <f>IF(OR(1007.20889="",291.39604=""),"-",291.39604/1007.20889*100)</f>
        <v>28.931043291327583</v>
      </c>
      <c r="D82" s="34">
        <f>IF(1007.20889="","-",1007.20889/2291388.90956*100)</f>
        <v>4.39562610169658E-2</v>
      </c>
      <c r="E82" s="34">
        <f>IF(291.39604="","-",291.39604/2042225.30373*100)</f>
        <v>1.4268554966378241E-2</v>
      </c>
      <c r="F82" s="34">
        <f>IF(OR(1331502.34087="",510.70503="",1007.20889=""),"-",(1007.20889-510.70503)/1331502.34087*100)</f>
        <v>3.7288996403535099E-2</v>
      </c>
      <c r="G82" s="34">
        <f>IF(OR(2291388.90956="",291.39604="",1007.20889=""),"-",(291.39604-1007.20889)/2291388.90956*100)</f>
        <v>-3.1239256112898475E-2</v>
      </c>
    </row>
    <row r="83" spans="1:7" x14ac:dyDescent="0.25">
      <c r="A83" s="19" t="s">
        <v>33</v>
      </c>
      <c r="B83" s="20">
        <v>280.93632000000002</v>
      </c>
      <c r="C83" s="34">
        <f>IF(OR(1818.72917="",280.93632=""),"-",280.93632/1818.72917*100)</f>
        <v>15.446847426986615</v>
      </c>
      <c r="D83" s="34">
        <f>IF(1818.72917="","-",1818.72917/2291388.90956*100)</f>
        <v>7.9372347592850931E-2</v>
      </c>
      <c r="E83" s="34">
        <f>IF(280.93632="","-",280.93632/2042225.30373*100)</f>
        <v>1.3756382289793735E-2</v>
      </c>
      <c r="F83" s="34">
        <f>IF(OR(1331502.34087="",518.84906="",1818.72917=""),"-",(1818.72917-518.84906)/1331502.34087*100)</f>
        <v>9.7625071327374607E-2</v>
      </c>
      <c r="G83" s="34">
        <f>IF(OR(2291388.90956="",280.93632="",1818.72917=""),"-",(280.93632-1818.72917)/2291388.90956*100)</f>
        <v>-6.711182216096577E-2</v>
      </c>
    </row>
    <row r="84" spans="1:7" x14ac:dyDescent="0.25">
      <c r="A84" s="75" t="s">
        <v>298</v>
      </c>
      <c r="B84" s="22">
        <v>280.44384000000002</v>
      </c>
      <c r="C84" s="34" t="str">
        <f>IF(OR(""="",280.44384=""),"-",280.44384/""*100)</f>
        <v>-</v>
      </c>
      <c r="D84" s="34" t="str">
        <f>IF(""="","-",""/2291388.90956*100)</f>
        <v>-</v>
      </c>
      <c r="E84" s="34">
        <f>IF(280.44384="","-",280.44384/2042225.30373*100)</f>
        <v>1.3732267418672487E-2</v>
      </c>
      <c r="F84" s="34" t="str">
        <f>IF(OR(1331502.34087="",""="",""=""),"-",(""-"")/1331502.34087*100)</f>
        <v>-</v>
      </c>
      <c r="G84" s="34" t="str">
        <f>IF(OR(2291388.90956="",280.44384="",""=""),"-",(280.44384-"")/2291388.90956*100)</f>
        <v>-</v>
      </c>
    </row>
    <row r="85" spans="1:7" x14ac:dyDescent="0.25">
      <c r="A85" s="19" t="s">
        <v>79</v>
      </c>
      <c r="B85" s="20">
        <v>276.41032000000001</v>
      </c>
      <c r="C85" s="34">
        <f>IF(OR(225.3753="",276.41032=""),"-",276.41032/225.3753*100)</f>
        <v>122.64446015157829</v>
      </c>
      <c r="D85" s="34">
        <f>IF(225.3753="","-",225.3753/2291388.90956*100)</f>
        <v>9.835750668937179E-3</v>
      </c>
      <c r="E85" s="34">
        <f>IF(276.41032="","-",276.41032/2042225.30373*100)</f>
        <v>1.353476129666758E-2</v>
      </c>
      <c r="F85" s="34">
        <f>IF(OR(1331502.34087="",337.58773="",225.3753=""),"-",(225.3753-337.58773)/1331502.34087*100)</f>
        <v>-8.427505273981022E-3</v>
      </c>
      <c r="G85" s="34">
        <f>IF(OR(2291388.90956="",276.41032="",225.3753=""),"-",(276.41032-225.3753)/2291388.90956*100)</f>
        <v>2.2272526408360733E-3</v>
      </c>
    </row>
    <row r="86" spans="1:7" x14ac:dyDescent="0.25">
      <c r="A86" s="19" t="s">
        <v>287</v>
      </c>
      <c r="B86" s="20">
        <v>269.90212000000002</v>
      </c>
      <c r="C86" s="34">
        <f>IF(OR(298.71176="",269.90212=""),"-",269.90212/298.71176*100)</f>
        <v>90.355371345272786</v>
      </c>
      <c r="D86" s="34">
        <f>IF(298.71176="","-",298.71176/2291388.90956*100)</f>
        <v>1.3036275018777133E-2</v>
      </c>
      <c r="E86" s="34">
        <f>IF(269.90212="","-",269.90212/2042225.30373*100)</f>
        <v>1.3216079514196609E-2</v>
      </c>
      <c r="F86" s="34">
        <f>IF(OR(1331502.34087="",399.70445="",298.71176=""),"-",(298.71176-399.70445)/1331502.34087*100)</f>
        <v>-7.5848676265947565E-3</v>
      </c>
      <c r="G86" s="34">
        <f>IF(OR(2291388.90956="",269.90212="",298.71176=""),"-",(269.90212-298.71176)/2291388.90956*100)</f>
        <v>-1.2573003159700254E-3</v>
      </c>
    </row>
    <row r="87" spans="1:7" x14ac:dyDescent="0.25">
      <c r="A87" s="19" t="s">
        <v>305</v>
      </c>
      <c r="B87" s="20">
        <v>259.70627999999999</v>
      </c>
      <c r="C87" s="34" t="s">
        <v>335</v>
      </c>
      <c r="D87" s="34">
        <f>IF(20.2905="","-",20.2905/2291388.90956*100)</f>
        <v>8.8551096303840667E-4</v>
      </c>
      <c r="E87" s="34">
        <f>IF(259.70628="","-",259.70628/2042225.30373*100)</f>
        <v>1.2716828036831308E-2</v>
      </c>
      <c r="F87" s="34" t="str">
        <f>IF(OR(1331502.34087="",""="",20.2905=""),"-",(20.2905-"")/1331502.34087*100)</f>
        <v>-</v>
      </c>
      <c r="G87" s="34">
        <f>IF(OR(2291388.90956="",259.70628="",20.2905=""),"-",(259.70628-20.2905)/2291388.90956*100)</f>
        <v>1.044850042701714E-2</v>
      </c>
    </row>
    <row r="88" spans="1:7" x14ac:dyDescent="0.25">
      <c r="A88" s="19" t="s">
        <v>97</v>
      </c>
      <c r="B88" s="20">
        <v>250.50449</v>
      </c>
      <c r="C88" s="34">
        <f>IF(OR(1415.05962="",250.50449=""),"-",250.50449/1415.05962*100)</f>
        <v>17.702751633885221</v>
      </c>
      <c r="D88" s="34">
        <f>IF(1415.05962="","-",1415.05962/2291388.90956*100)</f>
        <v>6.1755541108546447E-2</v>
      </c>
      <c r="E88" s="34">
        <f>IF(250.50449="","-",250.50449/2042225.30373*100)</f>
        <v>1.2266251404410122E-2</v>
      </c>
      <c r="F88" s="34">
        <f>IF(OR(1331502.34087="",260.13842="",1415.05962=""),"-",(1415.05962-260.13842)/1331502.34087*100)</f>
        <v>8.673820274663413E-2</v>
      </c>
      <c r="G88" s="34">
        <f>IF(OR(2291388.90956="",250.50449="",1415.05962=""),"-",(250.50449-1415.05962)/2291388.90956*100)</f>
        <v>-5.0823111045938583E-2</v>
      </c>
    </row>
    <row r="89" spans="1:7" x14ac:dyDescent="0.25">
      <c r="A89" s="19" t="s">
        <v>87</v>
      </c>
      <c r="B89" s="20">
        <v>243.24218999999999</v>
      </c>
      <c r="C89" s="34" t="s">
        <v>364</v>
      </c>
      <c r="D89" s="34">
        <f>IF(4.61762="","-",4.61762/2291388.90956*100)</f>
        <v>2.015205703726082E-4</v>
      </c>
      <c r="E89" s="34">
        <f>IF(243.24219="","-",243.24219/2042225.30373*100)</f>
        <v>1.1910644215196676E-2</v>
      </c>
      <c r="F89" s="34">
        <f>IF(OR(1331502.34087="",0.73254="",4.61762=""),"-",(4.61762-0.73254)/1331502.34087*100)</f>
        <v>2.9178168755313635E-4</v>
      </c>
      <c r="G89" s="34">
        <f>IF(OR(2291388.90956="",243.24219="",4.61762=""),"-",(243.24219-4.61762)/2291388.90956*100)</f>
        <v>1.0413970714636194E-2</v>
      </c>
    </row>
    <row r="90" spans="1:7" x14ac:dyDescent="0.25">
      <c r="A90" s="19" t="s">
        <v>193</v>
      </c>
      <c r="B90" s="20">
        <v>218.26464999999999</v>
      </c>
      <c r="C90" s="34">
        <f>IF(OR(338.37229="",218.26465=""),"-",218.26465/338.37229*100)</f>
        <v>64.504292003343409</v>
      </c>
      <c r="D90" s="34">
        <f>IF(338.37229="","-",338.37229/2291388.90956*100)</f>
        <v>1.4767126112388113E-2</v>
      </c>
      <c r="E90" s="34">
        <f>IF(218.26465="","-",218.26465/2042225.30373*100)</f>
        <v>1.0687589150979225E-2</v>
      </c>
      <c r="F90" s="34">
        <f>IF(OR(1331502.34087="",196.42507="",338.37229=""),"-",(338.37229-196.42507)/1331502.34087*100)</f>
        <v>1.0660681220226176E-2</v>
      </c>
      <c r="G90" s="34">
        <f>IF(OR(2291388.90956="",218.26465="",338.37229=""),"-",(218.26465-338.37229)/2291388.90956*100)</f>
        <v>-5.2416959643513108E-3</v>
      </c>
    </row>
    <row r="91" spans="1:7" x14ac:dyDescent="0.25">
      <c r="A91" s="75" t="s">
        <v>350</v>
      </c>
      <c r="B91" s="22">
        <v>215.64302000000001</v>
      </c>
      <c r="C91" s="34">
        <f>IF(OR(176.90536="",215.64302=""),"-",215.64302/176.90536*100)</f>
        <v>121.89739191622007</v>
      </c>
      <c r="D91" s="34">
        <f>IF(176.90536="","-",176.90536/2291388.90956*100)</f>
        <v>7.7204423597376113E-3</v>
      </c>
      <c r="E91" s="34">
        <f>IF(215.64302="","-",215.64302/2042225.30373*100)</f>
        <v>1.0559217908334657E-2</v>
      </c>
      <c r="F91" s="34">
        <f>IF(OR(1331502.34087="",211.45377="",176.90536=""),"-",(176.90536-211.45377)/1331502.34087*100)</f>
        <v>-2.5946938987299229E-3</v>
      </c>
      <c r="G91" s="34">
        <f>IF(OR(2291388.90956="",215.64302="",176.90536=""),"-",(215.64302-176.90536)/2291388.90956*100)</f>
        <v>1.6905755211776134E-3</v>
      </c>
    </row>
    <row r="92" spans="1:7" x14ac:dyDescent="0.25">
      <c r="A92" s="19" t="s">
        <v>91</v>
      </c>
      <c r="B92" s="20">
        <v>207.12123</v>
      </c>
      <c r="C92" s="34">
        <f>IF(OR(724.80465="",207.12123=""),"-",207.12123/724.80465*100)</f>
        <v>28.57614531032603</v>
      </c>
      <c r="D92" s="34">
        <f>IF(724.80465="","-",724.80465/2291388.90956*100)</f>
        <v>3.1631673129603279E-2</v>
      </c>
      <c r="E92" s="34">
        <f>IF(207.12123="","-",207.12123/2042225.30373*100)</f>
        <v>1.0141938287695568E-2</v>
      </c>
      <c r="F92" s="34">
        <f>IF(OR(1331502.34087="",231.46488="",724.80465=""),"-",(724.80465-231.46488)/1331502.34087*100)</f>
        <v>3.7051363325253578E-2</v>
      </c>
      <c r="G92" s="34">
        <f>IF(OR(2291388.90956="",207.12123="",724.80465=""),"-",(207.12123-724.80465)/2291388.90956*100)</f>
        <v>-2.2592560252000491E-2</v>
      </c>
    </row>
    <row r="93" spans="1:7" x14ac:dyDescent="0.25">
      <c r="A93" s="19" t="s">
        <v>96</v>
      </c>
      <c r="B93" s="20">
        <v>204.33663000000001</v>
      </c>
      <c r="C93" s="34" t="s">
        <v>90</v>
      </c>
      <c r="D93" s="34">
        <f>IF(97.9432="","-",97.9432/2291388.90956*100)</f>
        <v>4.2744031618276177E-3</v>
      </c>
      <c r="E93" s="34">
        <f>IF(204.33663="","-",204.33663/2042225.30373*100)</f>
        <v>1.0005587024447871E-2</v>
      </c>
      <c r="F93" s="34">
        <f>IF(OR(1331502.34087="",275.38569="",97.9432=""),"-",(97.9432-275.38569)/1331502.34087*100)</f>
        <v>-1.3326487273320121E-2</v>
      </c>
      <c r="G93" s="34">
        <f>IF(OR(2291388.90956="",204.33663="",97.9432=""),"-",(204.33663-97.9432)/2291388.90956*100)</f>
        <v>4.6431851684413548E-3</v>
      </c>
    </row>
    <row r="94" spans="1:7" x14ac:dyDescent="0.25">
      <c r="A94" s="19" t="s">
        <v>66</v>
      </c>
      <c r="B94" s="20">
        <v>199.43108000000001</v>
      </c>
      <c r="C94" s="34" t="s">
        <v>365</v>
      </c>
      <c r="D94" s="34">
        <f>IF(15.38301="","-",15.38301/2291388.90956*100)</f>
        <v>6.7133998667008891E-4</v>
      </c>
      <c r="E94" s="34">
        <f>IF(199.43108="","-",199.43108/2042225.30373*100)</f>
        <v>9.7653809124659905E-3</v>
      </c>
      <c r="F94" s="34">
        <f>IF(OR(1331502.34087="",190.19476="",15.38301=""),"-",(15.38301-190.19476)/1331502.34087*100)</f>
        <v>-1.3128910452067134E-2</v>
      </c>
      <c r="G94" s="34">
        <f>IF(OR(2291388.90956="",199.43108="",15.38301=""),"-",(199.43108-15.38301)/2291388.90956*100)</f>
        <v>8.0321620320376562E-3</v>
      </c>
    </row>
    <row r="95" spans="1:7" x14ac:dyDescent="0.25">
      <c r="A95" s="19" t="s">
        <v>301</v>
      </c>
      <c r="B95" s="20">
        <v>175.10164</v>
      </c>
      <c r="C95" s="34" t="str">
        <f>IF(OR(""="",175.10164=""),"-",175.10164/""*100)</f>
        <v>-</v>
      </c>
      <c r="D95" s="34" t="str">
        <f>IF(""="","-",""/2291388.90956*100)</f>
        <v>-</v>
      </c>
      <c r="E95" s="34">
        <f>IF(175.10164="","-",175.10164/2042225.30373*100)</f>
        <v>8.5740608384485065E-3</v>
      </c>
      <c r="F95" s="34" t="str">
        <f>IF(OR(1331502.34087="",""="",""=""),"-",(""-"")/1331502.34087*100)</f>
        <v>-</v>
      </c>
      <c r="G95" s="34" t="str">
        <f>IF(OR(2291388.90956="",175.10164="",""=""),"-",(175.10164-"")/2291388.90956*100)</f>
        <v>-</v>
      </c>
    </row>
    <row r="96" spans="1:7" x14ac:dyDescent="0.25">
      <c r="A96" s="19" t="s">
        <v>113</v>
      </c>
      <c r="B96" s="20">
        <v>173.79048</v>
      </c>
      <c r="C96" s="34">
        <f>IF(OR(220.46897="",173.79048=""),"-",173.79048/220.46897*100)</f>
        <v>78.827637286099716</v>
      </c>
      <c r="D96" s="34">
        <f>IF(220.46897="","-",220.46897/2291388.90956*100)</f>
        <v>9.6216303168865022E-3</v>
      </c>
      <c r="E96" s="34">
        <f>IF(173.79048="","-",173.79048/2042225.30373*100)</f>
        <v>8.509858323789362E-3</v>
      </c>
      <c r="F96" s="34">
        <f>IF(OR(1331502.34087="",241.57955="",220.46897=""),"-",(220.46897-241.57955)/1331502.34087*100)</f>
        <v>-1.5854707387300878E-3</v>
      </c>
      <c r="G96" s="34">
        <f>IF(OR(2291388.90956="",173.79048="",220.46897=""),"-",(173.79048-220.46897)/2291388.90956*100)</f>
        <v>-2.0371264696818036E-3</v>
      </c>
    </row>
    <row r="97" spans="1:7" x14ac:dyDescent="0.25">
      <c r="A97" s="19" t="s">
        <v>101</v>
      </c>
      <c r="B97" s="20">
        <v>171.25586999999999</v>
      </c>
      <c r="C97" s="34">
        <f>IF(OR(372.64132="",171.25587=""),"-",171.25587/372.64132*100)</f>
        <v>45.957294805632394</v>
      </c>
      <c r="D97" s="34">
        <f>IF(372.64132="","-",372.64132/2291388.90956*100)</f>
        <v>1.6262683233094457E-2</v>
      </c>
      <c r="E97" s="34">
        <f>IF(171.25587="","-",171.25587/2042225.30373*100)</f>
        <v>8.3857481193290277E-3</v>
      </c>
      <c r="F97" s="34">
        <f>IF(OR(1331502.34087="",85.76053="",372.64132=""),"-",(372.64132-85.76053)/1331502.34087*100)</f>
        <v>2.1545646687526881E-2</v>
      </c>
      <c r="G97" s="34">
        <f>IF(OR(2291388.90956="",171.25587="",372.64132=""),"-",(171.25587-372.64132)/2291388.90956*100)</f>
        <v>-8.7887939563550867E-3</v>
      </c>
    </row>
    <row r="98" spans="1:7" x14ac:dyDescent="0.25">
      <c r="A98" s="75" t="s">
        <v>320</v>
      </c>
      <c r="B98" s="22">
        <v>164.60524000000001</v>
      </c>
      <c r="C98" s="34" t="s">
        <v>303</v>
      </c>
      <c r="D98" s="34">
        <f>IF(39.53341="","-",39.53341/2291388.90956*100)</f>
        <v>1.7253033666638168E-3</v>
      </c>
      <c r="E98" s="34">
        <f>IF(164.60524="","-",164.60524/2042225.30373*100)</f>
        <v>8.0600920818755199E-3</v>
      </c>
      <c r="F98" s="34" t="str">
        <f>IF(OR(1331502.34087="",""="",39.53341=""),"-",(39.53341-"")/1331502.34087*100)</f>
        <v>-</v>
      </c>
      <c r="G98" s="34">
        <f>IF(OR(2291388.90956="",164.60524="",39.53341=""),"-",(164.60524-39.53341)/2291388.90956*100)</f>
        <v>5.4583414224526694E-3</v>
      </c>
    </row>
    <row r="99" spans="1:7" x14ac:dyDescent="0.25">
      <c r="A99" s="19" t="s">
        <v>351</v>
      </c>
      <c r="B99" s="20">
        <v>163.33998</v>
      </c>
      <c r="C99" s="34" t="str">
        <f>IF(OR(""="",163.33998=""),"-",163.33998/""*100)</f>
        <v>-</v>
      </c>
      <c r="D99" s="34" t="str">
        <f>IF(""="","-",""/2291388.90956*100)</f>
        <v>-</v>
      </c>
      <c r="E99" s="34">
        <f>IF(163.33998="","-",163.33998/2042225.30373*100)</f>
        <v>7.9981371155116669E-3</v>
      </c>
      <c r="F99" s="34" t="str">
        <f>IF(OR(1331502.34087="",""="",""=""),"-",(""-"")/1331502.34087*100)</f>
        <v>-</v>
      </c>
      <c r="G99" s="34" t="str">
        <f>IF(OR(2291388.90956="",163.33998="",""=""),"-",(163.33998-"")/2291388.90956*100)</f>
        <v>-</v>
      </c>
    </row>
    <row r="100" spans="1:7" x14ac:dyDescent="0.25">
      <c r="A100" s="19" t="s">
        <v>93</v>
      </c>
      <c r="B100" s="20">
        <v>132.38359</v>
      </c>
      <c r="C100" s="34">
        <f>IF(OR(117.22409="",132.38359=""),"-",132.38359/117.22409*100)</f>
        <v>112.93206882646732</v>
      </c>
      <c r="D100" s="34">
        <f>IF(117.22409="","-",117.22409/2291388.90956*100)</f>
        <v>5.1158530754392868E-3</v>
      </c>
      <c r="E100" s="34">
        <f>IF(132.38359="","-",132.38359/2042225.30373*100)</f>
        <v>6.4823205235097934E-3</v>
      </c>
      <c r="F100" s="34">
        <f>IF(OR(1331502.34087="",59.40173="",117.22409=""),"-",(117.22409-59.40173)/1331502.34087*100)</f>
        <v>4.3426405065288155E-3</v>
      </c>
      <c r="G100" s="34">
        <f>IF(OR(2291388.90956="",132.38359="",117.22409=""),"-",(132.38359-117.22409)/2291388.90956*100)</f>
        <v>6.6158564077675361E-4</v>
      </c>
    </row>
    <row r="101" spans="1:7" x14ac:dyDescent="0.25">
      <c r="A101" s="19" t="s">
        <v>122</v>
      </c>
      <c r="B101" s="20">
        <v>125.59036999999999</v>
      </c>
      <c r="C101" s="34">
        <f>IF(OR(203.64884="",125.59037=""),"-",125.59037/203.64884*100)</f>
        <v>61.670064018042034</v>
      </c>
      <c r="D101" s="34">
        <f>IF(203.64884="","-",203.64884/2291388.90956*100)</f>
        <v>8.887572037655769E-3</v>
      </c>
      <c r="E101" s="34">
        <f>IF(125.59037="","-",125.59037/2042225.30373*100)</f>
        <v>6.1496823964827408E-3</v>
      </c>
      <c r="F101" s="34">
        <f>IF(OR(1331502.34087="",279.90912="",203.64884=""),"-",(203.64884-279.90912)/1331502.34087*100)</f>
        <v>-5.727386100588581E-3</v>
      </c>
      <c r="G101" s="34">
        <f>IF(OR(2291388.90956="",125.59037="",203.64884=""),"-",(125.59037-203.64884)/2291388.90956*100)</f>
        <v>-3.4066006723838535E-3</v>
      </c>
    </row>
    <row r="102" spans="1:7" x14ac:dyDescent="0.25">
      <c r="A102" s="19" t="s">
        <v>321</v>
      </c>
      <c r="B102" s="20">
        <v>124.76784000000001</v>
      </c>
      <c r="C102" s="34" t="s">
        <v>366</v>
      </c>
      <c r="D102" s="34">
        <f>IF(8.82062="","-",8.82062/2291388.90956*100)</f>
        <v>3.8494643852028432E-4</v>
      </c>
      <c r="E102" s="34">
        <f>IF(124.76784="","-",124.76784/2042225.30373*100)</f>
        <v>6.1094062330987265E-3</v>
      </c>
      <c r="F102" s="34">
        <f>IF(OR(1331502.34087="",6.25438="",8.82062=""),"-",(8.82062-6.25438)/1331502.34087*100)</f>
        <v>1.927326690483492E-4</v>
      </c>
      <c r="G102" s="34">
        <f>IF(OR(2291388.90956="",124.76784="",8.82062=""),"-",(124.76784-8.82062)/2291388.90956*100)</f>
        <v>5.0601283577943372E-3</v>
      </c>
    </row>
    <row r="103" spans="1:7" x14ac:dyDescent="0.25">
      <c r="A103" s="75" t="s">
        <v>285</v>
      </c>
      <c r="B103" s="22">
        <v>124.36559</v>
      </c>
      <c r="C103" s="34">
        <f>IF(OR(175.2293="",124.36559=""),"-",124.36559/175.2293*100)</f>
        <v>70.973056446610244</v>
      </c>
      <c r="D103" s="34">
        <f>IF(175.2293="","-",175.2293/2291388.90956*100)</f>
        <v>7.647296330575681E-3</v>
      </c>
      <c r="E103" s="34">
        <f>IF(124.36559="","-",124.36559/2042225.30373*100)</f>
        <v>6.0897095816437995E-3</v>
      </c>
      <c r="F103" s="34">
        <f>IF(OR(1331502.34087="",137.48984="",175.2293=""),"-",(175.2293-137.48984)/1331502.34087*100)</f>
        <v>2.8343517575298554E-3</v>
      </c>
      <c r="G103" s="34">
        <f>IF(OR(2291388.90956="",124.36559="",175.2293=""),"-",(124.36559-175.2293)/2291388.90956*100)</f>
        <v>-2.2197763892366491E-3</v>
      </c>
    </row>
    <row r="104" spans="1:7" x14ac:dyDescent="0.25">
      <c r="A104" s="75" t="s">
        <v>311</v>
      </c>
      <c r="B104" s="22">
        <v>116.59757</v>
      </c>
      <c r="C104" s="34" t="s">
        <v>367</v>
      </c>
      <c r="D104" s="34">
        <f>IF(38.47538="","-",38.47538/2291388.90956*100)</f>
        <v>1.679129188392038E-3</v>
      </c>
      <c r="E104" s="34">
        <f>IF(116.59757="","-",116.59757/2042225.30373*100)</f>
        <v>5.7093392089032314E-3</v>
      </c>
      <c r="F104" s="34">
        <f>IF(OR(1331502.34087="",63.80829="",38.47538=""),"-",(38.47538-63.80829)/1331502.34087*100)</f>
        <v>-1.9025809585469856E-3</v>
      </c>
      <c r="G104" s="34">
        <f>IF(OR(2291388.90956="",116.59757="",38.47538=""),"-",(116.59757-38.47538)/2291388.90956*100)</f>
        <v>3.4093815185219376E-3</v>
      </c>
    </row>
    <row r="105" spans="1:7" x14ac:dyDescent="0.25">
      <c r="A105" s="19" t="s">
        <v>310</v>
      </c>
      <c r="B105" s="20">
        <v>92.894900000000007</v>
      </c>
      <c r="C105" s="34">
        <f>IF(OR(117.96092="",92.8949=""),"-",92.8949/117.96092*100)</f>
        <v>78.750572647280137</v>
      </c>
      <c r="D105" s="34">
        <f>IF(117.96092="","-",117.96092/2291388.90956*100)</f>
        <v>5.1480095547224774E-3</v>
      </c>
      <c r="E105" s="34">
        <f>IF(92.8949="","-",92.8949/2042225.30373*100)</f>
        <v>4.5487096761720235E-3</v>
      </c>
      <c r="F105" s="34">
        <f>IF(OR(1331502.34087="",1.47513="",117.96092=""),"-",(117.96092-1.47513)/1331502.34087*100)</f>
        <v>8.7484480067747013E-3</v>
      </c>
      <c r="G105" s="34">
        <f>IF(OR(2291388.90956="",92.8949="",117.96092=""),"-",(92.8949-117.96092)/2291388.90956*100)</f>
        <v>-1.0939225504418301E-3</v>
      </c>
    </row>
    <row r="106" spans="1:7" x14ac:dyDescent="0.25">
      <c r="A106" s="75" t="s">
        <v>352</v>
      </c>
      <c r="B106" s="22">
        <v>82.744</v>
      </c>
      <c r="C106" s="34" t="s">
        <v>368</v>
      </c>
      <c r="D106" s="34">
        <f>IF(1.76952="","-",1.76952/2291388.90956*100)</f>
        <v>7.7224778064400646E-5</v>
      </c>
      <c r="E106" s="34">
        <f>IF(82.744="","-",82.744/2042225.30373*100)</f>
        <v>4.0516587395559699E-3</v>
      </c>
      <c r="F106" s="34">
        <f>IF(OR(1331502.34087="",60.504="",1.76952=""),"-",(1.76952-60.504)/1331502.34087*100)</f>
        <v>-4.4111435779844782E-3</v>
      </c>
      <c r="G106" s="34">
        <f>IF(OR(2291388.90956="",82.744="",1.76952=""),"-",(82.744-1.76952)/2291388.90956*100)</f>
        <v>3.5338601693568022E-3</v>
      </c>
    </row>
    <row r="107" spans="1:7" x14ac:dyDescent="0.25">
      <c r="A107" s="19" t="s">
        <v>309</v>
      </c>
      <c r="B107" s="20">
        <v>79.2239</v>
      </c>
      <c r="C107" s="34" t="str">
        <f>IF(OR(""="",79.2239=""),"-",79.2239/""*100)</f>
        <v>-</v>
      </c>
      <c r="D107" s="34" t="str">
        <f>IF(""="","-",""/2291388.90956*100)</f>
        <v>-</v>
      </c>
      <c r="E107" s="34">
        <f>IF(79.2239="","-",79.2239/2042225.30373*100)</f>
        <v>3.8792928407704267E-3</v>
      </c>
      <c r="F107" s="34" t="str">
        <f>IF(OR(1331502.34087="",""="",""=""),"-",(""-"")/1331502.34087*100)</f>
        <v>-</v>
      </c>
      <c r="G107" s="34" t="str">
        <f>IF(OR(2291388.90956="",79.2239="",""=""),"-",(79.2239-"")/2291388.90956*100)</f>
        <v>-</v>
      </c>
    </row>
    <row r="108" spans="1:7" x14ac:dyDescent="0.25">
      <c r="A108" s="19" t="s">
        <v>297</v>
      </c>
      <c r="B108" s="20">
        <v>76.393810000000002</v>
      </c>
      <c r="C108" s="34" t="s">
        <v>98</v>
      </c>
      <c r="D108" s="34">
        <f>IF(44.76309="","-",44.76309/2291388.90956*100)</f>
        <v>1.9535352472573307E-3</v>
      </c>
      <c r="E108" s="34">
        <f>IF(76.39381="","-",76.39381/2042225.30373*100)</f>
        <v>3.7407141053668936E-3</v>
      </c>
      <c r="F108" s="34">
        <f>IF(OR(1331502.34087="",83.75028="",44.76309=""),"-",(44.76309-83.75028)/1331502.34087*100)</f>
        <v>-2.9280601921079525E-3</v>
      </c>
      <c r="G108" s="34">
        <f>IF(OR(2291388.90956="",76.39381="",44.76309=""),"-",(76.39381-44.76309)/2291388.90956*100)</f>
        <v>1.3804169108103887E-3</v>
      </c>
    </row>
    <row r="109" spans="1:7" x14ac:dyDescent="0.25">
      <c r="A109" s="75" t="s">
        <v>353</v>
      </c>
      <c r="B109" s="22">
        <v>60.608890000000002</v>
      </c>
      <c r="C109" s="34" t="s">
        <v>98</v>
      </c>
      <c r="D109" s="34">
        <f>IF(35.35="","-",35.35/2291388.90956*100)</f>
        <v>1.5427324385011544E-3</v>
      </c>
      <c r="E109" s="34">
        <f>IF(60.60889="","-",60.60889/2042225.30373*100)</f>
        <v>2.9677866535735092E-3</v>
      </c>
      <c r="F109" s="34" t="str">
        <f>IF(OR(1331502.34087="",""="",35.35=""),"-",(35.35-"")/1331502.34087*100)</f>
        <v>-</v>
      </c>
      <c r="G109" s="34">
        <f>IF(OR(2291388.90956="",60.60889="",35.35=""),"-",(60.60889-35.35)/2291388.90956*100)</f>
        <v>1.1023397160829541E-3</v>
      </c>
    </row>
    <row r="110" spans="1:7" x14ac:dyDescent="0.25">
      <c r="A110" s="76" t="s">
        <v>86</v>
      </c>
      <c r="B110" s="36">
        <v>51.875329999999998</v>
      </c>
      <c r="C110" s="37">
        <f>IF(OR(1588.00721="",51.87533=""),"-",51.87533/1588.00721*100)</f>
        <v>3.2666936065107661</v>
      </c>
      <c r="D110" s="37">
        <f>IF(1588.00721="","-",1588.00721/2291388.90956*100)</f>
        <v>6.9303259842735915E-2</v>
      </c>
      <c r="E110" s="37">
        <f>IF(51.87533="","-",51.87533/2042225.30373*100)</f>
        <v>2.5401374620739872E-3</v>
      </c>
      <c r="F110" s="37">
        <f>IF(OR(1331502.34087="",231.70498="",1588.00721=""),"-",(1588.00721-231.70498)/1331502.34087*100)</f>
        <v>0.10186254942021325</v>
      </c>
      <c r="G110" s="37">
        <f>IF(OR(2291388.90956="",51.87533="",1588.00721=""),"-",(51.87533-1588.00721)/2291388.90956*100)</f>
        <v>-6.7039334684349722E-2</v>
      </c>
    </row>
    <row r="111" spans="1:7" s="29" customFormat="1" ht="11.25" x14ac:dyDescent="0.2">
      <c r="A111" s="10" t="s">
        <v>269</v>
      </c>
      <c r="B111" s="11"/>
      <c r="C111" s="12"/>
      <c r="D111" s="11"/>
      <c r="E111" s="11"/>
      <c r="F111" s="28"/>
      <c r="G111" s="28"/>
    </row>
    <row r="112" spans="1:7" s="29" customFormat="1" ht="11.25" x14ac:dyDescent="0.2">
      <c r="A112" s="80" t="s">
        <v>354</v>
      </c>
      <c r="B112" s="80"/>
      <c r="C112" s="80"/>
      <c r="D112" s="80"/>
      <c r="E112" s="80"/>
      <c r="F112" s="28"/>
      <c r="G112" s="28"/>
    </row>
  </sheetData>
  <mergeCells count="7">
    <mergeCell ref="A112:E112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27"/>
  <sheetViews>
    <sheetView zoomScaleNormal="100" workbookViewId="0">
      <selection sqref="A1:G1"/>
    </sheetView>
  </sheetViews>
  <sheetFormatPr defaultRowHeight="15.75" x14ac:dyDescent="0.25"/>
  <cols>
    <col min="1" max="1" width="29" customWidth="1"/>
    <col min="2" max="2" width="11.75" customWidth="1"/>
    <col min="3" max="3" width="11.125" customWidth="1"/>
    <col min="4" max="4" width="7.875" customWidth="1"/>
    <col min="5" max="5" width="8.375" customWidth="1"/>
    <col min="6" max="6" width="10.625" customWidth="1"/>
    <col min="7" max="7" width="10.25" customWidth="1"/>
    <col min="9" max="9" width="10.25" bestFit="1" customWidth="1"/>
  </cols>
  <sheetData>
    <row r="1" spans="1:14" x14ac:dyDescent="0.25">
      <c r="A1" s="91" t="s">
        <v>371</v>
      </c>
      <c r="B1" s="91"/>
      <c r="C1" s="91"/>
      <c r="D1" s="91"/>
      <c r="E1" s="91"/>
      <c r="F1" s="91"/>
      <c r="G1" s="91"/>
    </row>
    <row r="2" spans="1:14" x14ac:dyDescent="0.25">
      <c r="A2" s="92"/>
      <c r="B2" s="92"/>
      <c r="C2" s="92"/>
      <c r="D2" s="92"/>
      <c r="E2" s="92"/>
      <c r="F2" s="92"/>
      <c r="G2" s="92"/>
    </row>
    <row r="3" spans="1:14" ht="54" customHeight="1" x14ac:dyDescent="0.25">
      <c r="A3" s="82"/>
      <c r="B3" s="84" t="s">
        <v>339</v>
      </c>
      <c r="C3" s="85"/>
      <c r="D3" s="86" t="s">
        <v>102</v>
      </c>
      <c r="E3" s="87"/>
      <c r="F3" s="88" t="s">
        <v>399</v>
      </c>
      <c r="G3" s="89"/>
    </row>
    <row r="4" spans="1:14" ht="44.25" customHeight="1" x14ac:dyDescent="0.25">
      <c r="A4" s="83"/>
      <c r="B4" s="15" t="s">
        <v>94</v>
      </c>
      <c r="C4" s="14" t="s">
        <v>404</v>
      </c>
      <c r="D4" s="15" t="s">
        <v>348</v>
      </c>
      <c r="E4" s="15" t="s">
        <v>349</v>
      </c>
      <c r="F4" s="15" t="s">
        <v>409</v>
      </c>
      <c r="G4" s="13" t="s">
        <v>410</v>
      </c>
    </row>
    <row r="5" spans="1:14" s="27" customFormat="1" ht="12.75" x14ac:dyDescent="0.2">
      <c r="A5" s="38" t="s">
        <v>111</v>
      </c>
      <c r="B5" s="68">
        <v>4371623.6055399999</v>
      </c>
      <c r="C5" s="45">
        <f>IF(4350574.54459="","-",4371623.60554/4350574.54459*100)</f>
        <v>100.4838225557168</v>
      </c>
      <c r="D5" s="45">
        <v>100</v>
      </c>
      <c r="E5" s="45">
        <v>100</v>
      </c>
      <c r="F5" s="45">
        <f>IF(3266113.78787="","-",(4350574.54459-3266113.78787)/3266113.78787*100)</f>
        <v>33.203397895920588</v>
      </c>
      <c r="G5" s="45">
        <f>IF(4350574.54459="","-",(4371623.60554-4350574.54459)/4350574.54459*100)</f>
        <v>0.48382255571679927</v>
      </c>
      <c r="I5" s="39"/>
      <c r="J5" s="39"/>
      <c r="K5" s="39"/>
      <c r="L5" s="39"/>
      <c r="M5" s="39"/>
      <c r="N5" s="39"/>
    </row>
    <row r="6" spans="1:14" s="1" customFormat="1" ht="15" x14ac:dyDescent="0.25">
      <c r="A6" s="31" t="s">
        <v>114</v>
      </c>
      <c r="B6" s="77"/>
      <c r="C6" s="16"/>
      <c r="D6" s="16"/>
      <c r="E6" s="16"/>
      <c r="F6" s="16"/>
      <c r="G6" s="16"/>
    </row>
    <row r="7" spans="1:14" ht="16.5" customHeight="1" x14ac:dyDescent="0.25">
      <c r="A7" s="17" t="s">
        <v>123</v>
      </c>
      <c r="B7" s="18">
        <v>2113537.0802099998</v>
      </c>
      <c r="C7" s="33">
        <f>IF(1997448.2504="","-",2113537.08021/1997448.2504*100)</f>
        <v>105.81185669199451</v>
      </c>
      <c r="D7" s="33">
        <f>IF(1997448.2504="","-",1997448.2504/4350574.54459*100)</f>
        <v>45.912286525094821</v>
      </c>
      <c r="E7" s="33">
        <f>IF(2113537.08021="","-",2113537.08021/4371623.60554*100)</f>
        <v>48.34673043515437</v>
      </c>
      <c r="F7" s="33">
        <f>IF(3266113.78787="","-",(1997448.2504-1548407.22914)/3266113.78787*100)</f>
        <v>13.748480623292759</v>
      </c>
      <c r="G7" s="33">
        <f>IF(4350574.54459="","-",(2113537.08021-1997448.2504)/4350574.54459*100)</f>
        <v>2.6683562968564201</v>
      </c>
    </row>
    <row r="8" spans="1:14" x14ac:dyDescent="0.25">
      <c r="A8" s="19" t="s">
        <v>1</v>
      </c>
      <c r="B8" s="22">
        <v>680751.00253000006</v>
      </c>
      <c r="C8" s="34">
        <f>IF(OR(702468.90888="",680751.00253=""),"-",680751.00253/702468.90888*100)</f>
        <v>96.908346251989073</v>
      </c>
      <c r="D8" s="34">
        <f>IF(702468.90888="","-",702468.90888/4350574.54459*100)</f>
        <v>16.146577921611062</v>
      </c>
      <c r="E8" s="34">
        <f>IF(680751.00253="","-",680751.00253/4371623.60554*100)</f>
        <v>15.572040595336457</v>
      </c>
      <c r="F8" s="34">
        <f>IF(OR(3266113.78787="",420001.61284="",702468.90888=""),"-",(702468.90888-420001.61284)/3266113.78787*100)</f>
        <v>8.6484217754155885</v>
      </c>
      <c r="G8" s="34">
        <f>IF(OR(4350574.54459="",680751.00253="",702468.90888=""),"-",(680751.00253-702468.90888)/4350574.54459*100)</f>
        <v>-0.49919628148899237</v>
      </c>
    </row>
    <row r="9" spans="1:14" s="2" customFormat="1" x14ac:dyDescent="0.25">
      <c r="A9" s="19" t="s">
        <v>3</v>
      </c>
      <c r="B9" s="22">
        <v>305392.66957999999</v>
      </c>
      <c r="C9" s="34">
        <f>IF(OR(287744.25262="",305392.66958=""),"-",305392.66958/287744.25262*100)</f>
        <v>106.13336905926207</v>
      </c>
      <c r="D9" s="34">
        <f>IF(287744.25262="","-",287744.25262/4350574.54459*100)</f>
        <v>6.6139368414641684</v>
      </c>
      <c r="E9" s="34">
        <f>IF(305392.66958="","-",305392.66958/4371623.60554*100)</f>
        <v>6.9857951446914814</v>
      </c>
      <c r="F9" s="34">
        <f>IF(OR(3266113.78787="",271859.44526="",287744.25262=""),"-",(287744.25262-271859.44526)/3266113.78787*100)</f>
        <v>0.48635192744951089</v>
      </c>
      <c r="G9" s="34">
        <f>IF(OR(4350574.54459="",305392.66958="",287744.25262=""),"-",(305392.66958-287744.25262)/4350574.54459*100)</f>
        <v>0.40565715583349915</v>
      </c>
    </row>
    <row r="10" spans="1:14" s="2" customFormat="1" x14ac:dyDescent="0.25">
      <c r="A10" s="19" t="s">
        <v>2</v>
      </c>
      <c r="B10" s="20">
        <v>228366.90336</v>
      </c>
      <c r="C10" s="34">
        <f>IF(OR(228317.43966="",228366.90336=""),"-",228366.90336/228317.43966*100)</f>
        <v>100.02166444231051</v>
      </c>
      <c r="D10" s="34">
        <f>IF(228317.43966="","-",228317.43966/4350574.54459*100)</f>
        <v>5.2479836242299518</v>
      </c>
      <c r="E10" s="34">
        <f>IF(228366.90336="","-",228366.90336/4371623.60554*100)</f>
        <v>5.2238464233425521</v>
      </c>
      <c r="F10" s="34">
        <f>IF(OR(3266113.78787="",220030.28975="",228317.43966=""),"-",(228317.43966-220030.28975)/3266113.78787*100)</f>
        <v>0.25373120620529516</v>
      </c>
      <c r="G10" s="34">
        <f>IF(OR(4350574.54459="",228366.90336="",228317.43966=""),"-",(228366.90336-228317.43966)/4350574.54459*100)</f>
        <v>1.1369463847367416E-3</v>
      </c>
    </row>
    <row r="11" spans="1:14" s="2" customFormat="1" x14ac:dyDescent="0.25">
      <c r="A11" s="19" t="s">
        <v>4</v>
      </c>
      <c r="B11" s="20">
        <v>148908.20473</v>
      </c>
      <c r="C11" s="34">
        <f>IF(OR(145107.55701="",148908.20473=""),"-",148908.20473/145107.55701*100)</f>
        <v>102.61919351294577</v>
      </c>
      <c r="D11" s="34">
        <f>IF(145107.55701="","-",145107.55701/4350574.54459*100)</f>
        <v>3.3353653758316413</v>
      </c>
      <c r="E11" s="34">
        <f>IF(148908.20473="","-",148908.20473/4371623.60554*100)</f>
        <v>3.4062448684121396</v>
      </c>
      <c r="F11" s="34">
        <f>IF(OR(3266113.78787="",124518.41497="",145107.55701=""),"-",(145107.55701-124518.41497)/3266113.78787*100)</f>
        <v>0.63038655041553904</v>
      </c>
      <c r="G11" s="34">
        <f>IF(OR(4350574.54459="",148908.20473="",145107.55701=""),"-",(148908.20473-145107.55701)/4350574.54459*100)</f>
        <v>8.735967355682174E-2</v>
      </c>
    </row>
    <row r="12" spans="1:14" s="2" customFormat="1" x14ac:dyDescent="0.25">
      <c r="A12" s="19" t="s">
        <v>276</v>
      </c>
      <c r="B12" s="20">
        <v>112100.41862</v>
      </c>
      <c r="C12" s="34">
        <f>IF(OR(102929.40939="",112100.41862=""),"-",112100.41862/102929.40939*100)</f>
        <v>108.90999888598505</v>
      </c>
      <c r="D12" s="34">
        <f>IF(102929.40939="","-",102929.40939/4350574.54459*100)</f>
        <v>2.3658808356242083</v>
      </c>
      <c r="E12" s="34">
        <f>IF(112100.41862="","-",112100.41862/4371623.60554*100)</f>
        <v>2.5642742544884056</v>
      </c>
      <c r="F12" s="34">
        <f>IF(OR(3266113.78787="",86471.03108="",102929.40939=""),"-",(102929.40939-86471.03108)/3266113.78787*100)</f>
        <v>0.50391319405725143</v>
      </c>
      <c r="G12" s="34">
        <f>IF(OR(4350574.54459="",112100.41862="",102929.40939=""),"-",(112100.41862-102929.40939)/4350574.54459*100)</f>
        <v>0.21079995609785085</v>
      </c>
    </row>
    <row r="13" spans="1:14" s="2" customFormat="1" x14ac:dyDescent="0.25">
      <c r="A13" s="75" t="s">
        <v>39</v>
      </c>
      <c r="B13" s="32">
        <v>97501.567039999994</v>
      </c>
      <c r="C13" s="34">
        <f>IF(OR(92595.31021="",97501.56704=""),"-",97501.56704/92595.31021*100)</f>
        <v>105.29860186101536</v>
      </c>
      <c r="D13" s="34">
        <f>IF(92595.31021="","-",92595.31021/4350574.54459*100)</f>
        <v>2.1283467105544385</v>
      </c>
      <c r="E13" s="34">
        <f>IF(97501.56704="","-",97501.56704/4371623.60554*100)</f>
        <v>2.2303284966354329</v>
      </c>
      <c r="F13" s="34">
        <f>IF(OR(3266113.78787="",63833.50964="",92595.31021=""),"-",(92595.31021-63833.50964)/3266113.78787*100)</f>
        <v>0.88061232516816379</v>
      </c>
      <c r="G13" s="34">
        <f>IF(OR(4350574.54459="",97501.56704="",92595.31021=""),"-",(97501.56704-92595.31021)/4350574.54459*100)</f>
        <v>0.11277261841429649</v>
      </c>
    </row>
    <row r="14" spans="1:14" s="2" customFormat="1" x14ac:dyDescent="0.25">
      <c r="A14" s="19" t="s">
        <v>283</v>
      </c>
      <c r="B14" s="20">
        <v>75348.188429999995</v>
      </c>
      <c r="C14" s="34">
        <f>IF(OR(64450.44708="",75348.18843=""),"-",75348.18843/64450.44708*100)</f>
        <v>116.90871335069721</v>
      </c>
      <c r="D14" s="34">
        <f>IF(64450.44708="","-",64450.44708/4350574.54459*100)</f>
        <v>1.4814238078082129</v>
      </c>
      <c r="E14" s="34">
        <f>IF(75348.18843="","-",75348.18843/4371623.60554*100)</f>
        <v>1.7235744709245775</v>
      </c>
      <c r="F14" s="34">
        <f>IF(OR(3266113.78787="",55912.70591="",64450.44708=""),"-",(64450.44708-55912.70591)/3266113.78787*100)</f>
        <v>0.26140366577883067</v>
      </c>
      <c r="G14" s="34">
        <f>IF(OR(4350574.54459="",75348.18843="",64450.44708=""),"-",(75348.18843-64450.44708)/4350574.54459*100)</f>
        <v>0.25048970517127422</v>
      </c>
    </row>
    <row r="15" spans="1:14" s="2" customFormat="1" x14ac:dyDescent="0.25">
      <c r="A15" s="19" t="s">
        <v>5</v>
      </c>
      <c r="B15" s="20">
        <v>74619.657649999994</v>
      </c>
      <c r="C15" s="34">
        <f>IF(OR(63158.4768="",74619.65765=""),"-",74619.65765/63158.4768*100)</f>
        <v>118.146702439157</v>
      </c>
      <c r="D15" s="34">
        <f>IF(63158.4768="","-",63158.4768/4350574.54459*100)</f>
        <v>1.4517272638975567</v>
      </c>
      <c r="E15" s="34">
        <f>IF(74619.65765="","-",74619.65765/4371623.60554*100)</f>
        <v>1.7069094776466394</v>
      </c>
      <c r="F15" s="34">
        <f>IF(OR(3266113.78787="",37083.88166="",63158.4768=""),"-",(63158.4768-37083.88166)/3266113.78787*100)</f>
        <v>0.7983370094709582</v>
      </c>
      <c r="G15" s="34">
        <f>IF(OR(4350574.54459="",74619.65765="",63158.4768=""),"-",(74619.65765-63158.4768)/4350574.54459*100)</f>
        <v>0.26344062680760483</v>
      </c>
    </row>
    <row r="16" spans="1:14" s="2" customFormat="1" x14ac:dyDescent="0.25">
      <c r="A16" s="19" t="s">
        <v>7</v>
      </c>
      <c r="B16" s="22">
        <v>71726.574340000006</v>
      </c>
      <c r="C16" s="34" t="s">
        <v>374</v>
      </c>
      <c r="D16" s="34">
        <f>IF(22029.07893="","-",22029.07893/4350574.54459*100)</f>
        <v>0.50634872944295284</v>
      </c>
      <c r="E16" s="34">
        <f>IF(71726.57434="","-",71726.57434/4371623.60554*100)</f>
        <v>1.6407307859053446</v>
      </c>
      <c r="F16" s="34">
        <f>IF(OR(3266113.78787="",14219.91602="",22029.07893=""),"-",(22029.07893-14219.91602)/3266113.78787*100)</f>
        <v>0.23909647419518579</v>
      </c>
      <c r="G16" s="34">
        <f>IF(OR(4350574.54459="",71726.57434="",22029.07893=""),"-",(71726.57434-22029.07893)/4350574.54459*100)</f>
        <v>1.1423202820831913</v>
      </c>
    </row>
    <row r="17" spans="1:7" s="2" customFormat="1" x14ac:dyDescent="0.25">
      <c r="A17" s="75" t="s">
        <v>37</v>
      </c>
      <c r="B17" s="22">
        <v>58020.937310000001</v>
      </c>
      <c r="C17" s="34">
        <f>IF(OR(54441.81065="",58020.93731=""),"-",58020.93731/54441.81065*100)</f>
        <v>106.57422414366376</v>
      </c>
      <c r="D17" s="34">
        <f>IF(54441.81065="","-",54441.81065/4350574.54459*100)</f>
        <v>1.2513705969640065</v>
      </c>
      <c r="E17" s="34">
        <f>IF(58020.93731="","-",58020.93731/4371623.60554*100)</f>
        <v>1.3272171290426782</v>
      </c>
      <c r="F17" s="34">
        <f>IF(OR(3266113.78787="",45979.51005="",54441.81065=""),"-",(54441.81065-45979.51005)/3266113.78787*100)</f>
        <v>0.25909386964496123</v>
      </c>
      <c r="G17" s="34">
        <f>IF(OR(4350574.54459="",58020.93731="",54441.81065=""),"-",(58020.93731-54441.81065)/4350574.54459*100)</f>
        <v>8.2267907912316904E-2</v>
      </c>
    </row>
    <row r="18" spans="1:7" s="2" customFormat="1" x14ac:dyDescent="0.25">
      <c r="A18" s="19" t="s">
        <v>6</v>
      </c>
      <c r="B18" s="22">
        <v>45707.794699999999</v>
      </c>
      <c r="C18" s="34">
        <f>IF(OR(40837.83829="",45707.7947=""),"-",45707.7947/40837.83829*100)</f>
        <v>111.92510821806283</v>
      </c>
      <c r="D18" s="34">
        <f>IF(40837.83829="","-",40837.83829/4350574.54459*100)</f>
        <v>0.93867690052070063</v>
      </c>
      <c r="E18" s="34">
        <f>IF(45707.7947="","-",45707.7947/4371623.60554*100)</f>
        <v>1.0455564985529899</v>
      </c>
      <c r="F18" s="34">
        <f>IF(OR(3266113.78787="",49025.34159="",40837.83829=""),"-",(40837.83829-49025.34159)/3266113.78787*100)</f>
        <v>-0.25068028341227799</v>
      </c>
      <c r="G18" s="34">
        <f>IF(OR(4350574.54459="",45707.7947="",40837.83829=""),"-",(45707.7947-40837.83829)/4350574.54459*100)</f>
        <v>0.11193823620505151</v>
      </c>
    </row>
    <row r="19" spans="1:7" s="2" customFormat="1" ht="15.75" customHeight="1" x14ac:dyDescent="0.25">
      <c r="A19" s="19" t="s">
        <v>289</v>
      </c>
      <c r="B19" s="20">
        <v>42840.841529999998</v>
      </c>
      <c r="C19" s="34">
        <f>IF(OR(44127.91299="",42840.84153=""),"-",42840.84153/44127.91299*100)</f>
        <v>97.083316719982506</v>
      </c>
      <c r="D19" s="34">
        <f>IF(44127.91299="","-",44127.91299/4350574.54459*100)</f>
        <v>1.0143008133230051</v>
      </c>
      <c r="E19" s="34">
        <f>IF(42840.84153="","-",42840.84153/4371623.60554*100)</f>
        <v>0.97997552844461167</v>
      </c>
      <c r="F19" s="34">
        <f>IF(OR(3266113.78787="",35613.92266="",44127.91299=""),"-",(44127.91299-35613.92266)/3266113.78787*100)</f>
        <v>0.26067647617238743</v>
      </c>
      <c r="G19" s="34">
        <f>IF(OR(4350574.54459="",42840.84153="",44127.91299=""),"-",(42840.84153-44127.91299)/4350574.54459*100)</f>
        <v>-2.9583942231273579E-2</v>
      </c>
    </row>
    <row r="20" spans="1:7" s="2" customFormat="1" x14ac:dyDescent="0.25">
      <c r="A20" s="19" t="s">
        <v>41</v>
      </c>
      <c r="B20" s="20">
        <v>41619.416510000003</v>
      </c>
      <c r="C20" s="34" t="s">
        <v>98</v>
      </c>
      <c r="D20" s="34">
        <f>IF(24908.56387="","-",24908.56387/4350574.54459*100)</f>
        <v>0.57253504369840402</v>
      </c>
      <c r="E20" s="34">
        <f>IF(41619.41651="","-",41619.41651/4371623.60554*100)</f>
        <v>0.95203567977026271</v>
      </c>
      <c r="F20" s="34">
        <f>IF(OR(3266113.78787="",18119.66087="",24908.56387=""),"-",(24908.56387-18119.66087)/3266113.78787*100)</f>
        <v>0.20785874102773966</v>
      </c>
      <c r="G20" s="34">
        <f>IF(OR(4350574.54459="",41619.41651="",24908.56387=""),"-",(41619.41651-24908.56387)/4350574.54459*100)</f>
        <v>0.38410679942905884</v>
      </c>
    </row>
    <row r="21" spans="1:7" s="2" customFormat="1" x14ac:dyDescent="0.25">
      <c r="A21" s="19" t="s">
        <v>38</v>
      </c>
      <c r="B21" s="20">
        <v>29284.393240000001</v>
      </c>
      <c r="C21" s="34">
        <f>IF(OR(26819.11062="",29284.39324=""),"-",29284.39324/26819.11062*100)</f>
        <v>109.19226090279651</v>
      </c>
      <c r="D21" s="34">
        <f>IF(26819.11062="","-",26819.11062/4350574.54459*100)</f>
        <v>0.61644985840663125</v>
      </c>
      <c r="E21" s="34">
        <f>IF(29284.39324="","-",29284.39324/4371623.60554*100)</f>
        <v>0.66987453363754723</v>
      </c>
      <c r="F21" s="34">
        <f>IF(OR(3266113.78787="",22943.97734="",26819.11062=""),"-",(26819.11062-22943.97734)/3266113.78787*100)</f>
        <v>0.11864660975351907</v>
      </c>
      <c r="G21" s="34">
        <f>IF(OR(4350574.54459="",29284.39324="",26819.11062=""),"-",(29284.39324-26819.11062)/4350574.54459*100)</f>
        <v>5.6665679319657103E-2</v>
      </c>
    </row>
    <row r="22" spans="1:7" s="2" customFormat="1" x14ac:dyDescent="0.25">
      <c r="A22" s="19" t="s">
        <v>47</v>
      </c>
      <c r="B22" s="20">
        <v>21187.54464</v>
      </c>
      <c r="C22" s="34">
        <f>IF(OR(16692.96863="",21187.54464=""),"-",21187.54464/16692.96863*100)</f>
        <v>126.92496529300672</v>
      </c>
      <c r="D22" s="34">
        <f>IF(16692.96863="","-",16692.96863/4350574.54459*100)</f>
        <v>0.38369572705650884</v>
      </c>
      <c r="E22" s="34">
        <f>IF(21187.54464="","-",21187.54464/4371623.60554*100)</f>
        <v>0.48466077027193727</v>
      </c>
      <c r="F22" s="34">
        <f>IF(OR(3266113.78787="",13021.85895="",16692.96863=""),"-",(16692.96863-13021.85895)/3266113.78787*100)</f>
        <v>0.11239993210383885</v>
      </c>
      <c r="G22" s="34">
        <f>IF(OR(4350574.54459="",21187.54464="",16692.96863=""),"-",(21187.54464-16692.96863)/4350574.54459*100)</f>
        <v>0.10330994134071483</v>
      </c>
    </row>
    <row r="23" spans="1:7" s="2" customFormat="1" x14ac:dyDescent="0.25">
      <c r="A23" s="19" t="s">
        <v>48</v>
      </c>
      <c r="B23" s="20">
        <v>16834.349539999999</v>
      </c>
      <c r="C23" s="34">
        <f>IF(OR(13985.03406="",16834.34954=""),"-",16834.34954/13985.03406*100)</f>
        <v>120.37403318272648</v>
      </c>
      <c r="D23" s="34">
        <f>IF(13985.03406="","-",13985.03406/4350574.54459*100)</f>
        <v>0.32145257865746912</v>
      </c>
      <c r="E23" s="34">
        <f>IF(16834.34954="","-",16834.34954/4371623.60554*100)</f>
        <v>0.38508231858448289</v>
      </c>
      <c r="F23" s="34">
        <f>IF(OR(3266113.78787="",13553.17427="",13985.03406=""),"-",(13985.03406-13553.17427)/3266113.78787*100)</f>
        <v>1.3222435531912019E-2</v>
      </c>
      <c r="G23" s="34">
        <f>IF(OR(4350574.54459="",16834.34954="",13985.03406=""),"-",(16834.34954-13985.03406)/4350574.54459*100)</f>
        <v>6.5492855042402681E-2</v>
      </c>
    </row>
    <row r="24" spans="1:7" s="2" customFormat="1" x14ac:dyDescent="0.25">
      <c r="A24" s="19" t="s">
        <v>49</v>
      </c>
      <c r="B24" s="20">
        <v>15909.54234</v>
      </c>
      <c r="C24" s="34">
        <f>IF(OR(14630.46243="",15909.54234=""),"-",15909.54234/14630.46243*100)</f>
        <v>108.74258018924424</v>
      </c>
      <c r="D24" s="34">
        <f>IF(14630.46243="","-",14630.46243/4350574.54459*100)</f>
        <v>0.336288052992752</v>
      </c>
      <c r="E24" s="34">
        <f>IF(15909.54234="","-",15909.54234/4371623.60554*100)</f>
        <v>0.36392754215706985</v>
      </c>
      <c r="F24" s="34">
        <f>IF(OR(3266113.78787="",15626.33486="",14630.46243=""),"-",(14630.46243-15626.33486)/3266113.78787*100)</f>
        <v>-3.049105128237007E-2</v>
      </c>
      <c r="G24" s="34">
        <f>IF(OR(4350574.54459="",15909.54234="",14630.46243=""),"-",(15909.54234-14630.46243)/4350574.54459*100)</f>
        <v>2.9400252699739487E-2</v>
      </c>
    </row>
    <row r="25" spans="1:7" s="2" customFormat="1" x14ac:dyDescent="0.25">
      <c r="A25" s="19" t="s">
        <v>42</v>
      </c>
      <c r="B25" s="20">
        <v>9534.8101800000004</v>
      </c>
      <c r="C25" s="34">
        <f>IF(OR(9120.92982="",9534.81018=""),"-",9534.81018/9120.92982*100)</f>
        <v>104.53769920575928</v>
      </c>
      <c r="D25" s="34">
        <f>IF(9120.92982="","-",9120.92982/4350574.54459*100)</f>
        <v>0.20964885732947625</v>
      </c>
      <c r="E25" s="34">
        <f>IF(9534.81018="","-",9534.81018/4371623.60554*100)</f>
        <v>0.21810684176736722</v>
      </c>
      <c r="F25" s="34">
        <f>IF(OR(3266113.78787="",7554.54149="",9120.92982=""),"-",(9120.92982-7554.54149)/3266113.78787*100)</f>
        <v>4.7958780120196658E-2</v>
      </c>
      <c r="G25" s="34">
        <f>IF(OR(4350574.54459="",9534.81018="",9120.92982=""),"-",(9534.81018-9120.92982)/4350574.54459*100)</f>
        <v>9.5132345339230418E-3</v>
      </c>
    </row>
    <row r="26" spans="1:7" s="2" customFormat="1" x14ac:dyDescent="0.25">
      <c r="A26" s="19" t="s">
        <v>45</v>
      </c>
      <c r="B26" s="20">
        <v>9118.1309399999991</v>
      </c>
      <c r="C26" s="34">
        <f>IF(OR(10636.20978="",9118.13094=""),"-",9118.13094/10636.20978*100)</f>
        <v>85.727257440384932</v>
      </c>
      <c r="D26" s="34">
        <f>IF(10636.20978="","-",10636.20978/4350574.54459*100)</f>
        <v>0.24447827915570997</v>
      </c>
      <c r="E26" s="34">
        <f>IF(9118.13094="","-",9118.13094/4371623.60554*100)</f>
        <v>0.20857538898007877</v>
      </c>
      <c r="F26" s="34">
        <f>IF(OR(3266113.78787="",8570.39556="",10636.20978=""),"-",(10636.20978-8570.39556)/3266113.78787*100)</f>
        <v>6.3249915776731752E-2</v>
      </c>
      <c r="G26" s="34">
        <f>IF(OR(4350574.54459="",9118.13094="",10636.20978=""),"-",(9118.13094-10636.20978)/4350574.54459*100)</f>
        <v>-3.4893755398071553E-2</v>
      </c>
    </row>
    <row r="27" spans="1:7" s="2" customFormat="1" x14ac:dyDescent="0.25">
      <c r="A27" s="19" t="s">
        <v>46</v>
      </c>
      <c r="B27" s="20">
        <v>9115.7270700000008</v>
      </c>
      <c r="C27" s="34">
        <f>IF(OR(9882.34345="",9115.72707=""),"-",9115.72707/9882.34345*100)</f>
        <v>92.242564894868138</v>
      </c>
      <c r="D27" s="34">
        <f>IF(9882.34345="","-",9882.34345/4350574.54459*100)</f>
        <v>0.22715030736087105</v>
      </c>
      <c r="E27" s="34">
        <f>IF(9115.72707="","-",9115.72707/4371623.60554*100)</f>
        <v>0.20852040094320956</v>
      </c>
      <c r="F27" s="34">
        <f>IF(OR(3266113.78787="",6743.38876="",9882.34345=""),"-",(9882.34345-6743.38876)/3266113.78787*100)</f>
        <v>9.610671562202594E-2</v>
      </c>
      <c r="G27" s="34">
        <f>IF(OR(4350574.54459="",9115.72707="",9882.34345=""),"-",(9115.72707-9882.34345)/4350574.54459*100)</f>
        <v>-1.7621037684627139E-2</v>
      </c>
    </row>
    <row r="28" spans="1:7" s="2" customFormat="1" x14ac:dyDescent="0.25">
      <c r="A28" s="19" t="s">
        <v>40</v>
      </c>
      <c r="B28" s="20">
        <v>7484.6051399999997</v>
      </c>
      <c r="C28" s="34">
        <f>IF(OR(8158.28535="",7484.60514=""),"-",7484.60514/8158.28535*100)</f>
        <v>91.74237991074925</v>
      </c>
      <c r="D28" s="34">
        <f>IF(8158.28535="","-",8158.28535/4350574.54459*100)</f>
        <v>0.18752202189352074</v>
      </c>
      <c r="E28" s="34">
        <f>IF(7484.60514="","-",7484.60514/4371623.60554*100)</f>
        <v>0.17120881885885675</v>
      </c>
      <c r="F28" s="34">
        <f>IF(OR(3266113.78787="",5190.61813="",8158.28535=""),"-",(8158.28535-5190.61813)/3266113.78787*100)</f>
        <v>9.086233403813429E-2</v>
      </c>
      <c r="G28" s="34">
        <f>IF(OR(4350574.54459="",7484.60514="",8158.28535=""),"-",(7484.60514-8158.28535)/4350574.54459*100)</f>
        <v>-1.5484856151648548E-2</v>
      </c>
    </row>
    <row r="29" spans="1:7" s="2" customFormat="1" x14ac:dyDescent="0.25">
      <c r="A29" s="19" t="s">
        <v>50</v>
      </c>
      <c r="B29" s="20">
        <v>3672.7224900000001</v>
      </c>
      <c r="C29" s="34">
        <f>IF(OR(4740.87519="",3672.72249=""),"-",3672.72249/4740.87519*100)</f>
        <v>77.469292964027602</v>
      </c>
      <c r="D29" s="34">
        <f>IF(4740.87519="","-",4740.87519/4350574.54459*100)</f>
        <v>0.10897124371527765</v>
      </c>
      <c r="E29" s="34">
        <f>IF(3672.72249="","-",3672.72249/4371623.60554*100)</f>
        <v>8.401277926456642E-2</v>
      </c>
      <c r="F29" s="34">
        <f>IF(OR(3266113.78787="",3354.34275="",4740.87519=""),"-",(4740.87519-3354.34275)/3266113.78787*100)</f>
        <v>4.2452055563692671E-2</v>
      </c>
      <c r="G29" s="34">
        <f>IF(OR(4350574.54459="",3672.72249="",4740.87519=""),"-",(3672.72249-4740.87519)/4350574.54459*100)</f>
        <v>-2.4551991674944689E-2</v>
      </c>
    </row>
    <row r="30" spans="1:7" s="2" customFormat="1" x14ac:dyDescent="0.25">
      <c r="A30" s="19" t="s">
        <v>277</v>
      </c>
      <c r="B30" s="20">
        <v>3651.24611</v>
      </c>
      <c r="C30" s="34">
        <f>IF(OR(5011.32845="",3651.24611=""),"-",3651.24611/5011.32845*100)</f>
        <v>72.859844379188516</v>
      </c>
      <c r="D30" s="34">
        <f>IF(5011.32845="","-",5011.32845/4350574.54459*100)</f>
        <v>0.115187738967297</v>
      </c>
      <c r="E30" s="34">
        <f>IF(3651.24611="","-",3651.24611/4371623.60554*100)</f>
        <v>8.3521511444235697E-2</v>
      </c>
      <c r="F30" s="34">
        <f>IF(OR(3266113.78787="",4181.37859="",5011.32845=""),"-",(5011.32845-4181.37859)/3266113.78787*100)</f>
        <v>2.541092913181241E-2</v>
      </c>
      <c r="G30" s="34">
        <f>IF(OR(4350574.54459="",3651.24611="",5011.32845=""),"-",(3651.24611-5011.32845)/4350574.54459*100)</f>
        <v>-3.1262131611818518E-2</v>
      </c>
    </row>
    <row r="31" spans="1:7" s="2" customFormat="1" x14ac:dyDescent="0.25">
      <c r="A31" s="19" t="s">
        <v>43</v>
      </c>
      <c r="B31" s="20">
        <v>3384.4882200000002</v>
      </c>
      <c r="C31" s="34">
        <f>IF(OR(2849.0479="",3384.48822=""),"-",3384.48822/2849.0479*100)</f>
        <v>118.79365804976463</v>
      </c>
      <c r="D31" s="34">
        <f>IF(2849.0479="","-",2849.0479/4350574.54459*100)</f>
        <v>6.5486704590381764E-2</v>
      </c>
      <c r="E31" s="34">
        <f>IF(3384.48822="","-",3384.48822/4371623.60554*100)</f>
        <v>7.7419479017154194E-2</v>
      </c>
      <c r="F31" s="34">
        <f>IF(OR(3266113.78787="",3236.53901="",2849.0479=""),"-",(2849.0479-3236.53901)/3266113.78787*100)</f>
        <v>-1.1863980717362046E-2</v>
      </c>
      <c r="G31" s="34">
        <f>IF(OR(4350574.54459="",3384.48822="",2849.0479=""),"-",(3384.48822-2849.0479)/4350574.54459*100)</f>
        <v>1.2307347328775867E-2</v>
      </c>
    </row>
    <row r="32" spans="1:7" s="2" customFormat="1" x14ac:dyDescent="0.25">
      <c r="A32" s="19" t="s">
        <v>51</v>
      </c>
      <c r="B32" s="20">
        <v>946.93272999999999</v>
      </c>
      <c r="C32" s="34">
        <f>IF(OR(1306.88668="",946.93273=""),"-",946.93273/1306.88668*100)</f>
        <v>72.457141425605471</v>
      </c>
      <c r="D32" s="34">
        <f>IF(1306.88668="","-",1306.88668/4350574.54459*100)</f>
        <v>3.0039404373041527E-2</v>
      </c>
      <c r="E32" s="34">
        <f>IF(946.93273="","-",946.93273/4371623.60554*100)</f>
        <v>2.1660893421839578E-2</v>
      </c>
      <c r="F32" s="34">
        <f>IF(OR(3266113.78787="",1309.69256="",1306.88668=""),"-",(1306.88668-1309.69256)/3266113.78787*100)</f>
        <v>-8.5908825663717807E-5</v>
      </c>
      <c r="G32" s="34">
        <f>IF(OR(4350574.54459="",946.93273="",1306.88668=""),"-",(946.93273-1306.88668)/4350574.54459*100)</f>
        <v>-8.2737106630573157E-3</v>
      </c>
    </row>
    <row r="33" spans="1:7" s="2" customFormat="1" x14ac:dyDescent="0.25">
      <c r="A33" s="19" t="s">
        <v>44</v>
      </c>
      <c r="B33" s="20">
        <v>482.66491000000002</v>
      </c>
      <c r="C33" s="34">
        <f>IF(OR(389.48168="",482.66491=""),"-",482.66491/389.48168*100)</f>
        <v>123.92493274651584</v>
      </c>
      <c r="D33" s="34">
        <f>IF(389.48168="","-",389.48168/4350574.54459*100)</f>
        <v>8.9524194105425892E-3</v>
      </c>
      <c r="E33" s="34">
        <f>IF(482.66491="","-",482.66491/4371623.60554*100)</f>
        <v>1.1040861555151644E-2</v>
      </c>
      <c r="F33" s="34">
        <f>IF(OR(3266113.78787="",369.24063="",389.48168=""),"-",(389.48168-369.24063)/3266113.78787*100)</f>
        <v>6.1972886784205392E-4</v>
      </c>
      <c r="G33" s="34">
        <f>IF(OR(4350574.54459="",482.66491="",389.48168=""),"-",(482.66491-389.48168)/4350574.54459*100)</f>
        <v>2.1418603231583445E-3</v>
      </c>
    </row>
    <row r="34" spans="1:7" s="2" customFormat="1" x14ac:dyDescent="0.25">
      <c r="A34" s="19" t="s">
        <v>52</v>
      </c>
      <c r="B34" s="20">
        <v>22.973240000000001</v>
      </c>
      <c r="C34" s="34">
        <f>IF(OR(32.69544="",22.97324=""),"-",22.97324/32.69544*100)</f>
        <v>70.264354906983968</v>
      </c>
      <c r="D34" s="34">
        <f>IF(32.69544="","-",32.69544/4350574.54459*100)</f>
        <v>7.5152005016572421E-4</v>
      </c>
      <c r="E34" s="34">
        <f>IF(22.97324="","-",22.97324/4371623.60554*100)</f>
        <v>5.2550818809942487E-4</v>
      </c>
      <c r="F34" s="34">
        <f>IF(OR(3266113.78787="",65.47793="",32.69544=""),"-",(32.69544-65.47793)/3266113.78787*100)</f>
        <v>-1.0037154896975937E-3</v>
      </c>
      <c r="G34" s="34">
        <f>IF(OR(4350574.54459="",22.97324="",32.69544=""),"-",(22.97324-32.69544)/4350574.54459*100)</f>
        <v>-2.2346933492013574E-4</v>
      </c>
    </row>
    <row r="35" spans="1:7" s="2" customFormat="1" ht="24" x14ac:dyDescent="0.25">
      <c r="A35" s="19" t="s">
        <v>329</v>
      </c>
      <c r="B35" s="20">
        <v>2.7730899999999998</v>
      </c>
      <c r="C35" s="34">
        <f>IF(OR(75.58454="",2.77309=""),"-",2.77309/75.58454*100)</f>
        <v>3.6688587375143111</v>
      </c>
      <c r="D35" s="34">
        <f>IF(75.58454="","-",75.58454/4350574.54459*100)</f>
        <v>1.7373461648643724E-3</v>
      </c>
      <c r="E35" s="34">
        <f>IF(2.77309="","-",2.77309/4371623.60554*100)</f>
        <v>6.3433869203326747E-5</v>
      </c>
      <c r="F35" s="34">
        <f>IF(OR(3266113.78787="",17.02601="",75.58454=""),"-",(75.58454-17.02601)/3266113.78787*100)</f>
        <v>1.7929115090074377E-3</v>
      </c>
      <c r="G35" s="34">
        <f>IF(OR(4350574.54459="",2.77309="",75.58454=""),"-",(2.77309-75.58454)/4350574.54459*100)</f>
        <v>-1.6736053882938761E-3</v>
      </c>
    </row>
    <row r="36" spans="1:7" s="2" customFormat="1" x14ac:dyDescent="0.25">
      <c r="A36" s="17" t="s">
        <v>189</v>
      </c>
      <c r="B36" s="18">
        <v>889805.32820999995</v>
      </c>
      <c r="C36" s="33">
        <f>IF(1154790.58802="","-",889805.32821/1154790.58802*100)</f>
        <v>77.053392835116298</v>
      </c>
      <c r="D36" s="33">
        <f>IF(1154790.58802="","-",1154790.58802/4350574.54459*100)</f>
        <v>26.543404237401198</v>
      </c>
      <c r="E36" s="33">
        <f>IF(889805.32821="","-",889805.32821/4371623.60554*100)</f>
        <v>20.354115735910611</v>
      </c>
      <c r="F36" s="33">
        <f>IF(3266113.78787="","-",(1154790.58802-742616.42904)/3266113.78787*100)</f>
        <v>12.619712164063939</v>
      </c>
      <c r="G36" s="33">
        <f>IF(4350574.54459="","-",(889805.32821-1154790.58802)/4350574.54459*100)</f>
        <v>-6.0908106985435477</v>
      </c>
    </row>
    <row r="37" spans="1:7" s="2" customFormat="1" x14ac:dyDescent="0.25">
      <c r="A37" s="19" t="s">
        <v>9</v>
      </c>
      <c r="B37" s="20">
        <v>570163.79871</v>
      </c>
      <c r="C37" s="34">
        <f>IF(OR(399831.02461="",570163.79871=""),"-",570163.79871/399831.02461*100)</f>
        <v>142.60118990669736</v>
      </c>
      <c r="D37" s="34">
        <f>IF(399831.02461="","-",399831.02461/4350574.54459*100)</f>
        <v>9.190303958983888</v>
      </c>
      <c r="E37" s="34">
        <f>IF(570163.79871="","-",570163.79871/4371623.60554*100)</f>
        <v>13.042380821337229</v>
      </c>
      <c r="F37" s="34">
        <f>IF(OR(3266113.78787="",294944.22176="",399831.02461=""),"-",(399831.02461-294944.22176)/3266113.78787*100)</f>
        <v>3.2113640143077222</v>
      </c>
      <c r="G37" s="34">
        <f>IF(OR(4350574.54459="",570163.79871="",399831.02461=""),"-",(570163.79871-399831.02461)/4350574.54459*100)</f>
        <v>3.915178842569452</v>
      </c>
    </row>
    <row r="38" spans="1:7" s="2" customFormat="1" x14ac:dyDescent="0.25">
      <c r="A38" s="19" t="s">
        <v>278</v>
      </c>
      <c r="B38" s="20">
        <v>197922.17326000001</v>
      </c>
      <c r="C38" s="34">
        <f>IF(OR(663634.30078="",197922.17326=""),"-",197922.17326/663634.30078*100)</f>
        <v>29.823981826643518</v>
      </c>
      <c r="D38" s="34">
        <f>IF(663634.30078="","-",663634.30078/4350574.54459*100)</f>
        <v>15.253946208213776</v>
      </c>
      <c r="E38" s="34">
        <f>IF(197922.17326="","-",197922.17326/4371623.60554*100)</f>
        <v>4.5274294202543057</v>
      </c>
      <c r="F38" s="34">
        <f>IF(OR(3266113.78787="",375174.6247="",663634.30078=""),"-",(663634.30078-375174.6247)/3266113.78787*100)</f>
        <v>8.8318930329772538</v>
      </c>
      <c r="G38" s="34">
        <f>IF(OR(4350574.54459="",197922.17326="",663634.30078=""),"-",(197922.17326-663634.30078)/4350574.54459*100)</f>
        <v>-10.704612063230121</v>
      </c>
    </row>
    <row r="39" spans="1:7" s="2" customFormat="1" x14ac:dyDescent="0.25">
      <c r="A39" s="19" t="s">
        <v>10</v>
      </c>
      <c r="B39" s="20">
        <v>46717.938520000003</v>
      </c>
      <c r="C39" s="34" t="s">
        <v>359</v>
      </c>
      <c r="D39" s="34">
        <f>IF(9279.06036="","-",9279.06036/4350574.54459*100)</f>
        <v>0.21328356208810717</v>
      </c>
      <c r="E39" s="34">
        <f>IF(46717.93852="","-",46717.93852/4371623.60554*100)</f>
        <v>1.068663332790043</v>
      </c>
      <c r="F39" s="34">
        <f>IF(OR(3266113.78787="",6849.27224="",9279.06036=""),"-",(9279.06036-6849.27224)/3266113.78787*100)</f>
        <v>7.4393860037086715E-2</v>
      </c>
      <c r="G39" s="34">
        <f>IF(OR(4350574.54459="",46717.93852="",9279.06036=""),"-",(46717.93852-9279.06036)/4350574.54459*100)</f>
        <v>0.86055020495064904</v>
      </c>
    </row>
    <row r="40" spans="1:7" s="2" customFormat="1" x14ac:dyDescent="0.25">
      <c r="A40" s="19" t="s">
        <v>8</v>
      </c>
      <c r="B40" s="20">
        <v>41803.472199999997</v>
      </c>
      <c r="C40" s="34">
        <f>IF(OR(55022.69542="",41803.4722=""),"-",41803.4722/55022.69542*100)</f>
        <v>75.974962478492117</v>
      </c>
      <c r="D40" s="34">
        <f>IF(55022.69542="","-",55022.69542/4350574.54459*100)</f>
        <v>1.2647225063278478</v>
      </c>
      <c r="E40" s="34">
        <f>IF(41803.4722="","-",41803.4722/4371623.60554*100)</f>
        <v>0.95624591620888788</v>
      </c>
      <c r="F40" s="34">
        <f>IF(OR(3266113.78787="",58218.85956="",55022.69542=""),"-",(55022.69542-58218.85956)/3266113.78787*100)</f>
        <v>-9.7858321772811924E-2</v>
      </c>
      <c r="G40" s="34">
        <f>IF(OR(4350574.54459="",41803.4722="",55022.69542=""),"-",(41803.4722-55022.69542)/4350574.54459*100)</f>
        <v>-0.30385005668822035</v>
      </c>
    </row>
    <row r="41" spans="1:7" s="2" customFormat="1" x14ac:dyDescent="0.25">
      <c r="A41" s="19" t="s">
        <v>11</v>
      </c>
      <c r="B41" s="20">
        <v>13834.06819</v>
      </c>
      <c r="C41" s="34" t="s">
        <v>99</v>
      </c>
      <c r="D41" s="34">
        <f>IF(8471.65844="","-",8471.65844/4350574.54459*100)</f>
        <v>0.19472504960372702</v>
      </c>
      <c r="E41" s="34">
        <f>IF(13834.06819="","-",13834.06819/4371623.60554*100)</f>
        <v>0.31645149350160401</v>
      </c>
      <c r="F41" s="34">
        <f>IF(OR(3266113.78787="",829.36004="",8471.65844=""),"-",(8471.65844-829.36004)/3266113.78787*100)</f>
        <v>0.23398751226557643</v>
      </c>
      <c r="G41" s="34">
        <f>IF(OR(4350574.54459="",13834.06819="",8471.65844=""),"-",(13834.06819-8471.65844)/4350574.54459*100)</f>
        <v>0.12325750760134042</v>
      </c>
    </row>
    <row r="42" spans="1:7" s="2" customFormat="1" x14ac:dyDescent="0.25">
      <c r="A42" s="19" t="s">
        <v>13</v>
      </c>
      <c r="B42" s="20">
        <v>10606.273499999999</v>
      </c>
      <c r="C42" s="34" t="s">
        <v>187</v>
      </c>
      <c r="D42" s="34">
        <f>IF(4854.48119="","-",4854.48119/4350574.54459*100)</f>
        <v>0.11158253100240784</v>
      </c>
      <c r="E42" s="34">
        <f>IF(10606.2735="","-",10606.2735/4371623.60554*100)</f>
        <v>0.24261634708347382</v>
      </c>
      <c r="F42" s="34">
        <f>IF(OR(3266113.78787="",752.05528="",4854.48119=""),"-",(4854.48119-752.05528)/3266113.78787*100)</f>
        <v>0.12560572522720961</v>
      </c>
      <c r="G42" s="34">
        <f>IF(OR(4350574.54459="",10606.2735="",4854.48119=""),"-",(10606.2735-4854.48119)/4350574.54459*100)</f>
        <v>0.13220764869211202</v>
      </c>
    </row>
    <row r="43" spans="1:7" s="2" customFormat="1" x14ac:dyDescent="0.25">
      <c r="A43" s="19" t="s">
        <v>12</v>
      </c>
      <c r="B43" s="20">
        <v>5043.3601099999996</v>
      </c>
      <c r="C43" s="34">
        <f>IF(OR(9612.57158="",5043.36011=""),"-",5043.36011/9612.57158*100)</f>
        <v>52.466294456451791</v>
      </c>
      <c r="D43" s="34">
        <f>IF(9612.57158="","-",9612.57158/4350574.54459*100)</f>
        <v>0.22094947417814884</v>
      </c>
      <c r="E43" s="34">
        <f>IF(5043.36011="","-",5043.36011/4371623.60554*100)</f>
        <v>0.11536583578716</v>
      </c>
      <c r="F43" s="34">
        <f>IF(OR(3266113.78787="",5354.50612="",9612.57158=""),"-",(9612.57158-5354.50612)/3266113.78787*100)</f>
        <v>0.13037100776506938</v>
      </c>
      <c r="G43" s="34">
        <f>IF(OR(4350574.54459="",5043.36011="",9612.57158=""),"-",(5043.36011-9612.57158)/4350574.54459*100)</f>
        <v>-0.10502547245585937</v>
      </c>
    </row>
    <row r="44" spans="1:7" s="2" customFormat="1" x14ac:dyDescent="0.25">
      <c r="A44" s="19" t="s">
        <v>14</v>
      </c>
      <c r="B44" s="20">
        <v>2097.6627899999999</v>
      </c>
      <c r="C44" s="34" t="s">
        <v>17</v>
      </c>
      <c r="D44" s="34">
        <f>IF(1047.3157="","-",1047.3157/4350574.54459*100)</f>
        <v>2.4073043439799272E-2</v>
      </c>
      <c r="E44" s="34">
        <f>IF(2097.66279="","-",2097.66279/4371623.60554*100)</f>
        <v>4.7983609278294405E-2</v>
      </c>
      <c r="F44" s="34">
        <f>IF(OR(3266113.78787="",375.36851="",1047.3157=""),"-",(1047.3157-375.36851)/3266113.78787*100)</f>
        <v>2.0573293940203206E-2</v>
      </c>
      <c r="G44" s="34">
        <f>IF(OR(4350574.54459="",2097.66279="",1047.3157=""),"-",(2097.66279-1047.3157)/4350574.54459*100)</f>
        <v>2.4142721363230538E-2</v>
      </c>
    </row>
    <row r="45" spans="1:7" s="2" customFormat="1" x14ac:dyDescent="0.25">
      <c r="A45" s="19" t="s">
        <v>284</v>
      </c>
      <c r="B45" s="20">
        <v>1616.5809300000001</v>
      </c>
      <c r="C45" s="34">
        <f>IF(OR(3035.86719="",1616.58093=""),"-",1616.58093/3035.86719*100)</f>
        <v>53.249395603501362</v>
      </c>
      <c r="D45" s="34">
        <f>IF(3035.86719="","-",3035.86719/4350574.54459*100)</f>
        <v>6.9780833747008039E-2</v>
      </c>
      <c r="E45" s="34">
        <f>IF(1616.58093="","-",1616.58093/4371623.60554*100)</f>
        <v>3.6978959669614869E-2</v>
      </c>
      <c r="F45" s="34">
        <f>IF(OR(3266113.78787="",104.09096="",3035.86719=""),"-",(3035.86719-104.09096)/3266113.78787*100)</f>
        <v>8.9763444277058124E-2</v>
      </c>
      <c r="G45" s="34">
        <f>IF(OR(4350574.54459="",1616.58093="",3035.86719=""),"-",(1616.58093-3035.86719)/4350574.54459*100)</f>
        <v>-3.2622961529642149E-2</v>
      </c>
    </row>
    <row r="46" spans="1:7" s="2" customFormat="1" x14ac:dyDescent="0.25">
      <c r="A46" s="19" t="s">
        <v>15</v>
      </c>
      <c r="B46" s="20" t="s">
        <v>299</v>
      </c>
      <c r="C46" s="34" t="str">
        <f>IF(OR(1.61275="",""=""),"-",""/1.61275*100)</f>
        <v>-</v>
      </c>
      <c r="D46" s="34">
        <f>IF(1.61275="","-",1.61275/4350574.54459*100)</f>
        <v>3.7069816491375304E-5</v>
      </c>
      <c r="E46" s="34" t="str">
        <f>IF(""="","-",""/4371623.60554*100)</f>
        <v>-</v>
      </c>
      <c r="F46" s="34">
        <f>IF(OR(3266113.78787="",14.06987="",1.61275=""),"-",(1.61275-14.06987)/3266113.78787*100)</f>
        <v>-3.8140496042313106E-4</v>
      </c>
      <c r="G46" s="34" t="str">
        <f>IF(OR(4350574.54459="",""="",1.61275=""),"-",(""-1.61275)/4350574.54459*100)</f>
        <v>-</v>
      </c>
    </row>
    <row r="47" spans="1:7" s="2" customFormat="1" x14ac:dyDescent="0.25">
      <c r="A47" s="17" t="s">
        <v>124</v>
      </c>
      <c r="B47" s="18">
        <v>1368281.1971199999</v>
      </c>
      <c r="C47" s="33">
        <f>IF(1198335.70617="","-",1368281.19712/1198335.70617*100)</f>
        <v>114.18179313818185</v>
      </c>
      <c r="D47" s="33">
        <f>IF(1198335.70617="","-",1198335.70617/4350574.54459*100)</f>
        <v>27.544309237503978</v>
      </c>
      <c r="E47" s="33">
        <f>IF(1368282.58612="","-",1368281.19712/4371623.60554*100)</f>
        <v>31.299153828935015</v>
      </c>
      <c r="F47" s="33">
        <f>IF(3266113.78787="","-",(1198335.70617-975090.12969)/3266113.78787*100)</f>
        <v>6.8352051085638941</v>
      </c>
      <c r="G47" s="33">
        <f>IF(4350574.54459="","-",(1368281.19712-1198335.70617)/4350574.54459*100)</f>
        <v>3.9062769574039273</v>
      </c>
    </row>
    <row r="48" spans="1:7" s="2" customFormat="1" x14ac:dyDescent="0.25">
      <c r="A48" s="19" t="s">
        <v>56</v>
      </c>
      <c r="B48" s="20">
        <v>460011.87349000003</v>
      </c>
      <c r="C48" s="34">
        <f>IF(OR(409673.54672="",460011.87349=""),"-",460011.87349/409673.54672*100)</f>
        <v>112.28742426086026</v>
      </c>
      <c r="D48" s="34">
        <f>IF(409673.54672="","-",409673.54672/4350574.54459*100)</f>
        <v>9.416538954135028</v>
      </c>
      <c r="E48" s="34">
        <f>IF(460011.87349="","-",460011.87349/4371623.60554*100)</f>
        <v>10.522677956698827</v>
      </c>
      <c r="F48" s="34">
        <f>IF(OR(3266113.78787="",384609.0143="",409673.54672=""),"-",(409673.54672-384609.0143)/3266113.78787*100)</f>
        <v>0.76741148802246306</v>
      </c>
      <c r="G48" s="34">
        <f>IF(OR(4350574.54459="",460011.87349="",409673.54672=""),"-",(460011.87349-409673.54672)/4350574.54459*100)</f>
        <v>1.1570500919837463</v>
      </c>
    </row>
    <row r="49" spans="1:7" s="2" customFormat="1" x14ac:dyDescent="0.25">
      <c r="A49" s="19" t="s">
        <v>53</v>
      </c>
      <c r="B49" s="22">
        <v>377210.39116</v>
      </c>
      <c r="C49" s="34">
        <f>IF(OR(308245.26002="",377210.39116=""),"-",377210.39116/308245.26002*100)</f>
        <v>122.3734603852547</v>
      </c>
      <c r="D49" s="34">
        <f>IF(308245.26002="","-",308245.26002/4350574.54459*100)</f>
        <v>7.0851621288343924</v>
      </c>
      <c r="E49" s="34">
        <f>IF(377210.39116="","-",377210.39116/4371623.60554*100)</f>
        <v>8.6286109051560373</v>
      </c>
      <c r="F49" s="34">
        <f>IF(OR(3266113.78787="",234474.46346="",308245.26002=""),"-",(308245.26002-234474.46346)/3266113.78787*100)</f>
        <v>2.2586719677059901</v>
      </c>
      <c r="G49" s="34">
        <f>IF(OR(4350574.54459="",377210.39116="",308245.26002=""),"-",(377210.39116-308245.26002)/4350574.54459*100)</f>
        <v>1.5851959421258304</v>
      </c>
    </row>
    <row r="50" spans="1:7" s="2" customFormat="1" x14ac:dyDescent="0.25">
      <c r="A50" s="19" t="s">
        <v>66</v>
      </c>
      <c r="B50" s="22">
        <v>108327.91412</v>
      </c>
      <c r="C50" s="34">
        <f>IF(OR(112462.10705="",108327.91412=""),"-",108327.91412/112462.10705*100)</f>
        <v>96.323923641087433</v>
      </c>
      <c r="D50" s="34">
        <f>IF(112462.10705="","-",112462.10705/4350574.54459*100)</f>
        <v>2.5849943702228524</v>
      </c>
      <c r="E50" s="34">
        <f>IF(108327.91412="","-",108327.91412/4371623.60554*100)</f>
        <v>2.4779789820587474</v>
      </c>
      <c r="F50" s="34">
        <f>IF(OR(3266113.78787="",22060.36863="",112462.10705=""),"-",(112462.10705-22060.36863)/3266113.78787*100)</f>
        <v>2.7678686136331949</v>
      </c>
      <c r="G50" s="34">
        <f>IF(OR(4350574.54459="",108327.91412="",112462.10705=""),"-",(108327.91412-112462.10705)/4350574.54459*100)</f>
        <v>-9.502636692298333E-2</v>
      </c>
    </row>
    <row r="51" spans="1:7" s="2" customFormat="1" x14ac:dyDescent="0.25">
      <c r="A51" s="19" t="s">
        <v>16</v>
      </c>
      <c r="B51" s="22">
        <v>57651.437339999997</v>
      </c>
      <c r="C51" s="34">
        <f>IF(OR(70247.22269="",57651.43734=""),"-",57651.43734/70247.22269*100)</f>
        <v>82.069347558998857</v>
      </c>
      <c r="D51" s="34">
        <f>IF(70247.22269="","-",70247.22269/4350574.54459*100)</f>
        <v>1.6146654187859715</v>
      </c>
      <c r="E51" s="34">
        <f>IF(57651.43734="","-",57651.43734/4371623.60554*100)</f>
        <v>1.3187648924518667</v>
      </c>
      <c r="F51" s="34">
        <f>IF(OR(3266113.78787="",53225.68476="",70247.22269=""),"-",(70247.22269-53225.68476)/3266113.78787*100)</f>
        <v>0.52115569253025373</v>
      </c>
      <c r="G51" s="34">
        <f>IF(OR(4350574.54459="",57651.43734="",70247.22269=""),"-",(57651.43734-70247.22269)/4350574.54459*100)</f>
        <v>-0.28952004432754824</v>
      </c>
    </row>
    <row r="52" spans="1:7" s="2" customFormat="1" x14ac:dyDescent="0.25">
      <c r="A52" s="19" t="s">
        <v>72</v>
      </c>
      <c r="B52" s="22">
        <v>45451.138480000001</v>
      </c>
      <c r="C52" s="34">
        <f>IF(OR(28818.12952="",45451.13848=""),"-",45451.13848/28818.12952*100)</f>
        <v>157.71717053480717</v>
      </c>
      <c r="D52" s="34">
        <f>IF(28818.12952="","-",28818.12952/4350574.54459*100)</f>
        <v>0.66239824705074291</v>
      </c>
      <c r="E52" s="34">
        <f>IF(45451.13848="","-",45451.13848/4371623.60554*100)</f>
        <v>1.0396855397706568</v>
      </c>
      <c r="F52" s="34">
        <f>IF(OR(3266113.78787="",31810.8532="",28818.12952=""),"-",(28818.12952-31810.8532)/3266113.78787*100)</f>
        <v>-9.1629498369427936E-2</v>
      </c>
      <c r="G52" s="34">
        <f>IF(OR(4350574.54459="",45451.13848="",28818.12952=""),"-",(45451.13848-28818.12952)/4350574.54459*100)</f>
        <v>0.38231752586985046</v>
      </c>
    </row>
    <row r="53" spans="1:7" s="2" customFormat="1" ht="24" x14ac:dyDescent="0.25">
      <c r="A53" s="19" t="s">
        <v>280</v>
      </c>
      <c r="B53" s="22">
        <v>37895.969019999997</v>
      </c>
      <c r="C53" s="34">
        <f>IF(OR(36195.89883="",37895.96902=""),"-",37895.96902/36195.89883*100)</f>
        <v>104.69685860816624</v>
      </c>
      <c r="D53" s="34">
        <f>IF(36195.89883="","-",36195.89883/4350574.54459*100)</f>
        <v>0.83197974104386052</v>
      </c>
      <c r="E53" s="34">
        <f>IF(37895.96902="","-",37895.96902/4371623.60554*100)</f>
        <v>0.86686257645731002</v>
      </c>
      <c r="F53" s="34">
        <f>IF(OR(3266113.78787="",30972.43787="",36195.89883=""),"-",(36195.89883-30972.43787)/3266113.78787*100)</f>
        <v>0.1599289338724014</v>
      </c>
      <c r="G53" s="34">
        <f>IF(OR(4350574.54459="",37895.96902="",36195.89883=""),"-",(37895.96902-36195.89883)/4350574.54459*100)</f>
        <v>3.9076912085417762E-2</v>
      </c>
    </row>
    <row r="54" spans="1:7" s="2" customFormat="1" x14ac:dyDescent="0.25">
      <c r="A54" s="19" t="s">
        <v>33</v>
      </c>
      <c r="B54" s="20">
        <v>27824.51756</v>
      </c>
      <c r="C54" s="34">
        <f>IF(OR(30831.75333="",27824.51756=""),"-",27824.51756/30831.75333*100)</f>
        <v>90.246303095990683</v>
      </c>
      <c r="D54" s="34">
        <f>IF(30831.75333="","-",30831.75333/4350574.54459*100)</f>
        <v>0.70868233641323797</v>
      </c>
      <c r="E54" s="34">
        <f>IF(27824.51756="","-",27824.51756/4371623.60554*100)</f>
        <v>0.63648017465957041</v>
      </c>
      <c r="F54" s="34">
        <f>IF(OR(3266113.78787="",21630.94706="",30831.75333=""),"-",(30831.75333-21630.94706)/3266113.78787*100)</f>
        <v>0.28170501297813988</v>
      </c>
      <c r="G54" s="34">
        <f>IF(OR(4350574.54459="",27824.51756="",30831.75333=""),"-",(27824.51756-30831.75333)/4350574.54459*100)</f>
        <v>-6.9122727105998885E-2</v>
      </c>
    </row>
    <row r="55" spans="1:7" s="2" customFormat="1" x14ac:dyDescent="0.25">
      <c r="A55" s="75" t="s">
        <v>68</v>
      </c>
      <c r="B55" s="22">
        <v>25013.524939999999</v>
      </c>
      <c r="C55" s="34">
        <f>IF(OR(19774.93636="",25013.52494=""),"-",25013.52494/19774.93636*100)</f>
        <v>126.4910515241729</v>
      </c>
      <c r="D55" s="34">
        <f>IF(19774.93636="","-",19774.93636/4350574.54459*100)</f>
        <v>0.45453620337549233</v>
      </c>
      <c r="E55" s="34">
        <f>IF(25013.52494="","-",25013.52494/4371623.60554*100)</f>
        <v>0.57217929073997276</v>
      </c>
      <c r="F55" s="34">
        <f>IF(OR(3266113.78787="",22769.2908="",19774.93636=""),"-",(19774.93636-22769.2908)/3266113.78787*100)</f>
        <v>-9.1679428044445774E-2</v>
      </c>
      <c r="G55" s="34">
        <f>IF(OR(4350574.54459="",25013.52494="",19774.93636=""),"-",(25013.52494-19774.93636)/4350574.54459*100)</f>
        <v>0.12041141983222094</v>
      </c>
    </row>
    <row r="56" spans="1:7" s="2" customFormat="1" x14ac:dyDescent="0.25">
      <c r="A56" s="19" t="s">
        <v>59</v>
      </c>
      <c r="B56" s="22">
        <v>23734.003860000001</v>
      </c>
      <c r="C56" s="34" t="s">
        <v>187</v>
      </c>
      <c r="D56" s="34">
        <f>IF(10655.45973="","-",10655.45973/4350574.54459*100)</f>
        <v>0.24492074830093907</v>
      </c>
      <c r="E56" s="34">
        <f>IF(23734.00386="","-",23734.00386/4371623.60554*100)</f>
        <v>0.5429105065203409</v>
      </c>
      <c r="F56" s="34">
        <f>IF(OR(3266113.78787="",6211.45011="",10655.45973=""),"-",(10655.45973-6211.45011)/3266113.78787*100)</f>
        <v>0.1360641394829715</v>
      </c>
      <c r="G56" s="34">
        <f>IF(OR(4350574.54459="",23734.00386="",10655.45973=""),"-",(23734.00386-10655.45973)/4350574.54459*100)</f>
        <v>0.30061648170730348</v>
      </c>
    </row>
    <row r="57" spans="1:7" s="2" customFormat="1" x14ac:dyDescent="0.25">
      <c r="A57" s="19" t="s">
        <v>279</v>
      </c>
      <c r="B57" s="20">
        <v>20398.024130000002</v>
      </c>
      <c r="C57" s="34">
        <f>IF(OR(18977.08963="",20398.02413=""),"-",20398.02413/18977.08963*100)</f>
        <v>107.48763128437626</v>
      </c>
      <c r="D57" s="34">
        <f>IF(18977.08963="","-",18977.08963/4350574.54459*100)</f>
        <v>0.4361973214227135</v>
      </c>
      <c r="E57" s="34">
        <f>IF(20398.02413="","-",20398.02413/4371623.60554*100)</f>
        <v>0.46660064933656054</v>
      </c>
      <c r="F57" s="34">
        <f>IF(OR(3266113.78787="",18765.01271="",18977.08963=""),"-",(18977.08963-18765.01271)/3266113.78787*100)</f>
        <v>6.4932495857196E-3</v>
      </c>
      <c r="G57" s="34">
        <f>IF(OR(4350574.54459="",20398.02413="",18977.08963=""),"-",(20398.02413-18977.08963)/4350574.54459*100)</f>
        <v>3.2660847100458371E-2</v>
      </c>
    </row>
    <row r="58" spans="1:7" s="2" customFormat="1" x14ac:dyDescent="0.25">
      <c r="A58" s="19" t="s">
        <v>63</v>
      </c>
      <c r="B58" s="22">
        <v>18825.119360000001</v>
      </c>
      <c r="C58" s="34">
        <f>IF(OR(19513.9454499999="",18825.11936=""),"-",18825.11936/19513.9454499999*100)</f>
        <v>96.470082937533761</v>
      </c>
      <c r="D58" s="34">
        <f>IF(19513.9454499999="","-",19513.9454499999/4350574.54459*100)</f>
        <v>0.44853720468405173</v>
      </c>
      <c r="E58" s="34">
        <f>IF(18825.11936="","-",18825.11936/4371623.60554*100)</f>
        <v>0.43062077293533713</v>
      </c>
      <c r="F58" s="34">
        <f>IF(OR(3266113.78787="",13363.55597="",19513.9454499999=""),"-",(19513.9454499999-13363.55597)/3266113.78787*100)</f>
        <v>0.18830910003325038</v>
      </c>
      <c r="G58" s="34">
        <f>IF(OR(4350574.54459="",18825.11936="",19513.9454499999=""),"-",(18825.11936-19513.9454499999)/4350574.54459*100)</f>
        <v>-1.5832991319651452E-2</v>
      </c>
    </row>
    <row r="59" spans="1:7" s="2" customFormat="1" x14ac:dyDescent="0.25">
      <c r="A59" s="19" t="s">
        <v>75</v>
      </c>
      <c r="B59" s="20">
        <v>17554.358489999999</v>
      </c>
      <c r="C59" s="34">
        <f>IF(OR(11285.89157="",17554.35849=""),"-",17554.35849/11285.89157*100)</f>
        <v>155.54250526970108</v>
      </c>
      <c r="D59" s="34">
        <f>IF(11285.89157="","-",11285.89157/4350574.54459*100)</f>
        <v>0.25941152034813797</v>
      </c>
      <c r="E59" s="34">
        <f>IF(17554.35849="","-",17554.35849/4371623.60554*100)</f>
        <v>0.40155237673604832</v>
      </c>
      <c r="F59" s="34">
        <f>IF(OR(3266113.78787="",12396.60106="",11285.89157=""),"-",(11285.89157-12396.60106)/3266113.78787*100)</f>
        <v>-3.4007066567155686E-2</v>
      </c>
      <c r="G59" s="34">
        <f>IF(OR(4350574.54459="",17554.35849="",11285.89157=""),"-",(17554.35849-11285.89157)/4350574.54459*100)</f>
        <v>0.14408365735957621</v>
      </c>
    </row>
    <row r="60" spans="1:7" s="2" customFormat="1" x14ac:dyDescent="0.25">
      <c r="A60" s="19" t="s">
        <v>285</v>
      </c>
      <c r="B60" s="22">
        <v>10861.986730000001</v>
      </c>
      <c r="C60" s="34">
        <f>IF(OR(9581.65219="",10861.98673=""),"-",10861.98673/9581.65219*100)</f>
        <v>113.36235666471212</v>
      </c>
      <c r="D60" s="34">
        <f>IF(9581.65219="","-",9581.65219/4350574.54459*100)</f>
        <v>0.22023877747170012</v>
      </c>
      <c r="E60" s="34">
        <f>IF(10861.98673="","-",10861.98673/4371623.60554*100)</f>
        <v>0.24846573516153128</v>
      </c>
      <c r="F60" s="34">
        <f>IF(OR(3266113.78787="",11175.19251="",9581.65219=""),"-",(9581.65219-11175.19251)/3266113.78787*100)</f>
        <v>-4.8790104187987557E-2</v>
      </c>
      <c r="G60" s="34">
        <f>IF(OR(4350574.54459="",10861.98673="",9581.65219=""),"-",(10861.98673-9581.65219)/4350574.54459*100)</f>
        <v>2.9429090959770213E-2</v>
      </c>
    </row>
    <row r="61" spans="1:7" s="2" customFormat="1" x14ac:dyDescent="0.25">
      <c r="A61" s="19" t="s">
        <v>60</v>
      </c>
      <c r="B61" s="20">
        <v>10075.763269999999</v>
      </c>
      <c r="C61" s="34" t="s">
        <v>295</v>
      </c>
      <c r="D61" s="34">
        <f>IF(3460.04924="","-",3460.04924/4350574.54459*100)</f>
        <v>7.9530857465771251E-2</v>
      </c>
      <c r="E61" s="34">
        <f>IF(10075.76327="","-",10075.76327/4371623.60554*100)</f>
        <v>0.23048103357368988</v>
      </c>
      <c r="F61" s="34">
        <f>IF(OR(3266113.78787="",3778.33329="",3460.04924=""),"-",(3460.04924-3778.33329)/3266113.78787*100)</f>
        <v>-9.7450386199670509E-3</v>
      </c>
      <c r="G61" s="34">
        <f>IF(OR(4350574.54459="",10075.76327="",3460.04924=""),"-",(10075.76327-3460.04924)/4350574.54459*100)</f>
        <v>0.15206529533499732</v>
      </c>
    </row>
    <row r="62" spans="1:7" s="2" customFormat="1" x14ac:dyDescent="0.25">
      <c r="A62" s="19" t="s">
        <v>67</v>
      </c>
      <c r="B62" s="20">
        <v>8518.4271000000008</v>
      </c>
      <c r="C62" s="34">
        <f>IF(OR(6543.73516999999="",8518.4271=""),"-",8518.4271/6543.73516999999*100)</f>
        <v>130.17683140743628</v>
      </c>
      <c r="D62" s="34">
        <f>IF(6543.73516999999="","-",6543.73516999999/4350574.54459*100)</f>
        <v>0.15041082741904091</v>
      </c>
      <c r="E62" s="34">
        <f>IF(8518.4271="","-",8518.4271/4371623.60554*100)</f>
        <v>0.1948572857280052</v>
      </c>
      <c r="F62" s="34">
        <f>IF(OR(3266113.78787="",5917.80441="",6543.73516999999=""),"-",(6543.73516999999-5917.80441)/3266113.78787*100)</f>
        <v>1.9164389260552729E-2</v>
      </c>
      <c r="G62" s="34">
        <f>IF(OR(4350574.54459="",8518.4271="",6543.73516999999=""),"-",(8518.4271-6543.73516999999)/4350574.54459*100)</f>
        <v>4.5389221808773916E-2</v>
      </c>
    </row>
    <row r="63" spans="1:7" s="2" customFormat="1" x14ac:dyDescent="0.25">
      <c r="A63" s="19" t="s">
        <v>74</v>
      </c>
      <c r="B63" s="22">
        <v>7065.4046900000003</v>
      </c>
      <c r="C63" s="34">
        <f>IF(OR(7358.3186="",7065.40469=""),"-",7065.40469/7358.3186*100)</f>
        <v>96.019282040872767</v>
      </c>
      <c r="D63" s="34">
        <f>IF(7358.3186="","-",7358.3186/4350574.54459*100)</f>
        <v>0.16913441028496273</v>
      </c>
      <c r="E63" s="34">
        <f>IF(7065.40469="","-",7065.40469/4371623.60554*100)</f>
        <v>0.16161969390608719</v>
      </c>
      <c r="F63" s="34">
        <f>IF(OR(3266113.78787="",6319.25872="",7358.3186=""),"-",(7358.3186-6319.25872)/3266113.78787*100)</f>
        <v>3.1813339873796129E-2</v>
      </c>
      <c r="G63" s="34">
        <f>IF(OR(4350574.54459="",7065.40469="",7358.3186=""),"-",(7065.40469-7358.3186)/4350574.54459*100)</f>
        <v>-6.7327638452774428E-3</v>
      </c>
    </row>
    <row r="64" spans="1:7" s="2" customFormat="1" x14ac:dyDescent="0.25">
      <c r="A64" s="19" t="s">
        <v>78</v>
      </c>
      <c r="B64" s="22">
        <v>6879.1999699999997</v>
      </c>
      <c r="C64" s="34">
        <f>IF(OR(6864.49564="",6879.19997=""),"-",6879.19997/6864.49564*100)</f>
        <v>100.21420845421353</v>
      </c>
      <c r="D64" s="34">
        <f>IF(6864.49564="","-",6864.49564/4350574.54459*100)</f>
        <v>0.15778365752946577</v>
      </c>
      <c r="E64" s="34">
        <f>IF(6879.19997="","-",6879.19997/4371623.60554*100)</f>
        <v>0.15736029884371197</v>
      </c>
      <c r="F64" s="34">
        <f>IF(OR(3266113.78787="",6543.27781="",6864.49564=""),"-",(6864.49564-6543.27781)/3266113.78787*100)</f>
        <v>9.8348634145255277E-3</v>
      </c>
      <c r="G64" s="34">
        <f>IF(OR(4350574.54459="",6879.19997="",6864.49564=""),"-",(6879.19997-6864.49564)/4350574.54459*100)</f>
        <v>3.3798593379544804E-4</v>
      </c>
    </row>
    <row r="65" spans="1:7" s="2" customFormat="1" x14ac:dyDescent="0.25">
      <c r="A65" s="19" t="s">
        <v>79</v>
      </c>
      <c r="B65" s="20">
        <v>6357.5920100000003</v>
      </c>
      <c r="C65" s="34">
        <f>IF(OR(5286.27852="",6357.59201=""),"-",6357.59201/5286.27852*100)</f>
        <v>120.26592972630583</v>
      </c>
      <c r="D65" s="34">
        <f>IF(5286.27852="","-",5286.27852/4350574.54459*100)</f>
        <v>0.12150759550996686</v>
      </c>
      <c r="E65" s="34">
        <f>IF(6357.59201="","-",6357.59201/4371623.60554*100)</f>
        <v>0.14542862294785064</v>
      </c>
      <c r="F65" s="34">
        <f>IF(OR(3266113.78787="",5123.05486="",5286.27852=""),"-",(5286.27852-5123.05486)/3266113.78787*100)</f>
        <v>4.9974884710445484E-3</v>
      </c>
      <c r="G65" s="34">
        <f>IF(OR(4350574.54459="",6357.59201="",5286.27852=""),"-",(6357.59201-5286.27852)/4350574.54459*100)</f>
        <v>2.4624643918173834E-2</v>
      </c>
    </row>
    <row r="66" spans="1:7" s="2" customFormat="1" x14ac:dyDescent="0.25">
      <c r="A66" s="19" t="s">
        <v>62</v>
      </c>
      <c r="B66" s="22">
        <v>6259.6154699999997</v>
      </c>
      <c r="C66" s="34">
        <f>IF(OR(4577.62947="",6259.61547=""),"-",6259.61547/4577.62947*100)</f>
        <v>136.74360301599509</v>
      </c>
      <c r="D66" s="34">
        <f>IF(4577.62947="","-",4577.62947/4350574.54459*100)</f>
        <v>0.10521896414100859</v>
      </c>
      <c r="E66" s="34">
        <f>IF(6259.61547="","-",6259.61547/4371623.60554*100)</f>
        <v>0.14318742954145036</v>
      </c>
      <c r="F66" s="34">
        <f>IF(OR(3266113.78787="",4017.04833="",4577.62947=""),"-",(4577.62947-4017.04833)/3266113.78787*100)</f>
        <v>1.7163552050205311E-2</v>
      </c>
      <c r="G66" s="34">
        <f>IF(OR(4350574.54459="",6259.61547="",4577.62947=""),"-",(6259.61547-4577.62947)/4350574.54459*100)</f>
        <v>3.8661238481514419E-2</v>
      </c>
    </row>
    <row r="67" spans="1:7" s="2" customFormat="1" x14ac:dyDescent="0.25">
      <c r="A67" s="19" t="s">
        <v>80</v>
      </c>
      <c r="B67" s="22">
        <v>6032.13436</v>
      </c>
      <c r="C67" s="34">
        <f>IF(OR(5157.74147="",6032.13436=""),"-",6032.13436/5157.74147*100)</f>
        <v>116.95301897324451</v>
      </c>
      <c r="D67" s="34">
        <f>IF(5157.74147="","-",5157.74147/4350574.54459*100)</f>
        <v>0.11855311102331814</v>
      </c>
      <c r="E67" s="34">
        <f>IF(6032.13436="","-",6032.13436/4371623.60554*100)</f>
        <v>0.13798384546088771</v>
      </c>
      <c r="F67" s="34">
        <f>IF(OR(3266113.78787="",3830.49494="",5157.74147=""),"-",(5157.74147-3830.49494)/3266113.78787*100)</f>
        <v>4.0636873550739493E-2</v>
      </c>
      <c r="G67" s="34">
        <f>IF(OR(4350574.54459="",6032.13436="",5157.74147=""),"-",(6032.13436-5157.74147)/4350574.54459*100)</f>
        <v>2.0098331405154747E-2</v>
      </c>
    </row>
    <row r="68" spans="1:7" s="2" customFormat="1" x14ac:dyDescent="0.25">
      <c r="A68" s="19" t="s">
        <v>55</v>
      </c>
      <c r="B68" s="20">
        <v>6015.7347</v>
      </c>
      <c r="C68" s="34" t="s">
        <v>375</v>
      </c>
      <c r="D68" s="34">
        <f>IF(1389.34789="","-",1389.34789/4350574.54459*100)</f>
        <v>3.1934814028820015E-2</v>
      </c>
      <c r="E68" s="34">
        <f>IF(6015.7347="","-",6015.7347/4371623.60554*100)</f>
        <v>0.13760870657703644</v>
      </c>
      <c r="F68" s="34">
        <f>IF(OR(3266113.78787="",1838.89782="",1389.34789=""),"-",(1389.34789-1838.89782)/3266113.78787*100)</f>
        <v>-1.3764062099415539E-2</v>
      </c>
      <c r="G68" s="34">
        <f>IF(OR(4350574.54459="",6015.7347="",1389.34789=""),"-",(6015.7347-1389.34789)/4350574.54459*100)</f>
        <v>0.10633967450926628</v>
      </c>
    </row>
    <row r="69" spans="1:7" s="2" customFormat="1" x14ac:dyDescent="0.25">
      <c r="A69" s="19" t="s">
        <v>70</v>
      </c>
      <c r="B69" s="22">
        <v>5927.3709099999996</v>
      </c>
      <c r="C69" s="34">
        <f>IF(OR(9698.92401="",5927.37091=""),"-",5927.37091/9698.92401*100)</f>
        <v>61.113695744895303</v>
      </c>
      <c r="D69" s="34">
        <f>IF(9698.92401="","-",9698.92401/4350574.54459*100)</f>
        <v>0.22293432535389485</v>
      </c>
      <c r="E69" s="34">
        <f>IF(5927.37091="","-",5927.37091/4371623.60554*100)</f>
        <v>0.13558740286991902</v>
      </c>
      <c r="F69" s="34">
        <f>IF(OR(3266113.78787="",5788.84658="",9698.92401=""),"-",(9698.92401-5788.84658)/3266113.78787*100)</f>
        <v>0.11971650971015196</v>
      </c>
      <c r="G69" s="34">
        <f>IF(OR(4350574.54459="",5927.37091="",9698.92401=""),"-",(5927.37091-9698.92401)/4350574.54459*100)</f>
        <v>-8.6690920046180564E-2</v>
      </c>
    </row>
    <row r="70" spans="1:7" s="2" customFormat="1" x14ac:dyDescent="0.25">
      <c r="A70" s="19" t="s">
        <v>58</v>
      </c>
      <c r="B70" s="22">
        <v>5223.3344800000004</v>
      </c>
      <c r="C70" s="34">
        <f>IF(OR(5998.39543="",5223.33448=""),"-",5223.33448/5998.39543*100)</f>
        <v>87.078862021605687</v>
      </c>
      <c r="D70" s="34">
        <f>IF(5998.39543="","-",5998.39543/4350574.54459*100)</f>
        <v>0.13787593727037931</v>
      </c>
      <c r="E70" s="34">
        <f>IF(5223.33448="","-",5223.33448/4371623.60554*100)</f>
        <v>0.11948271286166215</v>
      </c>
      <c r="F70" s="34">
        <f>IF(OR(3266113.78787="",7206.88043="",5998.39543=""),"-",(5998.39543-7206.88043)/3266113.78787*100)</f>
        <v>-3.7000701092784506E-2</v>
      </c>
      <c r="G70" s="34">
        <f>IF(OR(4350574.54459="",5223.33448="",5998.39543=""),"-",(5223.33448-5998.39543)/4350574.54459*100)</f>
        <v>-1.7815140093710109E-2</v>
      </c>
    </row>
    <row r="71" spans="1:7" s="2" customFormat="1" x14ac:dyDescent="0.25">
      <c r="A71" s="19" t="s">
        <v>116</v>
      </c>
      <c r="B71" s="22">
        <v>5092.2572700000001</v>
      </c>
      <c r="C71" s="34" t="s">
        <v>188</v>
      </c>
      <c r="D71" s="34">
        <f>IF(2815.77001="","-",2815.77001/4350574.54459*100)</f>
        <v>6.4721796653305227E-2</v>
      </c>
      <c r="E71" s="34">
        <f>IF(5092.25727="","-",5092.25727/4371623.60554*100)</f>
        <v>0.11648434836765834</v>
      </c>
      <c r="F71" s="34">
        <f>IF(OR(3266113.78787="",2986.07021="",2815.77001=""),"-",(2815.77001-2986.07021)/3266113.78787*100)</f>
        <v>-5.2141539168805611E-3</v>
      </c>
      <c r="G71" s="34">
        <f>IF(OR(4350574.54459="",5092.25727="",2815.77001=""),"-",(5092.25727-2815.77001)/4350574.54459*100)</f>
        <v>5.2326129265635575E-2</v>
      </c>
    </row>
    <row r="72" spans="1:7" s="2" customFormat="1" x14ac:dyDescent="0.25">
      <c r="A72" s="19" t="s">
        <v>81</v>
      </c>
      <c r="B72" s="22">
        <v>4617.3854799999999</v>
      </c>
      <c r="C72" s="34" t="s">
        <v>17</v>
      </c>
      <c r="D72" s="34">
        <f>IF(2331.05236="","-",2331.05236/4350574.54459*100)</f>
        <v>5.3580333726236141E-2</v>
      </c>
      <c r="E72" s="34">
        <f>IF(4617.38548="","-",4617.38548/4371623.60554*100)</f>
        <v>0.10562175284598049</v>
      </c>
      <c r="F72" s="34">
        <f>IF(OR(3266113.78787="",4006.59838="",2331.05236=""),"-",(2331.05236-4006.59838)/3266113.78787*100)</f>
        <v>-5.1300907709425178E-2</v>
      </c>
      <c r="G72" s="34">
        <f>IF(OR(4350574.54459="",4617.38548="",2331.05236=""),"-",(4617.38548-2331.05236)/4350574.54459*100)</f>
        <v>5.2552440983756651E-2</v>
      </c>
    </row>
    <row r="73" spans="1:7" s="2" customFormat="1" x14ac:dyDescent="0.25">
      <c r="A73" s="19" t="s">
        <v>71</v>
      </c>
      <c r="B73" s="20">
        <v>4450.4862700000003</v>
      </c>
      <c r="C73" s="34">
        <f>IF(OR(3607.23953="",4450.48627=""),"-",4450.48627/3607.23953*100)</f>
        <v>123.37651084678596</v>
      </c>
      <c r="D73" s="34">
        <f>IF(3607.23953="","-",3607.23953/4350574.54459*100)</f>
        <v>8.2914095437938234E-2</v>
      </c>
      <c r="E73" s="34">
        <f>IF(4450.48627="","-",4450.48627/4371623.60554*100)</f>
        <v>0.10180396739463253</v>
      </c>
      <c r="F73" s="34">
        <f>IF(OR(3266113.78787="",2297.25068="",3607.23953=""),"-",(3607.23953-2297.25068)/3266113.78787*100)</f>
        <v>4.0108487795653638E-2</v>
      </c>
      <c r="G73" s="34">
        <f>IF(OR(4350574.54459="",4450.48627="",3607.23953=""),"-",(4450.48627-3607.23953)/4350574.54459*100)</f>
        <v>1.938242251356409E-2</v>
      </c>
    </row>
    <row r="74" spans="1:7" s="2" customFormat="1" x14ac:dyDescent="0.25">
      <c r="A74" s="19" t="s">
        <v>36</v>
      </c>
      <c r="B74" s="20">
        <v>4127.33367</v>
      </c>
      <c r="C74" s="34" t="s">
        <v>100</v>
      </c>
      <c r="D74" s="34">
        <f>IF(2175.91573="","-",2175.91573/4350574.54459*100)</f>
        <v>5.0014445395626689E-2</v>
      </c>
      <c r="E74" s="34">
        <f>IF(4127.33367="","-",4127.33367/4371623.60554*100)</f>
        <v>9.4411917457156644E-2</v>
      </c>
      <c r="F74" s="34">
        <f>IF(OR(3266113.78787="",1992.72081="",2175.91573=""),"-",(2175.91573-1992.72081)/3266113.78787*100)</f>
        <v>5.6089570632954257E-3</v>
      </c>
      <c r="G74" s="34">
        <f>IF(OR(4350574.54459="",4127.33367="",2175.91573=""),"-",(4127.33367-2175.91573)/4350574.54459*100)</f>
        <v>4.4854258213472407E-2</v>
      </c>
    </row>
    <row r="75" spans="1:7" s="2" customFormat="1" x14ac:dyDescent="0.25">
      <c r="A75" s="19" t="s">
        <v>77</v>
      </c>
      <c r="B75" s="20">
        <v>3617.45964</v>
      </c>
      <c r="C75" s="34" t="s">
        <v>17</v>
      </c>
      <c r="D75" s="34">
        <f>IF(1824.78142="","-",1824.78142/4350574.54459*100)</f>
        <v>4.1943458301826851E-2</v>
      </c>
      <c r="E75" s="34">
        <f>IF(3617.45964="","-",3617.45964/4371623.60554*100)</f>
        <v>8.2748652821247576E-2</v>
      </c>
      <c r="F75" s="34">
        <f>IF(OR(3266113.78787="",13061.48344="",1824.78142=""),"-",(1824.78142-13061.48344)/3266113.78787*100)</f>
        <v>-0.34403890218803518</v>
      </c>
      <c r="G75" s="34">
        <f>IF(OR(4350574.54459="",3617.45964="",1824.78142=""),"-",(3617.45964-1824.78142)/4350574.54459*100)</f>
        <v>4.1205551166321706E-2</v>
      </c>
    </row>
    <row r="76" spans="1:7" s="2" customFormat="1" x14ac:dyDescent="0.25">
      <c r="A76" s="19" t="s">
        <v>281</v>
      </c>
      <c r="B76" s="20">
        <v>3380.95831</v>
      </c>
      <c r="C76" s="34" t="s">
        <v>17</v>
      </c>
      <c r="D76" s="34">
        <f>IF(1700.25401="","-",1700.25401/4350574.54459*100)</f>
        <v>3.9081137274484576E-2</v>
      </c>
      <c r="E76" s="34">
        <f>IF(3380.95831="","-",3380.95831/4371623.60554*100)</f>
        <v>7.7338733044524571E-2</v>
      </c>
      <c r="F76" s="34">
        <f>IF(OR(3266113.78787="",1155.11582="",1700.25401=""),"-",(1700.25401-1155.11582)/3266113.78787*100)</f>
        <v>1.6690728658155927E-2</v>
      </c>
      <c r="G76" s="34">
        <f>IF(OR(4350574.54459="",3380.95831="",1700.25401=""),"-",(3380.95831-1700.25401)/4350574.54459*100)</f>
        <v>3.8631778004815001E-2</v>
      </c>
    </row>
    <row r="77" spans="1:7" s="2" customFormat="1" x14ac:dyDescent="0.25">
      <c r="A77" s="19" t="s">
        <v>86</v>
      </c>
      <c r="B77" s="22">
        <v>3032.7267299999999</v>
      </c>
      <c r="C77" s="34">
        <f>IF(OR(2130.46169="",3032.72673=""),"-",3032.72673/2130.46169*100)</f>
        <v>142.35068127416079</v>
      </c>
      <c r="D77" s="34">
        <f>IF(2130.46169="","-",2130.46169/4350574.54459*100)</f>
        <v>4.8969662929905629E-2</v>
      </c>
      <c r="E77" s="34">
        <f>IF(3032.72673="","-",3032.72673/4371623.60554*100)</f>
        <v>6.937300654513659E-2</v>
      </c>
      <c r="F77" s="34">
        <f>IF(OR(3266113.78787="",1706.01129="",2130.46169=""),"-",(2130.46169-1706.01129)/3266113.78787*100)</f>
        <v>1.2995579075547334E-2</v>
      </c>
      <c r="G77" s="34">
        <f>IF(OR(4350574.54459="",3032.72673="",2130.46169=""),"-",(3032.72673-2130.46169)/4350574.54459*100)</f>
        <v>2.073898586847521E-2</v>
      </c>
    </row>
    <row r="78" spans="1:7" s="2" customFormat="1" x14ac:dyDescent="0.25">
      <c r="A78" s="19" t="s">
        <v>76</v>
      </c>
      <c r="B78" s="22">
        <v>2878.8329600000002</v>
      </c>
      <c r="C78" s="34">
        <f>IF(OR(2515.08604="",2878.83296=""),"-",2878.83296/2515.08604*100)</f>
        <v>114.46260343443359</v>
      </c>
      <c r="D78" s="34">
        <f>IF(2515.08604="","-",2515.08604/4350574.54459*100)</f>
        <v>5.7810434328209467E-2</v>
      </c>
      <c r="E78" s="34">
        <f>IF(2878.83296="","-",2878.83296/4371623.60554*100)</f>
        <v>6.5852717886136392E-2</v>
      </c>
      <c r="F78" s="34">
        <f>IF(OR(3266113.78787="",1812.85935="",2515.08604=""),"-",(2515.08604-1812.85935)/3266113.78787*100)</f>
        <v>2.1500374316657168E-2</v>
      </c>
      <c r="G78" s="34">
        <f>IF(OR(4350574.54459="",2878.83296="",2515.08604=""),"-",(2878.83296-2515.08604)/4350574.54459*100)</f>
        <v>8.3608938606126032E-3</v>
      </c>
    </row>
    <row r="79" spans="1:7" s="2" customFormat="1" x14ac:dyDescent="0.25">
      <c r="A79" s="19" t="s">
        <v>84</v>
      </c>
      <c r="B79" s="20">
        <v>2700.6271000000002</v>
      </c>
      <c r="C79" s="34">
        <f>IF(OR(1813.48904="",2700.6271=""),"-",2700.6271/1813.48904*100)</f>
        <v>148.91885423250201</v>
      </c>
      <c r="D79" s="34">
        <f>IF(1813.48904="","-",1813.48904/4350574.54459*100)</f>
        <v>4.1683897641866606E-2</v>
      </c>
      <c r="E79" s="34">
        <f>IF(2700.6271="","-",2700.6271/4371623.60554*100)</f>
        <v>6.1776295117850349E-2</v>
      </c>
      <c r="F79" s="34">
        <f>IF(OR(3266113.78787="",3002.41274="",1813.48904=""),"-",(1813.48904-3002.41274)/3266113.78787*100)</f>
        <v>-3.6401784420847086E-2</v>
      </c>
      <c r="G79" s="34">
        <f>IF(OR(4350574.54459="",2700.6271="",1813.48904=""),"-",(2700.6271-1813.48904)/4350574.54459*100)</f>
        <v>2.0391285125850072E-2</v>
      </c>
    </row>
    <row r="80" spans="1:7" s="2" customFormat="1" x14ac:dyDescent="0.25">
      <c r="A80" s="19" t="s">
        <v>65</v>
      </c>
      <c r="B80" s="20">
        <v>2307.6217999999999</v>
      </c>
      <c r="C80" s="34">
        <f>IF(OR(4363.03076="",2307.6218=""),"-",2307.6218/4363.03076*100)</f>
        <v>52.890339925084554</v>
      </c>
      <c r="D80" s="34">
        <f>IF(4363.03076="","-",4363.03076/4350574.54459*100)</f>
        <v>0.10028631196368049</v>
      </c>
      <c r="E80" s="34">
        <f>IF(2307.6218="","-",2307.6218/4371623.60554*100)</f>
        <v>5.2786378888512599E-2</v>
      </c>
      <c r="F80" s="34">
        <f>IF(OR(3266113.78787="",3184.32539="",4363.03076=""),"-",(4363.03076-3184.32539)/3266113.78787*100)</f>
        <v>3.6088925449492493E-2</v>
      </c>
      <c r="G80" s="34">
        <f>IF(OR(4350574.54459="",2307.6218="",4363.03076=""),"-",(2307.6218-4363.03076)/4350574.54459*100)</f>
        <v>-4.7244540667759141E-2</v>
      </c>
    </row>
    <row r="81" spans="1:7" s="2" customFormat="1" x14ac:dyDescent="0.25">
      <c r="A81" s="19" t="s">
        <v>69</v>
      </c>
      <c r="B81" s="22">
        <v>2161.8632299999999</v>
      </c>
      <c r="C81" s="34">
        <f>IF(OR(2932.93259="",2161.86323=""),"-",2161.86323/2932.93259*100)</f>
        <v>73.70995287689172</v>
      </c>
      <c r="D81" s="34">
        <f>IF(2932.93259="","-",2932.93259/4350574.54459*100)</f>
        <v>6.7414833602774199E-2</v>
      </c>
      <c r="E81" s="34">
        <f>IF(2161.86323="","-",2161.86323/4371623.60554*100)</f>
        <v>4.9452181273345427E-2</v>
      </c>
      <c r="F81" s="34">
        <f>IF(OR(3266113.78787="",2238.18964="",2932.93259=""),"-",(2932.93259-2238.18964)/3266113.78787*100)</f>
        <v>2.1271241454605821E-2</v>
      </c>
      <c r="G81" s="34">
        <f>IF(OR(4350574.54459="",2161.86323="",2932.93259=""),"-",(2161.86323-2932.93259)/4350574.54459*100)</f>
        <v>-1.7723391522134369E-2</v>
      </c>
    </row>
    <row r="82" spans="1:7" s="2" customFormat="1" x14ac:dyDescent="0.25">
      <c r="A82" s="19" t="s">
        <v>35</v>
      </c>
      <c r="B82" s="22">
        <v>1981.26198</v>
      </c>
      <c r="C82" s="34" t="s">
        <v>100</v>
      </c>
      <c r="D82" s="34">
        <f>IF(1054.76922="","-",1054.76922/4350574.54459*100)</f>
        <v>2.4244366098993067E-2</v>
      </c>
      <c r="E82" s="34">
        <f>IF(1981.26198="","-",1981.26198/4371623.60554*100)</f>
        <v>4.5320964446463746E-2</v>
      </c>
      <c r="F82" s="34">
        <f>IF(OR(3266113.78787="",1112.54844="",1054.76922=""),"-",(1054.76922-1112.54844)/3266113.78787*100)</f>
        <v>-1.7690510420851229E-3</v>
      </c>
      <c r="G82" s="34">
        <f>IF(OR(4350574.54459="",1981.26198="",1054.76922=""),"-",(1981.26198-1054.76922)/4350574.54459*100)</f>
        <v>2.1295871395931067E-2</v>
      </c>
    </row>
    <row r="83" spans="1:7" s="2" customFormat="1" x14ac:dyDescent="0.25">
      <c r="A83" s="19" t="s">
        <v>92</v>
      </c>
      <c r="B83" s="22">
        <v>1969.0563</v>
      </c>
      <c r="C83" s="34" t="s">
        <v>98</v>
      </c>
      <c r="D83" s="34">
        <f>IF(1164.47636="","-",1164.47636/4350574.54459*100)</f>
        <v>2.6766036257166143E-2</v>
      </c>
      <c r="E83" s="34">
        <f>IF(1969.0563="","-",1969.0563/4371623.60554*100)</f>
        <v>4.5041762001300535E-2</v>
      </c>
      <c r="F83" s="34">
        <f>IF(OR(3266113.78787="",941.47814="",1164.47636=""),"-",(1164.47636-941.47814)/3266113.78787*100)</f>
        <v>6.8276316896304029E-3</v>
      </c>
      <c r="G83" s="34">
        <f>IF(OR(4350574.54459="",1969.0563="",1164.47636=""),"-",(1969.0563-1164.47636)/4350574.54459*100)</f>
        <v>1.8493647948188963E-2</v>
      </c>
    </row>
    <row r="84" spans="1:7" x14ac:dyDescent="0.25">
      <c r="A84" s="19" t="s">
        <v>97</v>
      </c>
      <c r="B84" s="20">
        <v>1906.5532599999999</v>
      </c>
      <c r="C84" s="34">
        <f>IF(OR(1249.40769="",1906.55326=""),"-",1906.55326/1249.40769*100)</f>
        <v>152.59656837873311</v>
      </c>
      <c r="D84" s="34">
        <f>IF(1249.40769="","-",1249.40769/4350574.54459*100)</f>
        <v>2.8718222781716405E-2</v>
      </c>
      <c r="E84" s="34">
        <f>IF(1906.55326="","-",1906.55326/4371623.60554*100)</f>
        <v>4.36120176856922E-2</v>
      </c>
      <c r="F84" s="34">
        <f>IF(OR(3266113.78787="",489.60993="",1249.40769=""),"-",(1249.40769-489.60993)/3266113.78787*100)</f>
        <v>2.3263052341342429E-2</v>
      </c>
      <c r="G84" s="34">
        <f>IF(OR(4350574.54459="",1906.55326="",1249.40769=""),"-",(1906.55326-1249.40769)/4350574.54459*100)</f>
        <v>1.5104799682542379E-2</v>
      </c>
    </row>
    <row r="85" spans="1:7" x14ac:dyDescent="0.25">
      <c r="A85" s="19" t="s">
        <v>83</v>
      </c>
      <c r="B85" s="20">
        <v>1774.9684099999999</v>
      </c>
      <c r="C85" s="34">
        <f>IF(OR(1895.01017="",1774.96841=""),"-",1774.96841/1895.01017*100)</f>
        <v>93.665376476581116</v>
      </c>
      <c r="D85" s="34">
        <f>IF(1895.01017="","-",1895.01017/4350574.54459*100)</f>
        <v>4.3557699117153882E-2</v>
      </c>
      <c r="E85" s="34">
        <f>IF(1774.96841="","-",1774.96841/4371623.60554*100)</f>
        <v>4.0602041030033946E-2</v>
      </c>
      <c r="F85" s="34">
        <f>IF(OR(3266113.78787="",1740.97582="",1895.01017=""),"-",(1895.01017-1740.97582)/3266113.78787*100)</f>
        <v>4.7161354442722455E-3</v>
      </c>
      <c r="G85" s="34">
        <f>IF(OR(4350574.54459="",1774.96841="",1895.01017=""),"-",(1774.96841-1895.01017)/4350574.54459*100)</f>
        <v>-2.7592162545352467E-3</v>
      </c>
    </row>
    <row r="86" spans="1:7" x14ac:dyDescent="0.25">
      <c r="A86" s="19" t="s">
        <v>85</v>
      </c>
      <c r="B86" s="20">
        <v>1618.21596</v>
      </c>
      <c r="C86" s="34">
        <f>IF(OR(1372.86333="",1618.21596=""),"-",1618.21596/1372.86333*100)</f>
        <v>117.87159906150309</v>
      </c>
      <c r="D86" s="34">
        <f>IF(1372.86333="","-",1372.86333/4350574.54459*100)</f>
        <v>3.1555908672043664E-2</v>
      </c>
      <c r="E86" s="34">
        <f>IF(1618.21596="","-",1618.21596/4371623.60554*100)</f>
        <v>3.7016360648004863E-2</v>
      </c>
      <c r="F86" s="34">
        <f>IF(OR(3266113.78787="",1816.04702="",1372.86333=""),"-",(1372.86333-1816.04702)/3266113.78787*100)</f>
        <v>-1.3569144211874589E-2</v>
      </c>
      <c r="G86" s="34">
        <f>IF(OR(4350574.54459="",1618.21596="",1372.86333=""),"-",(1618.21596-1372.86333)/4350574.54459*100)</f>
        <v>5.6395454780817289E-3</v>
      </c>
    </row>
    <row r="87" spans="1:7" x14ac:dyDescent="0.25">
      <c r="A87" s="19" t="s">
        <v>64</v>
      </c>
      <c r="B87" s="22">
        <v>1616.59755</v>
      </c>
      <c r="C87" s="34" t="s">
        <v>187</v>
      </c>
      <c r="D87" s="34">
        <f>IF(750.65752="","-",750.65752/4350574.54459*100)</f>
        <v>1.7254215789347938E-2</v>
      </c>
      <c r="E87" s="34">
        <f>IF(1616.59755="","-",1616.59755/4371623.60554*100)</f>
        <v>3.6979339848731363E-2</v>
      </c>
      <c r="F87" s="34">
        <f>IF(OR(3266113.78787="",533.55592="",750.65752=""),"-",(750.65752-533.55592)/3266113.78787*100)</f>
        <v>6.6470923580890622E-3</v>
      </c>
      <c r="G87" s="34">
        <f>IF(OR(4350574.54459="",1616.59755="",750.65752=""),"-",(1616.59755-750.65752)/4350574.54459*100)</f>
        <v>1.9904038446526755E-2</v>
      </c>
    </row>
    <row r="88" spans="1:7" x14ac:dyDescent="0.25">
      <c r="A88" s="19" t="s">
        <v>34</v>
      </c>
      <c r="B88" s="20">
        <v>1467.7187300000001</v>
      </c>
      <c r="C88" s="34" t="s">
        <v>100</v>
      </c>
      <c r="D88" s="34">
        <f>IF(754.73428="","-",754.73428/4350574.54459*100)</f>
        <v>1.7347922033390341E-2</v>
      </c>
      <c r="E88" s="34">
        <f>IF(1467.71873="","-",1467.71873/4371623.60554*100)</f>
        <v>3.3573767150035821E-2</v>
      </c>
      <c r="F88" s="34">
        <f>IF(OR(3266113.78787="",1383.30526="",754.73428=""),"-",(754.73428-1383.30526)/3266113.78787*100)</f>
        <v>-1.9245226003283964E-2</v>
      </c>
      <c r="G88" s="34">
        <f>IF(OR(4350574.54459="",1467.71873="",754.73428=""),"-",(1467.71873-754.73428)/4350574.54459*100)</f>
        <v>1.6388282574921195E-2</v>
      </c>
    </row>
    <row r="89" spans="1:7" x14ac:dyDescent="0.25">
      <c r="A89" s="19" t="s">
        <v>82</v>
      </c>
      <c r="B89" s="22">
        <v>1001.46236</v>
      </c>
      <c r="C89" s="34">
        <f>IF(OR(1093.70984="",1001.46236=""),"-",1001.46236/1093.70984*100)</f>
        <v>91.56563499510986</v>
      </c>
      <c r="D89" s="34">
        <f>IF(1093.70984="","-",1093.70984/4350574.54459*100)</f>
        <v>2.5139434545720939E-2</v>
      </c>
      <c r="E89" s="34">
        <f>IF(1001.46236="","-",1001.46236/4371623.60554*100)</f>
        <v>2.2908247606927619E-2</v>
      </c>
      <c r="F89" s="34">
        <f>IF(OR(3266113.78787="",1232.78216="",1093.70984=""),"-",(1093.70984-1232.78216)/3266113.78787*100)</f>
        <v>-4.2580365851459254E-3</v>
      </c>
      <c r="G89" s="34">
        <f>IF(OR(4350574.54459="",1001.46236="",1093.70984=""),"-",(1001.46236-1093.70984)/4350574.54459*100)</f>
        <v>-2.120351669751551E-3</v>
      </c>
    </row>
    <row r="90" spans="1:7" x14ac:dyDescent="0.25">
      <c r="A90" s="19" t="s">
        <v>128</v>
      </c>
      <c r="B90" s="20">
        <v>961.36189999999999</v>
      </c>
      <c r="C90" s="34">
        <f>IF(OR(726.82931="",961.3619=""),"-",961.3619/726.82931*100)</f>
        <v>132.2679048262377</v>
      </c>
      <c r="D90" s="34">
        <f>IF(726.82931="","-",726.82931/4350574.54459*100)</f>
        <v>1.670651318694958E-2</v>
      </c>
      <c r="E90" s="34">
        <f>IF(961.3619="","-",961.3619/4371623.60554*100)</f>
        <v>2.1990957748093887E-2</v>
      </c>
      <c r="F90" s="34">
        <f>IF(OR(3266113.78787="",706.29035="",726.82931=""),"-",(726.82931-706.29035)/3266113.78787*100)</f>
        <v>6.2885010547640715E-4</v>
      </c>
      <c r="G90" s="34">
        <f>IF(OR(4350574.54459="",961.3619="",726.82931=""),"-",(961.3619-726.82931)/4350574.54459*100)</f>
        <v>5.3908417749477374E-3</v>
      </c>
    </row>
    <row r="91" spans="1:7" x14ac:dyDescent="0.25">
      <c r="A91" s="19" t="s">
        <v>286</v>
      </c>
      <c r="B91" s="22">
        <v>949.60784999999998</v>
      </c>
      <c r="C91" s="34">
        <f>IF(OR(747.20232="",949.60785=""),"-",949.60785/747.20232*100)</f>
        <v>127.08845042129954</v>
      </c>
      <c r="D91" s="34">
        <f>IF(747.20232="","-",747.20232/4350574.54459*100)</f>
        <v>1.7174796393941955E-2</v>
      </c>
      <c r="E91" s="34">
        <f>IF(949.60785="","-",949.60785/4371623.60554*100)</f>
        <v>2.1722086247237673E-2</v>
      </c>
      <c r="F91" s="34">
        <f>IF(OR(3266113.78787="",1610.39855="",747.20232=""),"-",(747.20232-1610.39855)/3266113.78787*100)</f>
        <v>-2.642884743347948E-2</v>
      </c>
      <c r="G91" s="34">
        <f>IF(OR(4350574.54459="",949.60785="",747.20232=""),"-",(949.60785-747.20232)/4350574.54459*100)</f>
        <v>4.6523862061321093E-3</v>
      </c>
    </row>
    <row r="92" spans="1:7" x14ac:dyDescent="0.25">
      <c r="A92" s="19" t="s">
        <v>88</v>
      </c>
      <c r="B92" s="20">
        <v>941.17790000000002</v>
      </c>
      <c r="C92" s="34">
        <f>IF(OR(880.06781="",941.1779=""),"-",941.1779/880.06781*100)</f>
        <v>106.94379334246982</v>
      </c>
      <c r="D92" s="34">
        <f>IF(880.06781="","-",880.06781/4350574.54459*100)</f>
        <v>2.022877210768349E-2</v>
      </c>
      <c r="E92" s="34">
        <f>IF(941.1779="","-",941.1779/4371623.60554*100)</f>
        <v>2.1529252857159967E-2</v>
      </c>
      <c r="F92" s="34">
        <f>IF(OR(3266113.78787="",1266.25293="",880.06781=""),"-",(880.06781-1266.25293)/3266113.78787*100)</f>
        <v>-1.1823994664063777E-2</v>
      </c>
      <c r="G92" s="34">
        <f>IF(OR(4350574.54459="",941.1779="",880.06781=""),"-",(941.1779-880.06781)/4350574.54459*100)</f>
        <v>1.4046441308767199E-3</v>
      </c>
    </row>
    <row r="93" spans="1:7" x14ac:dyDescent="0.25">
      <c r="A93" s="19" t="s">
        <v>61</v>
      </c>
      <c r="B93" s="22">
        <v>855.91072999999994</v>
      </c>
      <c r="C93" s="34">
        <f>IF(OR(595.50818="",855.91073=""),"-",855.91073/595.50818*100)</f>
        <v>143.727787248867</v>
      </c>
      <c r="D93" s="34">
        <f>IF(595.50818="","-",595.50818/4350574.54459*100)</f>
        <v>1.3688035313416769E-2</v>
      </c>
      <c r="E93" s="34">
        <f>IF(855.91073="","-",855.91073/4371623.60554*100)</f>
        <v>1.9578783702131522E-2</v>
      </c>
      <c r="F93" s="34">
        <f>IF(OR(3266113.78787="",523.69906="",595.50818=""),"-",(595.50818-523.69906)/3266113.78787*100)</f>
        <v>2.1986104791171532E-3</v>
      </c>
      <c r="G93" s="34">
        <f>IF(OR(4350574.54459="",855.91073="",595.50818=""),"-",(855.91073-595.50818)/4350574.54459*100)</f>
        <v>5.9854749604006698E-3</v>
      </c>
    </row>
    <row r="94" spans="1:7" x14ac:dyDescent="0.25">
      <c r="A94" s="19" t="s">
        <v>87</v>
      </c>
      <c r="B94" s="20">
        <v>781.23711000000003</v>
      </c>
      <c r="C94" s="34">
        <f>IF(OR(860.83894="",781.23711=""),"-",781.23711/860.83894*100)</f>
        <v>90.75299381786796</v>
      </c>
      <c r="D94" s="34">
        <f>IF(860.83894="","-",860.83894/4350574.54459*100)</f>
        <v>1.978678749615876E-2</v>
      </c>
      <c r="E94" s="34">
        <f>IF(781.23711="","-",781.23711/4371623.60554*100)</f>
        <v>1.787063984671431E-2</v>
      </c>
      <c r="F94" s="34">
        <f>IF(OR(3266113.78787="",320.51028="",860.83894=""),"-",(860.83894-320.51028)/3266113.78787*100)</f>
        <v>1.6543473225174309E-2</v>
      </c>
      <c r="G94" s="34">
        <f>IF(OR(4350574.54459="",781.23711="",860.83894=""),"-",(781.23711-860.83894)/4350574.54459*100)</f>
        <v>-1.8296854630151305E-3</v>
      </c>
    </row>
    <row r="95" spans="1:7" x14ac:dyDescent="0.25">
      <c r="A95" s="19" t="s">
        <v>309</v>
      </c>
      <c r="B95" s="20">
        <v>692.26057000000003</v>
      </c>
      <c r="C95" s="34">
        <f>IF(OR(817.61275="",692.26057=""),"-",692.26057/817.61275*100)</f>
        <v>84.668514525978225</v>
      </c>
      <c r="D95" s="34">
        <f>IF(817.61275="","-",817.61275/4350574.54459*100)</f>
        <v>1.8793213209430299E-2</v>
      </c>
      <c r="E95" s="34">
        <f>IF(692.26057="","-",692.26057/4371623.60554*100)</f>
        <v>1.5835319608090762E-2</v>
      </c>
      <c r="F95" s="34">
        <f>IF(OR(3266113.78787="",0.62654="",817.61275=""),"-",(817.61275-0.62654)/3266113.78787*100)</f>
        <v>2.5014015526164463E-2</v>
      </c>
      <c r="G95" s="34">
        <f>IF(OR(4350574.54459="",692.26057="",817.61275=""),"-",(692.26057-817.61275)/4350574.54459*100)</f>
        <v>-2.8812787533057478E-3</v>
      </c>
    </row>
    <row r="96" spans="1:7" x14ac:dyDescent="0.25">
      <c r="A96" s="19" t="s">
        <v>89</v>
      </c>
      <c r="B96" s="22">
        <v>678.78062999999997</v>
      </c>
      <c r="C96" s="34">
        <f>IF(OR(498.94901="",678.78063=""),"-",678.78063/498.94901*100)</f>
        <v>136.04208373917808</v>
      </c>
      <c r="D96" s="34">
        <f>IF(498.94901="","-",498.94901/4350574.54459*100)</f>
        <v>1.14685774231923E-2</v>
      </c>
      <c r="E96" s="34">
        <f>IF(678.78063="","-",678.78063/4371623.60554*100)</f>
        <v>1.5526968724841864E-2</v>
      </c>
      <c r="F96" s="34">
        <f>IF(OR(3266113.78787="",303.98348="",498.94901=""),"-",(498.94901-303.98348)/3266113.78787*100)</f>
        <v>5.9693428540083717E-3</v>
      </c>
      <c r="G96" s="34">
        <f>IF(OR(4350574.54459="",678.78063="",498.94901=""),"-",(678.78063-498.94901)/4350574.54459*100)</f>
        <v>4.1335142785594399E-3</v>
      </c>
    </row>
    <row r="97" spans="1:7" x14ac:dyDescent="0.25">
      <c r="A97" s="19" t="s">
        <v>73</v>
      </c>
      <c r="B97" s="22">
        <v>592.09465999999998</v>
      </c>
      <c r="C97" s="34" t="s">
        <v>376</v>
      </c>
      <c r="D97" s="34">
        <f>IF(14.70352="","-",14.70352/4350574.54459*100)</f>
        <v>3.3796731556488396E-4</v>
      </c>
      <c r="E97" s="34">
        <f>IF(592.09466="","-",592.09466/4371623.60554*100)</f>
        <v>1.3544044808653241E-2</v>
      </c>
      <c r="F97" s="34">
        <f>IF(OR(3266113.78787="",30.46463="",14.70352=""),"-",(14.70352-30.46463)/3266113.78787*100)</f>
        <v>-4.8256463257756324E-4</v>
      </c>
      <c r="G97" s="34">
        <f>IF(OR(4350574.54459="",592.09466="",14.70352=""),"-",(592.09466-14.70352)/4350574.54459*100)</f>
        <v>1.327160663682901E-2</v>
      </c>
    </row>
    <row r="98" spans="1:7" x14ac:dyDescent="0.25">
      <c r="A98" s="19" t="s">
        <v>353</v>
      </c>
      <c r="B98" s="22">
        <v>562.46840999999995</v>
      </c>
      <c r="C98" s="34">
        <f>IF(OR(737.41618="",562.46841=""),"-",562.46841/737.41618*100)</f>
        <v>76.27557209281737</v>
      </c>
      <c r="D98" s="34">
        <f>IF(737.41618="","-",737.41618/4350574.54459*100)</f>
        <v>1.6949857368079978E-2</v>
      </c>
      <c r="E98" s="34">
        <f>IF(562.46841="","-",562.46841/4371623.60554*100)</f>
        <v>1.2866350371226016E-2</v>
      </c>
      <c r="F98" s="34">
        <f>IF(OR(3266113.78787="",653.21791="",737.41618=""),"-",(737.41618-653.21791)/3266113.78787*100)</f>
        <v>2.5779343730369568E-3</v>
      </c>
      <c r="G98" s="34">
        <f>IF(OR(4350574.54459="",562.46841="",737.41618=""),"-",(562.46841-737.41618)/4350574.54459*100)</f>
        <v>-4.0212566916604173E-3</v>
      </c>
    </row>
    <row r="99" spans="1:7" x14ac:dyDescent="0.25">
      <c r="A99" s="19" t="s">
        <v>93</v>
      </c>
      <c r="B99" s="22">
        <v>560.67382999999995</v>
      </c>
      <c r="C99" s="34" t="s">
        <v>188</v>
      </c>
      <c r="D99" s="34">
        <f>IF(304.70548="","-",304.70548/4350574.54459*100)</f>
        <v>7.0037986219292697E-3</v>
      </c>
      <c r="E99" s="34">
        <f>IF(560.67383="","-",560.67383/4371623.60554*100)</f>
        <v>1.2825299719067268E-2</v>
      </c>
      <c r="F99" s="34">
        <f>IF(OR(3266113.78787="",503.27562="",304.70548=""),"-",(304.70548-503.27562)/3266113.78787*100)</f>
        <v>-6.079706737023933E-3</v>
      </c>
      <c r="G99" s="34">
        <f>IF(OR(4350574.54459="",560.67383="",304.70548=""),"-",(560.67383-304.70548)/4350574.54459*100)</f>
        <v>5.8835527900171283E-3</v>
      </c>
    </row>
    <row r="100" spans="1:7" x14ac:dyDescent="0.25">
      <c r="A100" s="19" t="s">
        <v>372</v>
      </c>
      <c r="B100" s="22">
        <v>555.03893000000005</v>
      </c>
      <c r="C100" s="34" t="s">
        <v>377</v>
      </c>
      <c r="D100" s="34">
        <f>IF(0.51364="","-",0.51364/4350574.54459*100)</f>
        <v>1.1806256730820036E-5</v>
      </c>
      <c r="E100" s="34">
        <f>IF(555.03893="","-",555.03893/4371623.60554*100)</f>
        <v>1.2696402528722268E-2</v>
      </c>
      <c r="F100" s="34">
        <f>IF(OR(3266113.78787="",847.73945="",0.51364=""),"-",(0.51364-847.73945)/3266113.78787*100)</f>
        <v>-2.5939874267286916E-2</v>
      </c>
      <c r="G100" s="34">
        <f>IF(OR(4350574.54459="",555.03893="",0.51364=""),"-",(555.03893-0.51364)/4350574.54459*100)</f>
        <v>1.2746024331190001E-2</v>
      </c>
    </row>
    <row r="101" spans="1:7" x14ac:dyDescent="0.25">
      <c r="A101" s="19" t="s">
        <v>117</v>
      </c>
      <c r="B101" s="20">
        <v>552.85256000000004</v>
      </c>
      <c r="C101" s="34" t="s">
        <v>378</v>
      </c>
      <c r="D101" s="34">
        <f>IF(82.76107="","-",82.76107/4350574.54459*100)</f>
        <v>1.9023020787659998E-3</v>
      </c>
      <c r="E101" s="34">
        <f>IF(552.85256="","-",552.85256/4371623.60554*100)</f>
        <v>1.2646389760074267E-2</v>
      </c>
      <c r="F101" s="34">
        <f>IF(OR(3266113.78787="",113.22028="",82.76107=""),"-",(82.76107-113.22028)/3266113.78787*100)</f>
        <v>-9.3258263423406354E-4</v>
      </c>
      <c r="G101" s="34">
        <f>IF(OR(4350574.54459="",552.85256="",82.76107=""),"-",(552.85256-82.76107)/4350574.54459*100)</f>
        <v>1.0805273767451367E-2</v>
      </c>
    </row>
    <row r="102" spans="1:7" x14ac:dyDescent="0.25">
      <c r="A102" s="19" t="s">
        <v>373</v>
      </c>
      <c r="B102" s="22">
        <v>522.94269999999995</v>
      </c>
      <c r="C102" s="34" t="s">
        <v>318</v>
      </c>
      <c r="D102" s="34">
        <f>IF(220.09883="","-",220.09883/4350574.54459*100)</f>
        <v>5.0590750197280487E-3</v>
      </c>
      <c r="E102" s="34">
        <f>IF(522.9427="","-",522.9427/4371623.60554*100)</f>
        <v>1.196220780163447E-2</v>
      </c>
      <c r="F102" s="34">
        <f>IF(OR(3266113.78787="",414.77334="",220.09883=""),"-",(220.09883-414.77334)/3266113.78787*100)</f>
        <v>-5.9604325704450496E-3</v>
      </c>
      <c r="G102" s="34">
        <f>IF(OR(4350574.54459="",522.9427="",220.09883=""),"-",(522.9427-220.09883)/4350574.54459*100)</f>
        <v>6.9610086414124426E-3</v>
      </c>
    </row>
    <row r="103" spans="1:7" x14ac:dyDescent="0.25">
      <c r="A103" s="19" t="s">
        <v>96</v>
      </c>
      <c r="B103" s="22">
        <v>379.17</v>
      </c>
      <c r="C103" s="34">
        <f>IF(OR(525.70271="",379.17=""),"-",379.17/525.70271*100)</f>
        <v>72.126316411798598</v>
      </c>
      <c r="D103" s="34">
        <f>IF(525.70271="","-",525.70271/4350574.54459*100)</f>
        <v>1.2083523787765426E-2</v>
      </c>
      <c r="E103" s="34">
        <f>IF(379.17="","-",379.17/4371623.60554*100)</f>
        <v>8.673436558433157E-3</v>
      </c>
      <c r="F103" s="34">
        <f>IF(OR(3266113.78787="",207.85608="",525.70271=""),"-",(525.70271-207.85608)/3266113.78787*100)</f>
        <v>9.7316459451121592E-3</v>
      </c>
      <c r="G103" s="34">
        <f>IF(OR(4350574.54459="",379.17="",525.70271=""),"-",(379.17-525.70271)/4350574.54459*100)</f>
        <v>-3.3681231869067837E-3</v>
      </c>
    </row>
    <row r="104" spans="1:7" x14ac:dyDescent="0.25">
      <c r="A104" s="19" t="s">
        <v>112</v>
      </c>
      <c r="B104" s="20">
        <v>361.44909000000001</v>
      </c>
      <c r="C104" s="34" t="s">
        <v>98</v>
      </c>
      <c r="D104" s="34">
        <f>IF(208.89345="","-",208.89345/4350574.54459*100)</f>
        <v>4.8015140956442614E-3</v>
      </c>
      <c r="E104" s="34">
        <f>IF(361.44909="","-",361.44909/4371623.60554*100)</f>
        <v>8.2680743498124744E-3</v>
      </c>
      <c r="F104" s="34">
        <f>IF(OR(3266113.78787="",394.26863="",208.89345=""),"-",(208.89345-394.26863)/3266113.78787*100)</f>
        <v>-5.6757110143701578E-3</v>
      </c>
      <c r="G104" s="34">
        <f>IF(OR(4350574.54459="",361.44909="",208.89345=""),"-",(361.44909-208.89345)/4350574.54459*100)</f>
        <v>3.5065630627960404E-3</v>
      </c>
    </row>
    <row r="105" spans="1:7" x14ac:dyDescent="0.25">
      <c r="A105" s="19" t="s">
        <v>313</v>
      </c>
      <c r="B105" s="20">
        <v>295.80903999999998</v>
      </c>
      <c r="C105" s="34">
        <f>IF(OR(532.74995="",295.80904=""),"-",295.80904/532.74995*100)</f>
        <v>55.524930598304131</v>
      </c>
      <c r="D105" s="34">
        <f>IF(532.74995="","-",532.74995/4350574.54459*100)</f>
        <v>1.2245507910270886E-2</v>
      </c>
      <c r="E105" s="34">
        <f>IF(295.80904="","-",295.80904/4371623.60554*100)</f>
        <v>6.7665715690877854E-3</v>
      </c>
      <c r="F105" s="34">
        <f>IF(OR(3266113.78787="",20.70533="",532.74995=""),"-",(532.74995-20.70533)/3266113.78787*100)</f>
        <v>1.5677488699312295E-2</v>
      </c>
      <c r="G105" s="34">
        <f>IF(OR(4350574.54459="",295.80904="",532.74995=""),"-",(295.80904-532.74995)/4350574.54459*100)</f>
        <v>-5.4461981416831333E-3</v>
      </c>
    </row>
    <row r="106" spans="1:7" x14ac:dyDescent="0.25">
      <c r="A106" s="19" t="s">
        <v>296</v>
      </c>
      <c r="B106" s="22">
        <v>285.45665000000002</v>
      </c>
      <c r="C106" s="34" t="s">
        <v>334</v>
      </c>
      <c r="D106" s="34">
        <f>IF(49.4175="","-",49.4175/4350574.54459*100)</f>
        <v>1.1358844560300971E-3</v>
      </c>
      <c r="E106" s="34">
        <f>IF(285.45665="","-",285.45665/4371623.60554*100)</f>
        <v>6.5297627553811168E-3</v>
      </c>
      <c r="F106" s="34">
        <f>IF(OR(3266113.78787="",52.45783="",49.4175=""),"-",(49.4175-52.45783)/3266113.78787*100)</f>
        <v>-9.3087081389860561E-5</v>
      </c>
      <c r="G106" s="34">
        <f>IF(OR(4350574.54459="",285.45665="",49.4175=""),"-",(285.45665-49.4175)/4350574.54459*100)</f>
        <v>5.4254707643963482E-3</v>
      </c>
    </row>
    <row r="107" spans="1:7" x14ac:dyDescent="0.25">
      <c r="A107" s="19" t="s">
        <v>193</v>
      </c>
      <c r="B107" s="20">
        <v>219.92411999999999</v>
      </c>
      <c r="C107" s="34">
        <f>IF(OR(185.34322="",219.92412=""),"-",219.92412/185.34322*100)</f>
        <v>118.65776368836151</v>
      </c>
      <c r="D107" s="34">
        <f>IF(185.34322="","-",185.34322/4350574.54459*100)</f>
        <v>4.2602009941532177E-3</v>
      </c>
      <c r="E107" s="34">
        <f>IF(219.92412="","-",219.92412/4371623.60554*100)</f>
        <v>5.0307194727674661E-3</v>
      </c>
      <c r="F107" s="34">
        <f>IF(OR(3266113.78787="",42.11537="",185.34322=""),"-",(185.34322-42.11537)/3266113.78787*100)</f>
        <v>4.3852682209644086E-3</v>
      </c>
      <c r="G107" s="34">
        <f>IF(OR(4350574.54459="",219.92412="",185.34322=""),"-",(219.92412-185.34322)/4350574.54459*100)</f>
        <v>7.9485823413833509E-4</v>
      </c>
    </row>
    <row r="108" spans="1:7" x14ac:dyDescent="0.25">
      <c r="A108" s="75" t="s">
        <v>119</v>
      </c>
      <c r="B108" s="22">
        <v>205.06262000000001</v>
      </c>
      <c r="C108" s="34">
        <f>IF(OR(184.40502="",205.06262=""),"-",205.06262/184.40502*100)</f>
        <v>111.20229807192885</v>
      </c>
      <c r="D108" s="34">
        <f>IF(184.40502="","-",184.40502/4350574.54459*100)</f>
        <v>4.2386360263453066E-3</v>
      </c>
      <c r="E108" s="34">
        <f>IF(205.06262="","-",205.06262/4371623.60554*100)</f>
        <v>4.6907656857770553E-3</v>
      </c>
      <c r="F108" s="34">
        <f>IF(OR(3266113.78787="",94.52166="",184.40502=""),"-",(184.40502-94.52166)/3266113.78787*100)</f>
        <v>2.7519972002756688E-3</v>
      </c>
      <c r="G108" s="34">
        <f>IF(OR(4350574.54459="",205.06262="",184.40502=""),"-",(205.06262-184.40502)/4350574.54459*100)</f>
        <v>4.7482464185536177E-4</v>
      </c>
    </row>
    <row r="109" spans="1:7" x14ac:dyDescent="0.25">
      <c r="A109" s="19" t="s">
        <v>101</v>
      </c>
      <c r="B109" s="22">
        <v>200.95943</v>
      </c>
      <c r="C109" s="34">
        <f>IF(OR(347.37981="",200.95943=""),"-",200.95943/347.37981*100)</f>
        <v>57.850060428094544</v>
      </c>
      <c r="D109" s="34">
        <f>IF(347.37981="","-",347.37981/4350574.54459*100)</f>
        <v>7.984688147269459E-3</v>
      </c>
      <c r="E109" s="34">
        <f>IF(200.95943="","-",200.95943/4371623.60554*100)</f>
        <v>4.5969060498559713E-3</v>
      </c>
      <c r="F109" s="34">
        <f>IF(OR(3266113.78787="",216.4014="",347.37981=""),"-",(347.37981-216.4014)/3266113.78787*100)</f>
        <v>4.0102218877505107E-3</v>
      </c>
      <c r="G109" s="34">
        <f>IF(OR(4350574.54459="",200.95943="",347.37981=""),"-",(200.95943-347.37981)/4350574.54459*100)</f>
        <v>-3.3655412290791754E-3</v>
      </c>
    </row>
    <row r="110" spans="1:7" x14ac:dyDescent="0.25">
      <c r="A110" s="19" t="s">
        <v>120</v>
      </c>
      <c r="B110" s="20">
        <v>169.04562999999999</v>
      </c>
      <c r="C110" s="34" t="s">
        <v>90</v>
      </c>
      <c r="D110" s="34">
        <f>IF(79.82256="","-",79.82256/4350574.54459*100)</f>
        <v>1.8347590457738613E-3</v>
      </c>
      <c r="E110" s="34">
        <f>IF(169.04563="","-",169.04563/4371623.60554*100)</f>
        <v>3.8668843718790108E-3</v>
      </c>
      <c r="F110" s="34">
        <f>IF(OR(3266113.78787="",199.42235="",79.82256=""),"-",(79.82256-199.42235)/3266113.78787*100)</f>
        <v>-3.6618378221904249E-3</v>
      </c>
      <c r="G110" s="34">
        <f>IF(OR(4350574.54459="",169.04563="",79.82256=""),"-",(169.04563-79.82256)/4350574.54459*100)</f>
        <v>2.0508341848997883E-3</v>
      </c>
    </row>
    <row r="111" spans="1:7" x14ac:dyDescent="0.25">
      <c r="A111" s="19" t="s">
        <v>57</v>
      </c>
      <c r="B111" s="22">
        <v>157.96044000000001</v>
      </c>
      <c r="C111" s="34">
        <f>IF(OR(338.74204="",157.96044=""),"-",157.96044/338.74204*100)</f>
        <v>46.631483945718699</v>
      </c>
      <c r="D111" s="34">
        <f>IF(338.74204="","-",338.74204/4350574.54459*100)</f>
        <v>7.7861449454125643E-3</v>
      </c>
      <c r="E111" s="34">
        <f>IF(157.96044="","-",157.96044/4371623.60554*100)</f>
        <v>3.6133129073560332E-3</v>
      </c>
      <c r="F111" s="34">
        <f>IF(OR(3266113.78787="",205.82144="",338.74204=""),"-",(338.74204-205.82144)/3266113.78787*100)</f>
        <v>4.0696867480138925E-3</v>
      </c>
      <c r="G111" s="34">
        <f>IF(OR(4350574.54459="",157.96044="",338.74204=""),"-",(157.96044-338.74204)/4350574.54459*100)</f>
        <v>-4.1553500152021168E-3</v>
      </c>
    </row>
    <row r="112" spans="1:7" x14ac:dyDescent="0.25">
      <c r="A112" s="19" t="s">
        <v>297</v>
      </c>
      <c r="B112" s="22">
        <v>131.22982999999999</v>
      </c>
      <c r="C112" s="34" t="s">
        <v>379</v>
      </c>
      <c r="D112" s="34">
        <f>IF(0.07705="","-",0.07705/4350574.54459*100)</f>
        <v>1.7710304515023823E-6</v>
      </c>
      <c r="E112" s="34">
        <f>IF(131.22983="","-",131.22983/4371623.60554*100)</f>
        <v>3.0018556454333625E-3</v>
      </c>
      <c r="F112" s="34">
        <f>IF(OR(3266113.78787="",3.40087="",0.07705=""),"-",(0.07705-3.40087)/3266113.78787*100)</f>
        <v>-1.0176681572896556E-4</v>
      </c>
      <c r="G112" s="34">
        <f>IF(OR(4350574.54459="",131.22983="",0.07705=""),"-",(131.22983-0.07705)/4350574.54459*100)</f>
        <v>3.0146082696845245E-3</v>
      </c>
    </row>
    <row r="113" spans="1:7" x14ac:dyDescent="0.25">
      <c r="A113" s="75" t="s">
        <v>324</v>
      </c>
      <c r="B113" s="22">
        <v>126.04325</v>
      </c>
      <c r="C113" s="34">
        <f>IF(OR(83.79532="",126.04325=""),"-",126.04325/83.79532*100)</f>
        <v>150.41800663807953</v>
      </c>
      <c r="D113" s="34">
        <f>IF(83.79532="","-",83.79532/4350574.54459*100)</f>
        <v>1.9260748009524548E-3</v>
      </c>
      <c r="E113" s="34">
        <f>IF(126.04325="","-",126.04325/4371623.60554*100)</f>
        <v>2.8832136838192099E-3</v>
      </c>
      <c r="F113" s="34">
        <f>IF(OR(3266113.78787="",1.59103="",83.79532=""),"-",(83.79532-1.59103)/3266113.78787*100)</f>
        <v>2.5168838362367536E-3</v>
      </c>
      <c r="G113" s="34">
        <f>IF(OR(4350574.54459="",126.04325="",83.79532=""),"-",(126.04325-83.79532)/4350574.54459*100)</f>
        <v>9.710885209985859E-4</v>
      </c>
    </row>
    <row r="114" spans="1:7" x14ac:dyDescent="0.25">
      <c r="A114" s="19" t="s">
        <v>330</v>
      </c>
      <c r="B114" s="22">
        <v>122.81901000000001</v>
      </c>
      <c r="C114" s="34">
        <f>IF(OR(111.60003="",122.81901=""),"-",122.81901/111.60003*100)</f>
        <v>110.05284675998743</v>
      </c>
      <c r="D114" s="34">
        <f>IF(111.60003="","-",111.60003/4350574.54459*100)</f>
        <v>2.5651791241866249E-3</v>
      </c>
      <c r="E114" s="34">
        <f>IF(122.81901="","-",122.81901/4371623.60554*100)</f>
        <v>2.8094598502111648E-3</v>
      </c>
      <c r="F114" s="34">
        <f>IF(OR(3266113.78787="",19.08884="",111.60003=""),"-",(111.60003-19.08884)/3266113.78787*100)</f>
        <v>2.8324545930878691E-3</v>
      </c>
      <c r="G114" s="34">
        <f>IF(OR(4350574.54459="",122.81901="",111.60003=""),"-",(122.81901-111.60003)/4350574.54459*100)</f>
        <v>2.5787352647366907E-4</v>
      </c>
    </row>
    <row r="115" spans="1:7" x14ac:dyDescent="0.25">
      <c r="A115" s="19" t="s">
        <v>275</v>
      </c>
      <c r="B115" s="22">
        <v>119.21892</v>
      </c>
      <c r="C115" s="34">
        <f>IF(OR(76.05331="",119.21892=""),"-",119.21892/76.05331*100)</f>
        <v>156.75704318457673</v>
      </c>
      <c r="D115" s="34">
        <f>IF(76.05331="","-",76.05331/4350574.54459*100)</f>
        <v>1.748121063563279E-3</v>
      </c>
      <c r="E115" s="34">
        <f>IF(119.21892="","-",119.21892/4371623.60554*100)</f>
        <v>2.7271085243687995E-3</v>
      </c>
      <c r="F115" s="34">
        <f>IF(OR(3266113.78787="",0.83585="",76.05331=""),"-",(76.05331-0.83585)/3266113.78787*100)</f>
        <v>2.3029650797638974E-3</v>
      </c>
      <c r="G115" s="34">
        <f>IF(OR(4350574.54459="",119.21892="",76.05331=""),"-",(119.21892-76.05331)/4350574.54459*100)</f>
        <v>9.9218182696529222E-4</v>
      </c>
    </row>
    <row r="116" spans="1:7" x14ac:dyDescent="0.25">
      <c r="A116" s="19" t="s">
        <v>316</v>
      </c>
      <c r="B116" s="22">
        <v>114.01769</v>
      </c>
      <c r="C116" s="34">
        <f>IF(OR(106.7026="",114.01769=""),"-",114.01769/106.7026*100)</f>
        <v>106.85558739899497</v>
      </c>
      <c r="D116" s="34">
        <f>IF(106.7026="","-",106.7026/4350574.54459*100)</f>
        <v>2.452609394607114E-3</v>
      </c>
      <c r="E116" s="34">
        <f>IF(114.01769="","-",114.01769/4371623.60554*100)</f>
        <v>2.6081314469870993E-3</v>
      </c>
      <c r="F116" s="34">
        <f>IF(OR(3266113.78787="",80.63134="",106.7026=""),"-",(106.7026-80.63134)/3266113.78787*100)</f>
        <v>7.9823489606595775E-4</v>
      </c>
      <c r="G116" s="34">
        <f>IF(OR(4350574.54459="",114.01769="",106.7026=""),"-",(114.01769-106.7026)/4350574.54459*100)</f>
        <v>1.681407806032519E-4</v>
      </c>
    </row>
    <row r="117" spans="1:7" x14ac:dyDescent="0.25">
      <c r="A117" s="19" t="s">
        <v>321</v>
      </c>
      <c r="B117" s="22">
        <v>92.155670000000001</v>
      </c>
      <c r="C117" s="34" t="s">
        <v>380</v>
      </c>
      <c r="D117" s="34">
        <f>IF(0.96429="","-",0.96429/4350574.54459*100)</f>
        <v>2.2164658716148376E-5</v>
      </c>
      <c r="E117" s="34">
        <f>IF(92.15567="","-",92.15567/4371623.60554*100)</f>
        <v>2.1080421901651016E-3</v>
      </c>
      <c r="F117" s="34">
        <f>IF(OR(3266113.78787="",1.13188="",0.96429=""),"-",(0.96429-1.13188)/3266113.78787*100)</f>
        <v>-5.1311745666183302E-6</v>
      </c>
      <c r="G117" s="34">
        <f>IF(OR(4350574.54459="",92.15567="",0.96429=""),"-",(92.15567-0.96429)/4350574.54459*100)</f>
        <v>2.0960767150489984E-3</v>
      </c>
    </row>
    <row r="118" spans="1:7" x14ac:dyDescent="0.25">
      <c r="A118" s="19" t="s">
        <v>369</v>
      </c>
      <c r="B118" s="20">
        <v>77.128460000000004</v>
      </c>
      <c r="C118" s="34">
        <f>IF(OR(54.02348="",77.12846=""),"-",77.12846/54.02348*100)</f>
        <v>142.7684036644807</v>
      </c>
      <c r="D118" s="34">
        <f>IF(54.02348="","-",54.02348/4350574.54459*100)</f>
        <v>1.2417550704234904E-3</v>
      </c>
      <c r="E118" s="34">
        <f>IF(77.12846="","-",77.12846/4371623.60554*100)</f>
        <v>1.7642978206599924E-3</v>
      </c>
      <c r="F118" s="34">
        <f>IF(OR(3266113.78787="",55.73514="",54.02348=""),"-",(54.02348-55.73514)/3266113.78787*100)</f>
        <v>-5.2406624850515791E-5</v>
      </c>
      <c r="G118" s="34">
        <f>IF(OR(4350574.54459="",77.12846="",54.02348=""),"-",(77.12846-54.02348)/4350574.54459*100)</f>
        <v>5.3107882104287511E-4</v>
      </c>
    </row>
    <row r="119" spans="1:7" x14ac:dyDescent="0.25">
      <c r="A119" s="19" t="s">
        <v>315</v>
      </c>
      <c r="B119" s="22">
        <v>76.022810000000007</v>
      </c>
      <c r="C119" s="34" t="s">
        <v>381</v>
      </c>
      <c r="D119" s="34">
        <f>IF(21.86584="","-",21.86584/4350574.54459*100)</f>
        <v>5.0259660594002408E-4</v>
      </c>
      <c r="E119" s="34">
        <f>IF(76.02281="","-",76.02281/4371623.60554*100)</f>
        <v>1.7390063019986227E-3</v>
      </c>
      <c r="F119" s="34">
        <f>IF(OR(3266113.78787="",91.76643="",21.86584=""),"-",(21.86584-91.76643)/3266113.78787*100)</f>
        <v>-2.1401762014417063E-3</v>
      </c>
      <c r="G119" s="34">
        <f>IF(OR(4350574.54459="",76.02281="",21.86584=""),"-",(76.02281-21.86584)/4350574.54459*100)</f>
        <v>1.2448234007930044E-3</v>
      </c>
    </row>
    <row r="120" spans="1:7" x14ac:dyDescent="0.25">
      <c r="A120" s="19" t="s">
        <v>314</v>
      </c>
      <c r="B120" s="22">
        <v>75.185599999999994</v>
      </c>
      <c r="C120" s="34" t="s">
        <v>336</v>
      </c>
      <c r="D120" s="34">
        <f>IF(1.64603="","-",1.64603/4350574.54459*100)</f>
        <v>3.7834772927793211E-5</v>
      </c>
      <c r="E120" s="34">
        <f>IF(75.1856="","-",75.1856/4371623.60554*100)</f>
        <v>1.7198552936881395E-3</v>
      </c>
      <c r="F120" s="34">
        <f>IF(OR(3266113.78787="",22.19524="",1.64603=""),"-",(1.64603-22.19524)/3266113.78787*100)</f>
        <v>-6.2916393410167098E-4</v>
      </c>
      <c r="G120" s="34">
        <f>IF(OR(4350574.54459="",75.1856="",1.64603=""),"-",(75.1856-1.64603)/4350574.54459*100)</f>
        <v>1.6903415685968989E-3</v>
      </c>
    </row>
    <row r="121" spans="1:7" x14ac:dyDescent="0.25">
      <c r="A121" s="19" t="s">
        <v>323</v>
      </c>
      <c r="B121" s="20">
        <v>74.115970000000004</v>
      </c>
      <c r="C121" s="34" t="s">
        <v>382</v>
      </c>
      <c r="D121" s="34">
        <f>IF(0.00739="","-",0.00739/4350574.54459*100)</f>
        <v>1.6986262214928757E-7</v>
      </c>
      <c r="E121" s="34">
        <f>IF(74.11597="","-",74.11597/4371623.60554*100)</f>
        <v>1.6953877251938052E-3</v>
      </c>
      <c r="F121" s="34">
        <f>IF(OR(3266113.78787="",98.96047="",0.00739=""),"-",(0.00739-98.96047)/3266113.78787*100)</f>
        <v>-3.0296886889703977E-3</v>
      </c>
      <c r="G121" s="34">
        <f>IF(OR(4350574.54459="",74.11597="",0.00739=""),"-",(74.11597-0.00739)/4350574.54459*100)</f>
        <v>1.7034205307929972E-3</v>
      </c>
    </row>
    <row r="122" spans="1:7" x14ac:dyDescent="0.25">
      <c r="A122" s="19" t="s">
        <v>331</v>
      </c>
      <c r="B122" s="22">
        <v>65.256990000000002</v>
      </c>
      <c r="C122" s="34">
        <f>IF(OR(104.59751="",65.25699=""),"-",65.25699/104.59751*100)</f>
        <v>62.388664892692006</v>
      </c>
      <c r="D122" s="34">
        <f>IF(104.59751="","-",104.59751/4350574.54459*100)</f>
        <v>2.4042229118926019E-3</v>
      </c>
      <c r="E122" s="34">
        <f>IF(65.25699="","-",65.25699/4371623.60554*100)</f>
        <v>1.4927403612081834E-3</v>
      </c>
      <c r="F122" s="34">
        <f>IF(OR(3266113.78787="",53.92962="",104.59751=""),"-",(104.59751-53.92962)/3266113.78787*100)</f>
        <v>1.5513204159688242E-3</v>
      </c>
      <c r="G122" s="34">
        <f>IF(OR(4350574.54459="",65.25699="",104.59751=""),"-",(65.25699-104.59751)/4350574.54459*100)</f>
        <v>-9.0426033611860489E-4</v>
      </c>
    </row>
    <row r="123" spans="1:7" x14ac:dyDescent="0.25">
      <c r="A123" s="19" t="s">
        <v>370</v>
      </c>
      <c r="B123" s="22">
        <v>63.329009999999997</v>
      </c>
      <c r="C123" s="34">
        <f>IF(OR(80.1971="",63.32901=""),"-",63.32901/80.1971*100)</f>
        <v>78.966708272493634</v>
      </c>
      <c r="D123" s="34">
        <f>IF(80.1971="","-",80.1971/4350574.54459*100)</f>
        <v>1.8433680236493409E-3</v>
      </c>
      <c r="E123" s="34">
        <f>IF(63.32901="","-",63.32901/4371623.60554*100)</f>
        <v>1.4486382112070546E-3</v>
      </c>
      <c r="F123" s="34">
        <f>IF(OR(3266113.78787="",30.30531="",80.1971=""),"-",(80.1971-30.30531)/3266113.78787*100)</f>
        <v>1.5275582309867103E-3</v>
      </c>
      <c r="G123" s="34">
        <f>IF(OR(4350574.54459="",63.32901="",80.1971=""),"-",(63.32901-80.1971)/4350574.54459*100)</f>
        <v>-3.8772097402573445E-4</v>
      </c>
    </row>
    <row r="124" spans="1:7" x14ac:dyDescent="0.25">
      <c r="A124" s="19" t="s">
        <v>332</v>
      </c>
      <c r="B124" s="20">
        <v>52.532919999999997</v>
      </c>
      <c r="C124" s="34">
        <f>IF(OR(70.02582="",52.53292=""),"-",52.53292/70.02582*100)</f>
        <v>75.019357145692837</v>
      </c>
      <c r="D124" s="34">
        <f>IF(70.02582="","-",70.02582/4350574.54459*100)</f>
        <v>1.6095763739315322E-3</v>
      </c>
      <c r="E124" s="34">
        <f>IF(52.53292="","-",52.53292/4371623.60554*100)</f>
        <v>1.201679850328993E-3</v>
      </c>
      <c r="F124" s="34">
        <f>IF(OR(3266113.78787="",31.28226="",70.02582=""),"-",(70.02582-31.28226)/3266113.78787*100)</f>
        <v>1.1862281143997329E-3</v>
      </c>
      <c r="G124" s="34">
        <f>IF(OR(4350574.54459="",52.53292="",70.02582=""),"-",(52.53292-70.02582)/4350574.54459*100)</f>
        <v>-4.0208252543914375E-4</v>
      </c>
    </row>
    <row r="125" spans="1:7" x14ac:dyDescent="0.25">
      <c r="A125" s="35" t="s">
        <v>333</v>
      </c>
      <c r="B125" s="36">
        <v>51.474960000000003</v>
      </c>
      <c r="C125" s="37">
        <f>IF(OR(33.72541="",51.47496=""),"-",51.47496/33.72541*100)</f>
        <v>152.62960479946724</v>
      </c>
      <c r="D125" s="37">
        <f>IF(33.72541="","-",33.72541/4350574.54459*100)</f>
        <v>7.7519439454124548E-4</v>
      </c>
      <c r="E125" s="37">
        <f>IF(51.47496="","-",51.47496/4371623.60554*100)</f>
        <v>1.1774792307088758E-3</v>
      </c>
      <c r="F125" s="37">
        <f>IF(OR(3266113.78787="",67.26627="",33.72541=""),"-",(33.72541-67.26627)/3266113.78787*100)</f>
        <v>-1.0269348277015702E-3</v>
      </c>
      <c r="G125" s="37">
        <f>IF(OR(4350574.54459="",51.47496="",33.72541=""),"-",(51.47496-33.72541)/4350574.54459*100)</f>
        <v>4.0798174627468037E-4</v>
      </c>
    </row>
    <row r="126" spans="1:7" s="29" customFormat="1" ht="11.25" x14ac:dyDescent="0.2">
      <c r="A126" s="10" t="s">
        <v>269</v>
      </c>
      <c r="B126" s="11"/>
      <c r="C126" s="12"/>
      <c r="D126" s="11"/>
      <c r="E126" s="11"/>
      <c r="F126" s="28"/>
      <c r="G126" s="28"/>
    </row>
    <row r="127" spans="1:7" s="29" customFormat="1" ht="11.25" x14ac:dyDescent="0.2">
      <c r="A127" s="80" t="s">
        <v>354</v>
      </c>
      <c r="B127" s="80"/>
      <c r="C127" s="80"/>
      <c r="D127" s="80"/>
      <c r="E127" s="80"/>
      <c r="F127" s="28"/>
      <c r="G127" s="28"/>
    </row>
  </sheetData>
  <mergeCells count="7">
    <mergeCell ref="A127:E127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41"/>
  <sheetViews>
    <sheetView workbookViewId="0">
      <selection sqref="A1:D1"/>
    </sheetView>
  </sheetViews>
  <sheetFormatPr defaultRowHeight="15.75" x14ac:dyDescent="0.25"/>
  <cols>
    <col min="1" max="1" width="48.25" style="44" customWidth="1"/>
    <col min="2" max="2" width="14.125" style="44" customWidth="1"/>
    <col min="3" max="3" width="14" style="44" customWidth="1"/>
    <col min="4" max="4" width="13.125" style="44" customWidth="1"/>
  </cols>
  <sheetData>
    <row r="1" spans="1:4" x14ac:dyDescent="0.25">
      <c r="A1" s="91" t="s">
        <v>384</v>
      </c>
      <c r="B1" s="91"/>
      <c r="C1" s="91"/>
      <c r="D1" s="91"/>
    </row>
    <row r="2" spans="1:4" x14ac:dyDescent="0.25">
      <c r="A2" s="92"/>
      <c r="B2" s="92"/>
      <c r="C2" s="92"/>
      <c r="D2" s="92"/>
    </row>
    <row r="3" spans="1:4" ht="69" customHeight="1" x14ac:dyDescent="0.25">
      <c r="A3" s="40"/>
      <c r="B3" s="40" t="s">
        <v>342</v>
      </c>
      <c r="C3" s="41" t="s">
        <v>343</v>
      </c>
      <c r="D3" s="41" t="s">
        <v>414</v>
      </c>
    </row>
    <row r="4" spans="1:4" s="27" customFormat="1" ht="16.5" customHeight="1" x14ac:dyDescent="0.2">
      <c r="A4" s="9" t="s">
        <v>306</v>
      </c>
      <c r="B4" s="45">
        <v>-2059185.63503</v>
      </c>
      <c r="C4" s="45">
        <v>-2329398.3018100001</v>
      </c>
      <c r="D4" s="45">
        <f>IF(-2059185.63503="","-",-2329398.30181/-2059185.63503*100)</f>
        <v>113.12230729387656</v>
      </c>
    </row>
    <row r="5" spans="1:4" x14ac:dyDescent="0.25">
      <c r="A5" s="31" t="s">
        <v>118</v>
      </c>
      <c r="B5" s="42"/>
      <c r="C5" s="42"/>
      <c r="D5" s="42"/>
    </row>
    <row r="6" spans="1:4" x14ac:dyDescent="0.25">
      <c r="A6" s="17" t="s">
        <v>290</v>
      </c>
      <c r="B6" s="33">
        <v>-587181.88731000002</v>
      </c>
      <c r="C6" s="33">
        <v>-862661.75905999995</v>
      </c>
      <c r="D6" s="33">
        <f>IF(-587181.88731="","-",-862661.75906/-587181.88731*100)</f>
        <v>146.91559424832218</v>
      </c>
    </row>
    <row r="7" spans="1:4" x14ac:dyDescent="0.25">
      <c r="A7" s="19" t="s">
        <v>3</v>
      </c>
      <c r="B7" s="34">
        <v>-158829.36111</v>
      </c>
      <c r="C7" s="34">
        <v>-193420.57498</v>
      </c>
      <c r="D7" s="34">
        <f>IF(OR(-158829.36111="",-193420.57498="",-158829.36111=0),"-",-193420.57498/-158829.36111*100)</f>
        <v>121.77885349928674</v>
      </c>
    </row>
    <row r="8" spans="1:4" x14ac:dyDescent="0.25">
      <c r="A8" s="19" t="s">
        <v>4</v>
      </c>
      <c r="B8" s="34">
        <v>-82095.398860000001</v>
      </c>
      <c r="C8" s="34">
        <v>-91672.35</v>
      </c>
      <c r="D8" s="34">
        <f>IF(OR(-82095.39886="",-91672.35="",-82095.39886=0),"-",-91672.35/-82095.39886*100)</f>
        <v>111.6656368968155</v>
      </c>
    </row>
    <row r="9" spans="1:4" x14ac:dyDescent="0.25">
      <c r="A9" s="19" t="s">
        <v>2</v>
      </c>
      <c r="B9" s="34">
        <v>-33438.347800000003</v>
      </c>
      <c r="C9" s="34">
        <v>-89531.2399</v>
      </c>
      <c r="D9" s="34" t="s">
        <v>293</v>
      </c>
    </row>
    <row r="10" spans="1:4" x14ac:dyDescent="0.25">
      <c r="A10" s="19" t="s">
        <v>276</v>
      </c>
      <c r="B10" s="34">
        <v>-79573.501529999994</v>
      </c>
      <c r="C10" s="34">
        <v>-88361.095430000001</v>
      </c>
      <c r="D10" s="34">
        <f>IF(OR(-79573.50153="",-88361.09543="",-79573.50153=0),"-",-88361.09543/-79573.50153*100)</f>
        <v>111.043367114726</v>
      </c>
    </row>
    <row r="11" spans="1:4" x14ac:dyDescent="0.25">
      <c r="A11" s="19" t="s">
        <v>39</v>
      </c>
      <c r="B11" s="34">
        <v>-65200.900269999998</v>
      </c>
      <c r="C11" s="34">
        <v>-72172.544479999997</v>
      </c>
      <c r="D11" s="34">
        <f>IF(OR(-65200.90027="",-72172.54448="",-65200.90027=0),"-",-72172.54448/-65200.90027*100)</f>
        <v>110.69255820261699</v>
      </c>
    </row>
    <row r="12" spans="1:4" x14ac:dyDescent="0.25">
      <c r="A12" s="19" t="s">
        <v>7</v>
      </c>
      <c r="B12" s="34">
        <v>-2344.41005</v>
      </c>
      <c r="C12" s="34">
        <v>-54461.203849999998</v>
      </c>
      <c r="D12" s="34" t="s">
        <v>385</v>
      </c>
    </row>
    <row r="13" spans="1:4" x14ac:dyDescent="0.25">
      <c r="A13" s="19" t="s">
        <v>5</v>
      </c>
      <c r="B13" s="34">
        <v>48267.70463</v>
      </c>
      <c r="C13" s="34">
        <v>-47803.484199999999</v>
      </c>
      <c r="D13" s="34" t="s">
        <v>19</v>
      </c>
    </row>
    <row r="14" spans="1:4" x14ac:dyDescent="0.25">
      <c r="A14" s="19" t="s">
        <v>6</v>
      </c>
      <c r="B14" s="34">
        <v>-29689.974740000001</v>
      </c>
      <c r="C14" s="34">
        <v>-38680.479440000003</v>
      </c>
      <c r="D14" s="34">
        <f>IF(OR(-29689.97474="",-38680.47944="",-29689.97474=0),"-",-38680.47944/-29689.97474*100)</f>
        <v>130.28128106787335</v>
      </c>
    </row>
    <row r="15" spans="1:4" x14ac:dyDescent="0.25">
      <c r="A15" s="19" t="s">
        <v>1</v>
      </c>
      <c r="B15" s="34">
        <v>-38376.347159999998</v>
      </c>
      <c r="C15" s="34">
        <v>-35801.621590000002</v>
      </c>
      <c r="D15" s="34">
        <f>IF(OR(-38376.34716="",-35801.62159="",-38376.34716=0),"-",-35801.62159/-38376.34716*100)</f>
        <v>93.29085293275736</v>
      </c>
    </row>
    <row r="16" spans="1:4" x14ac:dyDescent="0.25">
      <c r="A16" s="19" t="s">
        <v>41</v>
      </c>
      <c r="B16" s="34">
        <v>-18932.910950000001</v>
      </c>
      <c r="C16" s="34">
        <v>-35025.380510000003</v>
      </c>
      <c r="D16" s="34" t="s">
        <v>100</v>
      </c>
    </row>
    <row r="17" spans="1:4" x14ac:dyDescent="0.25">
      <c r="A17" s="19" t="s">
        <v>289</v>
      </c>
      <c r="B17" s="34">
        <v>848.02427999999998</v>
      </c>
      <c r="C17" s="34">
        <v>-23499.738560000002</v>
      </c>
      <c r="D17" s="34" t="s">
        <v>19</v>
      </c>
    </row>
    <row r="18" spans="1:4" x14ac:dyDescent="0.25">
      <c r="A18" s="19" t="s">
        <v>38</v>
      </c>
      <c r="B18" s="34">
        <v>-15695.887989999999</v>
      </c>
      <c r="C18" s="34">
        <v>-21391.123019999999</v>
      </c>
      <c r="D18" s="34">
        <f>IF(OR(-15695.88799="",-21391.12302="",-15695.88799=0),"-",-21391.12302/-15695.88799*100)</f>
        <v>136.28488578427985</v>
      </c>
    </row>
    <row r="19" spans="1:4" x14ac:dyDescent="0.25">
      <c r="A19" s="19" t="s">
        <v>47</v>
      </c>
      <c r="B19" s="34">
        <v>-15794.026690000001</v>
      </c>
      <c r="C19" s="34">
        <v>-20839.977200000001</v>
      </c>
      <c r="D19" s="34">
        <f>IF(OR(-15794.02669="",-20839.9772="",-15794.02669=0),"-",-20839.9772/-15794.02669*100)</f>
        <v>131.94847399615227</v>
      </c>
    </row>
    <row r="20" spans="1:4" x14ac:dyDescent="0.25">
      <c r="A20" s="19" t="s">
        <v>37</v>
      </c>
      <c r="B20" s="34">
        <v>-39744.393450000003</v>
      </c>
      <c r="C20" s="34">
        <v>-19485.504710000001</v>
      </c>
      <c r="D20" s="34">
        <f>IF(OR(-39744.39345="",-19485.50471="",-39744.39345=0),"-",-19485.50471/-39744.39345*100)</f>
        <v>49.027052669739504</v>
      </c>
    </row>
    <row r="21" spans="1:4" x14ac:dyDescent="0.25">
      <c r="A21" s="19" t="s">
        <v>48</v>
      </c>
      <c r="B21" s="34">
        <v>563.77755000000002</v>
      </c>
      <c r="C21" s="34">
        <v>-16385.68145</v>
      </c>
      <c r="D21" s="34" t="s">
        <v>19</v>
      </c>
    </row>
    <row r="22" spans="1:4" x14ac:dyDescent="0.25">
      <c r="A22" s="19" t="s">
        <v>49</v>
      </c>
      <c r="B22" s="34">
        <v>-14581.31761</v>
      </c>
      <c r="C22" s="34">
        <v>-15843.124320000001</v>
      </c>
      <c r="D22" s="34">
        <f>IF(OR(-14581.31761="",-15843.12432="",-14581.31761=0),"-",-15843.12432/-14581.31761*100)</f>
        <v>108.65358497598766</v>
      </c>
    </row>
    <row r="23" spans="1:4" x14ac:dyDescent="0.25">
      <c r="A23" s="19" t="s">
        <v>46</v>
      </c>
      <c r="B23" s="34">
        <v>-9757.7041000000008</v>
      </c>
      <c r="C23" s="34">
        <v>-8954.9884600000005</v>
      </c>
      <c r="D23" s="34">
        <f>IF(OR(-9757.7041="",-8954.98846="",-9757.7041=0),"-",-8954.98846/-9757.7041*100)</f>
        <v>91.773519346625804</v>
      </c>
    </row>
    <row r="24" spans="1:4" x14ac:dyDescent="0.25">
      <c r="A24" s="19" t="s">
        <v>45</v>
      </c>
      <c r="B24" s="34">
        <v>-9679.1717399999998</v>
      </c>
      <c r="C24" s="34">
        <v>-7893.8829599999999</v>
      </c>
      <c r="D24" s="34">
        <f>IF(OR(-9679.17174="",-7893.88296="",-9679.17174=0),"-",-7893.88296/-9679.17174*100)</f>
        <v>81.555355892466068</v>
      </c>
    </row>
    <row r="25" spans="1:4" x14ac:dyDescent="0.25">
      <c r="A25" s="19" t="s">
        <v>42</v>
      </c>
      <c r="B25" s="34">
        <v>-6485.4609899999996</v>
      </c>
      <c r="C25" s="34">
        <v>-5389.6747599999999</v>
      </c>
      <c r="D25" s="34">
        <f>IF(OR(-6485.46099="",-5389.67476="",-6485.46099=0),"-",-5389.67476/-6485.46099*100)</f>
        <v>83.103957734236573</v>
      </c>
    </row>
    <row r="26" spans="1:4" x14ac:dyDescent="0.25">
      <c r="A26" s="19" t="s">
        <v>50</v>
      </c>
      <c r="B26" s="34">
        <v>-4255.8712299999997</v>
      </c>
      <c r="C26" s="34">
        <v>-3245.2979700000001</v>
      </c>
      <c r="D26" s="34">
        <f>IF(OR(-4255.87123="",-3245.29797="",-4255.87123=0),"-",-3245.29797/-4255.87123*100)</f>
        <v>76.254609094457976</v>
      </c>
    </row>
    <row r="27" spans="1:4" x14ac:dyDescent="0.25">
      <c r="A27" s="19" t="s">
        <v>43</v>
      </c>
      <c r="B27" s="34">
        <v>-1183.78781</v>
      </c>
      <c r="C27" s="34">
        <v>-1407.46442</v>
      </c>
      <c r="D27" s="34">
        <f>IF(OR(-1183.78781="",-1407.46442="",-1183.78781=0),"-",-1407.46442/-1183.78781*100)</f>
        <v>118.89499183134855</v>
      </c>
    </row>
    <row r="28" spans="1:4" x14ac:dyDescent="0.25">
      <c r="A28" s="19" t="s">
        <v>51</v>
      </c>
      <c r="B28" s="34">
        <v>-1285.1273200000001</v>
      </c>
      <c r="C28" s="34">
        <v>-942.46957999999995</v>
      </c>
      <c r="D28" s="34">
        <f>IF(OR(-1285.12732="",-942.46958="",-1285.12732=0),"-",-942.46958/-1285.12732*100)</f>
        <v>73.336669863963351</v>
      </c>
    </row>
    <row r="29" spans="1:4" x14ac:dyDescent="0.25">
      <c r="A29" s="19" t="s">
        <v>52</v>
      </c>
      <c r="B29" s="34">
        <v>-22.846309999999999</v>
      </c>
      <c r="C29" s="34">
        <v>-21.25562</v>
      </c>
      <c r="D29" s="34">
        <f>IF(OR(-22.84631="",-21.25562="",-22.84631=0),"-",-21.25562/-22.84631*100)</f>
        <v>93.037431427657253</v>
      </c>
    </row>
    <row r="30" spans="1:4" ht="14.25" customHeight="1" x14ac:dyDescent="0.25">
      <c r="A30" s="19" t="s">
        <v>383</v>
      </c>
      <c r="B30" s="34">
        <v>-75.584540000000004</v>
      </c>
      <c r="C30" s="34">
        <v>-2.7730899999999998</v>
      </c>
      <c r="D30" s="34">
        <f>IF(OR(-75.58454="",-2.77309="",-75.58454=0),"-",-2.77309/-75.58454*100)</f>
        <v>3.6688587375143111</v>
      </c>
    </row>
    <row r="31" spans="1:4" x14ac:dyDescent="0.25">
      <c r="A31" s="19" t="s">
        <v>277</v>
      </c>
      <c r="B31" s="34">
        <v>-3771.9187900000002</v>
      </c>
      <c r="C31" s="34">
        <v>566.25377000000003</v>
      </c>
      <c r="D31" s="34" t="s">
        <v>19</v>
      </c>
    </row>
    <row r="32" spans="1:4" ht="16.5" customHeight="1" x14ac:dyDescent="0.25">
      <c r="A32" s="19" t="s">
        <v>40</v>
      </c>
      <c r="B32" s="34">
        <v>-3219.25405</v>
      </c>
      <c r="C32" s="34">
        <v>3430.4283300000002</v>
      </c>
      <c r="D32" s="34" t="s">
        <v>19</v>
      </c>
    </row>
    <row r="33" spans="1:4" x14ac:dyDescent="0.25">
      <c r="A33" s="19" t="s">
        <v>283</v>
      </c>
      <c r="B33" s="34">
        <v>-14216.03025</v>
      </c>
      <c r="C33" s="34">
        <v>4288.2048000000004</v>
      </c>
      <c r="D33" s="34" t="s">
        <v>19</v>
      </c>
    </row>
    <row r="34" spans="1:4" x14ac:dyDescent="0.25">
      <c r="A34" s="19" t="s">
        <v>44</v>
      </c>
      <c r="B34" s="34">
        <v>11388.14157</v>
      </c>
      <c r="C34" s="34">
        <v>21286.284540000001</v>
      </c>
      <c r="D34" s="34" t="s">
        <v>100</v>
      </c>
    </row>
    <row r="35" spans="1:4" x14ac:dyDescent="0.25">
      <c r="A35" s="17" t="s">
        <v>189</v>
      </c>
      <c r="B35" s="33">
        <v>-743737.50071000005</v>
      </c>
      <c r="C35" s="33">
        <v>-366019.10668000003</v>
      </c>
      <c r="D35" s="33">
        <f>IF(-743737.50071="","-",-366019.10668/-743737.50071*100)</f>
        <v>49.213480069323424</v>
      </c>
    </row>
    <row r="36" spans="1:4" x14ac:dyDescent="0.25">
      <c r="A36" s="19" t="s">
        <v>9</v>
      </c>
      <c r="B36" s="34">
        <v>-150411.86395999999</v>
      </c>
      <c r="C36" s="34">
        <v>-210893.96786999999</v>
      </c>
      <c r="D36" s="34">
        <f>IF(OR(-150411.86396="",-210893.96787="",-150411.86396=0),"-",-210893.96787/-150411.86396*100)</f>
        <v>140.21099288157507</v>
      </c>
    </row>
    <row r="37" spans="1:4" x14ac:dyDescent="0.25">
      <c r="A37" s="19" t="s">
        <v>278</v>
      </c>
      <c r="B37" s="34">
        <v>-546737.13662</v>
      </c>
      <c r="C37" s="34">
        <v>-117031.72934999999</v>
      </c>
      <c r="D37" s="34">
        <f>IF(OR(-546737.13662="",-117031.72935="",-546737.13662=0),"-",-117031.72935/-546737.13662*100)</f>
        <v>21.405483826012873</v>
      </c>
    </row>
    <row r="38" spans="1:4" x14ac:dyDescent="0.25">
      <c r="A38" s="19" t="s">
        <v>10</v>
      </c>
      <c r="B38" s="34">
        <v>-3817.28647</v>
      </c>
      <c r="C38" s="34">
        <v>-25118.033630000002</v>
      </c>
      <c r="D38" s="34" t="s">
        <v>386</v>
      </c>
    </row>
    <row r="39" spans="1:4" x14ac:dyDescent="0.25">
      <c r="A39" s="19" t="s">
        <v>11</v>
      </c>
      <c r="B39" s="34">
        <v>-6971.2470999999996</v>
      </c>
      <c r="C39" s="34">
        <v>-11240.131820000001</v>
      </c>
      <c r="D39" s="34" t="s">
        <v>99</v>
      </c>
    </row>
    <row r="40" spans="1:4" x14ac:dyDescent="0.25">
      <c r="A40" s="19" t="s">
        <v>13</v>
      </c>
      <c r="B40" s="34">
        <v>-4013.67382</v>
      </c>
      <c r="C40" s="34">
        <v>-9728.9679199999991</v>
      </c>
      <c r="D40" s="34" t="s">
        <v>318</v>
      </c>
    </row>
    <row r="41" spans="1:4" x14ac:dyDescent="0.25">
      <c r="A41" s="19" t="s">
        <v>12</v>
      </c>
      <c r="B41" s="34">
        <v>-5649.4663700000001</v>
      </c>
      <c r="C41" s="34">
        <v>-806.13975000000005</v>
      </c>
      <c r="D41" s="34">
        <f>IF(OR(-5649.46637="",-806.13975="",-5649.46637=0),"-",-806.13975/-5649.46637*100)</f>
        <v>14.269307881551299</v>
      </c>
    </row>
    <row r="42" spans="1:4" x14ac:dyDescent="0.25">
      <c r="A42" s="19" t="s">
        <v>14</v>
      </c>
      <c r="B42" s="34">
        <v>54.502380000000002</v>
      </c>
      <c r="C42" s="34">
        <v>32.219090000000001</v>
      </c>
      <c r="D42" s="34">
        <f>IF(OR(54.50238="",32.21909="",54.50238=0),"-",32.21909/54.50238*100)</f>
        <v>59.115014793849376</v>
      </c>
    </row>
    <row r="43" spans="1:4" x14ac:dyDescent="0.25">
      <c r="A43" s="19" t="s">
        <v>15</v>
      </c>
      <c r="B43" s="34">
        <v>41.649030000000003</v>
      </c>
      <c r="C43" s="34">
        <v>112.27042</v>
      </c>
      <c r="D43" s="34" t="s">
        <v>293</v>
      </c>
    </row>
    <row r="44" spans="1:4" x14ac:dyDescent="0.25">
      <c r="A44" s="19" t="s">
        <v>284</v>
      </c>
      <c r="B44" s="34">
        <v>-2378.09402</v>
      </c>
      <c r="C44" s="34">
        <v>2973.08808</v>
      </c>
      <c r="D44" s="34" t="s">
        <v>19</v>
      </c>
    </row>
    <row r="45" spans="1:4" x14ac:dyDescent="0.25">
      <c r="A45" s="19" t="s">
        <v>8</v>
      </c>
      <c r="B45" s="34">
        <v>-23854.883760000001</v>
      </c>
      <c r="C45" s="34">
        <v>5682.2860700000001</v>
      </c>
      <c r="D45" s="34" t="s">
        <v>19</v>
      </c>
    </row>
    <row r="46" spans="1:4" x14ac:dyDescent="0.25">
      <c r="A46" s="17" t="s">
        <v>124</v>
      </c>
      <c r="B46" s="33">
        <v>-728266.24701000005</v>
      </c>
      <c r="C46" s="33">
        <v>-1100717.4360700001</v>
      </c>
      <c r="D46" s="33">
        <f>IF(-728266.24701="","-",-1100717.43607/-728266.24701*100)</f>
        <v>151.14217370215232</v>
      </c>
    </row>
    <row r="47" spans="1:4" x14ac:dyDescent="0.25">
      <c r="A47" s="19" t="s">
        <v>56</v>
      </c>
      <c r="B47" s="34">
        <f>IF(-405589.9898="","-",-405589.9898)</f>
        <v>-405589.98979999998</v>
      </c>
      <c r="C47" s="34">
        <v>-457122.44961000001</v>
      </c>
      <c r="D47" s="34">
        <f>IF(OR(-405589.9898="",-457122.44961="",-405589.9898=0),"-",-457122.44961/-405589.9898*100)</f>
        <v>112.70555514336316</v>
      </c>
    </row>
    <row r="48" spans="1:4" x14ac:dyDescent="0.25">
      <c r="A48" s="19" t="s">
        <v>53</v>
      </c>
      <c r="B48" s="43">
        <v>-96618.772889999993</v>
      </c>
      <c r="C48" s="34">
        <v>-297336.69451</v>
      </c>
      <c r="D48" s="34" t="s">
        <v>288</v>
      </c>
    </row>
    <row r="49" spans="1:4" x14ac:dyDescent="0.25">
      <c r="A49" s="19" t="s">
        <v>66</v>
      </c>
      <c r="B49" s="34">
        <v>-112446.72404</v>
      </c>
      <c r="C49" s="34">
        <v>-108128.48304000001</v>
      </c>
      <c r="D49" s="34">
        <f>IF(OR(-112446.72404="",-108128.48304="",-112446.72404=0),"-",-108128.48304/-112446.72404*100)</f>
        <v>96.159744948671076</v>
      </c>
    </row>
    <row r="50" spans="1:4" x14ac:dyDescent="0.25">
      <c r="A50" s="19" t="s">
        <v>72</v>
      </c>
      <c r="B50" s="34">
        <v>-27208.933099999998</v>
      </c>
      <c r="C50" s="34">
        <v>-43746.695310000003</v>
      </c>
      <c r="D50" s="34" t="s">
        <v>99</v>
      </c>
    </row>
    <row r="51" spans="1:4" x14ac:dyDescent="0.25">
      <c r="A51" s="19" t="s">
        <v>16</v>
      </c>
      <c r="B51" s="34">
        <v>-48785.080439999998</v>
      </c>
      <c r="C51" s="34">
        <v>-29938.924569999999</v>
      </c>
      <c r="D51" s="34">
        <f>IF(OR(-48785.08044="",-29938.92457="",-48785.08044=0),"-",-29938.92457/-48785.08044*100)</f>
        <v>61.369017535640658</v>
      </c>
    </row>
    <row r="52" spans="1:4" x14ac:dyDescent="0.25">
      <c r="A52" s="19" t="s">
        <v>33</v>
      </c>
      <c r="B52" s="34">
        <v>-29013.024160000001</v>
      </c>
      <c r="C52" s="34">
        <v>-27543.58124</v>
      </c>
      <c r="D52" s="34">
        <f>IF(OR(-29013.02416="",-27543.58124="",-29013.02416=0),"-",-27543.58124/-29013.02416*100)</f>
        <v>94.935230081854385</v>
      </c>
    </row>
    <row r="53" spans="1:4" x14ac:dyDescent="0.25">
      <c r="A53" s="21" t="s">
        <v>68</v>
      </c>
      <c r="B53" s="43">
        <v>-18992.515479999998</v>
      </c>
      <c r="C53" s="43">
        <v>-24176.290850000001</v>
      </c>
      <c r="D53" s="34">
        <f>IF(OR(-18992.51548="",-24176.29085="",-18992.51548=0),"-",-24176.29085/-18992.51548*100)</f>
        <v>127.29377988639135</v>
      </c>
    </row>
    <row r="54" spans="1:4" x14ac:dyDescent="0.25">
      <c r="A54" s="19" t="s">
        <v>59</v>
      </c>
      <c r="B54" s="34">
        <v>-6526.0700100000004</v>
      </c>
      <c r="C54" s="34">
        <v>-19380.287069999998</v>
      </c>
      <c r="D54" s="34" t="s">
        <v>367</v>
      </c>
    </row>
    <row r="55" spans="1:4" x14ac:dyDescent="0.25">
      <c r="A55" s="19" t="s">
        <v>75</v>
      </c>
      <c r="B55" s="34">
        <v>-11285.89157</v>
      </c>
      <c r="C55" s="34">
        <v>-17549.881359999999</v>
      </c>
      <c r="D55" s="34">
        <f>IF(OR(-11285.89157="",-17549.8813599999="",-11285.89157=0),"-",-17549.8813599999/-11285.89157*100)</f>
        <v>155.50283512071616</v>
      </c>
    </row>
    <row r="56" spans="1:4" x14ac:dyDescent="0.25">
      <c r="A56" s="19" t="s">
        <v>280</v>
      </c>
      <c r="B56" s="34">
        <v>1441.71991</v>
      </c>
      <c r="C56" s="34">
        <v>-17060.096699999998</v>
      </c>
      <c r="D56" s="34" t="s">
        <v>19</v>
      </c>
    </row>
    <row r="57" spans="1:4" x14ac:dyDescent="0.25">
      <c r="A57" s="19" t="s">
        <v>63</v>
      </c>
      <c r="B57" s="43">
        <v>-11459.387650000001</v>
      </c>
      <c r="C57" s="34">
        <v>-10970.76993</v>
      </c>
      <c r="D57" s="34">
        <f>IF(OR(-11459.38765="",-10970.76993="",-11459.38765=0),"-",-10970.76993/-11459.38765*100)</f>
        <v>95.736092233514754</v>
      </c>
    </row>
    <row r="58" spans="1:4" x14ac:dyDescent="0.25">
      <c r="A58" s="19" t="s">
        <v>285</v>
      </c>
      <c r="B58" s="34">
        <v>-9406.4228899999998</v>
      </c>
      <c r="C58" s="34">
        <v>-10737.621139999999</v>
      </c>
      <c r="D58" s="34">
        <f>IF(OR(-9406.42289="",-10737.62114="",-9406.42289=0),"-",-10737.62114/-9406.42289*100)</f>
        <v>114.15201363544054</v>
      </c>
    </row>
    <row r="59" spans="1:4" x14ac:dyDescent="0.25">
      <c r="A59" s="19" t="s">
        <v>67</v>
      </c>
      <c r="B59" s="34">
        <v>-6504.0640100000001</v>
      </c>
      <c r="C59" s="34">
        <v>-8118.2234900000003</v>
      </c>
      <c r="D59" s="34">
        <f>IF(OR(-6504.06401="",-8118.22349="",-6504.06401=0),"-",-8118.22349/-6504.06401*100)</f>
        <v>124.81770593767574</v>
      </c>
    </row>
    <row r="60" spans="1:4" x14ac:dyDescent="0.25">
      <c r="A60" s="19" t="s">
        <v>78</v>
      </c>
      <c r="B60" s="43">
        <v>-6649.0083400000003</v>
      </c>
      <c r="C60" s="34">
        <v>-6878.2452800000001</v>
      </c>
      <c r="D60" s="34">
        <f>IF(OR(-6649.00834="",-6878.24528="",-6649.00834=0),"-",-6878.24528/-6649.00834*100)</f>
        <v>103.44768615525604</v>
      </c>
    </row>
    <row r="61" spans="1:4" x14ac:dyDescent="0.25">
      <c r="A61" s="19" t="s">
        <v>74</v>
      </c>
      <c r="B61" s="34">
        <v>-6422.23362</v>
      </c>
      <c r="C61" s="34">
        <v>-6223.2473</v>
      </c>
      <c r="D61" s="34">
        <f>IF(OR(-6422.23362="",-6223.2473="",-6422.23362=0),"-",-6223.2473/-6422.23362*100)</f>
        <v>96.90160259227693</v>
      </c>
    </row>
    <row r="62" spans="1:4" x14ac:dyDescent="0.25">
      <c r="A62" s="19" t="s">
        <v>79</v>
      </c>
      <c r="B62" s="34">
        <v>-5060.9032200000001</v>
      </c>
      <c r="C62" s="34">
        <v>-6081.1816900000003</v>
      </c>
      <c r="D62" s="34">
        <f>IF(OR(-5060.90322="",-6081.18169="",-5060.90322=0),"-",-6081.18169/-5060.90322*100)</f>
        <v>120.16000752529703</v>
      </c>
    </row>
    <row r="63" spans="1:4" x14ac:dyDescent="0.25">
      <c r="A63" s="19" t="s">
        <v>80</v>
      </c>
      <c r="B63" s="34">
        <v>-3397.9222799999998</v>
      </c>
      <c r="C63" s="34">
        <v>-6008.1694399999997</v>
      </c>
      <c r="D63" s="34" t="s">
        <v>188</v>
      </c>
    </row>
    <row r="64" spans="1:4" x14ac:dyDescent="0.25">
      <c r="A64" s="19" t="s">
        <v>70</v>
      </c>
      <c r="B64" s="34">
        <v>-9642.9942800000008</v>
      </c>
      <c r="C64" s="34">
        <v>-5927.3709099999996</v>
      </c>
      <c r="D64" s="34">
        <f>IF(OR(-9642.99428="",-5927.37091="",-9642.99428=0),"-",-5927.37091/-9642.99428*100)</f>
        <v>61.468157481889527</v>
      </c>
    </row>
    <row r="65" spans="1:4" x14ac:dyDescent="0.25">
      <c r="A65" s="19" t="s">
        <v>62</v>
      </c>
      <c r="B65" s="34">
        <v>-4317.90085</v>
      </c>
      <c r="C65" s="34">
        <v>-4282.58979</v>
      </c>
      <c r="D65" s="34">
        <f>IF(OR(-4317.90085="",-4282.58979="",-4317.90085=0),"-",-4282.58979/-4317.90085*100)</f>
        <v>99.182216979345412</v>
      </c>
    </row>
    <row r="66" spans="1:4" x14ac:dyDescent="0.25">
      <c r="A66" s="19" t="s">
        <v>58</v>
      </c>
      <c r="B66" s="34">
        <v>-5859.3572700000004</v>
      </c>
      <c r="C66" s="34">
        <v>-4224.3748299999997</v>
      </c>
      <c r="D66" s="34">
        <f>IF(OR(-5859.35727="",-4224.37483="",-5859.35727=0),"-",-4224.37483/-5859.35727*100)</f>
        <v>72.096215256046321</v>
      </c>
    </row>
    <row r="67" spans="1:4" x14ac:dyDescent="0.25">
      <c r="A67" s="19" t="s">
        <v>36</v>
      </c>
      <c r="B67" s="34">
        <v>-1168.7068400000001</v>
      </c>
      <c r="C67" s="34">
        <v>-3835.9376299999999</v>
      </c>
      <c r="D67" s="34" t="s">
        <v>374</v>
      </c>
    </row>
    <row r="68" spans="1:4" x14ac:dyDescent="0.25">
      <c r="A68" s="19" t="s">
        <v>77</v>
      </c>
      <c r="B68" s="34">
        <v>-748.58339999999998</v>
      </c>
      <c r="C68" s="34">
        <v>-3570.6869299999998</v>
      </c>
      <c r="D68" s="34" t="s">
        <v>387</v>
      </c>
    </row>
    <row r="69" spans="1:4" x14ac:dyDescent="0.25">
      <c r="A69" s="19" t="s">
        <v>116</v>
      </c>
      <c r="B69" s="34">
        <v>-1084.1013800000001</v>
      </c>
      <c r="C69" s="34">
        <v>-3489.1730200000002</v>
      </c>
      <c r="D69" s="34" t="s">
        <v>328</v>
      </c>
    </row>
    <row r="70" spans="1:4" x14ac:dyDescent="0.25">
      <c r="A70" s="19" t="s">
        <v>279</v>
      </c>
      <c r="B70" s="34">
        <v>36033.203860000001</v>
      </c>
      <c r="C70" s="34">
        <v>-3217.2242900000001</v>
      </c>
      <c r="D70" s="34" t="s">
        <v>19</v>
      </c>
    </row>
    <row r="71" spans="1:4" x14ac:dyDescent="0.25">
      <c r="A71" s="19" t="s">
        <v>86</v>
      </c>
      <c r="B71" s="43">
        <v>-542.45447999999999</v>
      </c>
      <c r="C71" s="34">
        <v>-2980.8514</v>
      </c>
      <c r="D71" s="34" t="s">
        <v>322</v>
      </c>
    </row>
    <row r="72" spans="1:4" x14ac:dyDescent="0.25">
      <c r="A72" s="19" t="s">
        <v>76</v>
      </c>
      <c r="B72" s="34">
        <v>-2511.3839200000002</v>
      </c>
      <c r="C72" s="34">
        <v>-2874.7061800000001</v>
      </c>
      <c r="D72" s="34">
        <f>IF(OR(-2511.38392="",-2874.70618="",-2511.38392=0),"-",-2874.70618/-2511.38392*100)</f>
        <v>114.46701386859242</v>
      </c>
    </row>
    <row r="73" spans="1:4" x14ac:dyDescent="0.25">
      <c r="A73" s="19" t="s">
        <v>81</v>
      </c>
      <c r="B73" s="34">
        <v>-2030.81844</v>
      </c>
      <c r="C73" s="34">
        <v>-2809.5703400000002</v>
      </c>
      <c r="D73" s="34">
        <f>IF(OR(-2030.81844="",-2809.57034="",-2030.81844=0),"-",-2809.57034/-2030.81844*100)</f>
        <v>138.34670222907766</v>
      </c>
    </row>
    <row r="74" spans="1:4" x14ac:dyDescent="0.25">
      <c r="A74" s="19" t="s">
        <v>84</v>
      </c>
      <c r="B74" s="34">
        <f>IF(-1565.09474="","-",-1565.09474)</f>
        <v>-1565.09474</v>
      </c>
      <c r="C74" s="34">
        <v>-2700.6271000000002</v>
      </c>
      <c r="D74" s="34" t="s">
        <v>98</v>
      </c>
    </row>
    <row r="75" spans="1:4" x14ac:dyDescent="0.25">
      <c r="A75" s="19" t="s">
        <v>69</v>
      </c>
      <c r="B75" s="34">
        <v>34763.760699999999</v>
      </c>
      <c r="C75" s="34">
        <v>-2161.8632299999999</v>
      </c>
      <c r="D75" s="34" t="s">
        <v>19</v>
      </c>
    </row>
    <row r="76" spans="1:4" x14ac:dyDescent="0.25">
      <c r="A76" s="19" t="s">
        <v>281</v>
      </c>
      <c r="B76" s="34">
        <v>-906.79733999999996</v>
      </c>
      <c r="C76" s="34">
        <v>-2149.5622899999998</v>
      </c>
      <c r="D76" s="34" t="s">
        <v>318</v>
      </c>
    </row>
    <row r="77" spans="1:4" x14ac:dyDescent="0.25">
      <c r="A77" s="19" t="s">
        <v>97</v>
      </c>
      <c r="B77" s="34">
        <v>165.65192999999999</v>
      </c>
      <c r="C77" s="34">
        <v>-1656.0487700000001</v>
      </c>
      <c r="D77" s="34" t="s">
        <v>19</v>
      </c>
    </row>
    <row r="78" spans="1:4" x14ac:dyDescent="0.25">
      <c r="A78" s="19" t="s">
        <v>85</v>
      </c>
      <c r="B78" s="34">
        <v>-1372.8633299999999</v>
      </c>
      <c r="C78" s="34">
        <v>-1618.2049400000001</v>
      </c>
      <c r="D78" s="34">
        <f>IF(OR(-1372.86333="",-1618.20494="",-1372.86333=0),"-",-1618.20494/-1372.86333*100)</f>
        <v>117.87079635960561</v>
      </c>
    </row>
    <row r="79" spans="1:4" x14ac:dyDescent="0.25">
      <c r="A79" s="19" t="s">
        <v>92</v>
      </c>
      <c r="B79" s="34">
        <v>-1155.9494400000001</v>
      </c>
      <c r="C79" s="34">
        <v>-1569.34521</v>
      </c>
      <c r="D79" s="34">
        <f>IF(OR(-1155.94944="",-1569.34521="",-1155.94944=0),"-",-1569.34521/-1155.94944*100)</f>
        <v>135.76244390066054</v>
      </c>
    </row>
    <row r="80" spans="1:4" x14ac:dyDescent="0.25">
      <c r="A80" s="19" t="s">
        <v>83</v>
      </c>
      <c r="B80" s="34">
        <v>-1566.5549100000001</v>
      </c>
      <c r="C80" s="34">
        <v>-1451.7748200000001</v>
      </c>
      <c r="D80" s="34">
        <f>IF(OR(-1566.55491="",-1451.77482="",-1566.55491=0),"-",-1451.77482/-1566.55491*100)</f>
        <v>92.673088618387467</v>
      </c>
    </row>
    <row r="81" spans="1:4" x14ac:dyDescent="0.25">
      <c r="A81" s="19" t="s">
        <v>64</v>
      </c>
      <c r="B81" s="34">
        <v>2791.42076</v>
      </c>
      <c r="C81" s="34">
        <v>-1106.39508</v>
      </c>
      <c r="D81" s="34" t="s">
        <v>19</v>
      </c>
    </row>
    <row r="82" spans="1:4" x14ac:dyDescent="0.25">
      <c r="A82" s="19" t="s">
        <v>128</v>
      </c>
      <c r="B82" s="34">
        <f>IF(-726.82931="","-",-726.82931)</f>
        <v>-726.82930999999996</v>
      </c>
      <c r="C82" s="34">
        <v>-961.36189999999999</v>
      </c>
      <c r="D82" s="34">
        <f>IF(OR(-726.82931="",-961.3619="",-726.82931=0),"-",-961.3619/-726.82931*100)</f>
        <v>132.2679048262377</v>
      </c>
    </row>
    <row r="83" spans="1:4" x14ac:dyDescent="0.25">
      <c r="A83" s="19" t="s">
        <v>286</v>
      </c>
      <c r="B83" s="34">
        <v>-747.20231999999999</v>
      </c>
      <c r="C83" s="34">
        <v>-949.60784999999998</v>
      </c>
      <c r="D83" s="34">
        <f>IF(OR(-747.20232="",-949.60785="",-747.20232=0),"-",-949.60785/-747.20232*100)</f>
        <v>127.08845042129954</v>
      </c>
    </row>
    <row r="84" spans="1:4" x14ac:dyDescent="0.25">
      <c r="A84" s="19" t="s">
        <v>61</v>
      </c>
      <c r="B84" s="34">
        <v>-595.50818000000004</v>
      </c>
      <c r="C84" s="34">
        <v>-845.35572999999999</v>
      </c>
      <c r="D84" s="34">
        <f>IF(OR(-595.50818="",-845.35573="",-595.50818=0),"-",-845.35573/-595.50818*100)</f>
        <v>141.95535147812745</v>
      </c>
    </row>
    <row r="85" spans="1:4" x14ac:dyDescent="0.25">
      <c r="A85" s="19" t="s">
        <v>89</v>
      </c>
      <c r="B85" s="34">
        <v>-465.43430999999998</v>
      </c>
      <c r="C85" s="34">
        <v>-668.83173999999997</v>
      </c>
      <c r="D85" s="34">
        <f>IF(OR(-465.43431="",-668.83174="",-465.43431=0),"-",-668.83174/-465.43431*100)</f>
        <v>143.70056646661911</v>
      </c>
    </row>
    <row r="86" spans="1:4" x14ac:dyDescent="0.25">
      <c r="A86" s="19" t="s">
        <v>309</v>
      </c>
      <c r="B86" s="34">
        <v>-817.61275000000001</v>
      </c>
      <c r="C86" s="34">
        <v>-613.03666999999996</v>
      </c>
      <c r="D86" s="34">
        <f>IF(OR(-817.61275="",-613.03667="",-817.61275=0),"-",-613.03667/-817.61275*100)</f>
        <v>74.978853986804879</v>
      </c>
    </row>
    <row r="87" spans="1:4" x14ac:dyDescent="0.25">
      <c r="A87" s="19" t="s">
        <v>87</v>
      </c>
      <c r="B87" s="34">
        <v>-856.22131999999999</v>
      </c>
      <c r="C87" s="34">
        <v>-537.99491999999998</v>
      </c>
      <c r="D87" s="34">
        <f>IF(OR(-856.22132="",-537.99492="",-856.22132=0),"-",-537.99492/-856.22132*100)</f>
        <v>62.833628109143561</v>
      </c>
    </row>
    <row r="88" spans="1:4" x14ac:dyDescent="0.25">
      <c r="A88" s="19" t="s">
        <v>373</v>
      </c>
      <c r="B88" s="34">
        <v>-220.09882999999999</v>
      </c>
      <c r="C88" s="34">
        <v>-522.94269999999995</v>
      </c>
      <c r="D88" s="34" t="s">
        <v>318</v>
      </c>
    </row>
    <row r="89" spans="1:4" x14ac:dyDescent="0.25">
      <c r="A89" s="19" t="s">
        <v>372</v>
      </c>
      <c r="B89" s="34">
        <v>2620.9955199999999</v>
      </c>
      <c r="C89" s="34">
        <v>-515.26275999999996</v>
      </c>
      <c r="D89" s="34" t="s">
        <v>19</v>
      </c>
    </row>
    <row r="90" spans="1:4" x14ac:dyDescent="0.25">
      <c r="A90" s="19" t="s">
        <v>353</v>
      </c>
      <c r="B90" s="34">
        <v>-702.06618000000003</v>
      </c>
      <c r="C90" s="34">
        <v>-501.85951999999997</v>
      </c>
      <c r="D90" s="34">
        <f>IF(OR(-702.06618="",-501.85952="",-702.06618=0),"-",-501.85952/-702.06618*100)</f>
        <v>71.483221140206467</v>
      </c>
    </row>
    <row r="91" spans="1:4" x14ac:dyDescent="0.25">
      <c r="A91" s="19" t="s">
        <v>88</v>
      </c>
      <c r="B91" s="34">
        <v>-574.80732999999998</v>
      </c>
      <c r="C91" s="34">
        <v>-443.77967999999998</v>
      </c>
      <c r="D91" s="34">
        <f>IF(OR(-574.80733="",-443.77968="",-574.80733=0),"-",-443.77968/-574.80733*100)</f>
        <v>77.204944481135968</v>
      </c>
    </row>
    <row r="92" spans="1:4" x14ac:dyDescent="0.25">
      <c r="A92" s="19" t="s">
        <v>93</v>
      </c>
      <c r="B92" s="34">
        <v>-187.48139</v>
      </c>
      <c r="C92" s="34">
        <v>-428.29023999999998</v>
      </c>
      <c r="D92" s="34" t="s">
        <v>294</v>
      </c>
    </row>
    <row r="93" spans="1:4" x14ac:dyDescent="0.25">
      <c r="A93" s="19" t="s">
        <v>112</v>
      </c>
      <c r="B93" s="34">
        <v>-208.89345</v>
      </c>
      <c r="C93" s="34">
        <v>-361.44909000000001</v>
      </c>
      <c r="D93" s="34" t="s">
        <v>98</v>
      </c>
    </row>
    <row r="94" spans="1:4" x14ac:dyDescent="0.25">
      <c r="A94" s="19" t="s">
        <v>35</v>
      </c>
      <c r="B94" s="34">
        <v>-681.36622</v>
      </c>
      <c r="C94" s="34">
        <v>-350.72453999999999</v>
      </c>
      <c r="D94" s="34">
        <f>IF(OR(-681.36622="",-350.72454="",-681.36622=0),"-",-350.72454/-681.36622*100)</f>
        <v>51.473719962225303</v>
      </c>
    </row>
    <row r="95" spans="1:4" x14ac:dyDescent="0.25">
      <c r="A95" s="19" t="s">
        <v>313</v>
      </c>
      <c r="B95" s="34">
        <v>-532.74995000000001</v>
      </c>
      <c r="C95" s="34">
        <v>-295.80903999999998</v>
      </c>
      <c r="D95" s="34">
        <f>IF(OR(-532.74995="",-295.80904="",-532.74995=0),"-",-295.80904/-532.74995*100)</f>
        <v>55.524930598304131</v>
      </c>
    </row>
    <row r="96" spans="1:4" x14ac:dyDescent="0.25">
      <c r="A96" s="19" t="s">
        <v>296</v>
      </c>
      <c r="B96" s="34">
        <v>-18.676349999999999</v>
      </c>
      <c r="C96" s="34">
        <v>-259.83165000000002</v>
      </c>
      <c r="D96" s="34" t="s">
        <v>388</v>
      </c>
    </row>
    <row r="97" spans="1:4" x14ac:dyDescent="0.25">
      <c r="A97" s="21" t="s">
        <v>119</v>
      </c>
      <c r="B97" s="43">
        <v>-184.40502000000001</v>
      </c>
      <c r="C97" s="43">
        <v>-205.06262000000001</v>
      </c>
      <c r="D97" s="34">
        <f>IF(OR(-184.40502="",-205.06262="",-184.40502=0),"-",-205.06262/-184.40502*100)</f>
        <v>111.20229807192885</v>
      </c>
    </row>
    <row r="98" spans="1:4" x14ac:dyDescent="0.25">
      <c r="A98" s="19" t="s">
        <v>82</v>
      </c>
      <c r="B98" s="34">
        <v>-987.57763999999997</v>
      </c>
      <c r="C98" s="34">
        <v>-204.87236999999999</v>
      </c>
      <c r="D98" s="34">
        <f>IF(OR(-987.57764="",-204.87237="",-987.57764=0),"-",-204.87237/-987.57764*100)</f>
        <v>20.744938089120772</v>
      </c>
    </row>
    <row r="99" spans="1:4" x14ac:dyDescent="0.25">
      <c r="A99" s="19" t="s">
        <v>96</v>
      </c>
      <c r="B99" s="34">
        <v>-427.75950999999998</v>
      </c>
      <c r="C99" s="34">
        <v>-174.83337</v>
      </c>
      <c r="D99" s="34">
        <f>IF(OR(-427.75951="",-174.83337="",-427.75951=0),"-",-174.83337/-427.75951*100)</f>
        <v>40.871883830239106</v>
      </c>
    </row>
    <row r="100" spans="1:4" x14ac:dyDescent="0.25">
      <c r="A100" s="19" t="s">
        <v>120</v>
      </c>
      <c r="B100" s="34">
        <f>IF(58.1559="","-",58.1559)</f>
        <v>58.155900000000003</v>
      </c>
      <c r="C100" s="34">
        <v>-168.97962999999999</v>
      </c>
      <c r="D100" s="34" t="s">
        <v>19</v>
      </c>
    </row>
    <row r="101" spans="1:4" x14ac:dyDescent="0.25">
      <c r="A101" s="21" t="s">
        <v>324</v>
      </c>
      <c r="B101" s="43">
        <v>-83.795320000000004</v>
      </c>
      <c r="C101" s="43">
        <v>-126.04325</v>
      </c>
      <c r="D101" s="34">
        <f>IF(OR(-83.79532="",-126.04325="",-83.79532=0),"-",-126.04325/-83.79532*100)</f>
        <v>150.41800663807953</v>
      </c>
    </row>
    <row r="102" spans="1:4" x14ac:dyDescent="0.25">
      <c r="A102" s="19" t="s">
        <v>330</v>
      </c>
      <c r="B102" s="34">
        <v>-111.60003</v>
      </c>
      <c r="C102" s="34">
        <v>-122.81901000000001</v>
      </c>
      <c r="D102" s="34">
        <f>IF(OR(-111.60003="",-122.81901="",-111.60003=0),"-",-122.81901/-111.60003*100)</f>
        <v>110.05284675998743</v>
      </c>
    </row>
    <row r="103" spans="1:4" x14ac:dyDescent="0.25">
      <c r="A103" s="19" t="s">
        <v>275</v>
      </c>
      <c r="B103" s="34">
        <v>-76.053309999999996</v>
      </c>
      <c r="C103" s="34">
        <v>-119.21892</v>
      </c>
      <c r="D103" s="34">
        <f>IF(OR(-76.05331="",-119.21892="",-76.05331=0),"-",-119.21892/-76.05331*100)</f>
        <v>156.75704318457673</v>
      </c>
    </row>
    <row r="104" spans="1:4" x14ac:dyDescent="0.25">
      <c r="A104" s="19" t="s">
        <v>316</v>
      </c>
      <c r="B104" s="34">
        <v>-106.7026</v>
      </c>
      <c r="C104" s="34">
        <v>-114.01769</v>
      </c>
      <c r="D104" s="34">
        <f>IF(OR(-106.7026="",-114.01769="",-106.7026=0),"-",-114.01769/-106.7026*100)</f>
        <v>106.85558739899497</v>
      </c>
    </row>
    <row r="105" spans="1:4" x14ac:dyDescent="0.25">
      <c r="A105" s="19" t="s">
        <v>117</v>
      </c>
      <c r="B105" s="34">
        <v>212.54324</v>
      </c>
      <c r="C105" s="34">
        <v>-77.149469999999994</v>
      </c>
      <c r="D105" s="34" t="s">
        <v>19</v>
      </c>
    </row>
    <row r="106" spans="1:4" x14ac:dyDescent="0.25">
      <c r="A106" s="19" t="s">
        <v>369</v>
      </c>
      <c r="B106" s="34">
        <v>-23.715669999999999</v>
      </c>
      <c r="C106" s="34">
        <v>-77.128460000000004</v>
      </c>
      <c r="D106" s="34" t="s">
        <v>374</v>
      </c>
    </row>
    <row r="107" spans="1:4" x14ac:dyDescent="0.25">
      <c r="A107" s="19" t="s">
        <v>315</v>
      </c>
      <c r="B107" s="34">
        <v>-21.865839999999999</v>
      </c>
      <c r="C107" s="34">
        <v>-76.022810000000007</v>
      </c>
      <c r="D107" s="34" t="s">
        <v>381</v>
      </c>
    </row>
    <row r="108" spans="1:4" x14ac:dyDescent="0.25">
      <c r="A108" s="19" t="s">
        <v>314</v>
      </c>
      <c r="B108" s="34">
        <v>-1.6460300000000001</v>
      </c>
      <c r="C108" s="34">
        <v>-75.185599999999994</v>
      </c>
      <c r="D108" s="34" t="s">
        <v>336</v>
      </c>
    </row>
    <row r="109" spans="1:4" x14ac:dyDescent="0.25">
      <c r="A109" s="19" t="s">
        <v>323</v>
      </c>
      <c r="B109" s="34">
        <v>-7.3899999999999999E-3</v>
      </c>
      <c r="C109" s="34">
        <v>-74.115970000000004</v>
      </c>
      <c r="D109" s="34" t="s">
        <v>382</v>
      </c>
    </row>
    <row r="110" spans="1:4" x14ac:dyDescent="0.25">
      <c r="A110" s="19" t="s">
        <v>331</v>
      </c>
      <c r="B110" s="34">
        <v>-104.28453</v>
      </c>
      <c r="C110" s="34">
        <v>-65.256990000000002</v>
      </c>
      <c r="D110" s="34">
        <f>IF(OR(-104.28453="",-65.25699="",-104.28453=0),"-",-65.25699/-104.28453*100)</f>
        <v>62.575906512691773</v>
      </c>
    </row>
    <row r="111" spans="1:4" x14ac:dyDescent="0.25">
      <c r="A111" s="19" t="s">
        <v>370</v>
      </c>
      <c r="B111" s="34">
        <v>98.501990000000006</v>
      </c>
      <c r="C111" s="34">
        <v>-62.52308</v>
      </c>
      <c r="D111" s="34" t="s">
        <v>19</v>
      </c>
    </row>
    <row r="112" spans="1:4" x14ac:dyDescent="0.25">
      <c r="A112" s="19" t="s">
        <v>297</v>
      </c>
      <c r="B112" s="34">
        <v>44.686039999999998</v>
      </c>
      <c r="C112" s="34">
        <v>-54.836019999999998</v>
      </c>
      <c r="D112" s="34" t="s">
        <v>19</v>
      </c>
    </row>
    <row r="113" spans="1:4" x14ac:dyDescent="0.25">
      <c r="A113" s="19" t="s">
        <v>332</v>
      </c>
      <c r="B113" s="34">
        <v>-70.025819999999996</v>
      </c>
      <c r="C113" s="34">
        <v>-52.532919999999997</v>
      </c>
      <c r="D113" s="34">
        <f>IF(OR(-70.02582="",-52.53292="",-70.02582=0),"-",-52.53292/-70.02582*100)</f>
        <v>75.019357145692837</v>
      </c>
    </row>
    <row r="114" spans="1:4" x14ac:dyDescent="0.25">
      <c r="A114" s="19" t="s">
        <v>333</v>
      </c>
      <c r="B114" s="34">
        <v>-33.725409999999997</v>
      </c>
      <c r="C114" s="34">
        <v>-51.474960000000003</v>
      </c>
      <c r="D114" s="34">
        <f>IF(OR(-33.72541="",-51.47496="",-33.72541=0),"-",-51.47496/-33.72541*100)</f>
        <v>152.62960479946724</v>
      </c>
    </row>
    <row r="115" spans="1:4" x14ac:dyDescent="0.25">
      <c r="A115" s="19" t="s">
        <v>312</v>
      </c>
      <c r="B115" s="34">
        <v>-175.24554000000001</v>
      </c>
      <c r="C115" s="34">
        <v>50.55</v>
      </c>
      <c r="D115" s="34" t="s">
        <v>19</v>
      </c>
    </row>
    <row r="116" spans="1:4" x14ac:dyDescent="0.25">
      <c r="A116" s="19" t="s">
        <v>352</v>
      </c>
      <c r="B116" s="34">
        <v>-19.94669</v>
      </c>
      <c r="C116" s="34">
        <v>81.133759999999995</v>
      </c>
      <c r="D116" s="34" t="s">
        <v>19</v>
      </c>
    </row>
    <row r="117" spans="1:4" x14ac:dyDescent="0.25">
      <c r="A117" s="19" t="s">
        <v>310</v>
      </c>
      <c r="B117" s="34">
        <v>107.54342</v>
      </c>
      <c r="C117" s="34">
        <v>86.155519999999996</v>
      </c>
      <c r="D117" s="34">
        <f>IF(OR(107.54342="",86.15552="",107.54342=0),"-",86.15552/107.54342*100)</f>
        <v>80.112311845764253</v>
      </c>
    </row>
    <row r="118" spans="1:4" x14ac:dyDescent="0.25">
      <c r="A118" s="19" t="s">
        <v>311</v>
      </c>
      <c r="B118" s="43">
        <v>38.475380000000001</v>
      </c>
      <c r="C118" s="34">
        <v>116.59757</v>
      </c>
      <c r="D118" s="34" t="s">
        <v>367</v>
      </c>
    </row>
    <row r="119" spans="1:4" x14ac:dyDescent="0.25">
      <c r="A119" s="19" t="s">
        <v>122</v>
      </c>
      <c r="B119" s="34">
        <v>195.93392</v>
      </c>
      <c r="C119" s="34">
        <v>119.48184000000001</v>
      </c>
      <c r="D119" s="34">
        <f>IF(OR(195.93392="",119.48184="",195.93392=0),"-",119.48184/195.93392*100)</f>
        <v>60.980681650221669</v>
      </c>
    </row>
    <row r="120" spans="1:4" x14ac:dyDescent="0.25">
      <c r="A120" s="19" t="s">
        <v>351</v>
      </c>
      <c r="B120" s="34" t="s">
        <v>299</v>
      </c>
      <c r="C120" s="34">
        <v>162.27208999999999</v>
      </c>
      <c r="D120" s="34" t="str">
        <f>IF(OR(0="",162.27209="",0=0),"-",162.27209/0*100)</f>
        <v>-</v>
      </c>
    </row>
    <row r="121" spans="1:4" x14ac:dyDescent="0.25">
      <c r="A121" s="19" t="s">
        <v>320</v>
      </c>
      <c r="B121" s="34">
        <v>39.533410000000003</v>
      </c>
      <c r="C121" s="34">
        <v>164.60524000000001</v>
      </c>
      <c r="D121" s="34" t="s">
        <v>303</v>
      </c>
    </row>
    <row r="122" spans="1:4" x14ac:dyDescent="0.25">
      <c r="A122" s="19" t="s">
        <v>113</v>
      </c>
      <c r="B122" s="34">
        <v>219.78758999999999</v>
      </c>
      <c r="C122" s="34">
        <v>170.37058999999999</v>
      </c>
      <c r="D122" s="34">
        <f>IF(OR(219.78759="",170.37059="",219.78759=0),"-",170.37059/219.78759*100)</f>
        <v>77.516018989061209</v>
      </c>
    </row>
    <row r="123" spans="1:4" x14ac:dyDescent="0.25">
      <c r="A123" s="19" t="s">
        <v>301</v>
      </c>
      <c r="B123" s="34" t="s">
        <v>299</v>
      </c>
      <c r="C123" s="34">
        <v>175.10164</v>
      </c>
      <c r="D123" s="34" t="str">
        <f>IF(OR(0="",175.10164="",0=0),"-",175.10164/0*100)</f>
        <v>-</v>
      </c>
    </row>
    <row r="124" spans="1:4" x14ac:dyDescent="0.25">
      <c r="A124" s="19" t="s">
        <v>91</v>
      </c>
      <c r="B124" s="34">
        <v>724.80465000000004</v>
      </c>
      <c r="C124" s="34">
        <v>207.12123</v>
      </c>
      <c r="D124" s="34">
        <f>IF(OR(724.80465="",207.12123="",724.80465=0),"-",207.12123/724.80465*100)</f>
        <v>28.57614531032603</v>
      </c>
    </row>
    <row r="125" spans="1:4" x14ac:dyDescent="0.25">
      <c r="A125" s="21" t="s">
        <v>350</v>
      </c>
      <c r="B125" s="43">
        <v>176.90536</v>
      </c>
      <c r="C125" s="43">
        <v>215.64302000000001</v>
      </c>
      <c r="D125" s="34">
        <f>IF(OR(176.90536="",215.64302="",176.90536=0),"-",215.64302/176.90536*100)</f>
        <v>121.89739191622007</v>
      </c>
    </row>
    <row r="126" spans="1:4" x14ac:dyDescent="0.25">
      <c r="A126" s="19" t="s">
        <v>305</v>
      </c>
      <c r="B126" s="34">
        <v>3.5811700000000002</v>
      </c>
      <c r="C126" s="34">
        <v>259.03831000000002</v>
      </c>
      <c r="D126" s="34" t="s">
        <v>338</v>
      </c>
    </row>
    <row r="127" spans="1:4" x14ac:dyDescent="0.25">
      <c r="A127" s="19" t="s">
        <v>287</v>
      </c>
      <c r="B127" s="34">
        <v>294.43673999999999</v>
      </c>
      <c r="C127" s="34">
        <v>266.54259000000002</v>
      </c>
      <c r="D127" s="34">
        <f>IF(OR(294.43674="",266.54259="",294.43674=0),"-",266.54259/294.43674*100)</f>
        <v>90.526267204289795</v>
      </c>
    </row>
    <row r="128" spans="1:4" x14ac:dyDescent="0.25">
      <c r="A128" s="19" t="s">
        <v>298</v>
      </c>
      <c r="B128" s="43">
        <v>-7.7829999999999996E-2</v>
      </c>
      <c r="C128" s="34">
        <v>279.98356999999999</v>
      </c>
      <c r="D128" s="34" t="s">
        <v>19</v>
      </c>
    </row>
    <row r="129" spans="1:7" x14ac:dyDescent="0.25">
      <c r="A129" s="19" t="s">
        <v>73</v>
      </c>
      <c r="B129" s="34">
        <v>913.70956999999999</v>
      </c>
      <c r="C129" s="34">
        <v>329.12168000000003</v>
      </c>
      <c r="D129" s="34">
        <f>IF(OR(913.70957="",329.12168="",913.70957=0),"-",329.12168/913.70957*100)</f>
        <v>36.020382275300022</v>
      </c>
    </row>
    <row r="130" spans="1:7" x14ac:dyDescent="0.25">
      <c r="A130" s="19" t="s">
        <v>129</v>
      </c>
      <c r="B130" s="34">
        <v>390.11471999999998</v>
      </c>
      <c r="C130" s="34">
        <v>579.46010999999999</v>
      </c>
      <c r="D130" s="34">
        <f>IF(OR(390.11472="",579.46011="",390.11472=0),"-",579.46011/390.11472*100)</f>
        <v>148.53582300098802</v>
      </c>
    </row>
    <row r="131" spans="1:7" x14ac:dyDescent="0.25">
      <c r="A131" s="19" t="s">
        <v>127</v>
      </c>
      <c r="B131" s="34">
        <v>379.26560000000001</v>
      </c>
      <c r="C131" s="34">
        <v>622.57764999999995</v>
      </c>
      <c r="D131" s="34" t="s">
        <v>99</v>
      </c>
    </row>
    <row r="132" spans="1:7" x14ac:dyDescent="0.25">
      <c r="A132" s="19" t="s">
        <v>317</v>
      </c>
      <c r="B132" s="34">
        <v>48.742350000000002</v>
      </c>
      <c r="C132" s="34">
        <v>1600.23658</v>
      </c>
      <c r="D132" s="34" t="s">
        <v>361</v>
      </c>
    </row>
    <row r="133" spans="1:7" x14ac:dyDescent="0.25">
      <c r="A133" s="19" t="s">
        <v>60</v>
      </c>
      <c r="B133" s="34">
        <v>1790.77225</v>
      </c>
      <c r="C133" s="34">
        <v>1903.03764</v>
      </c>
      <c r="D133" s="34">
        <f>IF(OR(1790.77225="",1903.03764="",1790.77225=0),"-",1903.03764/1790.77225*100)</f>
        <v>106.26910485127297</v>
      </c>
    </row>
    <row r="134" spans="1:7" x14ac:dyDescent="0.25">
      <c r="A134" s="19" t="s">
        <v>54</v>
      </c>
      <c r="B134" s="34">
        <v>5035.9049999999997</v>
      </c>
      <c r="C134" s="34">
        <v>2765.4304099999999</v>
      </c>
      <c r="D134" s="34">
        <f>IF(OR(5035.905="",2765.43041="",5035.905=0),"-",2765.43041/5035.905*100)</f>
        <v>54.914268835492329</v>
      </c>
    </row>
    <row r="135" spans="1:7" x14ac:dyDescent="0.25">
      <c r="A135" s="19" t="s">
        <v>55</v>
      </c>
      <c r="B135" s="34">
        <v>5133.1228799999999</v>
      </c>
      <c r="C135" s="34">
        <v>2848.5703100000001</v>
      </c>
      <c r="D135" s="34">
        <f>IF(OR(5133.12288="",2848.57031="",5133.12288=0),"-",2848.57031/5133.12288*100)</f>
        <v>55.493904521529792</v>
      </c>
      <c r="E135" s="8"/>
    </row>
    <row r="136" spans="1:7" x14ac:dyDescent="0.25">
      <c r="A136" s="19" t="s">
        <v>304</v>
      </c>
      <c r="B136" s="43">
        <v>-26.017790000000002</v>
      </c>
      <c r="C136" s="34">
        <v>2954.0437700000002</v>
      </c>
      <c r="D136" s="34" t="s">
        <v>19</v>
      </c>
    </row>
    <row r="137" spans="1:7" x14ac:dyDescent="0.25">
      <c r="A137" s="19" t="s">
        <v>71</v>
      </c>
      <c r="B137" s="34">
        <v>-2074.56799</v>
      </c>
      <c r="C137" s="34">
        <v>3159.9670900000001</v>
      </c>
      <c r="D137" s="34" t="s">
        <v>19</v>
      </c>
    </row>
    <row r="138" spans="1:7" x14ac:dyDescent="0.25">
      <c r="A138" s="19" t="s">
        <v>65</v>
      </c>
      <c r="B138" s="34">
        <f>IF(2514.32359="","-",2514.32359)</f>
        <v>2514.32359</v>
      </c>
      <c r="C138" s="34">
        <v>3799.6505999999999</v>
      </c>
      <c r="D138" s="34">
        <f>IF(OR(2514.32359="",3799.6506="",2514.32359=0),"-",3799.6506/2514.32359*100)</f>
        <v>151.1201905399933</v>
      </c>
    </row>
    <row r="139" spans="1:7" x14ac:dyDescent="0.25">
      <c r="A139" s="19" t="s">
        <v>34</v>
      </c>
      <c r="B139" s="34">
        <v>3547.3436400000001</v>
      </c>
      <c r="C139" s="34">
        <v>3963.18064</v>
      </c>
      <c r="D139" s="34">
        <f>IF(OR(3547.34364="",3963.18064="",3547.34364=0),"-",3963.18064/3547.34364*100)</f>
        <v>111.72248990233153</v>
      </c>
    </row>
    <row r="140" spans="1:7" x14ac:dyDescent="0.25">
      <c r="A140" s="35" t="s">
        <v>57</v>
      </c>
      <c r="B140" s="37">
        <v>15059.65683</v>
      </c>
      <c r="C140" s="37">
        <v>25057.45808</v>
      </c>
      <c r="D140" s="37" t="s">
        <v>98</v>
      </c>
    </row>
    <row r="141" spans="1:7" s="29" customFormat="1" ht="11.25" x14ac:dyDescent="0.2">
      <c r="A141" s="10" t="s">
        <v>269</v>
      </c>
      <c r="B141" s="11"/>
      <c r="C141" s="12"/>
      <c r="D141" s="11"/>
      <c r="E141" s="11"/>
      <c r="F141" s="28"/>
      <c r="G141" s="28"/>
    </row>
  </sheetData>
  <sortState xmlns:xlrd2="http://schemas.microsoft.com/office/spreadsheetml/2017/richdata2" ref="A47:E104">
    <sortCondition ref="C47:C104"/>
  </sortState>
  <mergeCells count="2">
    <mergeCell ref="A1:D1"/>
    <mergeCell ref="A2:D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0"/>
  <sheetViews>
    <sheetView workbookViewId="0">
      <selection sqref="A1:E1"/>
    </sheetView>
  </sheetViews>
  <sheetFormatPr defaultRowHeight="15.75" x14ac:dyDescent="0.25"/>
  <cols>
    <col min="1" max="1" width="30" style="44" customWidth="1"/>
    <col min="2" max="2" width="14" style="44" customWidth="1"/>
    <col min="3" max="3" width="14.375" style="44" customWidth="1"/>
    <col min="4" max="4" width="12.25" style="44" customWidth="1"/>
    <col min="5" max="5" width="11.875" style="44" customWidth="1"/>
    <col min="6" max="9" width="9" style="44"/>
  </cols>
  <sheetData>
    <row r="1" spans="1:9" s="51" customFormat="1" ht="15" customHeight="1" x14ac:dyDescent="0.2">
      <c r="A1" s="81" t="s">
        <v>389</v>
      </c>
      <c r="B1" s="81"/>
      <c r="C1" s="81"/>
      <c r="D1" s="81"/>
      <c r="E1" s="81"/>
      <c r="F1" s="50"/>
      <c r="G1" s="50"/>
      <c r="H1" s="50"/>
      <c r="I1" s="50"/>
    </row>
    <row r="2" spans="1:9" x14ac:dyDescent="0.25">
      <c r="A2" s="94"/>
      <c r="B2" s="94"/>
      <c r="C2" s="94"/>
      <c r="D2" s="94"/>
      <c r="E2" s="94"/>
    </row>
    <row r="3" spans="1:9" ht="18.75" customHeight="1" x14ac:dyDescent="0.25">
      <c r="A3" s="82"/>
      <c r="B3" s="84" t="s">
        <v>344</v>
      </c>
      <c r="C3" s="85"/>
      <c r="D3" s="86" t="s">
        <v>102</v>
      </c>
      <c r="E3" s="93"/>
    </row>
    <row r="4" spans="1:9" ht="36.75" customHeight="1" x14ac:dyDescent="0.25">
      <c r="A4" s="83"/>
      <c r="B4" s="15" t="s">
        <v>110</v>
      </c>
      <c r="C4" s="14" t="s">
        <v>411</v>
      </c>
      <c r="D4" s="15" t="s">
        <v>340</v>
      </c>
      <c r="E4" s="13" t="s">
        <v>341</v>
      </c>
    </row>
    <row r="5" spans="1:9" s="51" customFormat="1" ht="15.75" customHeight="1" x14ac:dyDescent="0.2">
      <c r="A5" s="9" t="s">
        <v>121</v>
      </c>
      <c r="B5" s="30">
        <v>2042225.30373</v>
      </c>
      <c r="C5" s="45">
        <v>89.126088339240269</v>
      </c>
      <c r="D5" s="30">
        <v>100</v>
      </c>
      <c r="E5" s="30">
        <v>100</v>
      </c>
      <c r="F5" s="50"/>
      <c r="G5" s="50"/>
      <c r="H5" s="50"/>
      <c r="I5" s="50"/>
    </row>
    <row r="6" spans="1:9" ht="15.75" customHeight="1" x14ac:dyDescent="0.25">
      <c r="A6" s="31" t="s">
        <v>114</v>
      </c>
      <c r="B6" s="43"/>
      <c r="C6" s="46"/>
      <c r="D6" s="33"/>
      <c r="E6" s="33"/>
    </row>
    <row r="7" spans="1:9" x14ac:dyDescent="0.25">
      <c r="A7" s="31" t="s">
        <v>103</v>
      </c>
      <c r="B7" s="34">
        <v>273116.93148000003</v>
      </c>
      <c r="C7" s="34">
        <v>71.784659775569764</v>
      </c>
      <c r="D7" s="34">
        <f>IF(380466.98603="","-",380466.98603/2291388.90956*100)</f>
        <v>16.604208235565672</v>
      </c>
      <c r="E7" s="34">
        <f>IF(273116.93148="","-",273116.93148/2042225.30373*100)</f>
        <v>13.373496596147771</v>
      </c>
    </row>
    <row r="8" spans="1:9" x14ac:dyDescent="0.25">
      <c r="A8" s="31" t="s">
        <v>104</v>
      </c>
      <c r="B8" s="34">
        <v>61760.591970000001</v>
      </c>
      <c r="C8" s="34">
        <v>28.27494261419853</v>
      </c>
      <c r="D8" s="34">
        <f>IF(218428.70846="","-",218428.70846/2291388.90956*100)</f>
        <v>9.5325899304428159</v>
      </c>
      <c r="E8" s="34">
        <f>IF(61760.59197="","-",61760.59197/2042225.30373*100)</f>
        <v>3.0241811154331524</v>
      </c>
    </row>
    <row r="9" spans="1:9" x14ac:dyDescent="0.25">
      <c r="A9" s="31" t="s">
        <v>105</v>
      </c>
      <c r="B9" s="34">
        <v>1662840.33229</v>
      </c>
      <c r="C9" s="34">
        <v>99.343912256735194</v>
      </c>
      <c r="D9" s="34">
        <f>IF(1673822.07376="","-",1673822.07376/2291388.90956*100)</f>
        <v>73.048362361211431</v>
      </c>
      <c r="E9" s="34">
        <f>IF(1662840.33229="","-",1662840.33229/2042225.30373*100)</f>
        <v>81.422961964721694</v>
      </c>
    </row>
    <row r="10" spans="1:9" x14ac:dyDescent="0.25">
      <c r="A10" s="31" t="s">
        <v>106</v>
      </c>
      <c r="B10" s="34">
        <v>23471.20001</v>
      </c>
      <c r="C10" s="34">
        <v>140.749834211229</v>
      </c>
      <c r="D10" s="34">
        <f>IF(16675.82782="","-",16675.82782/2291388.90956*100)</f>
        <v>0.72776069354381856</v>
      </c>
      <c r="E10" s="34">
        <f>IF(23471.20001="","-",23471.20001/2042225.30373*100)</f>
        <v>1.1492953283426313</v>
      </c>
    </row>
    <row r="11" spans="1:9" x14ac:dyDescent="0.25">
      <c r="A11" s="31" t="s">
        <v>107</v>
      </c>
      <c r="B11" s="34">
        <v>590.03043000000002</v>
      </c>
      <c r="C11" s="34">
        <v>72.426324285399261</v>
      </c>
      <c r="D11" s="34">
        <f>IF(814.66295="","-",814.66295/2291388.90956*100)</f>
        <v>3.5553237889958809E-2</v>
      </c>
      <c r="E11" s="34">
        <f>IF(590.03043="","-",590.03043/2042225.30373*100)</f>
        <v>2.8891544381628484E-2</v>
      </c>
    </row>
    <row r="12" spans="1:9" x14ac:dyDescent="0.25">
      <c r="A12" s="31" t="s">
        <v>108</v>
      </c>
      <c r="B12" s="34">
        <v>19576.170740000001</v>
      </c>
      <c r="C12" s="34" t="s">
        <v>390</v>
      </c>
      <c r="D12" s="34">
        <f>IF(1075.69266="","-",1075.69266/2291388.90956*100)</f>
        <v>4.6945005953029507E-2</v>
      </c>
      <c r="E12" s="34">
        <f>IF(19576.17074="","-",19576.17074/2042225.30373*100)</f>
        <v>0.95857057026202341</v>
      </c>
    </row>
    <row r="13" spans="1:9" x14ac:dyDescent="0.25">
      <c r="A13" s="31" t="s">
        <v>109</v>
      </c>
      <c r="B13" s="34">
        <v>870.04681000000005</v>
      </c>
      <c r="C13" s="34" t="s">
        <v>391</v>
      </c>
      <c r="D13" s="34">
        <f>IF(104.95788="","-",104.95788/2291388.90956*100)</f>
        <v>4.5805353932761401E-3</v>
      </c>
      <c r="E13" s="34">
        <f>IF(870.04681="","-",870.04681/2042225.30373*100)</f>
        <v>4.260288071110041E-2</v>
      </c>
    </row>
    <row r="14" spans="1:9" x14ac:dyDescent="0.25">
      <c r="A14" s="17" t="s">
        <v>190</v>
      </c>
      <c r="B14" s="33">
        <v>1250875.32115</v>
      </c>
      <c r="C14" s="33">
        <v>88.697805881807867</v>
      </c>
      <c r="D14" s="33">
        <f>IF(1410266.36309="","-",1410266.36309/2291388.90956*100)</f>
        <v>61.546355453069033</v>
      </c>
      <c r="E14" s="33">
        <f>IF(1250875.32115="","-",1250875.32115/2042225.30373*100)</f>
        <v>61.250603391572533</v>
      </c>
    </row>
    <row r="15" spans="1:9" x14ac:dyDescent="0.25">
      <c r="A15" s="31" t="s">
        <v>114</v>
      </c>
      <c r="B15" s="33"/>
      <c r="C15" s="33"/>
      <c r="D15" s="33"/>
      <c r="E15" s="33"/>
    </row>
    <row r="16" spans="1:9" x14ac:dyDescent="0.25">
      <c r="A16" s="31" t="s">
        <v>103</v>
      </c>
      <c r="B16" s="34">
        <v>193047.22323</v>
      </c>
      <c r="C16" s="34">
        <v>69.675767213693561</v>
      </c>
      <c r="D16" s="34">
        <f>IF(277065.08439="","-",277065.08439/2291388.90956*100)</f>
        <v>12.091578310170092</v>
      </c>
      <c r="E16" s="34">
        <f>IF(193047.22323="","-",193047.22323/2042225.30373*100)</f>
        <v>9.4527877446925679</v>
      </c>
    </row>
    <row r="17" spans="1:6" x14ac:dyDescent="0.25">
      <c r="A17" s="31" t="s">
        <v>104</v>
      </c>
      <c r="B17" s="34">
        <v>22235.589250000001</v>
      </c>
      <c r="C17" s="34">
        <v>61.088320528582784</v>
      </c>
      <c r="D17" s="34">
        <f>IF(36399.0842399999="","-",36399.0842399999/2291388.90956*100)</f>
        <v>1.5885162090179343</v>
      </c>
      <c r="E17" s="34">
        <f>IF(22235.58925="","-",22235.58925/2042225.30373*100)</f>
        <v>1.0887921724105587</v>
      </c>
    </row>
    <row r="18" spans="1:6" x14ac:dyDescent="0.25">
      <c r="A18" s="31" t="s">
        <v>105</v>
      </c>
      <c r="B18" s="34">
        <v>1021267.51953</v>
      </c>
      <c r="C18" s="34">
        <v>93.440829861305957</v>
      </c>
      <c r="D18" s="34">
        <f>IF(1092956.3886="","-",1092956.3886/2291388.90956*100)</f>
        <v>47.698423608494856</v>
      </c>
      <c r="E18" s="34">
        <f>IF(1021267.51953="","-",1021267.51953/2042225.30373*100)</f>
        <v>50.007583280097315</v>
      </c>
    </row>
    <row r="19" spans="1:6" x14ac:dyDescent="0.25">
      <c r="A19" s="31" t="s">
        <v>106</v>
      </c>
      <c r="B19" s="34">
        <v>4197.1908400000002</v>
      </c>
      <c r="C19" s="34">
        <v>121.38962478946749</v>
      </c>
      <c r="D19" s="34">
        <f>IF(3457.61909="","-",3457.61909/2291388.90956*100)</f>
        <v>0.15089621301623315</v>
      </c>
      <c r="E19" s="34">
        <f>IF(4197.19084="","-",4197.19084/2042225.30373*100)</f>
        <v>0.20552046007529567</v>
      </c>
    </row>
    <row r="20" spans="1:6" x14ac:dyDescent="0.25">
      <c r="A20" s="31" t="s">
        <v>107</v>
      </c>
      <c r="B20" s="34">
        <v>187.95971</v>
      </c>
      <c r="C20" s="34">
        <v>58.160828367922825</v>
      </c>
      <c r="D20" s="34">
        <f>IF(323.17234="","-",323.17234/2291388.90956*100)</f>
        <v>1.4103775166741843E-2</v>
      </c>
      <c r="E20" s="34">
        <f>IF(187.95971="","-",187.95971/2042225.30373*100)</f>
        <v>9.20367158592654E-3</v>
      </c>
    </row>
    <row r="21" spans="1:6" x14ac:dyDescent="0.25">
      <c r="A21" s="31" t="s">
        <v>108</v>
      </c>
      <c r="B21" s="34">
        <v>9842.8368699999901</v>
      </c>
      <c r="C21" s="34" t="s">
        <v>299</v>
      </c>
      <c r="D21" s="43" t="s">
        <v>299</v>
      </c>
      <c r="E21" s="34">
        <f>IF(9842.83686999999="","-",9842.83686999999/2042225.30373*100)</f>
        <v>0.4819662576906989</v>
      </c>
    </row>
    <row r="22" spans="1:6" x14ac:dyDescent="0.25">
      <c r="A22" s="31" t="s">
        <v>109</v>
      </c>
      <c r="B22" s="34">
        <v>97.001720000000006</v>
      </c>
      <c r="C22" s="34">
        <v>149.20029291958724</v>
      </c>
      <c r="D22" s="34">
        <f>IF(65.01443="","-",65.01443/2291388.90956*100)</f>
        <v>2.8373372031587729E-3</v>
      </c>
      <c r="E22" s="34">
        <f>IF(97.00172="","-",97.00172/2042225.30373*100)</f>
        <v>4.7498050201822632E-3</v>
      </c>
    </row>
    <row r="23" spans="1:6" x14ac:dyDescent="0.25">
      <c r="A23" s="17" t="s">
        <v>191</v>
      </c>
      <c r="B23" s="33">
        <v>523786.22152999998</v>
      </c>
      <c r="C23" s="33">
        <v>127.42544398772053</v>
      </c>
      <c r="D23" s="33">
        <f>IF(411053.08731="","-",411053.08731/2291388.90956*100)</f>
        <v>17.939036258534205</v>
      </c>
      <c r="E23" s="33">
        <f>IF(523786.22153="","-",523786.22153/2042225.30373*100)</f>
        <v>25.64781763174398</v>
      </c>
    </row>
    <row r="24" spans="1:6" x14ac:dyDescent="0.25">
      <c r="A24" s="31" t="s">
        <v>114</v>
      </c>
      <c r="B24" s="33"/>
      <c r="C24" s="33"/>
      <c r="D24" s="33"/>
      <c r="E24" s="33"/>
    </row>
    <row r="25" spans="1:6" x14ac:dyDescent="0.25">
      <c r="A25" s="31" t="s">
        <v>103</v>
      </c>
      <c r="B25" s="34">
        <v>7496.9248200000002</v>
      </c>
      <c r="C25" s="34" t="s">
        <v>392</v>
      </c>
      <c r="D25" s="34">
        <f>IF(82.09698="","-",82.09698/2291388.90956*100)</f>
        <v>3.5828479250065207E-3</v>
      </c>
      <c r="E25" s="34">
        <f>IF(7496.92482="","-",7496.92482/2042225.30373*100)</f>
        <v>0.36709587361919982</v>
      </c>
    </row>
    <row r="26" spans="1:6" x14ac:dyDescent="0.25">
      <c r="A26" s="31" t="s">
        <v>104</v>
      </c>
      <c r="B26" s="34">
        <v>33704.972739999997</v>
      </c>
      <c r="C26" s="34">
        <v>40.738074703802297</v>
      </c>
      <c r="D26" s="34">
        <f>IF(82735.80179="","-",82735.80179/2291388.90956*100)</f>
        <v>3.6107271639840137</v>
      </c>
      <c r="E26" s="34">
        <f>IF(33704.97274="","-",33704.97274/2042225.30373*100)</f>
        <v>1.6504042271163675</v>
      </c>
    </row>
    <row r="27" spans="1:6" x14ac:dyDescent="0.25">
      <c r="A27" s="31" t="s">
        <v>105</v>
      </c>
      <c r="B27" s="34">
        <v>464634.68229999999</v>
      </c>
      <c r="C27" s="34">
        <v>143.50795915184111</v>
      </c>
      <c r="D27" s="34">
        <f>IF(323769.27736="","-",323769.27736/2291388.90956*100)</f>
        <v>14.129826499953307</v>
      </c>
      <c r="E27" s="34">
        <f>IF(464634.6823="","-",464634.6823/2042225.30373*100)</f>
        <v>22.751391898404798</v>
      </c>
      <c r="F27" s="47"/>
    </row>
    <row r="28" spans="1:6" x14ac:dyDescent="0.25">
      <c r="A28" s="31" t="s">
        <v>106</v>
      </c>
      <c r="B28" s="34">
        <v>7778.4219899999998</v>
      </c>
      <c r="C28" s="34" t="s">
        <v>318</v>
      </c>
      <c r="D28" s="34">
        <f>IF(3291.0649="","-",3291.0649/2291388.90956*100)</f>
        <v>0.14362751282722935</v>
      </c>
      <c r="E28" s="34">
        <f>IF(7778.42199="","-",7778.42199/2042225.30373*100)</f>
        <v>0.38087971859878467</v>
      </c>
    </row>
    <row r="29" spans="1:6" x14ac:dyDescent="0.25">
      <c r="A29" s="31" t="s">
        <v>107</v>
      </c>
      <c r="B29" s="34">
        <v>29.948060000000002</v>
      </c>
      <c r="C29" s="34">
        <v>50.57925015246537</v>
      </c>
      <c r="D29" s="34">
        <f>IF(59.21017="","-",59.21017/2291388.90956*100)</f>
        <v>2.5840297015040422E-3</v>
      </c>
      <c r="E29" s="34">
        <f>IF(29.94806="","-",29.94806/2042225.30373*100)</f>
        <v>1.4664425098103377E-3</v>
      </c>
    </row>
    <row r="30" spans="1:6" x14ac:dyDescent="0.25">
      <c r="A30" s="31" t="s">
        <v>108</v>
      </c>
      <c r="B30" s="34">
        <v>9733.3338700000004</v>
      </c>
      <c r="C30" s="34" t="s">
        <v>393</v>
      </c>
      <c r="D30" s="34">
        <f>IF(1075.69266="","-",1075.69266/2291388.90956*100)</f>
        <v>4.6945005953029507E-2</v>
      </c>
      <c r="E30" s="34">
        <f>IF(9733.33387="","-",9733.33387/2042225.30373*100)</f>
        <v>0.47660431257132402</v>
      </c>
    </row>
    <row r="31" spans="1:6" x14ac:dyDescent="0.25">
      <c r="A31" s="31" t="s">
        <v>109</v>
      </c>
      <c r="B31" s="34">
        <v>407.93774999999999</v>
      </c>
      <c r="C31" s="34" t="s">
        <v>299</v>
      </c>
      <c r="D31" s="34">
        <f>IF(39.94345="","-",39.94345/2291388.90956*100)</f>
        <v>1.7431981901173674E-3</v>
      </c>
      <c r="E31" s="34">
        <f>IF(407.93775="","-",407.93775/2042225.30373*100)</f>
        <v>1.997515892369596E-2</v>
      </c>
    </row>
    <row r="32" spans="1:6" x14ac:dyDescent="0.25">
      <c r="A32" s="17" t="s">
        <v>274</v>
      </c>
      <c r="B32" s="33">
        <v>267563.76104999997</v>
      </c>
      <c r="C32" s="33">
        <v>56.920047843169463</v>
      </c>
      <c r="D32" s="33">
        <f>IF(470069.45916="","-",470069.45916/2291388.90956*100)</f>
        <v>20.514608288396765</v>
      </c>
      <c r="E32" s="33">
        <f>IF(267563.76105="","-",267563.76105/2042225.30373*100)</f>
        <v>13.101578976683479</v>
      </c>
    </row>
    <row r="33" spans="1:9" x14ac:dyDescent="0.25">
      <c r="A33" s="31" t="s">
        <v>114</v>
      </c>
      <c r="B33" s="33"/>
      <c r="C33" s="33"/>
      <c r="D33" s="33"/>
      <c r="E33" s="33"/>
    </row>
    <row r="34" spans="1:9" x14ac:dyDescent="0.25">
      <c r="A34" s="31" t="s">
        <v>103</v>
      </c>
      <c r="B34" s="34">
        <v>72572.783429999996</v>
      </c>
      <c r="C34" s="34">
        <v>70.240922027310376</v>
      </c>
      <c r="D34" s="34">
        <f>IF(103319.80466="","-",103319.80466/2291388.90956*100)</f>
        <v>4.509047077470572</v>
      </c>
      <c r="E34" s="34">
        <f>IF(72572.78343="","-",72572.78343/2042225.30373*100)</f>
        <v>3.5536129778360022</v>
      </c>
    </row>
    <row r="35" spans="1:9" x14ac:dyDescent="0.25">
      <c r="A35" s="31" t="s">
        <v>104</v>
      </c>
      <c r="B35" s="34">
        <v>5820.0299800000003</v>
      </c>
      <c r="C35" s="34">
        <v>5.8614220276422486</v>
      </c>
      <c r="D35" s="34">
        <f>IF(99293.82243="","-",99293.82243/2291388.90956*100)</f>
        <v>4.3333465574408629</v>
      </c>
      <c r="E35" s="34">
        <f>IF(5820.02998="","-",5820.02998/2042225.30373*100)</f>
        <v>0.28498471590622593</v>
      </c>
    </row>
    <row r="36" spans="1:9" x14ac:dyDescent="0.25">
      <c r="A36" s="31" t="s">
        <v>105</v>
      </c>
      <c r="B36" s="34">
        <v>176938.13045999999</v>
      </c>
      <c r="C36" s="34">
        <v>68.821704657049665</v>
      </c>
      <c r="D36" s="34">
        <f>IF(257096.4078="","-",257096.4078/2291388.90956*100)</f>
        <v>11.22011225276326</v>
      </c>
      <c r="E36" s="34">
        <f>IF(176938.13046="","-",176938.13046/2042225.30373*100)</f>
        <v>8.663986786219585</v>
      </c>
    </row>
    <row r="37" spans="1:9" x14ac:dyDescent="0.25">
      <c r="A37" s="31" t="s">
        <v>106</v>
      </c>
      <c r="B37" s="34">
        <v>11495.58718</v>
      </c>
      <c r="C37" s="34">
        <v>115.79954291847909</v>
      </c>
      <c r="D37" s="34">
        <f>IF(9927.14383="","-",9927.14383/2291388.90956*100)</f>
        <v>0.43323696770035619</v>
      </c>
      <c r="E37" s="34">
        <f>IF(11495.58718="","-",11495.58718/2042225.30373*100)</f>
        <v>0.56289514966855081</v>
      </c>
    </row>
    <row r="38" spans="1:9" x14ac:dyDescent="0.25">
      <c r="A38" s="31" t="s">
        <v>107</v>
      </c>
      <c r="B38" s="34">
        <v>372.12266</v>
      </c>
      <c r="C38" s="34">
        <v>86.083622011673725</v>
      </c>
      <c r="D38" s="34">
        <f>IF(432.28044="","-",432.28044/2291388.90956*100)</f>
        <v>1.8865433021712927E-2</v>
      </c>
      <c r="E38" s="34">
        <f>IF(372.12266="","-",372.12266/2042225.30373*100)</f>
        <v>1.8221430285891602E-2</v>
      </c>
    </row>
    <row r="39" spans="1:9" x14ac:dyDescent="0.25">
      <c r="A39" s="48" t="s">
        <v>109</v>
      </c>
      <c r="B39" s="49">
        <v>365.10734000000002</v>
      </c>
      <c r="C39" s="37" t="s">
        <v>299</v>
      </c>
      <c r="D39" s="37" t="s">
        <v>299</v>
      </c>
      <c r="E39" s="37">
        <f>IF(365.10734="","-",365.10734/2042225.30373*100)</f>
        <v>1.7877916767222193E-2</v>
      </c>
    </row>
    <row r="40" spans="1:9" s="29" customFormat="1" ht="11.25" x14ac:dyDescent="0.2">
      <c r="A40" s="52" t="s">
        <v>18</v>
      </c>
      <c r="B40" s="53"/>
      <c r="C40" s="53"/>
      <c r="D40" s="53"/>
      <c r="E40" s="53"/>
      <c r="F40" s="53"/>
      <c r="G40" s="53"/>
      <c r="H40" s="53"/>
      <c r="I40" s="53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40"/>
  <sheetViews>
    <sheetView workbookViewId="0">
      <selection sqref="A1:E1"/>
    </sheetView>
  </sheetViews>
  <sheetFormatPr defaultRowHeight="15.75" x14ac:dyDescent="0.25"/>
  <cols>
    <col min="1" max="1" width="31.5" style="44" customWidth="1"/>
    <col min="2" max="2" width="13.875" style="44" customWidth="1"/>
    <col min="3" max="3" width="13.125" style="44" customWidth="1"/>
    <col min="4" max="4" width="11.875" style="44" customWidth="1"/>
    <col min="5" max="5" width="12" style="44" customWidth="1"/>
    <col min="6" max="7" width="9" style="44"/>
  </cols>
  <sheetData>
    <row r="1" spans="1:7" x14ac:dyDescent="0.25">
      <c r="A1" s="81" t="s">
        <v>394</v>
      </c>
      <c r="B1" s="81"/>
      <c r="C1" s="81"/>
      <c r="D1" s="81"/>
      <c r="E1" s="81"/>
    </row>
    <row r="2" spans="1:7" x14ac:dyDescent="0.25">
      <c r="A2" s="94"/>
      <c r="B2" s="94"/>
      <c r="C2" s="94"/>
      <c r="D2" s="94"/>
      <c r="E2" s="94"/>
    </row>
    <row r="3" spans="1:7" ht="18.75" customHeight="1" x14ac:dyDescent="0.25">
      <c r="A3" s="82"/>
      <c r="B3" s="84" t="s">
        <v>344</v>
      </c>
      <c r="C3" s="85"/>
      <c r="D3" s="86" t="s">
        <v>102</v>
      </c>
      <c r="E3" s="93"/>
    </row>
    <row r="4" spans="1:7" ht="41.25" customHeight="1" x14ac:dyDescent="0.25">
      <c r="A4" s="83"/>
      <c r="B4" s="15" t="s">
        <v>110</v>
      </c>
      <c r="C4" s="14" t="s">
        <v>411</v>
      </c>
      <c r="D4" s="15" t="s">
        <v>340</v>
      </c>
      <c r="E4" s="13" t="s">
        <v>341</v>
      </c>
    </row>
    <row r="5" spans="1:7" s="51" customFormat="1" ht="15.75" customHeight="1" x14ac:dyDescent="0.2">
      <c r="A5" s="9" t="s">
        <v>115</v>
      </c>
      <c r="B5" s="30">
        <v>4371623.6055399999</v>
      </c>
      <c r="C5" s="30">
        <v>100.48385448253443</v>
      </c>
      <c r="D5" s="57">
        <v>100</v>
      </c>
      <c r="E5" s="57">
        <v>100</v>
      </c>
      <c r="F5" s="50"/>
      <c r="G5" s="50"/>
    </row>
    <row r="6" spans="1:7" ht="15.75" customHeight="1" x14ac:dyDescent="0.25">
      <c r="A6" s="31" t="s">
        <v>114</v>
      </c>
      <c r="B6" s="54"/>
      <c r="C6" s="33"/>
      <c r="D6" s="54"/>
      <c r="E6" s="54"/>
    </row>
    <row r="7" spans="1:7" x14ac:dyDescent="0.25">
      <c r="A7" s="31" t="s">
        <v>103</v>
      </c>
      <c r="B7" s="34">
        <v>331076.85845</v>
      </c>
      <c r="C7" s="34">
        <v>112.24583634285619</v>
      </c>
      <c r="D7" s="34">
        <f>IF(294956.9171="","-",294956.9171/4350574.54459*100)</f>
        <v>6.7797233233661753</v>
      </c>
      <c r="E7" s="34">
        <f>IF(331076.85845="","-",331076.85845/4371623.60554*100)</f>
        <v>7.5733157362961974</v>
      </c>
    </row>
    <row r="8" spans="1:7" x14ac:dyDescent="0.25">
      <c r="A8" s="31" t="s">
        <v>104</v>
      </c>
      <c r="B8" s="34">
        <v>182898.81633</v>
      </c>
      <c r="C8" s="34">
        <v>86.124139598485002</v>
      </c>
      <c r="D8" s="34">
        <f>IF(212366.49467="","-",212366.49467/4350574.54459*100)</f>
        <v>4.8813436591744113</v>
      </c>
      <c r="E8" s="34">
        <f>IF(182898.81633="","-",182898.81633/4371623.60554*100)</f>
        <v>4.1837731889410374</v>
      </c>
    </row>
    <row r="9" spans="1:7" x14ac:dyDescent="0.25">
      <c r="A9" s="31" t="s">
        <v>105</v>
      </c>
      <c r="B9" s="34">
        <v>3374551.0306299999</v>
      </c>
      <c r="C9" s="34">
        <v>101.54375699162009</v>
      </c>
      <c r="D9" s="34">
        <f>IF(3323248.15489="","-",3323248.15489/4350574.54459*100)</f>
        <v>76.386420249309481</v>
      </c>
      <c r="E9" s="34">
        <f>IF(3374551.03063="","-",3374551.03063/4371623.60554*100)</f>
        <v>77.192167833332078</v>
      </c>
    </row>
    <row r="10" spans="1:7" x14ac:dyDescent="0.25">
      <c r="A10" s="31" t="s">
        <v>106</v>
      </c>
      <c r="B10" s="34">
        <v>76454.32445</v>
      </c>
      <c r="C10" s="34">
        <v>108.59577351940489</v>
      </c>
      <c r="D10" s="34">
        <f>IF(70403.94941="","-",70403.94941/4350574.54459*100)</f>
        <v>1.6182678560823258</v>
      </c>
      <c r="E10" s="34">
        <f>IF(76454.32445="","-",76454.32445/4371623.60554*100)</f>
        <v>1.7488771071945033</v>
      </c>
    </row>
    <row r="11" spans="1:7" x14ac:dyDescent="0.25">
      <c r="A11" s="31" t="s">
        <v>107</v>
      </c>
      <c r="B11" s="34">
        <v>4186.3134899999995</v>
      </c>
      <c r="C11" s="34">
        <v>83.012720512771736</v>
      </c>
      <c r="D11" s="34">
        <f>IF(5042.97831="","-",5042.97831/4350574.54459*100)</f>
        <v>0.11591522586990295</v>
      </c>
      <c r="E11" s="34">
        <f>IF(4186.31349="","-",4186.31349/4371623.60554*100)</f>
        <v>9.5761068832523374E-2</v>
      </c>
    </row>
    <row r="12" spans="1:7" x14ac:dyDescent="0.25">
      <c r="A12" s="31" t="s">
        <v>108</v>
      </c>
      <c r="B12" s="34">
        <v>370549.43786000001</v>
      </c>
      <c r="C12" s="34">
        <v>87.675948249844922</v>
      </c>
      <c r="D12" s="34">
        <f>IF(422635.22124="","-",422635.22124/4350574.54459*100)</f>
        <v>9.7144691329459629</v>
      </c>
      <c r="E12" s="34">
        <f>IF(370549.43786="","-",370549.43786/4371623.60554*100)</f>
        <v>8.4762429544578399</v>
      </c>
    </row>
    <row r="13" spans="1:7" x14ac:dyDescent="0.25">
      <c r="A13" s="31" t="s">
        <v>109</v>
      </c>
      <c r="B13" s="34">
        <v>31906.824329999999</v>
      </c>
      <c r="C13" s="34">
        <v>145.55482538395992</v>
      </c>
      <c r="D13" s="34">
        <f>IF(21920.82897="","-",21920.82897/4350574.54459*100)</f>
        <v>0.50386055325172752</v>
      </c>
      <c r="E13" s="34">
        <f>IF(31906.82433="","-",31906.82433/4371623.60554*100)</f>
        <v>0.72986211094581976</v>
      </c>
    </row>
    <row r="14" spans="1:7" x14ac:dyDescent="0.25">
      <c r="A14" s="17" t="s">
        <v>190</v>
      </c>
      <c r="B14" s="55">
        <v>2113537.0802099998</v>
      </c>
      <c r="C14" s="33">
        <v>105.81185669199451</v>
      </c>
      <c r="D14" s="33">
        <f>IF(1997448.2504="","-",1997448.2504/4350574.54459*100)</f>
        <v>45.912286525094821</v>
      </c>
      <c r="E14" s="33">
        <f>IF(2113537.08021="","-",2113537.08021/4371623.60554*100)</f>
        <v>48.34673043515437</v>
      </c>
    </row>
    <row r="15" spans="1:7" x14ac:dyDescent="0.25">
      <c r="A15" s="31" t="s">
        <v>114</v>
      </c>
      <c r="B15" s="43"/>
      <c r="C15" s="33"/>
      <c r="D15" s="33"/>
      <c r="E15" s="33"/>
    </row>
    <row r="16" spans="1:7" x14ac:dyDescent="0.25">
      <c r="A16" s="31" t="s">
        <v>103</v>
      </c>
      <c r="B16" s="34">
        <v>107819.89621000001</v>
      </c>
      <c r="C16" s="34">
        <v>118.16642144454734</v>
      </c>
      <c r="D16" s="34">
        <f>IF(91244.10716="","-",91244.10716/4350574.54459*100)</f>
        <v>2.0972886735951537</v>
      </c>
      <c r="E16" s="34">
        <f>IF(107819.89621="","-",107819.89621/4371623.60554*100)</f>
        <v>2.4663581757899689</v>
      </c>
    </row>
    <row r="17" spans="1:6" x14ac:dyDescent="0.25">
      <c r="A17" s="31" t="s">
        <v>104</v>
      </c>
      <c r="B17" s="34">
        <v>85457.91936</v>
      </c>
      <c r="C17" s="34">
        <v>85.752192517896148</v>
      </c>
      <c r="D17" s="34">
        <f>IF(99656.83308="","-",99656.83308/4350574.54459*100)</f>
        <v>2.2906591315375726</v>
      </c>
      <c r="E17" s="34">
        <f>IF(85457.91936="","-",85457.91936/4371623.60554*100)</f>
        <v>1.9548325078056188</v>
      </c>
    </row>
    <row r="18" spans="1:6" x14ac:dyDescent="0.25">
      <c r="A18" s="31" t="s">
        <v>105</v>
      </c>
      <c r="B18" s="34">
        <v>1799882.5669100001</v>
      </c>
      <c r="C18" s="34">
        <v>101.88469461853541</v>
      </c>
      <c r="D18" s="34">
        <f>IF(1766587.78205="","-",1766587.78205/4350574.54459*100)</f>
        <v>40.605850191597717</v>
      </c>
      <c r="E18" s="34">
        <f>IF(1799882.56691="","-",1799882.56691/4371623.60554*100)</f>
        <v>41.171947297317047</v>
      </c>
    </row>
    <row r="19" spans="1:6" x14ac:dyDescent="0.25">
      <c r="A19" s="31" t="s">
        <v>106</v>
      </c>
      <c r="B19" s="34">
        <v>19263.220229999999</v>
      </c>
      <c r="C19" s="34">
        <v>114.59539682281989</v>
      </c>
      <c r="D19" s="34">
        <f>IF(16809.7679="","-",16809.7679/4350574.54459*100)</f>
        <v>0.38638041315492866</v>
      </c>
      <c r="E19" s="34">
        <f>IF(19263.22023="","-",19263.22023/4371623.60554*100)</f>
        <v>0.44064224114785222</v>
      </c>
    </row>
    <row r="20" spans="1:6" x14ac:dyDescent="0.25">
      <c r="A20" s="31" t="s">
        <v>107</v>
      </c>
      <c r="B20" s="34">
        <v>2760.67922</v>
      </c>
      <c r="C20" s="34">
        <v>80.693946741880723</v>
      </c>
      <c r="D20" s="34">
        <f>IF(3421.17263="","-",3421.17263/4350574.54459*100)</f>
        <v>7.8637260318968116E-2</v>
      </c>
      <c r="E20" s="34">
        <f>IF(2760.67922="","-",2760.67922/4371623.60554*100)</f>
        <v>6.3149975137417852E-2</v>
      </c>
    </row>
    <row r="21" spans="1:6" x14ac:dyDescent="0.25">
      <c r="A21" s="31" t="s">
        <v>108</v>
      </c>
      <c r="B21" s="34">
        <v>69336.177349999998</v>
      </c>
      <c r="C21" s="34" t="s">
        <v>299</v>
      </c>
      <c r="D21" s="34" t="s">
        <v>299</v>
      </c>
      <c r="E21" s="34">
        <f>IF(69336.17735="","-",69336.17735/4371623.60554*100)</f>
        <v>1.5860509413969854</v>
      </c>
    </row>
    <row r="22" spans="1:6" x14ac:dyDescent="0.25">
      <c r="A22" s="31" t="s">
        <v>109</v>
      </c>
      <c r="B22" s="34">
        <v>29016.620930000001</v>
      </c>
      <c r="C22" s="78">
        <v>147.0790588142043</v>
      </c>
      <c r="D22" s="34">
        <f>IF(15225.99981="","-",15225.99981/3582158.92973*100)</f>
        <v>0.42505092902585528</v>
      </c>
      <c r="E22" s="34">
        <f>IF(29016.62093="","-",29016.62093/4371623.60554*100)</f>
        <v>0.66374929655948167</v>
      </c>
      <c r="F22" s="33"/>
    </row>
    <row r="23" spans="1:6" x14ac:dyDescent="0.25">
      <c r="A23" s="17" t="s">
        <v>191</v>
      </c>
      <c r="B23" s="33">
        <v>889805.32820999995</v>
      </c>
      <c r="C23" s="56">
        <v>77.053392835116298</v>
      </c>
      <c r="D23" s="33">
        <f>IF(1154790.58802="","-",1154790.58802/4350574.54459*100)</f>
        <v>26.543404237401198</v>
      </c>
      <c r="E23" s="33">
        <f>IF(889805.32821="","-",889805.32821/4371623.60554*100)</f>
        <v>20.354115735910611</v>
      </c>
      <c r="F23" s="33"/>
    </row>
    <row r="24" spans="1:6" x14ac:dyDescent="0.25">
      <c r="A24" s="31" t="s">
        <v>114</v>
      </c>
      <c r="B24" s="33"/>
      <c r="C24" s="43"/>
      <c r="D24" s="33"/>
      <c r="E24" s="33"/>
      <c r="F24" s="34"/>
    </row>
    <row r="25" spans="1:6" x14ac:dyDescent="0.25">
      <c r="A25" s="31" t="s">
        <v>103</v>
      </c>
      <c r="B25" s="34">
        <v>59484.624649999998</v>
      </c>
      <c r="C25" s="43">
        <v>69.726627126485923</v>
      </c>
      <c r="D25" s="34">
        <f>IF(85311.20334="","-",85311.20334/4350574.54459*100)</f>
        <v>1.9609180917514828</v>
      </c>
      <c r="E25" s="34">
        <f>IF(59484.62465="","-",59484.62465/4371623.60554*100)</f>
        <v>1.3606986789671758</v>
      </c>
      <c r="F25" s="34"/>
    </row>
    <row r="26" spans="1:6" x14ac:dyDescent="0.25">
      <c r="A26" s="31" t="s">
        <v>104</v>
      </c>
      <c r="B26" s="34">
        <v>89046.642210000005</v>
      </c>
      <c r="C26" s="43">
        <v>79.632637774495805</v>
      </c>
      <c r="D26" s="34">
        <f>IF(111821.79154="","-",111821.79154/4350574.54459*100)</f>
        <v>2.5702764173769177</v>
      </c>
      <c r="E26" s="34">
        <f>IF(89046.64221="","-",89046.64221/4371623.60554*100)</f>
        <v>2.0369238124058628</v>
      </c>
      <c r="F26" s="34"/>
    </row>
    <row r="27" spans="1:6" x14ac:dyDescent="0.25">
      <c r="A27" s="31" t="s">
        <v>105</v>
      </c>
      <c r="B27" s="34">
        <v>431216.83364999999</v>
      </c>
      <c r="C27" s="43">
        <v>81.739581395998911</v>
      </c>
      <c r="D27" s="34">
        <f>IF(527549.59872="","-",527549.59872/4350574.54459*100)</f>
        <v>12.12597539274474</v>
      </c>
      <c r="E27" s="34">
        <f>IF(431216.83365="","-",431216.83365/4371623.60554*100)</f>
        <v>9.8639972824635347</v>
      </c>
      <c r="F27" s="34"/>
    </row>
    <row r="28" spans="1:6" x14ac:dyDescent="0.25">
      <c r="A28" s="31" t="s">
        <v>106</v>
      </c>
      <c r="B28" s="34">
        <v>8805.6151200000004</v>
      </c>
      <c r="C28" s="43">
        <v>125.76455861018987</v>
      </c>
      <c r="D28" s="34">
        <f>IF(7001.66662="","-",7001.66662/4350574.54459*100)</f>
        <v>0.16093659695376716</v>
      </c>
      <c r="E28" s="34">
        <f>IF(8805.61512="","-",8805.61512/4371623.60554*100)</f>
        <v>0.20142665321966338</v>
      </c>
      <c r="F28" s="34"/>
    </row>
    <row r="29" spans="1:6" x14ac:dyDescent="0.25">
      <c r="A29" s="31" t="s">
        <v>107</v>
      </c>
      <c r="B29" s="34">
        <v>38.352069999999998</v>
      </c>
      <c r="C29" s="43">
        <v>105.84109183475219</v>
      </c>
      <c r="D29" s="34">
        <f>IF(36.23552="","-",36.23552/4350574.54459*100)</f>
        <v>8.32890452252091E-4</v>
      </c>
      <c r="E29" s="34">
        <f>IF(38.35207="","-",38.35207/4371623.60554*100)</f>
        <v>8.7729579352160633E-4</v>
      </c>
      <c r="F29" s="34"/>
    </row>
    <row r="30" spans="1:6" x14ac:dyDescent="0.25">
      <c r="A30" s="31" t="s">
        <v>108</v>
      </c>
      <c r="B30" s="34">
        <v>301213.26050999999</v>
      </c>
      <c r="C30" s="43">
        <v>71.270269341549124</v>
      </c>
      <c r="D30" s="34">
        <f>IF(422635.22124="","-",422635.22124/4350574.54459*100)</f>
        <v>9.7144691329459629</v>
      </c>
      <c r="E30" s="34">
        <f>IF(301213.26051="","-",301213.26051/4371623.60554*100)</f>
        <v>6.8901920130608545</v>
      </c>
    </row>
    <row r="31" spans="1:6" x14ac:dyDescent="0.25">
      <c r="A31" s="31" t="s">
        <v>109</v>
      </c>
      <c r="B31" s="34" t="s">
        <v>299</v>
      </c>
      <c r="C31" s="46" t="s">
        <v>299</v>
      </c>
      <c r="D31" s="34">
        <f>IF(434.87104="","-",434.87104/4350574.54459*100)</f>
        <v>9.9957151760741159E-3</v>
      </c>
      <c r="E31" s="34" t="s">
        <v>299</v>
      </c>
    </row>
    <row r="32" spans="1:6" x14ac:dyDescent="0.25">
      <c r="A32" s="17" t="s">
        <v>192</v>
      </c>
      <c r="B32" s="55">
        <v>1368281.1971199999</v>
      </c>
      <c r="C32" s="33">
        <v>114.18190904893983</v>
      </c>
      <c r="D32" s="33">
        <f>IF(1198335.70617="","-",1198335.70617/4350574.54459*100)</f>
        <v>27.544309237503978</v>
      </c>
      <c r="E32" s="33">
        <f>IF(1368282.58612="","-",1368282.58612/4371623.60554*100)</f>
        <v>31.299185602027247</v>
      </c>
    </row>
    <row r="33" spans="1:7" x14ac:dyDescent="0.25">
      <c r="A33" s="31" t="s">
        <v>114</v>
      </c>
      <c r="B33" s="43"/>
      <c r="C33" s="33"/>
      <c r="D33" s="33"/>
      <c r="E33" s="33"/>
    </row>
    <row r="34" spans="1:7" x14ac:dyDescent="0.25">
      <c r="A34" s="31" t="s">
        <v>103</v>
      </c>
      <c r="B34" s="34">
        <v>163772.33759000001</v>
      </c>
      <c r="C34" s="34">
        <v>138.31935418180385</v>
      </c>
      <c r="D34" s="34">
        <f>IF(118401.6066="","-",118401.6066/4350574.54459*100)</f>
        <v>2.7215165580195388</v>
      </c>
      <c r="E34" s="34">
        <f>IF(163772.33759="","-",163772.33759/4371623.60554*100)</f>
        <v>3.7462588815390525</v>
      </c>
    </row>
    <row r="35" spans="1:7" x14ac:dyDescent="0.25">
      <c r="A35" s="31" t="s">
        <v>104</v>
      </c>
      <c r="B35" s="34">
        <v>8394.2547599999998</v>
      </c>
      <c r="C35" s="34" t="s">
        <v>395</v>
      </c>
      <c r="D35" s="34">
        <f>IF(887.87005="","-",887.87005/4350574.54459*100)</f>
        <v>2.0408110259921387E-2</v>
      </c>
      <c r="E35" s="34">
        <f>IF(8394.25476="","-",8394.25476/4371623.60554*100)</f>
        <v>0.19201686872955542</v>
      </c>
    </row>
    <row r="36" spans="1:7" x14ac:dyDescent="0.25">
      <c r="A36" s="31" t="s">
        <v>105</v>
      </c>
      <c r="B36" s="34">
        <v>1143451.63007</v>
      </c>
      <c r="C36" s="34">
        <v>111.11064608645009</v>
      </c>
      <c r="D36" s="34">
        <f>IF(1029110.77412="","-",1029110.77412/4350574.54459*100)</f>
        <v>23.654594664967032</v>
      </c>
      <c r="E36" s="34">
        <f>IF(1143451.63007="","-",1143451.63007/4371623.60554*100)</f>
        <v>26.156223253551502</v>
      </c>
    </row>
    <row r="37" spans="1:7" x14ac:dyDescent="0.25">
      <c r="A37" s="31" t="s">
        <v>106</v>
      </c>
      <c r="B37" s="34">
        <v>48385.489099999999</v>
      </c>
      <c r="C37" s="34">
        <v>103.85118342342392</v>
      </c>
      <c r="D37" s="34">
        <f>IF(46592.51489="","-",46592.51489/4350574.54459*100)</f>
        <v>1.0709508459736299</v>
      </c>
      <c r="E37" s="34">
        <f>IF(48385.4891="","-",48385.4891/4371623.60554*100)</f>
        <v>1.1068082128269878</v>
      </c>
    </row>
    <row r="38" spans="1:7" x14ac:dyDescent="0.25">
      <c r="A38" s="31" t="s">
        <v>107</v>
      </c>
      <c r="B38" s="34">
        <v>1387.2822000000001</v>
      </c>
      <c r="C38" s="34">
        <v>87.494217222150553</v>
      </c>
      <c r="D38" s="34">
        <f>IF(1585.57016="","-",1585.57016/4350574.54459*100)</f>
        <v>3.6445075098682736E-2</v>
      </c>
      <c r="E38" s="34">
        <f>IF(1387.2822="","-",1387.2822/4371623.60554*100)</f>
        <v>3.1733797901583927E-2</v>
      </c>
    </row>
    <row r="39" spans="1:7" x14ac:dyDescent="0.25">
      <c r="A39" s="48" t="s">
        <v>109</v>
      </c>
      <c r="B39" s="37">
        <v>2890.2033999999999</v>
      </c>
      <c r="C39" s="37" t="s">
        <v>99</v>
      </c>
      <c r="D39" s="37">
        <f>IF(1757.37035="","-",1757.37035/4350574.54459*100)</f>
        <v>4.0393983185170665E-2</v>
      </c>
      <c r="E39" s="37">
        <f>IF(2890.2034="","-",2890.2034/4371623.60554*100)</f>
        <v>6.6112814386338065E-2</v>
      </c>
    </row>
    <row r="40" spans="1:7" s="29" customFormat="1" ht="11.25" x14ac:dyDescent="0.2">
      <c r="A40" s="52" t="s">
        <v>18</v>
      </c>
      <c r="B40" s="53"/>
      <c r="C40" s="53"/>
      <c r="D40" s="53"/>
      <c r="E40" s="53"/>
      <c r="F40" s="53"/>
      <c r="G40" s="53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1"/>
  <sheetViews>
    <sheetView zoomScaleNormal="100" workbookViewId="0">
      <selection activeCell="B2" sqref="B2:H2"/>
    </sheetView>
  </sheetViews>
  <sheetFormatPr defaultRowHeight="15.75" x14ac:dyDescent="0.25"/>
  <cols>
    <col min="1" max="1" width="4.625" style="44" customWidth="1"/>
    <col min="2" max="2" width="26.125" style="44" customWidth="1"/>
    <col min="3" max="3" width="10.5" style="44" customWidth="1"/>
    <col min="4" max="4" width="9.875" style="44" customWidth="1"/>
    <col min="5" max="6" width="8" style="44" customWidth="1"/>
    <col min="7" max="7" width="9.875" style="44" customWidth="1"/>
    <col min="8" max="8" width="9.75" style="44" customWidth="1"/>
    <col min="9" max="11" width="9" style="44"/>
  </cols>
  <sheetData>
    <row r="1" spans="1:11" s="51" customFormat="1" ht="12.75" x14ac:dyDescent="0.2">
      <c r="A1" s="50"/>
      <c r="B1" s="91" t="s">
        <v>396</v>
      </c>
      <c r="C1" s="91"/>
      <c r="D1" s="91"/>
      <c r="E1" s="91"/>
      <c r="F1" s="91"/>
      <c r="G1" s="91"/>
      <c r="H1" s="91"/>
      <c r="I1" s="50"/>
      <c r="J1" s="50"/>
      <c r="K1" s="50"/>
    </row>
    <row r="2" spans="1:11" s="51" customFormat="1" ht="12.75" x14ac:dyDescent="0.2">
      <c r="A2" s="50"/>
      <c r="B2" s="91" t="s">
        <v>268</v>
      </c>
      <c r="C2" s="91"/>
      <c r="D2" s="91"/>
      <c r="E2" s="91"/>
      <c r="F2" s="91"/>
      <c r="G2" s="91"/>
      <c r="H2" s="91"/>
      <c r="I2" s="50"/>
      <c r="J2" s="50"/>
      <c r="K2" s="50"/>
    </row>
    <row r="3" spans="1:11" x14ac:dyDescent="0.25">
      <c r="A3" s="101"/>
      <c r="B3" s="101"/>
      <c r="C3" s="101"/>
      <c r="D3" s="101"/>
      <c r="E3" s="101"/>
      <c r="F3" s="101"/>
      <c r="G3" s="101"/>
      <c r="H3" s="101"/>
    </row>
    <row r="4" spans="1:11" ht="57.75" customHeight="1" x14ac:dyDescent="0.25">
      <c r="A4" s="95" t="s">
        <v>194</v>
      </c>
      <c r="B4" s="97"/>
      <c r="C4" s="84" t="s">
        <v>339</v>
      </c>
      <c r="D4" s="85"/>
      <c r="E4" s="86" t="s">
        <v>0</v>
      </c>
      <c r="F4" s="87"/>
      <c r="G4" s="99" t="s">
        <v>398</v>
      </c>
      <c r="H4" s="100"/>
    </row>
    <row r="5" spans="1:11" ht="42.75" customHeight="1" x14ac:dyDescent="0.25">
      <c r="A5" s="96"/>
      <c r="B5" s="98"/>
      <c r="C5" s="15" t="s">
        <v>94</v>
      </c>
      <c r="D5" s="14" t="s">
        <v>412</v>
      </c>
      <c r="E5" s="15" t="s">
        <v>348</v>
      </c>
      <c r="F5" s="15" t="s">
        <v>349</v>
      </c>
      <c r="G5" s="15" t="s">
        <v>413</v>
      </c>
      <c r="H5" s="13" t="s">
        <v>406</v>
      </c>
    </row>
    <row r="6" spans="1:11" s="51" customFormat="1" ht="16.5" customHeight="1" x14ac:dyDescent="0.2">
      <c r="A6" s="66"/>
      <c r="B6" s="67" t="s">
        <v>95</v>
      </c>
      <c r="C6" s="68">
        <v>2042225.30373</v>
      </c>
      <c r="D6" s="45">
        <f>IF(2291388.90956="","-",2042225.30373/2291388.90956*100)</f>
        <v>89.126088339240269</v>
      </c>
      <c r="E6" s="45">
        <v>100</v>
      </c>
      <c r="F6" s="45">
        <v>100</v>
      </c>
      <c r="G6" s="45">
        <f>IF(1331502.34087="","-",(2291388.90956-1331502.34087)/1331502.34087*100)</f>
        <v>72.090490510351856</v>
      </c>
      <c r="H6" s="45">
        <f>IF(2291388.90956="","-",(2042225.30373-2291388.90956)/2291388.90956*100)</f>
        <v>-10.873911660759727</v>
      </c>
      <c r="I6" s="50"/>
      <c r="J6" s="50"/>
      <c r="K6" s="50"/>
    </row>
    <row r="7" spans="1:11" x14ac:dyDescent="0.25">
      <c r="A7" s="58" t="s">
        <v>195</v>
      </c>
      <c r="B7" s="59" t="s">
        <v>167</v>
      </c>
      <c r="C7" s="18">
        <v>423023.21601999999</v>
      </c>
      <c r="D7" s="33">
        <f>IF(593326.99="","-",423023.21602/593326.99*100)</f>
        <v>71.296809878815722</v>
      </c>
      <c r="E7" s="33">
        <f>IF(593326.99="","-",593326.99/2291388.90956*100)</f>
        <v>25.893770696216407</v>
      </c>
      <c r="F7" s="33">
        <f>IF(423023.21602="","-",423023.21602/2042225.30373*100)</f>
        <v>20.713836776352437</v>
      </c>
      <c r="G7" s="33">
        <f>IF(1331502.34087="","-",(593326.99-230216.46371)/1331502.34087*100)</f>
        <v>27.270738859741282</v>
      </c>
      <c r="H7" s="33">
        <f>IF(2291388.90956="","-",(423023.21602-593326.99)/2291388.90956*100)</f>
        <v>-7.4323382324784957</v>
      </c>
    </row>
    <row r="8" spans="1:11" x14ac:dyDescent="0.25">
      <c r="A8" s="60" t="s">
        <v>196</v>
      </c>
      <c r="B8" s="61" t="s">
        <v>20</v>
      </c>
      <c r="C8" s="20">
        <v>6314.3254399999996</v>
      </c>
      <c r="D8" s="34">
        <f>IF(OR(4044.16056="",6314.32544=""),"-",6314.32544/4044.16056*100)</f>
        <v>156.13439047039219</v>
      </c>
      <c r="E8" s="34">
        <f>IF(4044.16056="","-",4044.16056/2291388.90956*100)</f>
        <v>0.17649385240223461</v>
      </c>
      <c r="F8" s="34">
        <f>IF(6314.32544="","-",6314.32544/2042225.30373*100)</f>
        <v>0.30918848319366471</v>
      </c>
      <c r="G8" s="34">
        <f>IF(OR(1331502.34087="",6365.76454="",4044.16056=""),"-",(4044.16056-6365.76454)/1331502.34087*100)</f>
        <v>-0.17435973702329885</v>
      </c>
      <c r="H8" s="34">
        <f>IF(OR(2291388.90956="",6314.32544="",4044.16056=""),"-",(6314.32544-4044.16056)/2291388.90956*100)</f>
        <v>9.9073748263708072E-2</v>
      </c>
      <c r="I8" s="58"/>
    </row>
    <row r="9" spans="1:11" x14ac:dyDescent="0.25">
      <c r="A9" s="60" t="s">
        <v>197</v>
      </c>
      <c r="B9" s="61" t="s">
        <v>168</v>
      </c>
      <c r="C9" s="20">
        <v>1825.2248400000001</v>
      </c>
      <c r="D9" s="34">
        <f>IF(OR(1746.1356="",1825.22484=""),"-",1825.22484/1746.1356*100)</f>
        <v>104.52938706478466</v>
      </c>
      <c r="E9" s="34">
        <f>IF(1746.1356="","-",1746.1356/2291388.90956*100)</f>
        <v>7.62042441907122E-2</v>
      </c>
      <c r="F9" s="34">
        <f>IF(1825.22484="","-",1825.22484/2042225.30373*100)</f>
        <v>8.9374313238913358E-2</v>
      </c>
      <c r="G9" s="34">
        <f>IF(OR(1331502.34087="",3154.66134="",1746.1356=""),"-",(1746.1356-3154.66134)/1331502.34087*100)</f>
        <v>-0.10578469873959616</v>
      </c>
      <c r="H9" s="34">
        <f>IF(OR(2291388.90956="",1825.22484="",1746.1356=""),"-",(1825.22484-1746.1356)/2291388.90956*100)</f>
        <v>3.4515851791910345E-3</v>
      </c>
      <c r="I9" s="60"/>
    </row>
    <row r="10" spans="1:11" s="2" customFormat="1" x14ac:dyDescent="0.25">
      <c r="A10" s="60" t="s">
        <v>198</v>
      </c>
      <c r="B10" s="61" t="s">
        <v>169</v>
      </c>
      <c r="C10" s="20">
        <v>8734.8227900000002</v>
      </c>
      <c r="D10" s="34">
        <f>IF(OR(7466.81014="",8734.82279=""),"-",8734.82279/7466.81014*100)</f>
        <v>116.98198596489291</v>
      </c>
      <c r="E10" s="34">
        <f>IF(7466.81014="","-",7466.81014/2291388.90956*100)</f>
        <v>0.32586393819256987</v>
      </c>
      <c r="F10" s="34">
        <f>IF(8734.82279="","-",8734.82279/2042225.30373*100)</f>
        <v>0.427711025519387</v>
      </c>
      <c r="G10" s="34">
        <f>IF(OR(1331502.34087="",5053.0017="",7466.81014=""),"-",(7466.81014-5053.0017)/1331502.34087*100)</f>
        <v>0.18128458102618308</v>
      </c>
      <c r="H10" s="34">
        <f>IF(OR(2291388.90956="",8734.82279="",7466.81014=""),"-",(8734.82279-7466.81014)/2291388.90956*100)</f>
        <v>5.5338168248509526E-2</v>
      </c>
      <c r="I10" s="60"/>
      <c r="J10" s="25"/>
      <c r="K10" s="25"/>
    </row>
    <row r="11" spans="1:11" s="2" customFormat="1" x14ac:dyDescent="0.25">
      <c r="A11" s="60" t="s">
        <v>199</v>
      </c>
      <c r="B11" s="61" t="s">
        <v>170</v>
      </c>
      <c r="C11" s="20">
        <v>188.52766</v>
      </c>
      <c r="D11" s="34" t="s">
        <v>357</v>
      </c>
      <c r="E11" s="34">
        <f>IF(55.88052="","-",55.88052/2291388.90956*100)</f>
        <v>2.4387182711262381E-3</v>
      </c>
      <c r="F11" s="34">
        <f>IF(188.52766="","-",188.52766/2042225.30373*100)</f>
        <v>9.2314819356936629E-3</v>
      </c>
      <c r="G11" s="34">
        <f>IF(OR(1331502.34087="",39.49188="",55.88052=""),"-",(55.88052-39.49188)/1331502.34087*100)</f>
        <v>1.2308382416580433E-3</v>
      </c>
      <c r="H11" s="34">
        <f>IF(OR(2291388.90956="",188.52766="",55.88052=""),"-",(188.52766-55.88052)/2291388.90956*100)</f>
        <v>5.7889404739011035E-3</v>
      </c>
      <c r="I11" s="60"/>
      <c r="J11" s="25"/>
      <c r="K11" s="25"/>
    </row>
    <row r="12" spans="1:11" s="2" customFormat="1" ht="24" x14ac:dyDescent="0.25">
      <c r="A12" s="60" t="s">
        <v>200</v>
      </c>
      <c r="B12" s="61" t="s">
        <v>171</v>
      </c>
      <c r="C12" s="20">
        <v>189636.49148</v>
      </c>
      <c r="D12" s="34">
        <f>IF(OR(333925.46529="",189636.49148=""),"-",189636.49148/333925.46529*100)</f>
        <v>56.790065805645817</v>
      </c>
      <c r="E12" s="34">
        <f>IF(333925.46529="","-",333925.46529/2291388.90956*100)</f>
        <v>14.573059330819641</v>
      </c>
      <c r="F12" s="34">
        <f>IF(189636.49148="","-",189636.49148/2042225.30373*100)</f>
        <v>9.2857771928317856</v>
      </c>
      <c r="G12" s="34">
        <f>IF(OR(1331502.34087="",59017.47661="",333925.46529=""),"-",(333925.46529-59017.47661)/1331502.34087*100)</f>
        <v>20.646451774194848</v>
      </c>
      <c r="H12" s="34">
        <f>IF(OR(2291388.90956="",189636.49148="",333925.46529=""),"-",(189636.49148-333925.46529)/2291388.90956*100)</f>
        <v>-6.2970093469513584</v>
      </c>
      <c r="I12" s="60"/>
      <c r="J12" s="25"/>
      <c r="K12" s="25"/>
    </row>
    <row r="13" spans="1:11" s="2" customFormat="1" x14ac:dyDescent="0.25">
      <c r="A13" s="60" t="s">
        <v>201</v>
      </c>
      <c r="B13" s="61" t="s">
        <v>172</v>
      </c>
      <c r="C13" s="20">
        <v>159411.31953000001</v>
      </c>
      <c r="D13" s="34">
        <f>IF(OR(189496.8692="",159411.31953=""),"-",159411.31953/189496.8692*100)</f>
        <v>84.123458188511336</v>
      </c>
      <c r="E13" s="34">
        <f>IF(189496.8692="","-",189496.8692/2291388.90956*100)</f>
        <v>8.2699566367538981</v>
      </c>
      <c r="F13" s="34">
        <f>IF(159411.31953="","-",159411.31953/2042225.30373*100)</f>
        <v>7.8057655655742266</v>
      </c>
      <c r="G13" s="34">
        <f>IF(OR(1331502.34087="",133151.71362="",189496.8692=""),"-",(189496.8692-133151.71362)/1331502.34087*100)</f>
        <v>4.2316978236166092</v>
      </c>
      <c r="H13" s="34">
        <f>IF(OR(2291388.90956="",159411.31953="",189496.8692=""),"-",(159411.31953-189496.8692)/2291388.90956*100)</f>
        <v>-1.3129831232262139</v>
      </c>
      <c r="I13" s="60"/>
      <c r="J13" s="25"/>
      <c r="K13" s="25"/>
    </row>
    <row r="14" spans="1:11" s="2" customFormat="1" ht="24" x14ac:dyDescent="0.25">
      <c r="A14" s="60" t="s">
        <v>202</v>
      </c>
      <c r="B14" s="61" t="s">
        <v>130</v>
      </c>
      <c r="C14" s="20">
        <v>11859.844230000001</v>
      </c>
      <c r="D14" s="34">
        <f>IF(OR(13294.74107="",11859.84423=""),"-",11859.84423/13294.74107*100)</f>
        <v>89.207034326994986</v>
      </c>
      <c r="E14" s="34">
        <f>IF(13294.74107="","-",13294.74107/2291388.90956*100)</f>
        <v>0.58020447836386269</v>
      </c>
      <c r="F14" s="34">
        <f>IF(11859.84423="","-",11859.84423/2042225.30373*100)</f>
        <v>0.58073143097084923</v>
      </c>
      <c r="G14" s="34">
        <f>IF(OR(1331502.34087="",6230.59411="",13294.74107=""),"-",(13294.74107-6230.59411)/1331502.34087*100)</f>
        <v>0.53053958248276945</v>
      </c>
      <c r="H14" s="34">
        <f>IF(OR(2291388.90956="",11859.84423="",13294.74107=""),"-",(11859.84423-13294.74107)/2291388.90956*100)</f>
        <v>-6.2621270183049499E-2</v>
      </c>
      <c r="I14" s="60"/>
      <c r="J14" s="25"/>
      <c r="K14" s="25"/>
    </row>
    <row r="15" spans="1:11" s="2" customFormat="1" ht="24" x14ac:dyDescent="0.25">
      <c r="A15" s="60" t="s">
        <v>203</v>
      </c>
      <c r="B15" s="61" t="s">
        <v>173</v>
      </c>
      <c r="C15" s="20">
        <v>5069.8349600000001</v>
      </c>
      <c r="D15" s="34">
        <f>IF(OR(5634.1775="",5069.83496=""),"-",5069.83496/5634.1775*100)</f>
        <v>89.983586069128989</v>
      </c>
      <c r="E15" s="34">
        <f>IF(5634.1775="","-",5634.1775/2291388.90956*100)</f>
        <v>0.24588482018453572</v>
      </c>
      <c r="F15" s="34">
        <f>IF(5069.83496="","-",5069.83496/2042225.30373*100)</f>
        <v>0.24825052117120749</v>
      </c>
      <c r="G15" s="34">
        <f>IF(OR(1331502.34087="",4760.7679="",5634.1775=""),"-",(5634.1775-4760.7679)/1331502.34087*100)</f>
        <v>6.5595799060279264E-2</v>
      </c>
      <c r="H15" s="34">
        <f>IF(OR(2291388.90956="",5069.83496="",5634.1775=""),"-",(5069.83496-5634.1775)/2291388.90956*100)</f>
        <v>-2.4628841382860957E-2</v>
      </c>
      <c r="I15" s="60"/>
      <c r="J15" s="25"/>
      <c r="K15" s="25"/>
    </row>
    <row r="16" spans="1:11" s="2" customFormat="1" ht="24" x14ac:dyDescent="0.25">
      <c r="A16" s="60" t="s">
        <v>204</v>
      </c>
      <c r="B16" s="61" t="s">
        <v>131</v>
      </c>
      <c r="C16" s="20">
        <v>34610.636079999997</v>
      </c>
      <c r="D16" s="34">
        <f>IF(OR(33937.44391="",34610.63608=""),"-",34610.63608/33937.44391*100)</f>
        <v>101.98362661544358</v>
      </c>
      <c r="E16" s="34">
        <f>IF(33937.44391="","-",33937.44391/2291388.90956*100)</f>
        <v>1.4810861555804937</v>
      </c>
      <c r="F16" s="34">
        <f>IF(34610.63608="","-",34610.63608/2042225.30373*100)</f>
        <v>1.6947511137378319</v>
      </c>
      <c r="G16" s="34">
        <f>IF(OR(1331502.34087="",9994.09538="",33937.44391=""),"-",(33937.44391-9994.09538)/1331502.34087*100)</f>
        <v>1.7982205359365333</v>
      </c>
      <c r="H16" s="34">
        <f>IF(OR(2291388.90956="",34610.63608="",33937.44391=""),"-",(34610.63608-33937.44391)/2291388.90956*100)</f>
        <v>2.9379219179744714E-2</v>
      </c>
      <c r="I16" s="60"/>
      <c r="J16" s="25"/>
      <c r="K16" s="25"/>
    </row>
    <row r="17" spans="1:11" s="2" customFormat="1" ht="24" x14ac:dyDescent="0.25">
      <c r="A17" s="60" t="s">
        <v>205</v>
      </c>
      <c r="B17" s="61" t="s">
        <v>174</v>
      </c>
      <c r="C17" s="20">
        <v>5372.1890100000001</v>
      </c>
      <c r="D17" s="34">
        <f>IF(OR(3725.30621="",5372.18901=""),"-",5372.18901/3725.30621*100)</f>
        <v>144.20798471758377</v>
      </c>
      <c r="E17" s="34">
        <f>IF(3725.30621="","-",3725.30621/2291388.90956*100)</f>
        <v>0.16257852145733503</v>
      </c>
      <c r="F17" s="34">
        <f>IF(5372.18901="","-",5372.18901/2042225.30373*100)</f>
        <v>0.26305564817887744</v>
      </c>
      <c r="G17" s="34">
        <f>IF(OR(1331502.34087="",2448.89663="",3725.30621=""),"-",(3725.30621-2448.89663)/1331502.34087*100)</f>
        <v>9.5862360945306146E-2</v>
      </c>
      <c r="H17" s="34">
        <f>IF(OR(2291388.90956="",5372.18901="",3725.30621=""),"-",(5372.18901-3725.30621)/2291388.90956*100)</f>
        <v>7.1872687919932357E-2</v>
      </c>
      <c r="I17" s="60"/>
      <c r="J17" s="25"/>
      <c r="K17" s="25"/>
    </row>
    <row r="18" spans="1:11" s="2" customFormat="1" x14ac:dyDescent="0.25">
      <c r="A18" s="58" t="s">
        <v>206</v>
      </c>
      <c r="B18" s="59" t="s">
        <v>175</v>
      </c>
      <c r="C18" s="18">
        <v>105352.93226</v>
      </c>
      <c r="D18" s="33">
        <f>IF(77842.17166="","-",105352.93226/77842.17166*100)</f>
        <v>135.3417177518657</v>
      </c>
      <c r="E18" s="33">
        <f>IF(77842.17166="","-",77842.17166/2291388.90956*100)</f>
        <v>3.3971610552548022</v>
      </c>
      <c r="F18" s="33">
        <f>IF(105352.93226="","-",105352.93226/2042225.30373*100)</f>
        <v>5.1587320981470208</v>
      </c>
      <c r="G18" s="33">
        <f>IF(1331502.34087="","-",(77842.17166-99957.3525)/1331502.34087*100)</f>
        <v>-1.660919411193073</v>
      </c>
      <c r="H18" s="33">
        <f>IF(2291388.90956="","-",(105352.93226-77842.17166)/2291388.90956*100)</f>
        <v>1.2006150717244546</v>
      </c>
      <c r="I18" s="60"/>
      <c r="J18" s="25"/>
      <c r="K18" s="25"/>
    </row>
    <row r="19" spans="1:11" s="2" customFormat="1" x14ac:dyDescent="0.25">
      <c r="A19" s="60" t="s">
        <v>207</v>
      </c>
      <c r="B19" s="61" t="s">
        <v>176</v>
      </c>
      <c r="C19" s="20">
        <v>99922.716530000005</v>
      </c>
      <c r="D19" s="34">
        <f>IF(OR(72791.31672="",99922.71653=""),"-",99922.71653/72791.31672*100)</f>
        <v>137.27285208256913</v>
      </c>
      <c r="E19" s="34">
        <f>IF(72791.31672="","-",72791.31672/2291388.90956*100)</f>
        <v>3.1767333959025592</v>
      </c>
      <c r="F19" s="34">
        <f>IF(99922.71653="","-",99922.71653/2042225.30373*100)</f>
        <v>4.8928351023512073</v>
      </c>
      <c r="G19" s="34">
        <f>IF(OR(1331502.34087="",94193.99594="",72791.31672=""),"-",(72791.31672-94193.99594)/1331502.34087*100)</f>
        <v>-1.6074083058701603</v>
      </c>
      <c r="H19" s="34">
        <f>IF(OR(2291388.90956="",99922.71653="",72791.31672=""),"-",(99922.71653-72791.31672)/2291388.90956*100)</f>
        <v>1.1840591397123357</v>
      </c>
      <c r="I19" s="58"/>
      <c r="J19" s="25"/>
      <c r="K19" s="25"/>
    </row>
    <row r="20" spans="1:11" s="2" customFormat="1" x14ac:dyDescent="0.25">
      <c r="A20" s="60" t="s">
        <v>208</v>
      </c>
      <c r="B20" s="61" t="s">
        <v>177</v>
      </c>
      <c r="C20" s="20">
        <v>5430.2157299999999</v>
      </c>
      <c r="D20" s="34">
        <f>IF(OR(5050.85494="",5430.21573=""),"-",5430.21573/5050.85494*100)</f>
        <v>107.51082330628168</v>
      </c>
      <c r="E20" s="34">
        <f>IF(5050.85494="","-",5050.85494/2291388.90956*100)</f>
        <v>0.22042765935224332</v>
      </c>
      <c r="F20" s="34">
        <f>IF(5430.21573="","-",5430.21573/2042225.30373*100)</f>
        <v>0.26589699579581361</v>
      </c>
      <c r="G20" s="34">
        <f>IF(OR(1331502.34087="",5763.35656="",5050.85494=""),"-",(5050.85494-5763.35656)/1331502.34087*100)</f>
        <v>-5.3511105322913172E-2</v>
      </c>
      <c r="H20" s="34">
        <f>IF(OR(2291388.90956="",5430.21573="",5050.85494=""),"-",(5430.21573-5050.85494)/2291388.90956*100)</f>
        <v>1.6555932012119488E-2</v>
      </c>
      <c r="I20" s="60"/>
      <c r="J20" s="25"/>
      <c r="K20" s="25"/>
    </row>
    <row r="21" spans="1:11" s="2" customFormat="1" ht="24" x14ac:dyDescent="0.25">
      <c r="A21" s="58" t="s">
        <v>209</v>
      </c>
      <c r="B21" s="59" t="s">
        <v>21</v>
      </c>
      <c r="C21" s="18">
        <v>129096.09729999999</v>
      </c>
      <c r="D21" s="33">
        <f>IF(309439.686="","-",129096.0973/309439.686*100)</f>
        <v>41.719308524634421</v>
      </c>
      <c r="E21" s="33">
        <f>IF(309439.686="","-",309439.686/2291388.90956*100)</f>
        <v>13.504459444181371</v>
      </c>
      <c r="F21" s="33">
        <f>IF(129096.0973="","-",129096.0973/2042225.30373*100)</f>
        <v>6.3213445188546951</v>
      </c>
      <c r="G21" s="33">
        <f>IF(1331502.34087="","-",(309439.686-128872.24087)/1331502.34087*100)</f>
        <v>13.561181200178568</v>
      </c>
      <c r="H21" s="33">
        <f>IF(2291388.90956="","-",(129096.0973-309439.686)/2291388.90956*100)</f>
        <v>-7.8704923440792136</v>
      </c>
      <c r="I21" s="60"/>
      <c r="J21" s="25"/>
      <c r="K21" s="25"/>
    </row>
    <row r="22" spans="1:11" s="2" customFormat="1" ht="24" x14ac:dyDescent="0.25">
      <c r="A22" s="60" t="s">
        <v>210</v>
      </c>
      <c r="B22" s="61" t="s">
        <v>184</v>
      </c>
      <c r="C22" s="20">
        <v>734.75581999999997</v>
      </c>
      <c r="D22" s="34">
        <f>IF(OR(790.0434="",734.75582=""),"-",734.75582/790.0434*100)</f>
        <v>93.001956601371518</v>
      </c>
      <c r="E22" s="34">
        <f>IF(790.0434="","-",790.0434/2291388.90956*100)</f>
        <v>3.447880002839443E-2</v>
      </c>
      <c r="F22" s="34">
        <f>IF(734.75582="","-",734.75582/2042225.30373*100)</f>
        <v>3.5978195875744627E-2</v>
      </c>
      <c r="G22" s="34">
        <f>IF(OR(1331502.34087="",655.62209="",790.0434=""),"-",(790.0434-655.62209)/1331502.34087*100)</f>
        <v>1.0095461785832803E-2</v>
      </c>
      <c r="H22" s="34">
        <f>IF(OR(2291388.90956="",734.75582="",790.0434=""),"-",(734.75582-790.0434)/2291388.90956*100)</f>
        <v>-2.412841389313373E-3</v>
      </c>
      <c r="I22" s="58"/>
      <c r="J22" s="25"/>
      <c r="K22" s="25"/>
    </row>
    <row r="23" spans="1:11" s="2" customFormat="1" x14ac:dyDescent="0.25">
      <c r="A23" s="60" t="s">
        <v>211</v>
      </c>
      <c r="B23" s="61" t="s">
        <v>178</v>
      </c>
      <c r="C23" s="20">
        <v>92383.302100000001</v>
      </c>
      <c r="D23" s="34">
        <f>IF(OR(257465.26417="",92383.3021=""),"-",92383.3021/257465.26417*100)</f>
        <v>35.881850857753321</v>
      </c>
      <c r="E23" s="34">
        <f>IF(257465.26417="","-",257465.26417/2291388.90956*100)</f>
        <v>11.236209754521303</v>
      </c>
      <c r="F23" s="34">
        <f>IF(92383.3021="","-",92383.3021/2042225.30373*100)</f>
        <v>4.5236586742543796</v>
      </c>
      <c r="G23" s="34">
        <f>IF(OR(1331502.34087="",77016.96924="",257465.26417=""),"-",(257465.26417-77016.96924)/1331502.34087*100)</f>
        <v>13.552232646627987</v>
      </c>
      <c r="H23" s="34">
        <f>IF(OR(2291388.90956="",92383.3021="",257465.26417=""),"-",(92383.3021-257465.26417)/2291388.90956*100)</f>
        <v>-7.2044497283396378</v>
      </c>
      <c r="I23" s="60"/>
      <c r="J23" s="25"/>
      <c r="K23" s="25"/>
    </row>
    <row r="24" spans="1:11" s="2" customFormat="1" ht="24" x14ac:dyDescent="0.25">
      <c r="A24" s="60" t="s">
        <v>264</v>
      </c>
      <c r="B24" s="61" t="s">
        <v>179</v>
      </c>
      <c r="C24" s="20">
        <v>20.307729999999999</v>
      </c>
      <c r="D24" s="34" t="s">
        <v>375</v>
      </c>
      <c r="E24" s="34">
        <f>IF(4.68875="","-",4.68875/2291388.90956*100)</f>
        <v>2.0462480116046071E-4</v>
      </c>
      <c r="F24" s="34">
        <f>IF(20.30773="","-",20.30773/2042225.30373*100)</f>
        <v>9.9439224276132339E-4</v>
      </c>
      <c r="G24" s="34">
        <f>IF(OR(1331502.34087="",0.54018="",4.68875=""),"-",(4.68875-0.54018)/1331502.34087*100)</f>
        <v>3.1157061258257614E-4</v>
      </c>
      <c r="H24" s="34">
        <f>IF(OR(2291388.90956="",20.30773="",4.68875=""),"-",(20.30773-4.68875)/2291388.90956*100)</f>
        <v>6.8163810756154911E-4</v>
      </c>
      <c r="I24" s="60"/>
      <c r="J24" s="25"/>
      <c r="K24" s="25"/>
    </row>
    <row r="25" spans="1:11" s="2" customFormat="1" x14ac:dyDescent="0.25">
      <c r="A25" s="60" t="s">
        <v>212</v>
      </c>
      <c r="B25" s="61" t="s">
        <v>180</v>
      </c>
      <c r="C25" s="20">
        <v>1707.1457499999999</v>
      </c>
      <c r="D25" s="34">
        <f>IF(OR(1673.12718="",1707.14575=""),"-",1707.14575/1673.12718*100)</f>
        <v>102.0332327635727</v>
      </c>
      <c r="E25" s="34">
        <f>IF(1673.12718="","-",1673.12718/2291388.90956*100)</f>
        <v>7.3018036048768303E-2</v>
      </c>
      <c r="F25" s="34">
        <f>IF(1707.14575="","-",1707.14575/2042225.30373*100)</f>
        <v>8.3592429634575693E-2</v>
      </c>
      <c r="G25" s="34">
        <f>IF(OR(1331502.34087="",949.1857="",1673.12718=""),"-",(1673.12718-949.1857)/1331502.34087*100)</f>
        <v>5.4370274672365847E-2</v>
      </c>
      <c r="H25" s="34">
        <f>IF(OR(2291388.90956="",1707.14575="",1673.12718=""),"-",(1707.14575-1673.12718)/2291388.90956*100)</f>
        <v>1.4846266322608812E-3</v>
      </c>
      <c r="I25" s="60"/>
      <c r="J25" s="25"/>
      <c r="K25" s="25"/>
    </row>
    <row r="26" spans="1:11" s="2" customFormat="1" x14ac:dyDescent="0.25">
      <c r="A26" s="60" t="s">
        <v>213</v>
      </c>
      <c r="B26" s="61" t="s">
        <v>132</v>
      </c>
      <c r="C26" s="20">
        <v>1722.4987599999999</v>
      </c>
      <c r="D26" s="34">
        <f>IF(OR(2738.11745="",1722.49876=""),"-",1722.49876/2738.11745*100)</f>
        <v>62.908140043444803</v>
      </c>
      <c r="E26" s="34">
        <f>IF(2738.11745="","-",2738.11745/2291388.90956*100)</f>
        <v>0.11949597200964818</v>
      </c>
      <c r="F26" s="34">
        <f>IF(1722.49876="","-",1722.49876/2042225.30373*100)</f>
        <v>8.4344208097606121E-2</v>
      </c>
      <c r="G26" s="34">
        <f>IF(OR(1331502.34087="",2440.28717="",2738.11745=""),"-",(2738.11745-2440.28717)/1331502.34087*100)</f>
        <v>2.2367987712691412E-2</v>
      </c>
      <c r="H26" s="34">
        <f>IF(OR(2291388.90956="",1722.49876="",2738.11745=""),"-",(1722.49876-2738.11745)/2291388.90956*100)</f>
        <v>-4.4323278591543093E-2</v>
      </c>
      <c r="I26" s="60"/>
      <c r="J26" s="25"/>
      <c r="K26" s="25"/>
    </row>
    <row r="27" spans="1:11" s="2" customFormat="1" ht="36" x14ac:dyDescent="0.25">
      <c r="A27" s="60" t="s">
        <v>214</v>
      </c>
      <c r="B27" s="61" t="s">
        <v>133</v>
      </c>
      <c r="C27" s="20">
        <v>118.84</v>
      </c>
      <c r="D27" s="34" t="s">
        <v>318</v>
      </c>
      <c r="E27" s="34">
        <f>IF(49.70577="","-",49.70577/2291388.90956*100)</f>
        <v>2.1692419733996475E-3</v>
      </c>
      <c r="F27" s="34">
        <f>IF(118.84="","-",118.84/2042225.30373*100)</f>
        <v>5.8191424708598991E-3</v>
      </c>
      <c r="G27" s="34">
        <f>IF(OR(1331502.34087="",138.83231="",49.70577=""),"-",(49.70577-138.83231)/1331502.34087*100)</f>
        <v>-6.693682561741872E-3</v>
      </c>
      <c r="H27" s="34">
        <f>IF(OR(2291388.90956="",118.84="",49.70577=""),"-",(118.84-49.70577)/2291388.90956*100)</f>
        <v>3.0171320857651958E-3</v>
      </c>
      <c r="I27" s="60"/>
      <c r="J27" s="25"/>
      <c r="K27" s="25"/>
    </row>
    <row r="28" spans="1:11" s="2" customFormat="1" ht="36" x14ac:dyDescent="0.25">
      <c r="A28" s="60" t="s">
        <v>215</v>
      </c>
      <c r="B28" s="61" t="s">
        <v>134</v>
      </c>
      <c r="C28" s="20">
        <v>10079.39992</v>
      </c>
      <c r="D28" s="34" t="s">
        <v>17</v>
      </c>
      <c r="E28" s="34">
        <f>IF(4989.56815="","-",4989.56815/2291388.90956*100)</f>
        <v>0.21775300252099555</v>
      </c>
      <c r="F28" s="34">
        <f>IF(10079.39992="","-",10079.39992/2042225.30373*100)</f>
        <v>0.49354984984225742</v>
      </c>
      <c r="G28" s="34">
        <f>IF(OR(1331502.34087="",3644.19325="",4989.56815=""),"-",(4989.56815-3644.19325)/1331502.34087*100)</f>
        <v>0.10104187268051937</v>
      </c>
      <c r="H28" s="34">
        <f>IF(OR(2291388.90956="",10079.39992="",4989.56815=""),"-",(10079.39992-4989.56815)/2291388.90956*100)</f>
        <v>0.22212867264760244</v>
      </c>
      <c r="I28" s="60"/>
      <c r="J28" s="25"/>
      <c r="K28" s="25"/>
    </row>
    <row r="29" spans="1:11" s="2" customFormat="1" ht="24" x14ac:dyDescent="0.25">
      <c r="A29" s="60" t="s">
        <v>216</v>
      </c>
      <c r="B29" s="61" t="s">
        <v>135</v>
      </c>
      <c r="C29" s="20">
        <v>19538.238369999999</v>
      </c>
      <c r="D29" s="34">
        <f>IF(OR(39861.88292="",19538.23837=""),"-",19538.23837/39861.88292*100)</f>
        <v>49.014840591479015</v>
      </c>
      <c r="E29" s="34">
        <f>IF(39861.88292="","-",39861.88292/2291388.90956*100)</f>
        <v>1.7396384679043597</v>
      </c>
      <c r="F29" s="34">
        <f>IF(19538.23837="","-",19538.23837/2042225.30373*100)</f>
        <v>0.95671316648141602</v>
      </c>
      <c r="G29" s="34">
        <f>IF(OR(1331502.34087="",42090.98788="",39861.88292=""),"-",(39861.88292-42090.98788)/1331502.34087*100)</f>
        <v>-0.16741277064098237</v>
      </c>
      <c r="H29" s="34">
        <f>IF(OR(2291388.90956="",19538.23837="",39861.88292=""),"-",(19538.23837-39861.88292)/2291388.90956*100)</f>
        <v>-0.88695744599298998</v>
      </c>
      <c r="I29" s="60"/>
      <c r="J29" s="25"/>
      <c r="K29" s="25"/>
    </row>
    <row r="30" spans="1:11" s="2" customFormat="1" ht="24" x14ac:dyDescent="0.25">
      <c r="A30" s="60" t="s">
        <v>217</v>
      </c>
      <c r="B30" s="61" t="s">
        <v>136</v>
      </c>
      <c r="C30" s="20">
        <v>2791.6088500000001</v>
      </c>
      <c r="D30" s="34">
        <f>IF(OR(1867.28821="",2791.60885=""),"-",2791.60885/1867.28821*100)</f>
        <v>149.50069491415042</v>
      </c>
      <c r="E30" s="34">
        <f>IF(1867.28821="","-",1867.28821/2291388.90956*100)</f>
        <v>8.1491544373345284E-2</v>
      </c>
      <c r="F30" s="34">
        <f>IF(2791.60885="","-",2791.60885/2042225.30373*100)</f>
        <v>0.13669445995509391</v>
      </c>
      <c r="G30" s="34">
        <f>IF(OR(1331502.34087="",1935.62305="",1867.28821=""),"-",(1867.28821-1935.62305)/1331502.34087*100)</f>
        <v>-5.132160710686411E-3</v>
      </c>
      <c r="H30" s="34">
        <f>IF(OR(2291388.90956="",2791.60885="",1867.28821=""),"-",(2791.60885-1867.28821)/2291388.90956*100)</f>
        <v>4.0338880761079145E-2</v>
      </c>
      <c r="I30" s="60"/>
      <c r="J30" s="25"/>
      <c r="K30" s="25"/>
    </row>
    <row r="31" spans="1:11" s="2" customFormat="1" ht="24" x14ac:dyDescent="0.25">
      <c r="A31" s="58" t="s">
        <v>218</v>
      </c>
      <c r="B31" s="59" t="s">
        <v>137</v>
      </c>
      <c r="C31" s="18">
        <v>290560.34114999999</v>
      </c>
      <c r="D31" s="33">
        <f>IF(202863.82906="","-",290560.34115/202863.82906*100)</f>
        <v>143.22925013116185</v>
      </c>
      <c r="E31" s="33">
        <f>IF(202863.82906="","-",202863.82906/2291388.90956*100)</f>
        <v>8.8533128625011344</v>
      </c>
      <c r="F31" s="33">
        <f>IF(290560.34115="","-",290560.34115/2042225.30373*100)</f>
        <v>14.227633974533038</v>
      </c>
      <c r="G31" s="33">
        <f>IF(1331502.34087="","-",(202863.82906-13258.62276)/1331502.34087*100)</f>
        <v>14.239945397025172</v>
      </c>
      <c r="H31" s="33">
        <f>IF(2291388.90956="","-",(290560.34115-202863.82906)/2291388.90956*100)</f>
        <v>3.8272207622249415</v>
      </c>
      <c r="I31" s="60"/>
      <c r="J31" s="25"/>
      <c r="K31" s="25"/>
    </row>
    <row r="32" spans="1:11" s="2" customFormat="1" x14ac:dyDescent="0.25">
      <c r="A32" s="60" t="s">
        <v>219</v>
      </c>
      <c r="B32" s="61" t="s">
        <v>181</v>
      </c>
      <c r="C32" s="20">
        <v>100.52039000000001</v>
      </c>
      <c r="D32" s="34">
        <f>IF(OR(69.12712="",100.52039=""),"-",100.52039/69.12712*100)</f>
        <v>145.4138260063489</v>
      </c>
      <c r="E32" s="34">
        <f>IF(69.12712="","-",69.12712/2291388.90956*100)</f>
        <v>3.01682179361137E-3</v>
      </c>
      <c r="F32" s="34">
        <f>IF(100.52039="","-",100.52039/2042225.30373*100)</f>
        <v>4.9221008973106758E-3</v>
      </c>
      <c r="G32" s="34">
        <f>IF(OR(1331502.34087="",379.90658="",69.12712=""),"-",(69.12712-379.90658)/1331502.34087*100)</f>
        <v>-2.3340511725795206E-2</v>
      </c>
      <c r="H32" s="34">
        <f>IF(OR(2291388.90956="",100.52039="",69.12712=""),"-",(100.52039-69.12712)/2291388.90956*100)</f>
        <v>1.3700542002722811E-3</v>
      </c>
      <c r="I32" s="58"/>
      <c r="J32" s="25"/>
      <c r="K32" s="25"/>
    </row>
    <row r="33" spans="1:11" s="2" customFormat="1" ht="24" x14ac:dyDescent="0.25">
      <c r="A33" s="60" t="s">
        <v>220</v>
      </c>
      <c r="B33" s="61" t="s">
        <v>138</v>
      </c>
      <c r="C33" s="20">
        <v>268393.71487000003</v>
      </c>
      <c r="D33" s="34">
        <f>IF(OR(198948.03255="",268393.71487=""),"-",268393.71487/198948.03255*100)</f>
        <v>134.90644337110837</v>
      </c>
      <c r="E33" s="34">
        <f>IF(198948.03255="","-",198948.03255/2291388.90956*100)</f>
        <v>8.6824210294446544</v>
      </c>
      <c r="F33" s="34">
        <f>IF(268393.71487="","-",268393.71487/2042225.30373*100)</f>
        <v>13.142218656276331</v>
      </c>
      <c r="G33" s="34">
        <f>IF(OR(1331502.34087="",12875.85785="",198948.03255=""),"-",(198948.03255-12875.85785)/1331502.34087*100)</f>
        <v>13.974603647968125</v>
      </c>
      <c r="H33" s="34">
        <f>IF(OR(2291388.90956="",268393.71487="",198948.03255=""),"-",(268393.71487-198948.03255)/2291388.90956*100)</f>
        <v>3.0307243798843038</v>
      </c>
      <c r="I33" s="60"/>
      <c r="J33" s="25"/>
      <c r="K33" s="25"/>
    </row>
    <row r="34" spans="1:11" s="2" customFormat="1" ht="24" x14ac:dyDescent="0.25">
      <c r="A34" s="62" t="s">
        <v>265</v>
      </c>
      <c r="B34" s="61" t="s">
        <v>291</v>
      </c>
      <c r="C34" s="20">
        <v>2489.9351499999998</v>
      </c>
      <c r="D34" s="34">
        <f>IF(OR(2770.97673="",2489.93515=""),"-",2489.93515/2770.97673*100)</f>
        <v>89.857670872609603</v>
      </c>
      <c r="E34" s="34">
        <f>IF(2770.97673="","-",2770.97673/2291388.90956*100)</f>
        <v>0.1209300053098403</v>
      </c>
      <c r="F34" s="34">
        <f>IF(2489.93515="","-",2489.93515/2042225.30373*100)</f>
        <v>0.12192264709737388</v>
      </c>
      <c r="G34" s="34" t="str">
        <f>IF(OR(1331502.34087="",""="",2770.97673=""),"-",(2770.97673-"")/1331502.34087*100)</f>
        <v>-</v>
      </c>
      <c r="H34" s="34">
        <f>IF(OR(2291388.90956="",2489.93515="",2770.97673=""),"-",(2489.93515-2770.97673)/2291388.90956*100)</f>
        <v>-1.2265119152294694E-2</v>
      </c>
      <c r="I34" s="60"/>
      <c r="J34" s="25"/>
      <c r="K34" s="25"/>
    </row>
    <row r="35" spans="1:11" s="2" customFormat="1" x14ac:dyDescent="0.25">
      <c r="A35" s="60" t="s">
        <v>270</v>
      </c>
      <c r="B35" s="61" t="s">
        <v>271</v>
      </c>
      <c r="C35" s="20">
        <v>19576.170740000001</v>
      </c>
      <c r="D35" s="34" t="s">
        <v>390</v>
      </c>
      <c r="E35" s="34">
        <f>IF(1075.69266="","-",1075.69266/2291388.90956*100)</f>
        <v>4.6945005953029507E-2</v>
      </c>
      <c r="F35" s="34">
        <f>IF(19576.17074="","-",19576.17074/2042225.30373*100)</f>
        <v>0.95857057026202341</v>
      </c>
      <c r="G35" s="34">
        <f>IF(OR(1331502.34087="",2.85833="",1075.69266=""),"-",(1075.69266-2.85833)/1331502.34087*100)</f>
        <v>8.0573221470944839E-2</v>
      </c>
      <c r="H35" s="34">
        <f>IF(OR(2291388.90956="",19576.17074="",1075.69266=""),"-",(19576.17074-1075.69266)/2291388.90956*100)</f>
        <v>0.80739144729266077</v>
      </c>
      <c r="I35" s="60"/>
      <c r="J35" s="25"/>
      <c r="K35" s="25"/>
    </row>
    <row r="36" spans="1:11" s="2" customFormat="1" ht="24" x14ac:dyDescent="0.25">
      <c r="A36" s="58" t="s">
        <v>221</v>
      </c>
      <c r="B36" s="59" t="s">
        <v>139</v>
      </c>
      <c r="C36" s="18">
        <v>141468.86692</v>
      </c>
      <c r="D36" s="33">
        <f>IF(229557.49251="","-",141468.86692/229557.49251*100)</f>
        <v>61.626769561371354</v>
      </c>
      <c r="E36" s="33">
        <f>IF(229557.49251="","-",229557.49251/2291388.90956*100)</f>
        <v>10.018268463823558</v>
      </c>
      <c r="F36" s="33">
        <f>IF(141468.86692="","-",141468.86692/2042225.30373*100)</f>
        <v>6.9271919538757913</v>
      </c>
      <c r="G36" s="33">
        <f>IF(1331502.34087="","-",(229557.49251-44043.81045)/1331502.34087*100)</f>
        <v>13.932659099854522</v>
      </c>
      <c r="H36" s="33">
        <f>IF(2291388.90956="","-",(141468.86692-229557.49251)/2291388.90956*100)</f>
        <v>-3.8443332435834767</v>
      </c>
      <c r="I36" s="60"/>
      <c r="J36" s="25"/>
      <c r="K36" s="25"/>
    </row>
    <row r="37" spans="1:11" s="2" customFormat="1" ht="13.5" customHeight="1" x14ac:dyDescent="0.25">
      <c r="A37" s="60" t="s">
        <v>222</v>
      </c>
      <c r="B37" s="61" t="s">
        <v>185</v>
      </c>
      <c r="C37" s="20">
        <v>1.9330099999999999</v>
      </c>
      <c r="D37" s="34">
        <f>IF(OR(1.59594="",1.93301=""),"-",1.93301/1.59594*100)</f>
        <v>121.1204681880271</v>
      </c>
      <c r="E37" s="34">
        <f>IF(1.59594="","-",1.59594/2291388.90956*100)</f>
        <v>6.964945991234887E-5</v>
      </c>
      <c r="F37" s="34">
        <f>IF(1.93301="","-",1.93301/2042225.30373*100)</f>
        <v>9.4652142271936149E-5</v>
      </c>
      <c r="G37" s="34">
        <f>IF(OR(1331502.34087="",4.81502="",1.59594=""),"-",(1.59594-4.81502)/1331502.34087*100)</f>
        <v>-2.4176299967273521E-4</v>
      </c>
      <c r="H37" s="34">
        <f>IF(OR(2291388.90956="",1.93301="",1.59594=""),"-",(1.93301-1.59594)/2291388.90956*100)</f>
        <v>1.4710292023920341E-5</v>
      </c>
      <c r="I37" s="58"/>
      <c r="J37" s="25"/>
      <c r="K37" s="25"/>
    </row>
    <row r="38" spans="1:11" s="2" customFormat="1" ht="24" x14ac:dyDescent="0.25">
      <c r="A38" s="60" t="s">
        <v>223</v>
      </c>
      <c r="B38" s="61" t="s">
        <v>140</v>
      </c>
      <c r="C38" s="20">
        <v>141466.88360999999</v>
      </c>
      <c r="D38" s="34">
        <f>IF(OR(229555.89657="",141466.88361=""),"-",141466.88361/229555.89657*100)</f>
        <v>61.626334031834183</v>
      </c>
      <c r="E38" s="34">
        <f>IF(229555.89657="","-",229555.89657/2291388.90956*100)</f>
        <v>10.018198814363647</v>
      </c>
      <c r="F38" s="34">
        <f>IF(141466.88361="","-",141466.88361/2042225.30373*100)</f>
        <v>6.9270948387339697</v>
      </c>
      <c r="G38" s="34">
        <f>IF(OR(1331502.34087="",44035.4331="",229555.89657=""),"-",(229555.89657-44035.4331)/1331502.34087*100)</f>
        <v>13.93316840500494</v>
      </c>
      <c r="H38" s="34">
        <f>IF(OR(2291388.90956="",141466.88361="",229555.89657=""),"-",(141466.88361-229555.89657)/2291388.90956*100)</f>
        <v>-3.8443501490506544</v>
      </c>
      <c r="I38" s="60"/>
      <c r="J38" s="25"/>
      <c r="K38" s="25"/>
    </row>
    <row r="39" spans="1:11" s="2" customFormat="1" ht="59.25" customHeight="1" x14ac:dyDescent="0.25">
      <c r="A39" s="60" t="s">
        <v>224</v>
      </c>
      <c r="B39" s="61" t="s">
        <v>183</v>
      </c>
      <c r="C39" s="20">
        <v>5.0299999999999997E-2</v>
      </c>
      <c r="D39" s="34" t="str">
        <f>IF(OR(""="",0.0503=""),"-",0.0503/""*100)</f>
        <v>-</v>
      </c>
      <c r="E39" s="34" t="str">
        <f>IF(""="","-",""/2291388.90956*100)</f>
        <v>-</v>
      </c>
      <c r="F39" s="34">
        <f>IF(0.0503="","-",0.0503/2042225.30373*100)</f>
        <v>2.4629995479994355E-6</v>
      </c>
      <c r="G39" s="34" t="str">
        <f>IF(OR(1331502.34087="",3.56233="",""=""),"-",(""-3.56233)/1331502.34087*100)</f>
        <v>-</v>
      </c>
      <c r="H39" s="34" t="str">
        <f>IF(OR(2291388.90956="",0.0503="",""=""),"-",(0.0503-"")/2291388.90956*100)</f>
        <v>-</v>
      </c>
      <c r="I39" s="60"/>
      <c r="J39" s="25"/>
      <c r="K39" s="25"/>
    </row>
    <row r="40" spans="1:11" s="2" customFormat="1" ht="24" x14ac:dyDescent="0.25">
      <c r="A40" s="58" t="s">
        <v>225</v>
      </c>
      <c r="B40" s="59" t="s">
        <v>141</v>
      </c>
      <c r="C40" s="18">
        <v>66925.404699999999</v>
      </c>
      <c r="D40" s="33">
        <f>IF(69042.58705="","-",66925.4047/69042.58705*100)</f>
        <v>96.933512429847454</v>
      </c>
      <c r="E40" s="33">
        <f>IF(69042.58705="","-",69042.58705/2291388.90956*100)</f>
        <v>3.0131326359285637</v>
      </c>
      <c r="F40" s="33">
        <f>IF(66925.4047="","-",66925.4047/2042225.30373*100)</f>
        <v>3.2770823364966062</v>
      </c>
      <c r="G40" s="33">
        <f>IF(1331502.34087="","-",(69042.58705-65010.93557)/1331502.34087*100)</f>
        <v>0.30278966519621214</v>
      </c>
      <c r="H40" s="33">
        <f>IF(2291388.90956="","-",(66925.4047-69042.58705)/2291388.90956*100)</f>
        <v>-9.2397337752959233E-2</v>
      </c>
      <c r="I40" s="60"/>
      <c r="J40" s="25"/>
      <c r="K40" s="25"/>
    </row>
    <row r="41" spans="1:11" s="2" customFormat="1" x14ac:dyDescent="0.25">
      <c r="A41" s="60" t="s">
        <v>226</v>
      </c>
      <c r="B41" s="61" t="s">
        <v>22</v>
      </c>
      <c r="C41" s="20">
        <v>14144.132439999999</v>
      </c>
      <c r="D41" s="34">
        <f>IF(OR(24268.03871="",14144.13244=""),"-",14144.13244/24268.03871*100)</f>
        <v>58.282964721709064</v>
      </c>
      <c r="E41" s="34">
        <f>IF(24268.03871="","-",24268.03871/2291388.90956*100)</f>
        <v>1.0590973277713922</v>
      </c>
      <c r="F41" s="34">
        <f>IF(14144.13244="","-",14144.13244/2042225.30373*100)</f>
        <v>0.69258433015038068</v>
      </c>
      <c r="G41" s="34">
        <f>IF(OR(1331502.34087="",16102.54759="",24268.03871=""),"-",(24268.03871-16102.54759)/1331502.34087*100)</f>
        <v>0.61325398156376432</v>
      </c>
      <c r="H41" s="34">
        <f>IF(OR(2291388.90956="",14144.13244="",24268.03871=""),"-",(14144.13244-24268.03871)/2291388.90956*100)</f>
        <v>-0.44182400585782822</v>
      </c>
      <c r="I41" s="60"/>
      <c r="J41" s="25"/>
      <c r="K41" s="25"/>
    </row>
    <row r="42" spans="1:11" s="2" customFormat="1" x14ac:dyDescent="0.25">
      <c r="A42" s="60" t="s">
        <v>227</v>
      </c>
      <c r="B42" s="61" t="s">
        <v>23</v>
      </c>
      <c r="C42" s="20">
        <v>4736.2413999999999</v>
      </c>
      <c r="D42" s="34" t="s">
        <v>188</v>
      </c>
      <c r="E42" s="34">
        <f>IF(2694.46979="","-",2694.46979/2291388.90956*100)</f>
        <v>0.11759111597155285</v>
      </c>
      <c r="F42" s="34">
        <f>IF(4736.2414="","-",4736.2414/2042225.30373*100)</f>
        <v>0.23191571426274776</v>
      </c>
      <c r="G42" s="34">
        <f>IF(OR(1331502.34087="",469.82754="",2694.46979=""),"-",(2694.46979-469.82754)/1331502.34087*100)</f>
        <v>0.16707760712958453</v>
      </c>
      <c r="H42" s="34">
        <f>IF(OR(2291388.90956="",4736.2414="",2694.46979=""),"-",(4736.2414-2694.46979)/2291388.90956*100)</f>
        <v>8.9106288394843788E-2</v>
      </c>
      <c r="I42" s="60"/>
      <c r="J42" s="25"/>
      <c r="K42" s="25"/>
    </row>
    <row r="43" spans="1:11" s="2" customFormat="1" x14ac:dyDescent="0.25">
      <c r="A43" s="60" t="s">
        <v>228</v>
      </c>
      <c r="B43" s="61" t="s">
        <v>142</v>
      </c>
      <c r="C43" s="20">
        <v>2522.32638</v>
      </c>
      <c r="D43" s="34" t="s">
        <v>100</v>
      </c>
      <c r="E43" s="34">
        <f>IF(1352.57358="","-",1352.57358/2291388.90956*100)</f>
        <v>5.9028547024770478E-2</v>
      </c>
      <c r="F43" s="34">
        <f>IF(2522.32638="","-",2522.32638/2042225.30373*100)</f>
        <v>0.12350872234288375</v>
      </c>
      <c r="G43" s="34">
        <f>IF(OR(1331502.34087="",1175.87049="",1352.57358=""),"-",(1352.57358-1175.87049)/1331502.34087*100)</f>
        <v>1.3270956015333976E-2</v>
      </c>
      <c r="H43" s="34">
        <f>IF(OR(2291388.90956="",2522.32638="",1352.57358=""),"-",(2522.32638-1352.57358)/2291388.90956*100)</f>
        <v>5.1049945957215084E-2</v>
      </c>
      <c r="I43" s="60"/>
      <c r="J43" s="25"/>
      <c r="K43" s="25"/>
    </row>
    <row r="44" spans="1:11" s="2" customFormat="1" x14ac:dyDescent="0.25">
      <c r="A44" s="60" t="s">
        <v>229</v>
      </c>
      <c r="B44" s="61" t="s">
        <v>143</v>
      </c>
      <c r="C44" s="20">
        <v>22254.853309999999</v>
      </c>
      <c r="D44" s="34">
        <f>IF(OR(27147.84667="",22254.85331=""),"-",22254.85331/27147.84667*100)</f>
        <v>81.976495522913609</v>
      </c>
      <c r="E44" s="34">
        <f>IF(27147.84667="","-",27147.84667/2291388.90956*100)</f>
        <v>1.1847769078716985</v>
      </c>
      <c r="F44" s="34">
        <f>IF(22254.85331="","-",22254.85331/2042225.30373*100)</f>
        <v>1.0897354601058398</v>
      </c>
      <c r="G44" s="34">
        <f>IF(OR(1331502.34087="",36050.31175="",27147.84667=""),"-",(27147.84667-36050.31175)/1331502.34087*100)</f>
        <v>-0.66860303634037588</v>
      </c>
      <c r="H44" s="34">
        <f>IF(OR(2291388.90956="",22254.85331="",27147.84667=""),"-",(22254.85331-27147.84667)/2291388.90956*100)</f>
        <v>-0.21353831903374138</v>
      </c>
      <c r="I44" s="60"/>
      <c r="J44" s="25"/>
      <c r="K44" s="25"/>
    </row>
    <row r="45" spans="1:11" ht="48" x14ac:dyDescent="0.25">
      <c r="A45" s="60" t="s">
        <v>230</v>
      </c>
      <c r="B45" s="61" t="s">
        <v>144</v>
      </c>
      <c r="C45" s="20">
        <v>7909.5303199999998</v>
      </c>
      <c r="D45" s="34">
        <f>IF(OR(6947.7036="",7909.53032=""),"-",7909.53032/6947.7036*100)</f>
        <v>113.84380761436053</v>
      </c>
      <c r="E45" s="34">
        <f>IF(6947.7036="","-",6947.7036/2291388.90956*100)</f>
        <v>0.30320927063115272</v>
      </c>
      <c r="F45" s="34">
        <f>IF(7909.53032="","-",7909.53032/2042225.30373*100)</f>
        <v>0.38729959449399265</v>
      </c>
      <c r="G45" s="34">
        <f>IF(OR(1331502.34087="",4744.0842="",6947.7036=""),"-",(6947.7036-4744.0842)/1331502.34087*100)</f>
        <v>0.16549872518888406</v>
      </c>
      <c r="H45" s="34">
        <f>IF(OR(2291388.90956="",7909.53032="",6947.7036=""),"-",(7909.53032-6947.7036)/2291388.90956*100)</f>
        <v>4.1975708095082519E-2</v>
      </c>
      <c r="I45" s="60"/>
    </row>
    <row r="46" spans="1:11" x14ac:dyDescent="0.25">
      <c r="A46" s="60" t="s">
        <v>231</v>
      </c>
      <c r="B46" s="61" t="s">
        <v>145</v>
      </c>
      <c r="C46" s="20">
        <v>267.25860999999998</v>
      </c>
      <c r="D46" s="34" t="s">
        <v>308</v>
      </c>
      <c r="E46" s="34">
        <f>IF(71.21796="","-",71.21796/2291388.90956*100)</f>
        <v>3.1080695076627354E-3</v>
      </c>
      <c r="F46" s="34">
        <f>IF(267.25861="","-",267.25861/2042225.30373*100)</f>
        <v>1.3086636891231757E-2</v>
      </c>
      <c r="G46" s="34">
        <f>IF(OR(1331502.34087="",63.58714="",71.21796=""),"-",(71.21796-63.58714)/1331502.34087*100)</f>
        <v>5.7309850428156591E-4</v>
      </c>
      <c r="H46" s="34">
        <f>IF(OR(2291388.90956="",267.25861="",71.21796=""),"-",(267.25861-71.21796)/2291388.90956*100)</f>
        <v>8.5555380486520873E-3</v>
      </c>
      <c r="I46" s="60"/>
    </row>
    <row r="47" spans="1:11" ht="14.25" customHeight="1" x14ac:dyDescent="0.25">
      <c r="A47" s="60" t="s">
        <v>232</v>
      </c>
      <c r="B47" s="61" t="s">
        <v>24</v>
      </c>
      <c r="C47" s="20">
        <v>9091.2168399999991</v>
      </c>
      <c r="D47" s="34" t="s">
        <v>397</v>
      </c>
      <c r="E47" s="34">
        <f>IF(1459.21505="","-",1459.21505/2291388.90956*100)</f>
        <v>6.3682557068856685E-2</v>
      </c>
      <c r="F47" s="34">
        <f>IF(9091.21684="","-",9091.21684/2042225.30373*100)</f>
        <v>0.44516228563985794</v>
      </c>
      <c r="G47" s="34">
        <f>IF(OR(1331502.34087="",928.02727="",1459.21505=""),"-",(1459.21505-928.02727)/1331502.34087*100)</f>
        <v>3.9893867528082855E-2</v>
      </c>
      <c r="H47" s="34">
        <f>IF(OR(2291388.90956="",9091.21684="",1459.21505=""),"-",(9091.21684-1459.21505)/2291388.90956*100)</f>
        <v>0.33307317488350419</v>
      </c>
      <c r="I47" s="60"/>
    </row>
    <row r="48" spans="1:11" x14ac:dyDescent="0.25">
      <c r="A48" s="60" t="s">
        <v>233</v>
      </c>
      <c r="B48" s="61" t="s">
        <v>25</v>
      </c>
      <c r="C48" s="20">
        <v>2624.63364</v>
      </c>
      <c r="D48" s="34">
        <f>IF(OR(2723.04934="",2624.63364=""),"-",2624.63364/2723.04934*100)</f>
        <v>96.385827514972604</v>
      </c>
      <c r="E48" s="34">
        <f>IF(2723.04934="","-",2723.04934/2291388.90956*100)</f>
        <v>0.11883837477955188</v>
      </c>
      <c r="F48" s="34">
        <f>IF(2624.63364="","-",2624.63364/2042225.30373*100)</f>
        <v>0.12851831946290485</v>
      </c>
      <c r="G48" s="34">
        <f>IF(OR(1331502.34087="",2209.52739="",2723.04934=""),"-",(2723.04934-2209.52739)/1331502.34087*100)</f>
        <v>3.856710831349091E-2</v>
      </c>
      <c r="H48" s="34">
        <f>IF(OR(2291388.90956="",2624.63364="",2723.04934=""),"-",(2624.63364-2723.04934)/2291388.90956*100)</f>
        <v>-4.2950238429362965E-3</v>
      </c>
      <c r="I48" s="60"/>
    </row>
    <row r="49" spans="1:9" x14ac:dyDescent="0.25">
      <c r="A49" s="60" t="s">
        <v>234</v>
      </c>
      <c r="B49" s="61" t="s">
        <v>146</v>
      </c>
      <c r="C49" s="20">
        <v>3375.2117600000001</v>
      </c>
      <c r="D49" s="34">
        <f>IF(OR(2378.47235="",3375.21176=""),"-",3375.21176/2378.47235*100)</f>
        <v>141.90670578953757</v>
      </c>
      <c r="E49" s="34">
        <f>IF(2378.47235="","-",2378.47235/2291388.90956*100)</f>
        <v>0.10380046530192565</v>
      </c>
      <c r="F49" s="34">
        <f>IF(3375.21176="","-",3375.21176/2042225.30373*100)</f>
        <v>0.16527127314676698</v>
      </c>
      <c r="G49" s="34">
        <f>IF(OR(1331502.34087="",3267.1522="",2378.47235=""),"-",(2378.47235-3267.1522)/1331502.34087*100)</f>
        <v>-6.6742642706834374E-2</v>
      </c>
      <c r="H49" s="34">
        <f>IF(OR(2291388.90956="",3375.21176="",2378.47235=""),"-",(3375.21176-2378.47235)/2291388.90956*100)</f>
        <v>4.3499355602248997E-2</v>
      </c>
      <c r="I49" s="58"/>
    </row>
    <row r="50" spans="1:9" ht="24" x14ac:dyDescent="0.25">
      <c r="A50" s="58" t="s">
        <v>235</v>
      </c>
      <c r="B50" s="59" t="s">
        <v>345</v>
      </c>
      <c r="C50" s="18">
        <v>149300.10735999999</v>
      </c>
      <c r="D50" s="33">
        <f>IF(142003.14987="","-",149300.10736/142003.14987*100)</f>
        <v>105.1385884726361</v>
      </c>
      <c r="E50" s="33">
        <f>IF(142003.14987="","-",142003.14987/2291388.90956*100)</f>
        <v>6.1972522114226303</v>
      </c>
      <c r="F50" s="33">
        <f>IF(149300.10736="","-",149300.10736/2042225.30373*100)</f>
        <v>7.3106579909333433</v>
      </c>
      <c r="G50" s="33">
        <f>IF(1331502.34087="","-",(142003.14987-114366.57195)/1331502.34087*100)</f>
        <v>2.0755936412355331</v>
      </c>
      <c r="H50" s="33">
        <f>IF(2291388.90956="","-",(149300.10736-142003.14987)/2291388.90956*100)</f>
        <v>0.31845128775634973</v>
      </c>
      <c r="I50" s="60"/>
    </row>
    <row r="51" spans="1:9" x14ac:dyDescent="0.25">
      <c r="A51" s="60" t="s">
        <v>236</v>
      </c>
      <c r="B51" s="61" t="s">
        <v>147</v>
      </c>
      <c r="C51" s="20">
        <v>452.42809999999997</v>
      </c>
      <c r="D51" s="34">
        <f>IF(OR(1336.69459="",452.4281=""),"-",452.4281/1336.69459*100)</f>
        <v>33.846781709500299</v>
      </c>
      <c r="E51" s="34">
        <f>IF(1336.69459="","-",1336.69459/2291388.90956*100)</f>
        <v>5.8335561650975983E-2</v>
      </c>
      <c r="F51" s="34">
        <f>IF(452.4281="","-",452.4281/2042225.30373*100)</f>
        <v>2.2153682023901458E-2</v>
      </c>
      <c r="G51" s="34">
        <f>IF(OR(1331502.34087="",548.33898="",1336.69459=""),"-",(1336.69459-548.33898)/1331502.34087*100)</f>
        <v>5.9207977770800661E-2</v>
      </c>
      <c r="H51" s="34">
        <f>IF(OR(2291388.90956="",452.4281="",1336.69459=""),"-",(452.4281-1336.69459)/2291388.90956*100)</f>
        <v>-3.8590851439959176E-2</v>
      </c>
      <c r="I51" s="60"/>
    </row>
    <row r="52" spans="1:9" x14ac:dyDescent="0.25">
      <c r="A52" s="60" t="s">
        <v>237</v>
      </c>
      <c r="B52" s="61" t="s">
        <v>26</v>
      </c>
      <c r="C52" s="20">
        <v>1382.8114</v>
      </c>
      <c r="D52" s="34" t="s">
        <v>282</v>
      </c>
      <c r="E52" s="34">
        <f>IF(491.49233="","-",491.49233/2291388.90956*100)</f>
        <v>2.144953778686037E-2</v>
      </c>
      <c r="F52" s="34">
        <f>IF(1382.8114="","-",1382.8114/2042225.30373*100)</f>
        <v>6.7711010997385024E-2</v>
      </c>
      <c r="G52" s="34">
        <f>IF(OR(1331502.34087="",770.98382="",491.49233=""),"-",(491.49233-770.98382)/1331502.34087*100)</f>
        <v>-2.0990687092399783E-2</v>
      </c>
      <c r="H52" s="34">
        <f>IF(OR(2291388.90956="",1382.8114="",491.49233=""),"-",(1382.8114-491.49233)/2291388.90956*100)</f>
        <v>3.8898637690061702E-2</v>
      </c>
      <c r="I52" s="60"/>
    </row>
    <row r="53" spans="1:9" x14ac:dyDescent="0.25">
      <c r="A53" s="60" t="s">
        <v>238</v>
      </c>
      <c r="B53" s="61" t="s">
        <v>148</v>
      </c>
      <c r="C53" s="20">
        <v>12902.038070000001</v>
      </c>
      <c r="D53" s="34">
        <f>IF(OR(14608.0265="",12902.03807=""),"-",12902.03807/14608.0265*100)</f>
        <v>88.321568077659236</v>
      </c>
      <c r="E53" s="34">
        <f>IF(14608.0265="","-",14608.0265/2291388.90956*100)</f>
        <v>0.63751842557381844</v>
      </c>
      <c r="F53" s="34">
        <f>IF(12902.03807="","-",12902.03807/2042225.30373*100)</f>
        <v>0.63176369651454289</v>
      </c>
      <c r="G53" s="34">
        <f>IF(OR(1331502.34087="",12344.27314="",14608.0265=""),"-",(14608.0265-12344.27314)/1331502.34087*100)</f>
        <v>0.17001497410217623</v>
      </c>
      <c r="H53" s="34">
        <f>IF(OR(2291388.90956="",12902.03807="",14608.0265=""),"-",(12902.03807-14608.0265)/2291388.90956*100)</f>
        <v>-7.4452155323017119E-2</v>
      </c>
      <c r="I53" s="60"/>
    </row>
    <row r="54" spans="1:9" ht="24.75" customHeight="1" x14ac:dyDescent="0.25">
      <c r="A54" s="60" t="s">
        <v>239</v>
      </c>
      <c r="B54" s="61" t="s">
        <v>149</v>
      </c>
      <c r="C54" s="20">
        <v>10072.541789999999</v>
      </c>
      <c r="D54" s="34">
        <f>IF(OR(9856.6386="",10072.54179=""),"-",10072.54179/9856.6386*100)</f>
        <v>102.19043427238977</v>
      </c>
      <c r="E54" s="34">
        <f>IF(9856.6386="","-",9856.6386/2291388.90956*100)</f>
        <v>0.43016000290813589</v>
      </c>
      <c r="F54" s="34">
        <f>IF(10072.54179="","-",10072.54179/2042225.30373*100)</f>
        <v>0.49321403331959091</v>
      </c>
      <c r="G54" s="34">
        <f>IF(OR(1331502.34087="",5185.20662="",9856.6386=""),"-",(9856.6386-5185.20662)/1331502.34087*100)</f>
        <v>0.35083918642964607</v>
      </c>
      <c r="H54" s="34">
        <f>IF(OR(2291388.90956="",10072.54179="",9856.6386=""),"-",(10072.54179-9856.6386)/2291388.90956*100)</f>
        <v>9.4223721298126346E-3</v>
      </c>
      <c r="I54" s="60"/>
    </row>
    <row r="55" spans="1:9" ht="36" x14ac:dyDescent="0.25">
      <c r="A55" s="60" t="s">
        <v>240</v>
      </c>
      <c r="B55" s="61" t="s">
        <v>150</v>
      </c>
      <c r="C55" s="20">
        <v>43403.053050000002</v>
      </c>
      <c r="D55" s="34">
        <f>IF(OR(46721.69491="",43403.05305=""),"-",43403.05305/46721.69491*100)</f>
        <v>92.897000277081773</v>
      </c>
      <c r="E55" s="34">
        <f>IF(46721.69491="","-",46721.69491/2291388.90956*100)</f>
        <v>2.0390120033779708</v>
      </c>
      <c r="F55" s="34">
        <f>IF(43403.05305="","-",43403.05305/2042225.30373*100)</f>
        <v>2.1252823070366902</v>
      </c>
      <c r="G55" s="34">
        <f>IF(OR(1331502.34087="",40396.1732199999="",46721.69491=""),"-",(46721.69491-40396.1732199999)/1331502.34087*100)</f>
        <v>0.47506650914838183</v>
      </c>
      <c r="H55" s="34">
        <f>IF(OR(2291388.90956="",43403.05305="",46721.69491=""),"-",(43403.05305-46721.69491)/2291388.90956*100)</f>
        <v>-0.1448310169502065</v>
      </c>
      <c r="I55" s="60"/>
    </row>
    <row r="56" spans="1:9" x14ac:dyDescent="0.25">
      <c r="A56" s="60" t="s">
        <v>241</v>
      </c>
      <c r="B56" s="61" t="s">
        <v>27</v>
      </c>
      <c r="C56" s="20">
        <v>58846.316279999999</v>
      </c>
      <c r="D56" s="34">
        <f>IF(OR(42129.01425="",58846.31628=""),"-",58846.31628/42129.01425*100)</f>
        <v>139.68120861028689</v>
      </c>
      <c r="E56" s="34">
        <f>IF(42129.01425="","-",42129.01425/2291388.90956*100)</f>
        <v>1.8385798270311848</v>
      </c>
      <c r="F56" s="34">
        <f>IF(58846.31628="","-",58846.31628/2042225.30373*100)</f>
        <v>2.8814801272181274</v>
      </c>
      <c r="G56" s="34">
        <f>IF(OR(1331502.34087="",28994.31671="",42129.01425=""),"-",(42129.01425-28994.31671)/1331502.34087*100)</f>
        <v>0.98645696194704591</v>
      </c>
      <c r="H56" s="34">
        <f>IF(OR(2291388.90956="",58846.31628="",42129.01425=""),"-",(58846.31628-42129.01425)/2291388.90956*100)</f>
        <v>0.72957069663089669</v>
      </c>
      <c r="I56" s="60"/>
    </row>
    <row r="57" spans="1:9" x14ac:dyDescent="0.25">
      <c r="A57" s="60" t="s">
        <v>242</v>
      </c>
      <c r="B57" s="61" t="s">
        <v>151</v>
      </c>
      <c r="C57" s="20">
        <v>5530.1131800000003</v>
      </c>
      <c r="D57" s="34">
        <f>IF(OR(4795.11284="",5530.11318=""),"-",5530.11318/4795.11284*100)</f>
        <v>115.32811352985806</v>
      </c>
      <c r="E57" s="34">
        <f>IF(4795.11284="","-",4795.11284/2291388.90956*100)</f>
        <v>0.20926665133073255</v>
      </c>
      <c r="F57" s="34">
        <f>IF(5530.11318="","-",5530.11318/2042225.30373*100)</f>
        <v>0.27078859369236025</v>
      </c>
      <c r="G57" s="34">
        <f>IF(OR(1331502.34087="",4865.0322="",4795.11284=""),"-",(4795.11284-4865.0322)/1331502.34087*100)</f>
        <v>-5.2511631300861819E-3</v>
      </c>
      <c r="H57" s="34">
        <f>IF(OR(2291388.90956="",5530.11318="",4795.11284=""),"-",(5530.11318-4795.11284)/2291388.90956*100)</f>
        <v>3.2076629896106885E-2</v>
      </c>
      <c r="I57" s="60"/>
    </row>
    <row r="58" spans="1:9" x14ac:dyDescent="0.25">
      <c r="A58" s="60" t="s">
        <v>243</v>
      </c>
      <c r="B58" s="61" t="s">
        <v>28</v>
      </c>
      <c r="C58" s="20">
        <v>642.90071999999998</v>
      </c>
      <c r="D58" s="34">
        <f>IF(OR(1189.57752="",642.90072=""),"-",642.90072/1189.57752*100)</f>
        <v>54.044457733195891</v>
      </c>
      <c r="E58" s="34">
        <f>IF(1189.57752="","-",1189.57752/2291388.90956*100)</f>
        <v>5.1915129511053912E-2</v>
      </c>
      <c r="F58" s="34">
        <f>IF(642.90072="","-",642.90072/2042225.30373*100)</f>
        <v>3.1480401247882935E-2</v>
      </c>
      <c r="G58" s="34">
        <f>IF(OR(1331502.34087="",737.55802="",1189.57752=""),"-",(1189.57752-737.55802)/1331502.34087*100)</f>
        <v>3.3948081511043511E-2</v>
      </c>
      <c r="H58" s="34">
        <f>IF(OR(2291388.90956="",642.90072="",1189.57752=""),"-",(642.90072-1189.57752)/2291388.90956*100)</f>
        <v>-2.3857879285318472E-2</v>
      </c>
      <c r="I58" s="60"/>
    </row>
    <row r="59" spans="1:9" x14ac:dyDescent="0.25">
      <c r="A59" s="60" t="s">
        <v>244</v>
      </c>
      <c r="B59" s="61" t="s">
        <v>29</v>
      </c>
      <c r="C59" s="20">
        <v>16067.904769999999</v>
      </c>
      <c r="D59" s="34">
        <f>IF(OR(20874.89833="",16067.90477=""),"-",16067.90477/20874.89833*100)</f>
        <v>76.9723737859278</v>
      </c>
      <c r="E59" s="34">
        <f>IF(20874.89833="","-",20874.89833/2291388.90956*100)</f>
        <v>0.91101507225189748</v>
      </c>
      <c r="F59" s="34">
        <f>IF(16067.90477="","-",16067.90477/2042225.30373*100)</f>
        <v>0.78678413888286225</v>
      </c>
      <c r="G59" s="34">
        <f>IF(OR(1331502.34087="",20524.68924="",20874.89833=""),"-",(20874.89833-20524.68924)/1331502.34087*100)</f>
        <v>2.6301800548932917E-2</v>
      </c>
      <c r="H59" s="34">
        <f>IF(OR(2291388.90956="",16067.90477="",20874.89833=""),"-",(16067.90477-20874.89833)/2291388.90956*100)</f>
        <v>-0.20978514559202677</v>
      </c>
      <c r="I59" s="58"/>
    </row>
    <row r="60" spans="1:9" ht="24" x14ac:dyDescent="0.25">
      <c r="A60" s="58" t="s">
        <v>245</v>
      </c>
      <c r="B60" s="59" t="s">
        <v>152</v>
      </c>
      <c r="C60" s="18">
        <v>421205.88675000001</v>
      </c>
      <c r="D60" s="33">
        <f>IF(354135.13676="","-",421205.88675/354135.13676*100)</f>
        <v>118.93930961034638</v>
      </c>
      <c r="E60" s="33">
        <f>IF(354135.13676="","-",354135.13676/2291388.90956*100)</f>
        <v>15.455042803187968</v>
      </c>
      <c r="F60" s="33">
        <f>IF(421205.88675="","-",421205.88675/2042225.30373*100)</f>
        <v>20.624849079124282</v>
      </c>
      <c r="G60" s="33">
        <f>IF(1331502.34087="","-",(354135.13676-345695.93438)/1331502.34087*100)</f>
        <v>0.63381055526240226</v>
      </c>
      <c r="H60" s="33">
        <f>IF(2291388.90956="","-",(421205.88675-354135.13676)/2291388.90956*100)</f>
        <v>2.927078406907325</v>
      </c>
      <c r="I60" s="60"/>
    </row>
    <row r="61" spans="1:9" ht="24" x14ac:dyDescent="0.25">
      <c r="A61" s="60" t="s">
        <v>246</v>
      </c>
      <c r="B61" s="61" t="s">
        <v>153</v>
      </c>
      <c r="C61" s="20">
        <v>3474.4471800000001</v>
      </c>
      <c r="D61" s="34" t="s">
        <v>17</v>
      </c>
      <c r="E61" s="34">
        <f>IF(1719.08941="","-",1719.08941/2291388.90956*100)</f>
        <v>7.5023903747972021E-2</v>
      </c>
      <c r="F61" s="34">
        <f>IF(3474.44718="","-",3474.44718/2042225.30373*100)</f>
        <v>0.17013045395403406</v>
      </c>
      <c r="G61" s="34">
        <f>IF(OR(1331502.34087="",1079.01197="",1719.08941=""),"-",(1719.08941-1079.01197)/1331502.34087*100)</f>
        <v>4.8071822358327604E-2</v>
      </c>
      <c r="H61" s="34">
        <f>IF(OR(2291388.90956="",3474.44718="",1719.08941=""),"-",(3474.44718-1719.08941)/2291388.90956*100)</f>
        <v>7.6606714935050876E-2</v>
      </c>
      <c r="I61" s="60"/>
    </row>
    <row r="62" spans="1:9" ht="24" x14ac:dyDescent="0.25">
      <c r="A62" s="60" t="s">
        <v>247</v>
      </c>
      <c r="B62" s="61" t="s">
        <v>154</v>
      </c>
      <c r="C62" s="20">
        <v>15790.91719</v>
      </c>
      <c r="D62" s="34" t="s">
        <v>292</v>
      </c>
      <c r="E62" s="34">
        <f>IF(6113.94993="","-",6113.94993/2291388.90956*100)</f>
        <v>0.26682288216075989</v>
      </c>
      <c r="F62" s="34">
        <f>IF(15790.91719="","-",15790.91719/2042225.30373*100)</f>
        <v>0.77322111136116334</v>
      </c>
      <c r="G62" s="34">
        <f>IF(OR(1331502.34087="",7312.57664="",6113.94993=""),"-",(6113.94993-7312.57664)/1331502.34087*100)</f>
        <v>-9.002062356246561E-2</v>
      </c>
      <c r="H62" s="34">
        <f>IF(OR(2291388.90956="",15790.91719="",6113.94993=""),"-",(15790.91719-6113.94993)/2291388.90956*100)</f>
        <v>0.42231884860864605</v>
      </c>
      <c r="I62" s="60"/>
    </row>
    <row r="63" spans="1:9" ht="24" x14ac:dyDescent="0.25">
      <c r="A63" s="60" t="s">
        <v>248</v>
      </c>
      <c r="B63" s="61" t="s">
        <v>155</v>
      </c>
      <c r="C63" s="20">
        <v>2785.9805900000001</v>
      </c>
      <c r="D63" s="34">
        <f>IF(OR(2271.21033="",2785.98059=""),"-",2785.98059/2271.21033*100)</f>
        <v>122.66501931593452</v>
      </c>
      <c r="E63" s="34">
        <f>IF(2271.21033="","-",2271.21033/2291388.90956*100)</f>
        <v>9.9119373429983337E-2</v>
      </c>
      <c r="F63" s="34">
        <f>IF(2785.98059="","-",2785.98059/2042225.30373*100)</f>
        <v>0.13641886548519286</v>
      </c>
      <c r="G63" s="34">
        <f>IF(OR(1331502.34087="",2400.18465="",2271.21033=""),"-",(2271.21033-2400.18465)/1331502.34087*100)</f>
        <v>-9.6863757607612462E-3</v>
      </c>
      <c r="H63" s="34">
        <f>IF(OR(2291388.90956="",2785.98059="",2271.21033=""),"-",(2785.98059-2271.21033)/2291388.90956*100)</f>
        <v>2.2465425133739E-2</v>
      </c>
      <c r="I63" s="60"/>
    </row>
    <row r="64" spans="1:9" ht="36" x14ac:dyDescent="0.25">
      <c r="A64" s="60" t="s">
        <v>249</v>
      </c>
      <c r="B64" s="61" t="s">
        <v>156</v>
      </c>
      <c r="C64" s="20">
        <v>21283.41489</v>
      </c>
      <c r="D64" s="34">
        <f>IF(OR(13522.35266="",21283.41489=""),"-",21283.41489/13522.35266*100)</f>
        <v>157.39431905926938</v>
      </c>
      <c r="E64" s="34">
        <f>IF(13522.35266="","-",13522.35266/2291388.90956*100)</f>
        <v>0.59013782442530049</v>
      </c>
      <c r="F64" s="34">
        <f>IF(21283.41489="","-",21283.41489/2042225.30373*100)</f>
        <v>1.0421678181700689</v>
      </c>
      <c r="G64" s="34">
        <f>IF(OR(1331502.34087="",12375.07434="",13522.35266=""),"-",(13522.35266-12375.07434)/1331502.34087*100)</f>
        <v>8.6164198498545091E-2</v>
      </c>
      <c r="H64" s="34">
        <f>IF(OR(2291388.90956="",21283.41489="",13522.35266=""),"-",(21283.41489-13522.35266)/2291388.90956*100)</f>
        <v>0.33870558584008792</v>
      </c>
      <c r="I64" s="60"/>
    </row>
    <row r="65" spans="1:11" ht="25.5" customHeight="1" x14ac:dyDescent="0.25">
      <c r="A65" s="60" t="s">
        <v>250</v>
      </c>
      <c r="B65" s="61" t="s">
        <v>157</v>
      </c>
      <c r="C65" s="20">
        <v>5079.7082200000004</v>
      </c>
      <c r="D65" s="34" t="s">
        <v>288</v>
      </c>
      <c r="E65" s="34">
        <f>IF(1651.00045="","-",1651.00045/2291388.90956*100)</f>
        <v>7.2052388972984535E-2</v>
      </c>
      <c r="F65" s="34">
        <f>IF(5079.70822="","-",5079.70822/2042225.30373*100)</f>
        <v>0.24873397713377771</v>
      </c>
      <c r="G65" s="34">
        <f>IF(OR(1331502.34087="",1028.18405="",1651.00045=""),"-",(1651.00045-1028.18405)/1331502.34087*100)</f>
        <v>4.6775464141734321E-2</v>
      </c>
      <c r="H65" s="34">
        <f>IF(OR(2291388.90956="",5079.70822="",1651.00045=""),"-",(5079.70822-1651.00045)/2291388.90956*100)</f>
        <v>0.14963447521697187</v>
      </c>
      <c r="I65" s="60"/>
    </row>
    <row r="66" spans="1:11" ht="48" x14ac:dyDescent="0.25">
      <c r="A66" s="60" t="s">
        <v>251</v>
      </c>
      <c r="B66" s="61" t="s">
        <v>158</v>
      </c>
      <c r="C66" s="20">
        <v>1737.8929800000001</v>
      </c>
      <c r="D66" s="34">
        <f>IF(OR(1352.34268="",1737.89298=""),"-",1737.89298/1352.34268*100)</f>
        <v>128.50980788390117</v>
      </c>
      <c r="E66" s="34">
        <f>IF(1352.34268="","-",1352.34268/2291388.90956*100)</f>
        <v>5.9018470167060431E-2</v>
      </c>
      <c r="F66" s="34">
        <f>IF(1737.89298="","-",1737.89298/2042225.30373*100)</f>
        <v>8.5098004457482945E-2</v>
      </c>
      <c r="G66" s="34">
        <f>IF(OR(1331502.34087="",1593.70686="",1352.34268=""),"-",(1352.34268-1593.70686)/1331502.34087*100)</f>
        <v>-1.8127206583977415E-2</v>
      </c>
      <c r="H66" s="34">
        <f>IF(OR(2291388.90956="",1737.89298="",1352.34268=""),"-",(1737.89298-1352.34268)/2291388.90956*100)</f>
        <v>1.6826052460646442E-2</v>
      </c>
      <c r="I66" s="60"/>
    </row>
    <row r="67" spans="1:11" ht="48" x14ac:dyDescent="0.25">
      <c r="A67" s="60" t="s">
        <v>252</v>
      </c>
      <c r="B67" s="61" t="s">
        <v>159</v>
      </c>
      <c r="C67" s="20">
        <v>324859.29521000001</v>
      </c>
      <c r="D67" s="34">
        <f>IF(OR(281236.4433="",324859.29521=""),"-",324859.29521/281236.4433*100)</f>
        <v>115.5110950053748</v>
      </c>
      <c r="E67" s="34">
        <f>IF(281236.4433="","-",281236.4433/2291388.90956*100)</f>
        <v>12.273623308843016</v>
      </c>
      <c r="F67" s="34">
        <f>IF(324859.29521="","-",324859.29521/2042225.30373*100)</f>
        <v>15.907123206076445</v>
      </c>
      <c r="G67" s="34">
        <f>IF(OR(1331502.34087="",292910.28679="",281236.4433=""),"-",(281236.4433-292910.28679)/1331502.34087*100)</f>
        <v>-0.87674224307952331</v>
      </c>
      <c r="H67" s="34">
        <f>IF(OR(2291388.90956="",324859.29521="",281236.4433=""),"-",(324859.29521-281236.4433)/2291388.90956*100)</f>
        <v>1.9037733720364662</v>
      </c>
      <c r="I67" s="60"/>
    </row>
    <row r="68" spans="1:11" ht="24" x14ac:dyDescent="0.25">
      <c r="A68" s="60" t="s">
        <v>253</v>
      </c>
      <c r="B68" s="61" t="s">
        <v>160</v>
      </c>
      <c r="C68" s="20">
        <v>40867.253819999998</v>
      </c>
      <c r="D68" s="34">
        <f>IF(OR(44732.36622="",40867.25382=""),"-",40867.25382/44732.36622*100)</f>
        <v>91.35947251037237</v>
      </c>
      <c r="E68" s="34">
        <f>IF(44732.36622="","-",44732.36622/2291388.90956*100)</f>
        <v>1.9521944107074192</v>
      </c>
      <c r="F68" s="34">
        <f>IF(40867.25382="","-",40867.25382/2042225.30373*100)</f>
        <v>2.0011138705097058</v>
      </c>
      <c r="G68" s="34">
        <f>IF(OR(1331502.34087="",26642.01538="",44732.36622=""),"-",(44732.36622-26642.01538)/1331502.34087*100)</f>
        <v>1.3586420605298986</v>
      </c>
      <c r="H68" s="34">
        <f>IF(OR(2291388.90956="",40867.25382="",44732.36622=""),"-",(40867.25382-44732.36622)/2291388.90956*100)</f>
        <v>-0.16867989470814873</v>
      </c>
      <c r="I68" s="60"/>
    </row>
    <row r="69" spans="1:11" x14ac:dyDescent="0.25">
      <c r="A69" s="60" t="s">
        <v>254</v>
      </c>
      <c r="B69" s="61" t="s">
        <v>30</v>
      </c>
      <c r="C69" s="20">
        <v>5326.97667</v>
      </c>
      <c r="D69" s="34" t="s">
        <v>381</v>
      </c>
      <c r="E69" s="34">
        <f>IF(1536.38178="","-",1536.38178/2291388.90956*100)</f>
        <v>6.7050240733469421E-2</v>
      </c>
      <c r="F69" s="34">
        <f>IF(5326.97667="","-",5326.97667/2042225.30373*100)</f>
        <v>0.26084177197641228</v>
      </c>
      <c r="G69" s="34">
        <f>IF(OR(1331502.34087="",354.8937="",1536.38178=""),"-",(1536.38178-354.8937)/1331502.34087*100)</f>
        <v>8.8733458720622216E-2</v>
      </c>
      <c r="H69" s="34">
        <f>IF(OR(2291388.90956="",5326.97667="",1536.38178=""),"-",(5326.97667-1536.38178)/2291388.90956*100)</f>
        <v>0.16542782738386747</v>
      </c>
      <c r="I69" s="58"/>
    </row>
    <row r="70" spans="1:11" x14ac:dyDescent="0.25">
      <c r="A70" s="58" t="s">
        <v>255</v>
      </c>
      <c r="B70" s="59" t="s">
        <v>31</v>
      </c>
      <c r="C70" s="18">
        <v>310822.11995000002</v>
      </c>
      <c r="D70" s="33">
        <f>IF(311202.42116="","-",310822.11995/311202.42116*100)</f>
        <v>99.877796191757611</v>
      </c>
      <c r="E70" s="33">
        <f>IF(311202.42116="","-",311202.42116/2291388.90956*100)</f>
        <v>13.581388120611884</v>
      </c>
      <c r="F70" s="33">
        <f>IF(310822.11995="","-",310822.11995/2042225.30373*100)</f>
        <v>15.219776161929948</v>
      </c>
      <c r="G70" s="33">
        <f>IF(1331502.34087="","-",(311202.42116-289722.08407)/1331502.34087*100)</f>
        <v>1.6132406553611354</v>
      </c>
      <c r="H70" s="33">
        <f>IF(2291388.90956="","-",(310822.11995-311202.42116)/2291388.90956*100)</f>
        <v>-1.6596973495565697E-2</v>
      </c>
      <c r="I70" s="60"/>
    </row>
    <row r="71" spans="1:11" ht="38.25" customHeight="1" x14ac:dyDescent="0.25">
      <c r="A71" s="60" t="s">
        <v>256</v>
      </c>
      <c r="B71" s="61" t="s">
        <v>186</v>
      </c>
      <c r="C71" s="20">
        <v>7599.8317699999998</v>
      </c>
      <c r="D71" s="34">
        <f>IF(OR(8464.71274="",7599.83177=""),"-",7599.83177/8464.71274*100)</f>
        <v>89.782512454167446</v>
      </c>
      <c r="E71" s="34">
        <f>IF(8464.71274="","-",8464.71274/2291388.90956*100)</f>
        <v>0.36941405732933491</v>
      </c>
      <c r="F71" s="34">
        <f>IF(7599.83177="","-",7599.83177/2042225.30373*100)</f>
        <v>0.37213483527597913</v>
      </c>
      <c r="G71" s="34">
        <f>IF(OR(1331502.34087="",8529.52231="",8464.71274=""),"-",(8464.71274-8529.52231)/1331502.34087*100)</f>
        <v>-4.8674018821215923E-3</v>
      </c>
      <c r="H71" s="34">
        <f>IF(OR(2291388.90956="",7599.83177="",8464.71274=""),"-",(7599.83177-8464.71274)/2291388.90956*100)</f>
        <v>-3.7744835300179504E-2</v>
      </c>
      <c r="I71" s="60"/>
    </row>
    <row r="72" spans="1:11" x14ac:dyDescent="0.25">
      <c r="A72" s="60" t="s">
        <v>257</v>
      </c>
      <c r="B72" s="61" t="s">
        <v>161</v>
      </c>
      <c r="C72" s="20">
        <v>71961.011589999995</v>
      </c>
      <c r="D72" s="34">
        <f>IF(OR(74930.0174="",71961.01159=""),"-",71961.01159/74930.0174*100)</f>
        <v>96.037628292343086</v>
      </c>
      <c r="E72" s="34">
        <f>IF(74930.0174="","-",74930.0174/2291388.90956*100)</f>
        <v>3.2700698291495307</v>
      </c>
      <c r="F72" s="34">
        <f>IF(71961.01159="","-",71961.01159/2042225.30373*100)</f>
        <v>3.5236568393588894</v>
      </c>
      <c r="G72" s="34">
        <f>IF(OR(1331502.34087="",80487.04112="",74930.0174=""),"-",(74930.0174-80487.04112)/1331502.34087*100)</f>
        <v>-0.41734990239439257</v>
      </c>
      <c r="H72" s="34">
        <f>IF(OR(2291388.90956="",71961.01159="",74930.0174=""),"-",(71961.01159-74930.0174)/2291388.90956*100)</f>
        <v>-0.12957232173084579</v>
      </c>
      <c r="I72" s="60"/>
    </row>
    <row r="73" spans="1:11" x14ac:dyDescent="0.25">
      <c r="A73" s="60" t="s">
        <v>258</v>
      </c>
      <c r="B73" s="61" t="s">
        <v>162</v>
      </c>
      <c r="C73" s="20">
        <v>7203.6050699999996</v>
      </c>
      <c r="D73" s="34">
        <f>IF(OR(7797.10466="",7203.60507=""),"-",7203.60507/7797.10466*100)</f>
        <v>92.388205418804773</v>
      </c>
      <c r="E73" s="34">
        <f>IF(7797.10466="","-",7797.10466/2291388.90956*100)</f>
        <v>0.34027853706847283</v>
      </c>
      <c r="F73" s="34">
        <f>IF(7203.60507="","-",7203.60507/2042225.30373*100)</f>
        <v>0.35273312189615191</v>
      </c>
      <c r="G73" s="34">
        <f>IF(OR(1331502.34087="",7775.14633="",7797.10466=""),"-",(7797.10466-7775.14633)/1331502.34087*100)</f>
        <v>1.6491394213886904E-3</v>
      </c>
      <c r="H73" s="34">
        <f>IF(OR(2291388.90956="",7203.60507="",7797.10466=""),"-",(7203.60507-7797.10466)/2291388.90956*100)</f>
        <v>-2.5901303245548398E-2</v>
      </c>
      <c r="I73" s="60"/>
    </row>
    <row r="74" spans="1:11" x14ac:dyDescent="0.25">
      <c r="A74" s="60" t="s">
        <v>259</v>
      </c>
      <c r="B74" s="61" t="s">
        <v>163</v>
      </c>
      <c r="C74" s="20">
        <v>146561.35071999999</v>
      </c>
      <c r="D74" s="34">
        <f>IF(OR(147498.79789="",146561.35072=""),"-",146561.35072/147498.79789*100)</f>
        <v>99.364437416839749</v>
      </c>
      <c r="E74" s="34">
        <f>IF(147498.79789="","-",147498.79789/2291388.90956*100)</f>
        <v>6.437091376091332</v>
      </c>
      <c r="F74" s="34">
        <f>IF(146561.35072="","-",146561.35072/2042225.30373*100)</f>
        <v>7.1765515025357205</v>
      </c>
      <c r="G74" s="34">
        <f>IF(OR(1331502.34087="",131432.68756="",147498.79789=""),"-",(147498.79789-131432.68756)/1331502.34087*100)</f>
        <v>1.2066152523248621</v>
      </c>
      <c r="H74" s="34">
        <f>IF(OR(2291388.90956="",146561.35072="",147498.79789=""),"-",(146561.35072-147498.79789)/2291388.90956*100)</f>
        <v>-4.0911744230271718E-2</v>
      </c>
      <c r="I74" s="60"/>
    </row>
    <row r="75" spans="1:11" x14ac:dyDescent="0.25">
      <c r="A75" s="60" t="s">
        <v>260</v>
      </c>
      <c r="B75" s="61" t="s">
        <v>164</v>
      </c>
      <c r="C75" s="20">
        <v>16936.620330000002</v>
      </c>
      <c r="D75" s="34">
        <f>IF(OR(19801.10447="",16936.62033=""),"-",16936.62033/19801.10447*100)</f>
        <v>85.53371533219331</v>
      </c>
      <c r="E75" s="34">
        <f>IF(19801.10447="","-",19801.10447/2291388.90956*100)</f>
        <v>0.86415293306985019</v>
      </c>
      <c r="F75" s="34">
        <f>IF(16936.62033="","-",16936.62033/2042225.30373*100)</f>
        <v>0.82932183334847032</v>
      </c>
      <c r="G75" s="34">
        <f>IF(OR(1331502.34087="",18332.26026="",19801.10447=""),"-",(19801.10447-18332.26026)/1331502.34087*100)</f>
        <v>0.11031480493231884</v>
      </c>
      <c r="H75" s="34">
        <f>IF(OR(2291388.90956="",16936.62033="",19801.10447=""),"-",(16936.62033-19801.10447)/2291388.90956*100)</f>
        <v>-0.12501082326308563</v>
      </c>
      <c r="I75" s="60"/>
    </row>
    <row r="76" spans="1:11" ht="24" x14ac:dyDescent="0.25">
      <c r="A76" s="60" t="s">
        <v>261</v>
      </c>
      <c r="B76" s="61" t="s">
        <v>307</v>
      </c>
      <c r="C76" s="20">
        <v>12795.242260000001</v>
      </c>
      <c r="D76" s="34">
        <f>IF(OR(10305.04625="",12795.24226=""),"-",12795.24226/10305.04625*100)</f>
        <v>124.16482128840521</v>
      </c>
      <c r="E76" s="34">
        <f>IF(10305.04625="","-",10305.04625/2291388.90956*100)</f>
        <v>0.44972925403478575</v>
      </c>
      <c r="F76" s="34">
        <f>IF(12795.24226="","-",12795.24226/2042225.30373*100)</f>
        <v>0.62653431218535349</v>
      </c>
      <c r="G76" s="34">
        <f>IF(OR(1331502.34087="",12044.10457="",10305.04625=""),"-",(10305.04625-12044.10457)/1331502.34087*100)</f>
        <v>-0.13060873170254467</v>
      </c>
      <c r="H76" s="34">
        <f>IF(OR(2291388.90956="",12795.24226="",10305.04625=""),"-",(12795.24226-10305.04625)/2291388.90956*100)</f>
        <v>0.10867627051918381</v>
      </c>
      <c r="I76" s="60"/>
    </row>
    <row r="77" spans="1:11" ht="24" x14ac:dyDescent="0.25">
      <c r="A77" s="60" t="s">
        <v>262</v>
      </c>
      <c r="B77" s="61" t="s">
        <v>165</v>
      </c>
      <c r="C77" s="20">
        <v>4072.1417099999999</v>
      </c>
      <c r="D77" s="34" t="s">
        <v>98</v>
      </c>
      <c r="E77" s="34">
        <f>IF(2339.434="","-",2339.434/2291388.90956*100)</f>
        <v>0.10209676717206535</v>
      </c>
      <c r="F77" s="34">
        <f>IF(4072.14171="","-",4072.14171/2042225.30373*100)</f>
        <v>0.1993972801415437</v>
      </c>
      <c r="G77" s="34">
        <f>IF(OR(1331502.34087="",1557.42665="",2339.434=""),"-",(2339.434-1557.42665)/1331502.34087*100)</f>
        <v>5.8731203543287702E-2</v>
      </c>
      <c r="H77" s="34">
        <f>IF(OR(2291388.90956="",4072.14171="",2339.434=""),"-",(4072.14171-2339.434)/2291388.90956*100)</f>
        <v>7.5618228872929294E-2</v>
      </c>
      <c r="I77" s="60"/>
    </row>
    <row r="78" spans="1:11" x14ac:dyDescent="0.25">
      <c r="A78" s="60" t="s">
        <v>263</v>
      </c>
      <c r="B78" s="61" t="s">
        <v>32</v>
      </c>
      <c r="C78" s="20">
        <v>43692.316500000001</v>
      </c>
      <c r="D78" s="34">
        <f>IF(OR(40066.20375="",43692.3165=""),"-",43692.3165/40066.20375*100)</f>
        <v>109.05030277544077</v>
      </c>
      <c r="E78" s="34">
        <f>IF(40066.20375="","-",40066.20375/2291388.90956*100)</f>
        <v>1.7485553666965092</v>
      </c>
      <c r="F78" s="34">
        <f>IF(43692.3165="","-",43692.3165/2042225.30373*100)</f>
        <v>2.1394464371878383</v>
      </c>
      <c r="G78" s="34">
        <f>IF(OR(1331502.34087="",29563.89527="",40066.20375=""),"-",(40066.20375-29563.89527)/1331502.34087*100)</f>
        <v>0.78875629111833323</v>
      </c>
      <c r="H78" s="34">
        <f>IF(OR(2291388.90956="",43692.3165="",40066.20375=""),"-",(43692.3165-40066.20375)/2291388.90956*100)</f>
        <v>0.15824955488225254</v>
      </c>
      <c r="I78" s="60"/>
    </row>
    <row r="79" spans="1:11" ht="24" x14ac:dyDescent="0.25">
      <c r="A79" s="63" t="s">
        <v>266</v>
      </c>
      <c r="B79" s="64" t="s">
        <v>166</v>
      </c>
      <c r="C79" s="65">
        <v>4470.3313200000002</v>
      </c>
      <c r="D79" s="72" t="s">
        <v>294</v>
      </c>
      <c r="E79" s="72">
        <f>IF(1975.44549="","-",1975.44549/2291388.90956*100)</f>
        <v>8.6211706871677729E-2</v>
      </c>
      <c r="F79" s="72">
        <f>IF(4470.33132="","-",4470.33132/2042225.30373*100)</f>
        <v>0.21889510975283741</v>
      </c>
      <c r="G79" s="72">
        <f>IF(1331502.34087="","-",(1975.44549-358.32461)/1331502.34087*100)</f>
        <v>0.12145084769008951</v>
      </c>
      <c r="H79" s="72">
        <f>IF(2291388.90956="","-",(4470.33132-1975.44549)/2291388.90956*100)</f>
        <v>0.10888094201691306</v>
      </c>
      <c r="I79" s="60"/>
    </row>
    <row r="80" spans="1:11" s="29" customFormat="1" ht="11.25" x14ac:dyDescent="0.2">
      <c r="A80" s="10" t="s">
        <v>269</v>
      </c>
      <c r="B80" s="11"/>
      <c r="C80" s="53"/>
      <c r="D80" s="53"/>
      <c r="E80" s="53"/>
      <c r="F80" s="53"/>
      <c r="G80" s="53"/>
      <c r="H80" s="53"/>
      <c r="I80" s="53"/>
      <c r="J80" s="53"/>
      <c r="K80" s="53"/>
    </row>
    <row r="81" spans="1:11" s="29" customFormat="1" ht="11.25" x14ac:dyDescent="0.2">
      <c r="A81" s="11" t="s">
        <v>354</v>
      </c>
      <c r="B81" s="11"/>
      <c r="C81" s="53"/>
      <c r="D81" s="53"/>
      <c r="E81" s="53"/>
      <c r="F81" s="53"/>
      <c r="G81" s="53"/>
      <c r="H81" s="53"/>
      <c r="I81" s="53"/>
      <c r="J81" s="53"/>
      <c r="K81" s="53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80"/>
  <sheetViews>
    <sheetView zoomScaleNormal="100" workbookViewId="0">
      <selection activeCell="B2" sqref="B2:H2"/>
    </sheetView>
  </sheetViews>
  <sheetFormatPr defaultRowHeight="15.75" x14ac:dyDescent="0.25"/>
  <cols>
    <col min="1" max="1" width="4.75" style="44" customWidth="1"/>
    <col min="2" max="2" width="26.375" style="44" customWidth="1"/>
    <col min="3" max="3" width="10.625" style="44" customWidth="1"/>
    <col min="4" max="4" width="9.625" style="44" customWidth="1"/>
    <col min="5" max="5" width="7.875" style="44" customWidth="1"/>
    <col min="6" max="6" width="7.75" style="44" customWidth="1"/>
    <col min="7" max="8" width="9.875" style="44" customWidth="1"/>
  </cols>
  <sheetData>
    <row r="1" spans="1:9" s="51" customFormat="1" ht="12.75" x14ac:dyDescent="0.2">
      <c r="A1" s="50"/>
      <c r="B1" s="91" t="s">
        <v>402</v>
      </c>
      <c r="C1" s="91"/>
      <c r="D1" s="91"/>
      <c r="E1" s="91"/>
      <c r="F1" s="91"/>
      <c r="G1" s="91"/>
      <c r="H1" s="91"/>
    </row>
    <row r="2" spans="1:9" s="51" customFormat="1" ht="12.75" x14ac:dyDescent="0.2">
      <c r="A2" s="50"/>
      <c r="B2" s="91" t="s">
        <v>268</v>
      </c>
      <c r="C2" s="91"/>
      <c r="D2" s="91"/>
      <c r="E2" s="91"/>
      <c r="F2" s="91"/>
      <c r="G2" s="91"/>
      <c r="H2" s="91"/>
    </row>
    <row r="3" spans="1:9" x14ac:dyDescent="0.25">
      <c r="A3" s="101"/>
      <c r="B3" s="101"/>
      <c r="C3" s="101"/>
      <c r="D3" s="101"/>
      <c r="E3" s="101"/>
      <c r="F3" s="101"/>
      <c r="G3" s="101"/>
      <c r="H3" s="101"/>
    </row>
    <row r="4" spans="1:9" ht="62.25" customHeight="1" x14ac:dyDescent="0.25">
      <c r="A4" s="95" t="s">
        <v>194</v>
      </c>
      <c r="B4" s="97"/>
      <c r="C4" s="84" t="s">
        <v>339</v>
      </c>
      <c r="D4" s="85"/>
      <c r="E4" s="86" t="s">
        <v>0</v>
      </c>
      <c r="F4" s="87"/>
      <c r="G4" s="99" t="s">
        <v>401</v>
      </c>
      <c r="H4" s="100"/>
    </row>
    <row r="5" spans="1:9" ht="40.5" customHeight="1" x14ac:dyDescent="0.25">
      <c r="A5" s="96"/>
      <c r="B5" s="98"/>
      <c r="C5" s="15" t="s">
        <v>94</v>
      </c>
      <c r="D5" s="14" t="s">
        <v>404</v>
      </c>
      <c r="E5" s="15" t="s">
        <v>348</v>
      </c>
      <c r="F5" s="15" t="s">
        <v>349</v>
      </c>
      <c r="G5" s="15" t="s">
        <v>409</v>
      </c>
      <c r="H5" s="13" t="s">
        <v>410</v>
      </c>
    </row>
    <row r="6" spans="1:9" s="27" customFormat="1" ht="12.75" x14ac:dyDescent="0.2">
      <c r="A6" s="66"/>
      <c r="B6" s="67" t="s">
        <v>111</v>
      </c>
      <c r="C6" s="68">
        <v>4371623.6055399999</v>
      </c>
      <c r="D6" s="45">
        <f>IF(4350574.54459="","-",4371623.60554/4350574.54459*100)</f>
        <v>100.4838225557168</v>
      </c>
      <c r="E6" s="45">
        <v>100</v>
      </c>
      <c r="F6" s="45">
        <v>100</v>
      </c>
      <c r="G6" s="45">
        <f>IF(3266113.78787="","-",(4350574.54459-3266113.78787)/3266113.78787*100)</f>
        <v>33.203397895920588</v>
      </c>
      <c r="H6" s="45">
        <f>IF(4350574.54459="","-",(4371623.60554-4350574.54459)/4350574.54459*100)</f>
        <v>0.48382255571679927</v>
      </c>
      <c r="I6" s="39"/>
    </row>
    <row r="7" spans="1:9" x14ac:dyDescent="0.25">
      <c r="A7" s="58" t="s">
        <v>195</v>
      </c>
      <c r="B7" s="59" t="s">
        <v>167</v>
      </c>
      <c r="C7" s="18">
        <v>487940.93430000002</v>
      </c>
      <c r="D7" s="33">
        <f>IF(462411.21602="","-",487940.9343/462411.21602*100)</f>
        <v>105.52099892812632</v>
      </c>
      <c r="E7" s="33">
        <f>IF(462411.21602="","-",462411.21602/4350574.54459*100)</f>
        <v>10.628739061488208</v>
      </c>
      <c r="F7" s="33">
        <f>IF(487940.9343="","-",487940.9343/4371623.60554*100)</f>
        <v>11.161549536919194</v>
      </c>
      <c r="G7" s="33">
        <f>IF(3266113.78787="","-",(462411.21602-375754.11994)/3266113.78787*100)</f>
        <v>2.6532173006903572</v>
      </c>
      <c r="H7" s="33">
        <f>IF(4350574.54459="","-",(487940.9343-462411.21602)/4350574.54459*100)</f>
        <v>0.58681256965810624</v>
      </c>
    </row>
    <row r="8" spans="1:9" x14ac:dyDescent="0.25">
      <c r="A8" s="60" t="s">
        <v>196</v>
      </c>
      <c r="B8" s="61" t="s">
        <v>20</v>
      </c>
      <c r="C8" s="20">
        <v>4820.3292600000004</v>
      </c>
      <c r="D8" s="34">
        <f>IF(OR(4773.56368="",4820.32926=""),"-",4820.32926/4773.56368*100)</f>
        <v>100.97967856165691</v>
      </c>
      <c r="E8" s="34">
        <f>IF(4773.56368="","-",4773.56368/4350574.54459*100)</f>
        <v>0.10972260401642797</v>
      </c>
      <c r="F8" s="34">
        <f>IF(4820.32926="","-",4820.32926/4371623.60554*100)</f>
        <v>0.11026405049811179</v>
      </c>
      <c r="G8" s="34">
        <f>IF(OR(3266113.78787="",2595.32069="",4773.56368=""),"-",(4773.56368-2595.32069)/3266113.78787*100)</f>
        <v>6.6692195418596972E-2</v>
      </c>
      <c r="H8" s="34">
        <f>IF(OR(4350574.54459="",4820.32926="",4773.56368=""),"-",(4820.32926-4773.56368)/4350574.54459*100)</f>
        <v>1.0749288288406384E-3</v>
      </c>
    </row>
    <row r="9" spans="1:9" x14ac:dyDescent="0.25">
      <c r="A9" s="60" t="s">
        <v>197</v>
      </c>
      <c r="B9" s="61" t="s">
        <v>168</v>
      </c>
      <c r="C9" s="20">
        <v>36100.03155</v>
      </c>
      <c r="D9" s="34">
        <f>IF(OR(43670.95027="",36100.03155=""),"-",36100.03155/43670.95027*100)</f>
        <v>82.663718849276137</v>
      </c>
      <c r="E9" s="34">
        <f>IF(43670.95027="","-",43670.95027/4350574.54459*100)</f>
        <v>1.0037973105024813</v>
      </c>
      <c r="F9" s="34">
        <f>IF(36100.03155="","-",36100.03155/4371623.60554*100)</f>
        <v>0.82578087244866516</v>
      </c>
      <c r="G9" s="34">
        <f>IF(OR(3266113.78787="",26695.85792="",43670.95027=""),"-",(43670.95027-26695.85792)/3266113.78787*100)</f>
        <v>0.51973364838186875</v>
      </c>
      <c r="H9" s="34">
        <f>IF(OR(4350574.54459="",36100.03155="",43670.95027=""),"-",(36100.03155-43670.95027)/4350574.54459*100)</f>
        <v>-0.17402112393211477</v>
      </c>
    </row>
    <row r="10" spans="1:9" s="2" customFormat="1" x14ac:dyDescent="0.25">
      <c r="A10" s="60" t="s">
        <v>198</v>
      </c>
      <c r="B10" s="61" t="s">
        <v>169</v>
      </c>
      <c r="C10" s="20">
        <v>61540.729659999997</v>
      </c>
      <c r="D10" s="34">
        <f>IF(OR(58932.90991="",61540.72966=""),"-",61540.72966/58932.90991*100)</f>
        <v>104.42506530558657</v>
      </c>
      <c r="E10" s="34">
        <f>IF(58932.90991="","-",58932.90991/4350574.54459*100)</f>
        <v>1.3546006235724404</v>
      </c>
      <c r="F10" s="34">
        <f>IF(61540.72966="","-",61540.72966/4371623.60554*100)</f>
        <v>1.407731662488318</v>
      </c>
      <c r="G10" s="34">
        <f>IF(OR(3266113.78787="",43497.62524="",58932.90991=""),"-",(58932.90991-43497.62524)/3266113.78787*100)</f>
        <v>0.47258869936880366</v>
      </c>
      <c r="H10" s="34">
        <f>IF(OR(4350574.54459="",61540.72966="",58932.90991=""),"-",(61540.72966-58932.90991)/4350574.54459*100)</f>
        <v>5.9941962222963295E-2</v>
      </c>
    </row>
    <row r="11" spans="1:9" s="2" customFormat="1" x14ac:dyDescent="0.25">
      <c r="A11" s="60" t="s">
        <v>199</v>
      </c>
      <c r="B11" s="61" t="s">
        <v>170</v>
      </c>
      <c r="C11" s="20">
        <v>41990.241970000003</v>
      </c>
      <c r="D11" s="34">
        <f>IF(OR(38143.46236="",41990.24197=""),"-",41990.24197/38143.46236*100)</f>
        <v>110.08502996842262</v>
      </c>
      <c r="E11" s="34">
        <f>IF(38143.46236="","-",38143.46236/4350574.54459*100)</f>
        <v>0.87674540383251043</v>
      </c>
      <c r="F11" s="34">
        <f>IF(41990.24197="","-",41990.24197/4371623.60554*100)</f>
        <v>0.96051823667498026</v>
      </c>
      <c r="G11" s="34">
        <f>IF(OR(3266113.78787="",33787.81085="",38143.46236=""),"-",(38143.46236-33787.81085)/3266113.78787*100)</f>
        <v>0.13335884151300617</v>
      </c>
      <c r="H11" s="34">
        <f>IF(OR(4350574.54459="",41990.24197="",38143.46236=""),"-",(41990.24197-38143.46236)/4350574.54459*100)</f>
        <v>8.8420036723276682E-2</v>
      </c>
    </row>
    <row r="12" spans="1:9" s="2" customFormat="1" ht="24" x14ac:dyDescent="0.25">
      <c r="A12" s="60" t="s">
        <v>200</v>
      </c>
      <c r="B12" s="61" t="s">
        <v>171</v>
      </c>
      <c r="C12" s="20">
        <v>79267.174270000003</v>
      </c>
      <c r="D12" s="34">
        <f>IF(OR(77000.95761="",79267.17427=""),"-",79267.17427/77000.95761*100)</f>
        <v>102.94310191761265</v>
      </c>
      <c r="E12" s="34">
        <f>IF(77000.95761="","-",77000.95761/4350574.54459*100)</f>
        <v>1.7699031891259456</v>
      </c>
      <c r="F12" s="34">
        <f>IF(79267.17427="","-",79267.17427/4371623.60554*100)</f>
        <v>1.8132204741860118</v>
      </c>
      <c r="G12" s="34">
        <f>IF(OR(3266113.78787="",55009.23357="",77000.95761=""),"-",(77000.95761-55009.23357)/3266113.78787*100)</f>
        <v>0.67333000220858596</v>
      </c>
      <c r="H12" s="34">
        <f>IF(OR(4350574.54459="",79267.17427="",77000.95761=""),"-",(79267.17427-77000.95761)/4350574.54459*100)</f>
        <v>5.2090054699052965E-2</v>
      </c>
    </row>
    <row r="13" spans="1:9" s="2" customFormat="1" x14ac:dyDescent="0.25">
      <c r="A13" s="60" t="s">
        <v>201</v>
      </c>
      <c r="B13" s="61" t="s">
        <v>172</v>
      </c>
      <c r="C13" s="20">
        <v>126682.55231</v>
      </c>
      <c r="D13" s="34">
        <f>IF(OR(108611.15255="",126682.55231=""),"-",126682.55231/108611.15255*100)</f>
        <v>116.63862258682937</v>
      </c>
      <c r="E13" s="34">
        <f>IF(108611.15255="","-",108611.15255/4350574.54459*100)</f>
        <v>2.4964783716913774</v>
      </c>
      <c r="F13" s="34">
        <f>IF(126682.55231="","-",126682.55231/4371623.60554*100)</f>
        <v>2.8978375940110626</v>
      </c>
      <c r="G13" s="34">
        <f>IF(OR(3266113.78787="",101371.66627="",108611.15255=""),"-",(108611.15255-101371.66627)/3266113.78787*100)</f>
        <v>0.22165444164519563</v>
      </c>
      <c r="H13" s="34">
        <f>IF(OR(4350574.54459="",126682.55231="",108611.15255=""),"-",(126682.55231-108611.15255)/4350574.54459*100)</f>
        <v>0.41537961422755154</v>
      </c>
    </row>
    <row r="14" spans="1:9" s="2" customFormat="1" ht="24" x14ac:dyDescent="0.25">
      <c r="A14" s="60" t="s">
        <v>202</v>
      </c>
      <c r="B14" s="61" t="s">
        <v>130</v>
      </c>
      <c r="C14" s="20">
        <v>14159.03181</v>
      </c>
      <c r="D14" s="34">
        <f>IF(OR(10529.36102="",14159.03181=""),"-",14159.03181/10529.36102*100)</f>
        <v>134.47189989122435</v>
      </c>
      <c r="E14" s="34">
        <f>IF(10529.36102="","-",10529.36102/4350574.54459*100)</f>
        <v>0.24202231020483048</v>
      </c>
      <c r="F14" s="34">
        <f>IF(14159.03181="","-",14159.03181/4371623.60554*100)</f>
        <v>0.32388497015289175</v>
      </c>
      <c r="G14" s="34">
        <f>IF(OR(3266113.78787="",9666.38567="",10529.36102=""),"-",(10529.36102-9666.38567)/3266113.78787*100)</f>
        <v>2.6422084656235783E-2</v>
      </c>
      <c r="H14" s="34">
        <f>IF(OR(4350574.54459="",14159.03181="",10529.36102=""),"-",(14159.03181-10529.36102)/4350574.54459*100)</f>
        <v>8.3429688488237633E-2</v>
      </c>
    </row>
    <row r="15" spans="1:9" s="2" customFormat="1" ht="24" x14ac:dyDescent="0.25">
      <c r="A15" s="60" t="s">
        <v>203</v>
      </c>
      <c r="B15" s="61" t="s">
        <v>173</v>
      </c>
      <c r="C15" s="20">
        <v>38397.357859999996</v>
      </c>
      <c r="D15" s="34">
        <f>IF(OR(32658.969="",38397.35786=""),"-",38397.35786/32658.969*100)</f>
        <v>117.57063690528624</v>
      </c>
      <c r="E15" s="34">
        <f>IF(32658.969="","-",32658.969/4350574.54459*100)</f>
        <v>0.75068174709503332</v>
      </c>
      <c r="F15" s="34">
        <f>IF(38397.35786="","-",38397.35786/4371623.60554*100)</f>
        <v>0.87833174409938719</v>
      </c>
      <c r="G15" s="34">
        <f>IF(OR(3266113.78787="",30197.85893="",32658.969=""),"-",(32658.969-30197.85893)/3266113.78787*100)</f>
        <v>7.53528575501657E-2</v>
      </c>
      <c r="H15" s="34">
        <f>IF(OR(4350574.54459="",38397.35786="",32658.969=""),"-",(38397.35786-32658.969)/4350574.54459*100)</f>
        <v>0.1318995640963275</v>
      </c>
    </row>
    <row r="16" spans="1:9" s="2" customFormat="1" ht="24" x14ac:dyDescent="0.25">
      <c r="A16" s="60" t="s">
        <v>204</v>
      </c>
      <c r="B16" s="61" t="s">
        <v>131</v>
      </c>
      <c r="C16" s="20">
        <v>27479.307659999999</v>
      </c>
      <c r="D16" s="34">
        <f>IF(OR(28123.30695="",27479.30766=""),"-",27479.30766/28123.30695*100)</f>
        <v>97.710086900004484</v>
      </c>
      <c r="E16" s="34">
        <f>IF(28123.30695="","-",28123.30695/4350574.54459*100)</f>
        <v>0.64642742382087726</v>
      </c>
      <c r="F16" s="34">
        <f>IF(27479.30766="","-",27479.30766/4371623.60554*100)</f>
        <v>0.62858356847502761</v>
      </c>
      <c r="G16" s="34">
        <f>IF(OR(3266113.78787="",24285.15036="",28123.30695=""),"-",(28123.30695-24285.15036)/3266113.78787*100)</f>
        <v>0.11751447865210653</v>
      </c>
      <c r="H16" s="34">
        <f>IF(OR(4350574.54459="",27479.30766="",28123.30695=""),"-",(27479.30766-28123.30695)/4350574.54459*100)</f>
        <v>-1.480262626003781E-2</v>
      </c>
    </row>
    <row r="17" spans="1:8" s="2" customFormat="1" ht="24" x14ac:dyDescent="0.25">
      <c r="A17" s="60" t="s">
        <v>205</v>
      </c>
      <c r="B17" s="61" t="s">
        <v>174</v>
      </c>
      <c r="C17" s="20">
        <v>57504.177949999998</v>
      </c>
      <c r="D17" s="34">
        <f>IF(OR(59966.58267="",57504.17795=""),"-",57504.17795/59966.58267*100)</f>
        <v>95.893705109809616</v>
      </c>
      <c r="E17" s="34">
        <f>IF(59966.58267="","-",59966.58267/4350574.54459*100)</f>
        <v>1.3783600776262823</v>
      </c>
      <c r="F17" s="34">
        <f>IF(57504.17795="","-",57504.17795/4371623.60554*100)</f>
        <v>1.315396363884737</v>
      </c>
      <c r="G17" s="34">
        <f>IF(OR(3266113.78787="",48647.21044="",59966.58267=""),"-",(59966.58267-48647.21044)/3266113.78787*100)</f>
        <v>0.34657005129579216</v>
      </c>
      <c r="H17" s="34">
        <f>IF(OR(4350574.54459="",57504.17795="",59966.58267=""),"-",(57504.17795-59966.58267)/4350574.54459*100)</f>
        <v>-5.6599529435992314E-2</v>
      </c>
    </row>
    <row r="18" spans="1:8" s="2" customFormat="1" x14ac:dyDescent="0.25">
      <c r="A18" s="58" t="s">
        <v>206</v>
      </c>
      <c r="B18" s="59" t="s">
        <v>175</v>
      </c>
      <c r="C18" s="18">
        <v>65036.103049999998</v>
      </c>
      <c r="D18" s="33">
        <f>IF(58722.26127="","-",65036.10305/58722.26127*100)</f>
        <v>110.75204129311282</v>
      </c>
      <c r="E18" s="33">
        <f>IF(58722.26127="","-",58722.26127/4350574.54459*100)</f>
        <v>1.3497587656099801</v>
      </c>
      <c r="F18" s="33">
        <f>IF(65036.10305="","-",65036.10305/4371623.60554*100)</f>
        <v>1.4876876171951789</v>
      </c>
      <c r="G18" s="33">
        <f>IF(3266113.78787="","-",(58722.26127-57276.87694)/3266113.78787*100)</f>
        <v>4.4253949001042299E-2</v>
      </c>
      <c r="H18" s="33">
        <f>IF(4350574.54459="","-",(65036.10305-58722.26127)/4350574.54459*100)</f>
        <v>0.14512661983579492</v>
      </c>
    </row>
    <row r="19" spans="1:8" s="2" customFormat="1" x14ac:dyDescent="0.25">
      <c r="A19" s="60" t="s">
        <v>207</v>
      </c>
      <c r="B19" s="61" t="s">
        <v>176</v>
      </c>
      <c r="C19" s="20">
        <v>44487.053059999998</v>
      </c>
      <c r="D19" s="34">
        <f>IF(OR(38870.39661="",44487.05306=""),"-",44487.05306/38870.39661*100)</f>
        <v>114.44970193217689</v>
      </c>
      <c r="E19" s="34">
        <f>IF(38870.39661="","-",38870.39661/4350574.54459*100)</f>
        <v>0.89345432911466571</v>
      </c>
      <c r="F19" s="34">
        <f>IF(44487.05306="","-",44487.05306/4371623.60554*100)</f>
        <v>1.0176322820570181</v>
      </c>
      <c r="G19" s="34">
        <f>IF(OR(3266113.78787="",35412.33694="",38870.39661=""),"-",(38870.39661-35412.33694)/3266113.78787*100)</f>
        <v>0.10587688900622107</v>
      </c>
      <c r="H19" s="34">
        <f>IF(OR(4350574.54459="",44487.05306="",38870.39661=""),"-",(44487.05306-38870.39661)/4350574.54459*100)</f>
        <v>0.12910148745719999</v>
      </c>
    </row>
    <row r="20" spans="1:8" s="2" customFormat="1" x14ac:dyDescent="0.25">
      <c r="A20" s="60" t="s">
        <v>208</v>
      </c>
      <c r="B20" s="61" t="s">
        <v>177</v>
      </c>
      <c r="C20" s="20">
        <v>20549.04999</v>
      </c>
      <c r="D20" s="34">
        <f>IF(OR(19851.86466="",20549.04999=""),"-",20549.04999/19851.86466*100)</f>
        <v>103.51193876212936</v>
      </c>
      <c r="E20" s="34">
        <f>IF(19851.86466="","-",19851.86466/4350574.54459*100)</f>
        <v>0.4563044364953146</v>
      </c>
      <c r="F20" s="34">
        <f>IF(20549.04999="","-",20549.04999/4371623.60554*100)</f>
        <v>0.47005533513816095</v>
      </c>
      <c r="G20" s="34">
        <f>IF(OR(3266113.78787="",21864.54="",19851.86466=""),"-",(19851.86466-21864.54)/3266113.78787*100)</f>
        <v>-6.1622940005178761E-2</v>
      </c>
      <c r="H20" s="34">
        <f>IF(OR(4350574.54459="",20549.04999="",19851.86466=""),"-",(20549.04999-19851.86466)/4350574.54459*100)</f>
        <v>1.6025132378594913E-2</v>
      </c>
    </row>
    <row r="21" spans="1:8" s="2" customFormat="1" ht="24" x14ac:dyDescent="0.25">
      <c r="A21" s="58" t="s">
        <v>209</v>
      </c>
      <c r="B21" s="59" t="s">
        <v>21</v>
      </c>
      <c r="C21" s="18">
        <v>130816.0267</v>
      </c>
      <c r="D21" s="33">
        <f>IF(156370.90887="","-",130816.0267/156370.90887*100)</f>
        <v>83.657521495097768</v>
      </c>
      <c r="E21" s="33">
        <f>IF(156370.90887="","-",156370.90887/4350574.54459*100)</f>
        <v>3.5942588103552762</v>
      </c>
      <c r="F21" s="33">
        <f>IF(130816.0267="","-",130816.0267/4371623.60554*100)</f>
        <v>2.9923899791880895</v>
      </c>
      <c r="G21" s="33">
        <f>IF(3266113.78787="","-",(156370.90887-105361.52235)/3266113.78787*100)</f>
        <v>1.5617761606911389</v>
      </c>
      <c r="H21" s="33">
        <f>IF(4350574.54459="","-",(130816.0267-156370.90887)/4350574.54459*100)</f>
        <v>-0.58739097349286573</v>
      </c>
    </row>
    <row r="22" spans="1:8" s="2" customFormat="1" x14ac:dyDescent="0.25">
      <c r="A22" s="60" t="s">
        <v>211</v>
      </c>
      <c r="B22" s="61" t="s">
        <v>178</v>
      </c>
      <c r="C22" s="20">
        <v>60047.458500000001</v>
      </c>
      <c r="D22" s="34">
        <f>IF(OR(83947.98007="",60047.4585=""),"-",60047.4585/83947.98007*100)</f>
        <v>71.529366698197421</v>
      </c>
      <c r="E22" s="34">
        <f>IF(83947.98007="","-",83947.98007/4350574.54459*100)</f>
        <v>1.9295837643878666</v>
      </c>
      <c r="F22" s="34">
        <f>IF(60047.4585="","-",60047.4585/4371623.60554*100)</f>
        <v>1.3735733887040054</v>
      </c>
      <c r="G22" s="34">
        <f>IF(OR(3266113.78787="",39013.28396="",83947.98007=""),"-",(83947.98007-39013.28396)/3266113.78787*100)</f>
        <v>1.3757847713965967</v>
      </c>
      <c r="H22" s="34">
        <f>IF(OR(4350574.54459="",60047.4585="",83947.98007=""),"-",(60047.4585-83947.98007)/4350574.54459*100)</f>
        <v>-0.54936471780998752</v>
      </c>
    </row>
    <row r="23" spans="1:8" s="2" customFormat="1" ht="24" x14ac:dyDescent="0.25">
      <c r="A23" s="60" t="s">
        <v>264</v>
      </c>
      <c r="B23" s="61" t="s">
        <v>179</v>
      </c>
      <c r="C23" s="20">
        <v>2279.8080399999999</v>
      </c>
      <c r="D23" s="34">
        <f>IF(OR(2081.16078="",2279.80804=""),"-",2279.80804/2081.16078*100)</f>
        <v>109.54502227357945</v>
      </c>
      <c r="E23" s="34">
        <f>IF(2081.16078="","-",2081.16078/4350574.54459*100)</f>
        <v>4.7836458349804684E-2</v>
      </c>
      <c r="F23" s="34">
        <f>IF(2279.80804="","-",2279.80804/4371623.60554*100)</f>
        <v>5.2150144790848001E-2</v>
      </c>
      <c r="G23" s="34">
        <f>IF(OR(3266113.78787="",1066.04154="",2081.16078=""),"-",(2081.16078-1066.04154)/3266113.78787*100)</f>
        <v>3.1080339079735841E-2</v>
      </c>
      <c r="H23" s="34">
        <f>IF(OR(4350574.54459="",2279.80804="",2081.16078=""),"-",(2279.80804-2081.16078)/4350574.54459*100)</f>
        <v>4.5660006043804118E-3</v>
      </c>
    </row>
    <row r="24" spans="1:8" s="2" customFormat="1" x14ac:dyDescent="0.25">
      <c r="A24" s="60" t="s">
        <v>212</v>
      </c>
      <c r="B24" s="61" t="s">
        <v>180</v>
      </c>
      <c r="C24" s="20">
        <v>20338.132679999999</v>
      </c>
      <c r="D24" s="34">
        <f>IF(OR(28665.2804="",20338.13268=""),"-",20338.13268/28665.2804*100)</f>
        <v>70.950405494725246</v>
      </c>
      <c r="E24" s="34">
        <f>IF(28665.2804="","-",28665.2804/4350574.54459*100)</f>
        <v>0.65888493821225691</v>
      </c>
      <c r="F24" s="34">
        <f>IF(20338.13268="","-",20338.13268/4371623.60554*100)</f>
        <v>0.46523064461053376</v>
      </c>
      <c r="G24" s="34">
        <f>IF(OR(3266113.78787="",19389.80046="",28665.2804=""),"-",(28665.2804-19389.80046)/3266113.78787*100)</f>
        <v>0.28399132860735438</v>
      </c>
      <c r="H24" s="34">
        <f>IF(OR(4350574.54459="",20338.13268="",28665.2804=""),"-",(20338.13268-28665.2804)/4350574.54459*100)</f>
        <v>-0.19140340280699075</v>
      </c>
    </row>
    <row r="25" spans="1:8" s="2" customFormat="1" x14ac:dyDescent="0.25">
      <c r="A25" s="60" t="s">
        <v>213</v>
      </c>
      <c r="B25" s="61" t="s">
        <v>132</v>
      </c>
      <c r="C25" s="20">
        <v>211.11593999999999</v>
      </c>
      <c r="D25" s="34">
        <f>IF(OR(356.75739="",211.11594=""),"-",211.11594/356.75739*100)</f>
        <v>59.176332689282205</v>
      </c>
      <c r="E25" s="34">
        <f>IF(356.75739="","-",356.75739/4350574.54459*100)</f>
        <v>8.200236229571856E-3</v>
      </c>
      <c r="F25" s="34">
        <f>IF(211.11594="","-",211.11594/4371623.60554*100)</f>
        <v>4.8292341484399625E-3</v>
      </c>
      <c r="G25" s="34">
        <f>IF(OR(3266113.78787="",262.95085="",356.75739=""),"-",(356.75739-262.95085)/3266113.78787*100)</f>
        <v>2.8721148769644072E-3</v>
      </c>
      <c r="H25" s="34">
        <f>IF(OR(4350574.54459="",211.11594="",356.75739=""),"-",(211.11594-356.75739)/4350574.54459*100)</f>
        <v>-3.3476371570533635E-3</v>
      </c>
    </row>
    <row r="26" spans="1:8" s="2" customFormat="1" ht="36" x14ac:dyDescent="0.25">
      <c r="A26" s="60" t="s">
        <v>214</v>
      </c>
      <c r="B26" s="61" t="s">
        <v>133</v>
      </c>
      <c r="C26" s="20">
        <v>3788.8794699999999</v>
      </c>
      <c r="D26" s="34">
        <f>IF(OR(4023.03916="",3788.87947=""),"-",3788.87947/4023.03916*100)</f>
        <v>94.179532420957102</v>
      </c>
      <c r="E26" s="34">
        <f>IF(4023.03916="","-",4023.03916/4350574.54459*100)</f>
        <v>9.2471445294569313E-2</v>
      </c>
      <c r="F26" s="34">
        <f>IF(3788.87947="","-",3788.87947/4371623.60554*100)</f>
        <v>8.6669846534786071E-2</v>
      </c>
      <c r="G26" s="34">
        <f>IF(OR(3266113.78787="",5004.47062="",4023.03916=""),"-",(4023.03916-5004.47062)/3266113.78787*100)</f>
        <v>-3.0048905939680744E-2</v>
      </c>
      <c r="H26" s="34">
        <f>IF(OR(4350574.54459="",3788.87947="",4023.03916=""),"-",(3788.87947-4023.03916)/4350574.54459*100)</f>
        <v>-5.3822704932428014E-3</v>
      </c>
    </row>
    <row r="27" spans="1:8" s="2" customFormat="1" ht="36" x14ac:dyDescent="0.25">
      <c r="A27" s="60" t="s">
        <v>215</v>
      </c>
      <c r="B27" s="61" t="s">
        <v>134</v>
      </c>
      <c r="C27" s="20">
        <v>10916.9434</v>
      </c>
      <c r="D27" s="34">
        <f>IF(OR(9167.74302="",10916.9434=""),"-",10916.9434/9167.74302*100)</f>
        <v>119.0799455894871</v>
      </c>
      <c r="E27" s="34">
        <f>IF(9167.74302="","-",9167.74302/4350574.54459*100)</f>
        <v>0.21072488072639084</v>
      </c>
      <c r="F27" s="34">
        <f>IF(10916.9434="","-",10916.9434/4371623.60554*100)</f>
        <v>0.24972285779968234</v>
      </c>
      <c r="G27" s="34">
        <f>IF(OR(3266113.78787="",9258.88479="",9167.74302=""),"-",(9167.74302-9258.88479)/3266113.78787*100)</f>
        <v>-2.7905264764041915E-3</v>
      </c>
      <c r="H27" s="34">
        <f>IF(OR(4350574.54459="",10916.9434="",9167.74302=""),"-",(10916.9434-9167.74302)/4350574.54459*100)</f>
        <v>4.0206192586106936E-2</v>
      </c>
    </row>
    <row r="28" spans="1:8" s="2" customFormat="1" ht="24" x14ac:dyDescent="0.25">
      <c r="A28" s="60" t="s">
        <v>216</v>
      </c>
      <c r="B28" s="61" t="s">
        <v>135</v>
      </c>
      <c r="C28" s="20">
        <v>1988.42948</v>
      </c>
      <c r="D28" s="34" t="s">
        <v>294</v>
      </c>
      <c r="E28" s="34">
        <f>IF(859.52811="","-",859.52811/4350574.54459*100)</f>
        <v>1.9756657452722769E-2</v>
      </c>
      <c r="F28" s="34">
        <f>IF(1988.42948="","-",1988.42948/4371623.60554*100)</f>
        <v>4.5484919549801488E-2</v>
      </c>
      <c r="G28" s="34">
        <f>IF(OR(3266113.78787="",714.15662="",859.52811=""),"-",(859.52811-714.15662)/3266113.78787*100)</f>
        <v>4.4509009618677181E-3</v>
      </c>
      <c r="H28" s="34">
        <f>IF(OR(4350574.54459="",1988.42948="",859.52811=""),"-",(1988.42948-859.52811)/4350574.54459*100)</f>
        <v>2.5948328397310299E-2</v>
      </c>
    </row>
    <row r="29" spans="1:8" s="2" customFormat="1" ht="24" x14ac:dyDescent="0.25">
      <c r="A29" s="60" t="s">
        <v>217</v>
      </c>
      <c r="B29" s="61" t="s">
        <v>136</v>
      </c>
      <c r="C29" s="20">
        <v>31245.259190000001</v>
      </c>
      <c r="D29" s="34">
        <f>IF(OR(27269.41994="",31245.25919=""),"-",31245.25919/27269.41994*100)</f>
        <v>114.5798453313195</v>
      </c>
      <c r="E29" s="34">
        <f>IF(27269.41994="","-",27269.41994/4350574.54459*100)</f>
        <v>0.62680042970209315</v>
      </c>
      <c r="F29" s="34">
        <f>IF(31245.25919="","-",31245.25919/4371623.60554*100)</f>
        <v>0.71472894304999213</v>
      </c>
      <c r="G29" s="34">
        <f>IF(OR(3266113.78787="",30637.29909="",27269.41994=""),"-",(27269.41994-30637.29909)/3266113.78787*100)</f>
        <v>-0.10311579353138112</v>
      </c>
      <c r="H29" s="34">
        <f>IF(OR(4350574.54459="",31245.25919="",27269.41994=""),"-",(31245.25919-27269.41994)/4350574.54459*100)</f>
        <v>9.1386533186611232E-2</v>
      </c>
    </row>
    <row r="30" spans="1:8" s="2" customFormat="1" ht="24" x14ac:dyDescent="0.25">
      <c r="A30" s="58" t="s">
        <v>218</v>
      </c>
      <c r="B30" s="59" t="s">
        <v>137</v>
      </c>
      <c r="C30" s="18">
        <v>1095641.5335299999</v>
      </c>
      <c r="D30" s="33">
        <f>IF(1098343.20083="","-",1095641.53353/1098343.20083*100)</f>
        <v>99.754023396515919</v>
      </c>
      <c r="E30" s="33">
        <f>IF(1098343.20083="","-",1098343.20083/4350574.54459*100)</f>
        <v>25.24593452135661</v>
      </c>
      <c r="F30" s="33">
        <f>IF(1095641.53353="","-",1095641.53353/4371623.60554*100)</f>
        <v>25.062577028395882</v>
      </c>
      <c r="G30" s="33">
        <f>IF(3266113.78787="","-",(1098343.20083-389041.92676)/3266113.78787*100)</f>
        <v>21.716979876949473</v>
      </c>
      <c r="H30" s="33">
        <f>IF(4350574.54459="","-",(1095641.53353-1098343.20083)/4350574.54459*100)</f>
        <v>-6.2099092253450734E-2</v>
      </c>
    </row>
    <row r="31" spans="1:8" s="2" customFormat="1" x14ac:dyDescent="0.25">
      <c r="A31" s="60" t="s">
        <v>219</v>
      </c>
      <c r="B31" s="61" t="s">
        <v>181</v>
      </c>
      <c r="C31" s="20">
        <v>8962.5555499999991</v>
      </c>
      <c r="D31" s="34">
        <f>IF(OR(9464.96589="",8962.55555=""),"-",8962.55555/9464.96589*100)</f>
        <v>94.691894869575705</v>
      </c>
      <c r="E31" s="34">
        <f>IF(9464.96589="","-",9464.96589/4350574.54459*100)</f>
        <v>0.21755668804180855</v>
      </c>
      <c r="F31" s="34">
        <f>IF(8962.55555="","-",8962.55555/4371623.60554*100)</f>
        <v>0.20501663360592337</v>
      </c>
      <c r="G31" s="34">
        <f>IF(OR(3266113.78787="",5539.62401="",9464.96589=""),"-",(9464.96589-5539.62401)/3266113.78787*100)</f>
        <v>0.12018386789150769</v>
      </c>
      <c r="H31" s="34">
        <f>IF(OR(4350574.54459="",8962.55555="",9464.96589=""),"-",(8962.55555-9464.96589)/4350574.54459*100)</f>
        <v>-1.1548137719528439E-2</v>
      </c>
    </row>
    <row r="32" spans="1:8" s="2" customFormat="1" ht="24" x14ac:dyDescent="0.25">
      <c r="A32" s="60" t="s">
        <v>220</v>
      </c>
      <c r="B32" s="61" t="s">
        <v>138</v>
      </c>
      <c r="C32" s="20">
        <v>695455.25341999996</v>
      </c>
      <c r="D32" s="34">
        <f>IF(OR(640557.56297="",695455.25342=""),"-",695455.25342/640557.56297*100)</f>
        <v>108.57029775676399</v>
      </c>
      <c r="E32" s="34">
        <f>IF(640557.56297="","-",640557.56297/4350574.54459*100)</f>
        <v>14.723516547177482</v>
      </c>
      <c r="F32" s="34">
        <f>IF(695455.25342="","-",695455.25342/4371623.60554*100)</f>
        <v>15.908397340948447</v>
      </c>
      <c r="G32" s="34">
        <f>IF(OR(3266113.78787="",252271.35344="",640557.56297=""),"-",(640557.56297-252271.35344)/3266113.78787*100)</f>
        <v>11.888324619064216</v>
      </c>
      <c r="H32" s="34">
        <f>IF(OR(4350574.54459="",695455.25342="",640557.56297=""),"-",(695455.25342-640557.56297)/4350574.54459*100)</f>
        <v>1.2618492083595267</v>
      </c>
    </row>
    <row r="33" spans="1:8" s="2" customFormat="1" ht="24" x14ac:dyDescent="0.25">
      <c r="A33" s="60" t="s">
        <v>265</v>
      </c>
      <c r="B33" s="61" t="s">
        <v>182</v>
      </c>
      <c r="C33" s="20">
        <v>366945.03321000002</v>
      </c>
      <c r="D33" s="34">
        <f>IF(OR(433580.86921="",366945.03321=""),"-",366945.03321/433580.86921*100)</f>
        <v>84.631278561387433</v>
      </c>
      <c r="E33" s="34">
        <f>IF(433580.86921="","-",433580.86921/4350574.54459*100)</f>
        <v>9.9660599942865904</v>
      </c>
      <c r="F33" s="34">
        <f>IF(366945.03321="","-",366945.03321/4371623.60554*100)</f>
        <v>8.3937929318751028</v>
      </c>
      <c r="G33" s="34">
        <f>IF(OR(3266113.78787="",127670.73032="",433580.86921=""),"-",(433580.86921-127670.73032)/3266113.78787*100)</f>
        <v>9.3661813016471669</v>
      </c>
      <c r="H33" s="34">
        <f>IF(OR(4350574.54459="",366945.03321="",433580.86921=""),"-",(366945.03321-433580.86921)/4350574.54459*100)</f>
        <v>-1.5316559989269127</v>
      </c>
    </row>
    <row r="34" spans="1:8" s="2" customFormat="1" x14ac:dyDescent="0.25">
      <c r="A34" s="60" t="s">
        <v>270</v>
      </c>
      <c r="B34" s="61" t="s">
        <v>272</v>
      </c>
      <c r="C34" s="20">
        <v>24278.691350000001</v>
      </c>
      <c r="D34" s="34" t="s">
        <v>99</v>
      </c>
      <c r="E34" s="34">
        <f>IF(14739.80276="","-",14739.80276/4350574.54459*100)</f>
        <v>0.33880129185073155</v>
      </c>
      <c r="F34" s="34">
        <f>IF(24278.69135="","-",24278.69135/4371623.60554*100)</f>
        <v>0.555370121966413</v>
      </c>
      <c r="G34" s="34">
        <f>IF(OR(3266113.78787="",3560.21899="",14739.80276=""),"-",(14739.80276-3560.21899)/3266113.78787*100)</f>
        <v>0.34229008834657842</v>
      </c>
      <c r="H34" s="34">
        <f>IF(OR(4350574.54459="",24278.69135="",14739.80276=""),"-",(24278.69135-14739.80276)/4350574.54459*100)</f>
        <v>0.21925583603346691</v>
      </c>
    </row>
    <row r="35" spans="1:8" s="2" customFormat="1" ht="24" x14ac:dyDescent="0.25">
      <c r="A35" s="58" t="s">
        <v>221</v>
      </c>
      <c r="B35" s="59" t="s">
        <v>139</v>
      </c>
      <c r="C35" s="18">
        <v>14352.94584</v>
      </c>
      <c r="D35" s="33">
        <f>IF(43468.22937="","-",14352.94584/43468.22937*100)</f>
        <v>33.019393814798029</v>
      </c>
      <c r="E35" s="33">
        <f>IF(43468.22937="","-",43468.22937/4350574.54459*100)</f>
        <v>0.99913767536872455</v>
      </c>
      <c r="F35" s="33">
        <f>IF(14352.94584="","-",14352.94584/4371623.60554*100)</f>
        <v>0.32832071411205288</v>
      </c>
      <c r="G35" s="33">
        <f>IF(3266113.78787="","-",(43468.22937-6781.65624)/3266113.78787*100)</f>
        <v>1.1232484693659495</v>
      </c>
      <c r="H35" s="33">
        <f>IF(4350574.54459="","-",(14352.94584-43468.22937)/4350574.54459*100)</f>
        <v>-0.66922847158670706</v>
      </c>
    </row>
    <row r="36" spans="1:8" s="2" customFormat="1" x14ac:dyDescent="0.25">
      <c r="A36" s="60" t="s">
        <v>222</v>
      </c>
      <c r="B36" s="61" t="s">
        <v>185</v>
      </c>
      <c r="C36" s="20">
        <v>1399.3520599999999</v>
      </c>
      <c r="D36" s="34">
        <f>IF(OR(1095.32064="",1399.35206=""),"-",1399.35206/1095.32064*100)</f>
        <v>127.75729853862701</v>
      </c>
      <c r="E36" s="34">
        <f>IF(1095.32064="","-",1095.32064/4350574.54459*100)</f>
        <v>2.5176459540546117E-2</v>
      </c>
      <c r="F36" s="34">
        <f>IF(1399.35206="","-",1399.35206/4371623.60554*100)</f>
        <v>3.2009893491897423E-2</v>
      </c>
      <c r="G36" s="34">
        <f>IF(OR(3266113.78787="",795.35357="",1095.32064=""),"-",(1095.32064-795.35357)/3266113.78787*100)</f>
        <v>9.1842198246137579E-3</v>
      </c>
      <c r="H36" s="34">
        <f>IF(OR(4350574.54459="",1399.35206="",1095.32064=""),"-",(1399.35206-1095.32064)/4350574.54459*100)</f>
        <v>6.9883050361260295E-3</v>
      </c>
    </row>
    <row r="37" spans="1:8" s="2" customFormat="1" ht="24" x14ac:dyDescent="0.25">
      <c r="A37" s="60" t="s">
        <v>223</v>
      </c>
      <c r="B37" s="61" t="s">
        <v>140</v>
      </c>
      <c r="C37" s="20">
        <v>11440.420469999999</v>
      </c>
      <c r="D37" s="34">
        <f>IF(OR(40946.31182="",11440.42047=""),"-",11440.42047/40946.31182*100)</f>
        <v>27.940051158434219</v>
      </c>
      <c r="E37" s="34">
        <f>IF(40946.31182="","-",40946.31182/4350574.54459*100)</f>
        <v>0.94117021557341918</v>
      </c>
      <c r="F37" s="34">
        <f>IF(11440.42047="","-",11440.42047/4371623.60554*100)</f>
        <v>0.26169728920627955</v>
      </c>
      <c r="G37" s="34">
        <f>IF(OR(3266113.78787="",5051.70804="",40946.31182=""),"-",(40946.31182-5051.70804)/3266113.78787*100)</f>
        <v>1.099000405720975</v>
      </c>
      <c r="H37" s="34">
        <f>IF(OR(4350574.54459="",11440.42047="",40946.31182=""),"-",(11440.42047-40946.31182)/4350574.54459*100)</f>
        <v>-0.67820677585426026</v>
      </c>
    </row>
    <row r="38" spans="1:8" s="2" customFormat="1" ht="60" x14ac:dyDescent="0.25">
      <c r="A38" s="60" t="s">
        <v>224</v>
      </c>
      <c r="B38" s="61" t="s">
        <v>183</v>
      </c>
      <c r="C38" s="20">
        <v>1513.1733099999999</v>
      </c>
      <c r="D38" s="34">
        <f>IF(OR(1426.59691="",1513.17331=""),"-",1513.17331/1426.59691*100)</f>
        <v>106.06873598233155</v>
      </c>
      <c r="E38" s="34">
        <f>IF(1426.59691="","-",1426.59691/4350574.54459*100)</f>
        <v>3.2791000254759291E-2</v>
      </c>
      <c r="F38" s="34">
        <f>IF(1513.17331="","-",1513.17331/4371623.60554*100)</f>
        <v>3.4613531413875846E-2</v>
      </c>
      <c r="G38" s="34">
        <f>IF(OR(3266113.78787="",934.59463="",1426.59691=""),"-",(1426.59691-934.59463)/3266113.78787*100)</f>
        <v>1.5063843820360582E-2</v>
      </c>
      <c r="H38" s="34">
        <f>IF(OR(4350574.54459="",1513.17331="",1426.59691=""),"-",(1513.17331-1426.59691)/4350574.54459*100)</f>
        <v>1.9899992314270053E-3</v>
      </c>
    </row>
    <row r="39" spans="1:8" s="2" customFormat="1" ht="24" x14ac:dyDescent="0.25">
      <c r="A39" s="58" t="s">
        <v>225</v>
      </c>
      <c r="B39" s="59" t="s">
        <v>141</v>
      </c>
      <c r="C39" s="18">
        <v>579311.91910000006</v>
      </c>
      <c r="D39" s="33">
        <f>IF(574408.43836="","-",579311.9191/574408.43836*100)</f>
        <v>100.85365750440576</v>
      </c>
      <c r="E39" s="33">
        <f>IF(574408.43836="","-",574408.43836/4350574.54459*100)</f>
        <v>13.203047838228285</v>
      </c>
      <c r="F39" s="33">
        <f>IF(579311.9191="","-",579311.9191/4371623.60554*100)</f>
        <v>13.251642212880796</v>
      </c>
      <c r="G39" s="33">
        <f>IF(3266113.78787="","-",(574408.43836-499942.37357)/3266113.78787*100)</f>
        <v>2.2799592918825757</v>
      </c>
      <c r="H39" s="33">
        <f>IF(4350574.54459="","-",(579311.9191-574408.43836)/4350574.54459*100)</f>
        <v>0.11270880868131715</v>
      </c>
    </row>
    <row r="40" spans="1:8" s="2" customFormat="1" x14ac:dyDescent="0.25">
      <c r="A40" s="60" t="s">
        <v>226</v>
      </c>
      <c r="B40" s="61" t="s">
        <v>22</v>
      </c>
      <c r="C40" s="20">
        <v>8046.9122699999998</v>
      </c>
      <c r="D40" s="34">
        <f>IF(OR(8443.86531="",8046.91227=""),"-",8046.91227/8443.86531*100)</f>
        <v>95.298917907538254</v>
      </c>
      <c r="E40" s="34">
        <f>IF(8443.86531="","-",8443.86531/4350574.54459*100)</f>
        <v>0.19408621145223368</v>
      </c>
      <c r="F40" s="34">
        <f>IF(8046.91227="","-",8046.91227/4371623.60554*100)</f>
        <v>0.1840714799829162</v>
      </c>
      <c r="G40" s="34">
        <f>IF(OR(3266113.78787="",6147.46931="",8443.86531=""),"-",(8443.86531-6147.46931)/3266113.78787*100)</f>
        <v>7.0309736559962172E-2</v>
      </c>
      <c r="H40" s="34">
        <f>IF(OR(4350574.54459="",8046.91227="",8443.86531=""),"-",(8046.91227-8443.86531)/4350574.54459*100)</f>
        <v>-9.1241521305183947E-3</v>
      </c>
    </row>
    <row r="41" spans="1:8" s="2" customFormat="1" x14ac:dyDescent="0.25">
      <c r="A41" s="60" t="s">
        <v>227</v>
      </c>
      <c r="B41" s="61" t="s">
        <v>23</v>
      </c>
      <c r="C41" s="20">
        <v>19470.65194</v>
      </c>
      <c r="D41" s="34">
        <f>IF(OR(15296.1215="",19470.65194=""),"-",19470.65194/15296.1215*100)</f>
        <v>127.29143096830136</v>
      </c>
      <c r="E41" s="34">
        <f>IF(15296.1215="","-",15296.1215/4350574.54459*100)</f>
        <v>0.35158853947281377</v>
      </c>
      <c r="F41" s="34">
        <f>IF(19470.65194="","-",19470.65194/4371623.60554*100)</f>
        <v>0.44538719928507908</v>
      </c>
      <c r="G41" s="34">
        <f>IF(OR(3266113.78787="",7583.18162="",15296.1215=""),"-",(15296.1215-7583.18162)/3266113.78787*100)</f>
        <v>0.23615037261240068</v>
      </c>
      <c r="H41" s="34">
        <f>IF(OR(4350574.54459="",19470.65194="",15296.1215=""),"-",(19470.65194-15296.1215)/4350574.54459*100)</f>
        <v>9.5953543542681902E-2</v>
      </c>
    </row>
    <row r="42" spans="1:8" s="2" customFormat="1" x14ac:dyDescent="0.25">
      <c r="A42" s="60" t="s">
        <v>228</v>
      </c>
      <c r="B42" s="61" t="s">
        <v>142</v>
      </c>
      <c r="C42" s="20">
        <v>23746.194350000002</v>
      </c>
      <c r="D42" s="34">
        <f>IF(OR(22575.19362="",23746.19435=""),"-",23746.19435/22575.19362*100)</f>
        <v>105.18711267646705</v>
      </c>
      <c r="E42" s="34">
        <f>IF(22575.19362="","-",22575.19362/4350574.54459*100)</f>
        <v>0.51890143218147045</v>
      </c>
      <c r="F42" s="34">
        <f>IF(23746.19435="","-",23746.19435/4371623.60554*100)</f>
        <v>0.54318936149734642</v>
      </c>
      <c r="G42" s="34">
        <f>IF(OR(3266113.78787="",22901.07591="",22575.19362=""),"-",(22575.19362-22901.07591)/3266113.78787*100)</f>
        <v>-9.9776771773933178E-3</v>
      </c>
      <c r="H42" s="34">
        <f>IF(OR(4350574.54459="",23746.19435="",22575.19362=""),"-",(23746.19435-22575.19362)/4350574.54459*100)</f>
        <v>2.6916001967054196E-2</v>
      </c>
    </row>
    <row r="43" spans="1:8" s="2" customFormat="1" x14ac:dyDescent="0.25">
      <c r="A43" s="60" t="s">
        <v>229</v>
      </c>
      <c r="B43" s="61" t="s">
        <v>143</v>
      </c>
      <c r="C43" s="20">
        <v>149281.69128</v>
      </c>
      <c r="D43" s="34">
        <f>IF(OR(148131.83672="",149281.69128=""),"-",149281.69128/148131.83672*100)</f>
        <v>100.77623729338715</v>
      </c>
      <c r="E43" s="34">
        <f>IF(148131.83672="","-",148131.83672/4350574.54459*100)</f>
        <v>3.4048798659065382</v>
      </c>
      <c r="F43" s="34">
        <f>IF(149281.69128="","-",149281.69128/4371623.60554*100)</f>
        <v>3.4147882972088617</v>
      </c>
      <c r="G43" s="34">
        <f>IF(OR(3266113.78787="",149734.28551="",148131.83672=""),"-",(148131.83672-149734.28551)/3266113.78787*100)</f>
        <v>-4.9062858616601777E-2</v>
      </c>
      <c r="H43" s="34">
        <f>IF(OR(4350574.54459="",149281.69128="",148131.83672=""),"-",(149281.69128-148131.83672)/4350574.54459*100)</f>
        <v>2.6429947314197094E-2</v>
      </c>
    </row>
    <row r="44" spans="1:8" s="2" customFormat="1" ht="48" x14ac:dyDescent="0.25">
      <c r="A44" s="60" t="s">
        <v>230</v>
      </c>
      <c r="B44" s="61" t="s">
        <v>144</v>
      </c>
      <c r="C44" s="20">
        <v>82667.86692</v>
      </c>
      <c r="D44" s="34">
        <f>IF(OR(70131.69394="",82667.86692=""),"-",82667.86692/70131.69394*100)</f>
        <v>117.87518919865975</v>
      </c>
      <c r="E44" s="34">
        <f>IF(70131.69394="","-",70131.69394/4350574.54459*100)</f>
        <v>1.6120099361866984</v>
      </c>
      <c r="F44" s="34">
        <f>IF(82667.86692="","-",82667.86692/4371623.60554*100)</f>
        <v>1.8910106262405117</v>
      </c>
      <c r="G44" s="34">
        <f>IF(OR(3266113.78787="",65219.55464="",70131.69394=""),"-",(70131.69394-65219.55464)/3266113.78787*100)</f>
        <v>0.1503970657189948</v>
      </c>
      <c r="H44" s="34">
        <f>IF(OR(4350574.54459="",82667.86692="",70131.69394=""),"-",(82667.86692-70131.69394)/4350574.54459*100)</f>
        <v>0.28814982599456679</v>
      </c>
    </row>
    <row r="45" spans="1:8" s="2" customFormat="1" x14ac:dyDescent="0.25">
      <c r="A45" s="60" t="s">
        <v>231</v>
      </c>
      <c r="B45" s="61" t="s">
        <v>145</v>
      </c>
      <c r="C45" s="20">
        <v>86864.696540000004</v>
      </c>
      <c r="D45" s="34">
        <f>IF(OR(82136.81542="",86864.69654=""),"-",86864.69654/82136.81542*100)</f>
        <v>105.75610473308998</v>
      </c>
      <c r="E45" s="34">
        <f>IF(82136.81542="","-",82136.81542/4350574.54459*100)</f>
        <v>1.8879532939422512</v>
      </c>
      <c r="F45" s="34">
        <f>IF(86864.69654="","-",86864.69654/4371623.60554*100)</f>
        <v>1.9870122494059079</v>
      </c>
      <c r="G45" s="34">
        <f>IF(OR(3266113.78787="",40762.95244="",82136.81542=""),"-",(82136.81542-40762.95244)/3266113.78787*100)</f>
        <v>1.2667612234961969</v>
      </c>
      <c r="H45" s="34">
        <f>IF(OR(4350574.54459="",86864.69654="",82136.81542=""),"-",(86864.69654-82136.81542)/4350574.54459*100)</f>
        <v>0.1086725689111382</v>
      </c>
    </row>
    <row r="46" spans="1:8" s="2" customFormat="1" ht="12.75" customHeight="1" x14ac:dyDescent="0.25">
      <c r="A46" s="60" t="s">
        <v>232</v>
      </c>
      <c r="B46" s="61" t="s">
        <v>24</v>
      </c>
      <c r="C46" s="20">
        <v>34451.434000000001</v>
      </c>
      <c r="D46" s="34">
        <f>IF(OR(38734.94512="",34451.434=""),"-",34451.434/38734.94512*100)</f>
        <v>88.941481376235913</v>
      </c>
      <c r="E46" s="34">
        <f>IF(38734.94512="","-",38734.94512/4350574.54459*100)</f>
        <v>0.89034091297590656</v>
      </c>
      <c r="F46" s="34">
        <f>IF(34451.434="","-",34451.434/4371623.60554*100)</f>
        <v>0.78806953911450539</v>
      </c>
      <c r="G46" s="34">
        <f>IF(OR(3266113.78787="",31121.10838="",38734.94512=""),"-",(38734.94512-31121.10838)/3266113.78787*100)</f>
        <v>0.23311608947235632</v>
      </c>
      <c r="H46" s="34">
        <f>IF(OR(4350574.54459="",34451.434="",38734.94512=""),"-",(34451.434-38734.94512)/4350574.54459*100)</f>
        <v>-9.8458515676431768E-2</v>
      </c>
    </row>
    <row r="47" spans="1:8" s="2" customFormat="1" x14ac:dyDescent="0.25">
      <c r="A47" s="60" t="s">
        <v>233</v>
      </c>
      <c r="B47" s="61" t="s">
        <v>25</v>
      </c>
      <c r="C47" s="20">
        <v>67740.311249999999</v>
      </c>
      <c r="D47" s="34">
        <f>IF(OR(72330.75224="",67740.31125=""),"-",67740.31125/72330.75224*100)</f>
        <v>93.653541753902275</v>
      </c>
      <c r="E47" s="34">
        <f>IF(72330.75224="","-",72330.75224/4350574.54459*100)</f>
        <v>1.6625563244271793</v>
      </c>
      <c r="F47" s="34">
        <f>IF(67740.31125="","-",67740.31125/4371623.60554*100)</f>
        <v>1.5495458292464876</v>
      </c>
      <c r="G47" s="34">
        <f>IF(OR(3266113.78787="",73237.70122="",72330.75224=""),"-",(72330.75224-73237.70122)/3266113.78787*100)</f>
        <v>-2.7768444056306709E-2</v>
      </c>
      <c r="H47" s="34">
        <f>IF(OR(4350574.54459="",67740.31125="",72330.75224=""),"-",(67740.31125-72330.75224)/4350574.54459*100)</f>
        <v>-0.10551344294762814</v>
      </c>
    </row>
    <row r="48" spans="1:8" s="2" customFormat="1" x14ac:dyDescent="0.25">
      <c r="A48" s="60" t="s">
        <v>234</v>
      </c>
      <c r="B48" s="61" t="s">
        <v>146</v>
      </c>
      <c r="C48" s="20">
        <v>107042.16055</v>
      </c>
      <c r="D48" s="34">
        <f>IF(OR(116627.21449="",107042.16055=""),"-",107042.16055/116627.21449*100)</f>
        <v>91.781460286165157</v>
      </c>
      <c r="E48" s="34">
        <f>IF(116627.21449="","-",116627.21449/4350574.54459*100)</f>
        <v>2.6807313216831918</v>
      </c>
      <c r="F48" s="34">
        <f>IF(107042.16055="","-",107042.16055/4371623.60554*100)</f>
        <v>2.4485676308991779</v>
      </c>
      <c r="G48" s="34">
        <f>IF(OR(3266113.78787="",103235.04454="",116627.21449=""),"-",(116627.21449-103235.04454)/3266113.78787*100)</f>
        <v>0.41003378387296524</v>
      </c>
      <c r="H48" s="34">
        <f>IF(OR(4350574.54459="",107042.16055="",116627.21449=""),"-",(107042.16055-116627.21449)/4350574.54459*100)</f>
        <v>-0.22031696829374284</v>
      </c>
    </row>
    <row r="49" spans="1:8" s="2" customFormat="1" ht="24" x14ac:dyDescent="0.25">
      <c r="A49" s="58" t="s">
        <v>235</v>
      </c>
      <c r="B49" s="59" t="s">
        <v>345</v>
      </c>
      <c r="C49" s="18">
        <v>581479.86450999998</v>
      </c>
      <c r="D49" s="33">
        <f>IF(634225.9155="","-",581479.86451/634225.9155*100)</f>
        <v>91.683397082817564</v>
      </c>
      <c r="E49" s="33">
        <f>IF(634225.9155="","-",634225.9155/4350574.54459*100)</f>
        <v>14.577980655191134</v>
      </c>
      <c r="F49" s="33">
        <f>IF(581479.86451="","-",581479.86451/4371623.60554*100)</f>
        <v>13.301233522783425</v>
      </c>
      <c r="G49" s="33">
        <f>IF(3266113.78787="","-",(634225.9155-616692.15099)/3266113.78787*100)</f>
        <v>0.53683875237655676</v>
      </c>
      <c r="H49" s="33">
        <f>IF(4350574.54459="","-",(581479.86451-634225.9155)/4350574.54459*100)</f>
        <v>-1.2123927644359171</v>
      </c>
    </row>
    <row r="50" spans="1:8" s="2" customFormat="1" x14ac:dyDescent="0.25">
      <c r="A50" s="60" t="s">
        <v>236</v>
      </c>
      <c r="B50" s="61" t="s">
        <v>147</v>
      </c>
      <c r="C50" s="20">
        <v>22488.171340000001</v>
      </c>
      <c r="D50" s="34">
        <f>IF(OR(28618.04288="",22488.17134=""),"-",22488.17134/28618.04288*100)</f>
        <v>78.580395711532319</v>
      </c>
      <c r="E50" s="34">
        <f>IF(28618.04288="","-",28618.04288/4350574.54459*100)</f>
        <v>0.65779916162077801</v>
      </c>
      <c r="F50" s="34">
        <f>IF(22488.17134="","-",22488.17134/4371623.60554*100)</f>
        <v>0.51441234125237956</v>
      </c>
      <c r="G50" s="34">
        <f>IF(OR(3266113.78787="",28815.83133="",28618.04288=""),"-",(28618.04288-28815.83133)/3266113.78787*100)</f>
        <v>-6.0557734006257014E-3</v>
      </c>
      <c r="H50" s="34">
        <f>IF(OR(4350574.54459="",22488.17134="",28618.04288=""),"-",(22488.17134-28618.04288)/4350574.54459*100)</f>
        <v>-0.14089797743202861</v>
      </c>
    </row>
    <row r="51" spans="1:8" s="2" customFormat="1" x14ac:dyDescent="0.25">
      <c r="A51" s="60" t="s">
        <v>237</v>
      </c>
      <c r="B51" s="61" t="s">
        <v>26</v>
      </c>
      <c r="C51" s="20">
        <v>34532.936739999997</v>
      </c>
      <c r="D51" s="34">
        <f>IF(OR(40519.69805="",34532.93674=""),"-",34532.93674/40519.69805*100)</f>
        <v>85.22505942020463</v>
      </c>
      <c r="E51" s="34">
        <f>IF(40519.69805="","-",40519.69805/4350574.54459*100)</f>
        <v>0.93136429762792605</v>
      </c>
      <c r="F51" s="34">
        <f>IF(34532.93674="","-",34532.93674/4371623.60554*100)</f>
        <v>0.78993389769964772</v>
      </c>
      <c r="G51" s="34">
        <f>IF(OR(3266113.78787="",31044.18922="",40519.69805=""),"-",(40519.69805-31044.18922)/3266113.78787*100)</f>
        <v>0.29011569851580288</v>
      </c>
      <c r="H51" s="34">
        <f>IF(OR(4350574.54459="",34532.93674="",40519.69805=""),"-",(34532.93674-40519.69805)/4350574.54459*100)</f>
        <v>-0.13760852155595454</v>
      </c>
    </row>
    <row r="52" spans="1:8" s="2" customFormat="1" x14ac:dyDescent="0.25">
      <c r="A52" s="60" t="s">
        <v>238</v>
      </c>
      <c r="B52" s="61" t="s">
        <v>148</v>
      </c>
      <c r="C52" s="20">
        <v>48194.804779999999</v>
      </c>
      <c r="D52" s="34">
        <f>IF(OR(50367.10275="",48194.80478=""),"-",48194.80478/50367.10275*100)</f>
        <v>95.687069830515512</v>
      </c>
      <c r="E52" s="34">
        <f>IF(50367.10275="","-",50367.10275/4350574.54459*100)</f>
        <v>1.157711521404275</v>
      </c>
      <c r="F52" s="34">
        <f>IF(48194.80478="","-",48194.80478/4371623.60554*100)</f>
        <v>1.1024463478265711</v>
      </c>
      <c r="G52" s="34">
        <f>IF(OR(3266113.78787="",49327.68474="",50367.10275=""),"-",(50367.10275-49327.68474)/3266113.78787*100)</f>
        <v>3.1824304892875729E-2</v>
      </c>
      <c r="H52" s="34">
        <f>IF(OR(4350574.54459="",48194.80478="",50367.10275=""),"-",(48194.80478-50367.10275)/4350574.54459*100)</f>
        <v>-4.9931289482242812E-2</v>
      </c>
    </row>
    <row r="53" spans="1:8" s="2" customFormat="1" ht="24" x14ac:dyDescent="0.25">
      <c r="A53" s="60" t="s">
        <v>239</v>
      </c>
      <c r="B53" s="61" t="s">
        <v>149</v>
      </c>
      <c r="C53" s="20">
        <v>61485.744559999999</v>
      </c>
      <c r="D53" s="34">
        <f>IF(OR(67905.34038="",61485.74456=""),"-",61485.74456/67905.34038*100)</f>
        <v>90.546257799348666</v>
      </c>
      <c r="E53" s="34">
        <f>IF(67905.34038="","-",67905.34038/4350574.54459*100)</f>
        <v>1.560836153570595</v>
      </c>
      <c r="F53" s="34">
        <f>IF(61485.74456="","-",61485.74456/4371623.60554*100)</f>
        <v>1.4064738895197049</v>
      </c>
      <c r="G53" s="34">
        <f>IF(OR(3266113.78787="",52024.89748="",67905.34038=""),"-",(67905.34038-52024.89748)/3266113.78787*100)</f>
        <v>0.4862182989147002</v>
      </c>
      <c r="H53" s="34">
        <f>IF(OR(4350574.54459="",61485.74456="",67905.34038=""),"-",(61485.74456-67905.34038)/4350574.54459*100)</f>
        <v>-0.14755742613312653</v>
      </c>
    </row>
    <row r="54" spans="1:8" s="2" customFormat="1" ht="36" x14ac:dyDescent="0.25">
      <c r="A54" s="60" t="s">
        <v>240</v>
      </c>
      <c r="B54" s="61" t="s">
        <v>150</v>
      </c>
      <c r="C54" s="20">
        <v>153428.25059000001</v>
      </c>
      <c r="D54" s="34">
        <f>IF(OR(164551.19246="",153428.25059=""),"-",153428.25059/164551.19246*100)</f>
        <v>93.240436788263438</v>
      </c>
      <c r="E54" s="34">
        <f>IF(164551.19246="","-",164551.19246/4350574.54459*100)</f>
        <v>3.7822864721309442</v>
      </c>
      <c r="F54" s="34">
        <f>IF(153428.25059="","-",153428.25059/4371623.60554*100)</f>
        <v>3.5096399972670556</v>
      </c>
      <c r="G54" s="34">
        <f>IF(OR(3266113.78787="",159378.7177="",164551.19246=""),"-",(164551.19246-159378.7177)/3266113.78787*100)</f>
        <v>0.15836786762328994</v>
      </c>
      <c r="H54" s="34">
        <f>IF(OR(4350574.54459="",153428.25059="",164551.19246=""),"-",(153428.25059-164551.19246)/4350574.54459*100)</f>
        <v>-0.25566604493265177</v>
      </c>
    </row>
    <row r="55" spans="1:8" s="2" customFormat="1" x14ac:dyDescent="0.25">
      <c r="A55" s="60" t="s">
        <v>241</v>
      </c>
      <c r="B55" s="61" t="s">
        <v>27</v>
      </c>
      <c r="C55" s="20">
        <v>85041.474329999997</v>
      </c>
      <c r="D55" s="34">
        <f>IF(OR(74909.18728="",85041.47433=""),"-",85041.47433/74909.18728*100)</f>
        <v>113.52609395176981</v>
      </c>
      <c r="E55" s="34">
        <f>IF(74909.18728="","-",74909.18728/4350574.54459*100)</f>
        <v>1.7218228652845544</v>
      </c>
      <c r="F55" s="34">
        <f>IF(85041.47433="","-",85041.47433/4371623.60554*100)</f>
        <v>1.9453064125243997</v>
      </c>
      <c r="G55" s="34">
        <f>IF(OR(3266113.78787="",75856.86945="",74909.18728=""),"-",(74909.18728-75856.86945)/3266113.78787*100)</f>
        <v>-2.9015589521699796E-2</v>
      </c>
      <c r="H55" s="34">
        <f>IF(OR(4350574.54459="",85041.47433="",74909.18728=""),"-",(85041.47433-74909.18728)/4350574.54459*100)</f>
        <v>0.23289537844144373</v>
      </c>
    </row>
    <row r="56" spans="1:8" s="2" customFormat="1" x14ac:dyDescent="0.25">
      <c r="A56" s="60" t="s">
        <v>242</v>
      </c>
      <c r="B56" s="61" t="s">
        <v>151</v>
      </c>
      <c r="C56" s="20">
        <v>67560.581720000002</v>
      </c>
      <c r="D56" s="34">
        <f>IF(OR(96086.30718="",67560.58172=""),"-",67560.58172/96086.30718*100)</f>
        <v>70.3123927881188</v>
      </c>
      <c r="E56" s="34">
        <f>IF(96086.30718="","-",96086.30718/4350574.54459*100)</f>
        <v>2.2085889161348735</v>
      </c>
      <c r="F56" s="34">
        <f>IF(67560.58172="","-",67560.58172/4371623.60554*100)</f>
        <v>1.5454345528371412</v>
      </c>
      <c r="G56" s="34">
        <f>IF(OR(3266113.78787="",82225.56883="",96086.30718=""),"-",(96086.30718-82225.56883)/3266113.78787*100)</f>
        <v>0.42438014258649864</v>
      </c>
      <c r="H56" s="34">
        <f>IF(OR(4350574.54459="",67560.58172="",96086.30718=""),"-",(67560.58172-96086.30718)/4350574.54459*100)</f>
        <v>-0.65567720234726556</v>
      </c>
    </row>
    <row r="57" spans="1:8" s="2" customFormat="1" x14ac:dyDescent="0.25">
      <c r="A57" s="60" t="s">
        <v>243</v>
      </c>
      <c r="B57" s="61" t="s">
        <v>28</v>
      </c>
      <c r="C57" s="20">
        <v>17085.517889999999</v>
      </c>
      <c r="D57" s="34">
        <f>IF(OR(16747.69281="",17085.51789=""),"-",17085.51789/16747.69281*100)</f>
        <v>102.01714399608694</v>
      </c>
      <c r="E57" s="34">
        <f>IF(16747.69281="","-",16747.69281/4350574.54459*100)</f>
        <v>0.38495358804565227</v>
      </c>
      <c r="F57" s="34">
        <f>IF(17085.51789="","-",17085.51789/4371623.60554*100)</f>
        <v>0.39082774345778859</v>
      </c>
      <c r="G57" s="34">
        <f>IF(OR(3266113.78787="",38517.19294="",16747.69281=""),"-",(16747.69281-38517.19294)/3266113.78787*100)</f>
        <v>-0.66652607789874352</v>
      </c>
      <c r="H57" s="34">
        <f>IF(OR(4350574.54459="",17085.51789="",16747.69281=""),"-",(17085.51789-16747.69281)/4350574.54459*100)</f>
        <v>7.7650681889841174E-3</v>
      </c>
    </row>
    <row r="58" spans="1:8" s="2" customFormat="1" x14ac:dyDescent="0.25">
      <c r="A58" s="60" t="s">
        <v>244</v>
      </c>
      <c r="B58" s="61" t="s">
        <v>29</v>
      </c>
      <c r="C58" s="20">
        <v>91662.382559999998</v>
      </c>
      <c r="D58" s="34">
        <f>IF(OR(94521.35171="",91662.38256=""),"-",91662.38256/94521.35171*100)</f>
        <v>96.975319228642036</v>
      </c>
      <c r="E58" s="34">
        <f>IF(94521.35171="","-",94521.35171/4350574.54459*100)</f>
        <v>2.1726176793715353</v>
      </c>
      <c r="F58" s="34">
        <f>IF(91662.38256="","-",91662.38256/4371623.60554*100)</f>
        <v>2.0967583403987389</v>
      </c>
      <c r="G58" s="34">
        <f>IF(OR(3266113.78787="",99501.1993="",94521.35171=""),"-",(94521.35171-99501.1993)/3266113.78787*100)</f>
        <v>-0.1524701193355423</v>
      </c>
      <c r="H58" s="34">
        <f>IF(OR(4350574.54459="",91662.38256="",94521.35171=""),"-",(91662.38256-94521.35171)/4350574.54459*100)</f>
        <v>-6.5714749183074503E-2</v>
      </c>
    </row>
    <row r="59" spans="1:8" s="2" customFormat="1" ht="24" x14ac:dyDescent="0.25">
      <c r="A59" s="58" t="s">
        <v>245</v>
      </c>
      <c r="B59" s="59" t="s">
        <v>152</v>
      </c>
      <c r="C59" s="18">
        <v>1011363.68512</v>
      </c>
      <c r="D59" s="33">
        <f>IF(935182.49642="","-",1011363.68512/935182.49642*100)</f>
        <v>108.14613072759933</v>
      </c>
      <c r="E59" s="33">
        <f>IF(935182.49642="","-",935182.49642/4350574.54459*100)</f>
        <v>21.495609070367784</v>
      </c>
      <c r="F59" s="33">
        <f>IF(1011363.68512="","-",1011363.68512/4371623.60554*100)</f>
        <v>23.134738403332243</v>
      </c>
      <c r="G59" s="33">
        <f>IF(3266113.78787="","-",(935182.49642-834670.46985)/3266113.78787*100)</f>
        <v>3.0774196215481222</v>
      </c>
      <c r="H59" s="33">
        <f>IF(4350574.54459="","-",(1011363.68512-935182.49642)/4350574.54459*100)</f>
        <v>1.7510604155658571</v>
      </c>
    </row>
    <row r="60" spans="1:8" s="2" customFormat="1" ht="24" x14ac:dyDescent="0.25">
      <c r="A60" s="60" t="s">
        <v>246</v>
      </c>
      <c r="B60" s="61" t="s">
        <v>153</v>
      </c>
      <c r="C60" s="20">
        <v>23420.865829999999</v>
      </c>
      <c r="D60" s="34">
        <f>IF(OR(14137.55659="",23420.86583=""),"-",23420.86583/14137.55659*100)</f>
        <v>165.66417033171359</v>
      </c>
      <c r="E60" s="34">
        <f>IF(14137.55659="","-",14137.55659/4350574.54459*100)</f>
        <v>0.32495838067135863</v>
      </c>
      <c r="F60" s="34">
        <f>IF(23420.86583="","-",23420.86583/4371623.60554*100)</f>
        <v>0.53574753783284512</v>
      </c>
      <c r="G60" s="34">
        <f>IF(OR(3266113.78787="",13605.21258="",14137.55659=""),"-",(14137.55659-13605.21258)/3266113.78787*100)</f>
        <v>1.629900378783709E-2</v>
      </c>
      <c r="H60" s="34">
        <f>IF(OR(4350574.54459="",23420.86583="",14137.55659=""),"-",(23420.86583-14137.55659)/4350574.54459*100)</f>
        <v>0.21338122459121917</v>
      </c>
    </row>
    <row r="61" spans="1:8" s="2" customFormat="1" ht="24" x14ac:dyDescent="0.25">
      <c r="A61" s="60" t="s">
        <v>247</v>
      </c>
      <c r="B61" s="61" t="s">
        <v>154</v>
      </c>
      <c r="C61" s="20">
        <v>108847.06864</v>
      </c>
      <c r="D61" s="34">
        <f>IF(OR(156488.21411="",108847.06864=""),"-",108847.06864/156488.21411*100)</f>
        <v>69.556080794358294</v>
      </c>
      <c r="E61" s="34">
        <f>IF(156488.21411="","-",156488.21411/4350574.54459*100)</f>
        <v>3.5969551264118729</v>
      </c>
      <c r="F61" s="34">
        <f>IF(108847.06864="","-",108847.06864/4371623.60554*100)</f>
        <v>2.4898545360140809</v>
      </c>
      <c r="G61" s="34">
        <f>IF(OR(3266113.78787="",96476.93529="",156488.21411=""),"-",(156488.21411-96476.93529)/3266113.78787*100)</f>
        <v>1.8373909397423789</v>
      </c>
      <c r="H61" s="34">
        <f>IF(OR(4350574.54459="",108847.06864="",156488.21411=""),"-",(108847.06864-156488.21411)/4350574.54459*100)</f>
        <v>-1.0950541125480182</v>
      </c>
    </row>
    <row r="62" spans="1:8" s="2" customFormat="1" ht="24" x14ac:dyDescent="0.25">
      <c r="A62" s="60" t="s">
        <v>248</v>
      </c>
      <c r="B62" s="61" t="s">
        <v>155</v>
      </c>
      <c r="C62" s="20">
        <v>7864.1253999999999</v>
      </c>
      <c r="D62" s="34">
        <f>IF(OR(5835.98875="",7864.1254=""),"-",7864.1254/5835.98875*100)</f>
        <v>134.75223714233513</v>
      </c>
      <c r="E62" s="34">
        <f>IF(5835.98875="","-",5835.98875/4350574.54459*100)</f>
        <v>0.13414294342472843</v>
      </c>
      <c r="F62" s="34">
        <f>IF(7864.1254="","-",7864.1254/4371623.60554*100)</f>
        <v>0.17989026754348383</v>
      </c>
      <c r="G62" s="34">
        <f>IF(OR(3266113.78787="",9371.71465="",5835.98875=""),"-",(5835.98875-9371.71465)/3266113.78787*100)</f>
        <v>-0.10825482912234442</v>
      </c>
      <c r="H62" s="34">
        <f>IF(OR(4350574.54459="",7864.1254="",5835.98875=""),"-",(7864.1254-5835.98875)/4350574.54459*100)</f>
        <v>4.6617673808670067E-2</v>
      </c>
    </row>
    <row r="63" spans="1:8" s="2" customFormat="1" ht="36" x14ac:dyDescent="0.25">
      <c r="A63" s="60" t="s">
        <v>249</v>
      </c>
      <c r="B63" s="61" t="s">
        <v>156</v>
      </c>
      <c r="C63" s="20">
        <v>118741.30706000001</v>
      </c>
      <c r="D63" s="34">
        <f>IF(OR(118586.29629="",118741.30706=""),"-",118741.30706/118586.29629*100)</f>
        <v>100.13071558421973</v>
      </c>
      <c r="E63" s="34">
        <f>IF(118586.29629="","-",118586.29629/4350574.54459*100)</f>
        <v>2.7257617373195848</v>
      </c>
      <c r="F63" s="34">
        <f>IF(118741.30706="","-",118741.30706/4371623.60554*100)</f>
        <v>2.716183225598916</v>
      </c>
      <c r="G63" s="34">
        <f>IF(OR(3266113.78787="",118541.09958="",118586.29629=""),"-",(118586.29629-118541.09958)/3266113.78787*100)</f>
        <v>1.3838069625087645E-3</v>
      </c>
      <c r="H63" s="34">
        <f>IF(OR(4350574.54459="",118741.30706="",118586.29629=""),"-",(118741.30706-118586.29629)/4350574.54459*100)</f>
        <v>3.562995379375032E-3</v>
      </c>
    </row>
    <row r="64" spans="1:8" s="2" customFormat="1" ht="24.75" customHeight="1" x14ac:dyDescent="0.25">
      <c r="A64" s="60" t="s">
        <v>250</v>
      </c>
      <c r="B64" s="61" t="s">
        <v>157</v>
      </c>
      <c r="C64" s="20">
        <v>41614.099419999999</v>
      </c>
      <c r="D64" s="34">
        <f>IF(OR(42820.67492="",41614.09942=""),"-",41614.09942/42820.67492*100)</f>
        <v>97.182259499052293</v>
      </c>
      <c r="E64" s="34">
        <f>IF(42820.67492="","-",42820.67492/4350574.54459*100)</f>
        <v>0.98425333208571508</v>
      </c>
      <c r="F64" s="34">
        <f>IF(41614.09942="","-",41614.09942/4371623.60554*100)</f>
        <v>0.95191405241896765</v>
      </c>
      <c r="G64" s="34">
        <f>IF(OR(3266113.78787="",37560.26563="",42820.67492=""),"-",(42820.67492-37560.26563)/3266113.78787*100)</f>
        <v>0.16106019666358831</v>
      </c>
      <c r="H64" s="34">
        <f>IF(OR(4350574.54459="",41614.09942="",42820.67492=""),"-",(41614.09942-42820.67492)/4350574.54459*100)</f>
        <v>-2.773370477010657E-2</v>
      </c>
    </row>
    <row r="65" spans="1:8" s="2" customFormat="1" ht="48" x14ac:dyDescent="0.25">
      <c r="A65" s="60" t="s">
        <v>251</v>
      </c>
      <c r="B65" s="61" t="s">
        <v>158</v>
      </c>
      <c r="C65" s="20">
        <v>102725.61883000001</v>
      </c>
      <c r="D65" s="34">
        <f>IF(OR(85107.38183="",102725.61883=""),"-",102725.61883/85107.38183*100)</f>
        <v>120.70118551548445</v>
      </c>
      <c r="E65" s="34">
        <f>IF(85107.38183="","-",85107.38183/4350574.54459*100)</f>
        <v>1.9562331585797608</v>
      </c>
      <c r="F65" s="34">
        <f>IF(102725.61883="","-",102725.61883/4371623.60554*100)</f>
        <v>2.349827617817315</v>
      </c>
      <c r="G65" s="34">
        <f>IF(OR(3266113.78787="",88791.68188="",85107.38183=""),"-",(85107.38183-88791.68188)/3266113.78787*100)</f>
        <v>-0.11280378729250354</v>
      </c>
      <c r="H65" s="34">
        <f>IF(OR(4350574.54459="",102725.61883="",85107.38183=""),"-",(102725.61883-85107.38183)/4350574.54459*100)</f>
        <v>0.40496345527301747</v>
      </c>
    </row>
    <row r="66" spans="1:8" s="2" customFormat="1" ht="48" x14ac:dyDescent="0.25">
      <c r="A66" s="60" t="s">
        <v>252</v>
      </c>
      <c r="B66" s="61" t="s">
        <v>159</v>
      </c>
      <c r="C66" s="20">
        <v>323742.84675000003</v>
      </c>
      <c r="D66" s="34">
        <f>IF(OR(265704.91803="",323742.84675=""),"-",323742.84675/265704.91803*100)</f>
        <v>121.84300130773158</v>
      </c>
      <c r="E66" s="34">
        <f>IF(265704.91803="","-",265704.91803/4350574.54459*100)</f>
        <v>6.1073523808575532</v>
      </c>
      <c r="F66" s="34">
        <f>IF(323742.84675="","-",323742.84675/4371623.60554*100)</f>
        <v>7.4055517117194745</v>
      </c>
      <c r="G66" s="34">
        <f>IF(OR(3266113.78787="",261860.02324="",265704.91803=""),"-",(265704.91803-261860.02324)/3266113.78787*100)</f>
        <v>0.1177207849977402</v>
      </c>
      <c r="H66" s="34">
        <f>IF(OR(4350574.54459="",323742.84675="",265704.91803=""),"-",(323742.84675-265704.91803)/4350574.54459*100)</f>
        <v>1.3340290604184912</v>
      </c>
    </row>
    <row r="67" spans="1:8" s="2" customFormat="1" ht="24" x14ac:dyDescent="0.25">
      <c r="A67" s="60" t="s">
        <v>253</v>
      </c>
      <c r="B67" s="61" t="s">
        <v>160</v>
      </c>
      <c r="C67" s="20">
        <v>280682.42797999998</v>
      </c>
      <c r="D67" s="34">
        <f>IF(OR(242207.49451="",280682.42798=""),"-",280682.42798/242207.49451*100)</f>
        <v>115.88511269968629</v>
      </c>
      <c r="E67" s="34">
        <f>IF(242207.49451="","-",242207.49451/4350574.54459*100)</f>
        <v>5.5672530611201312</v>
      </c>
      <c r="F67" s="34">
        <f>IF(280682.42798="","-",280682.42798/4371623.60554*100)</f>
        <v>6.4205533986114753</v>
      </c>
      <c r="G67" s="34">
        <f>IF(OR(3266113.78787="",207297.69889="",242207.49451=""),"-",(242207.49451-207297.69889)/3266113.78787*100)</f>
        <v>1.0688481139160326</v>
      </c>
      <c r="H67" s="34">
        <f>IF(OR(4350574.54459="",280682.42798="",242207.49451=""),"-",(280682.42798-242207.49451)/4350574.54459*100)</f>
        <v>0.88436442303566798</v>
      </c>
    </row>
    <row r="68" spans="1:8" s="2" customFormat="1" x14ac:dyDescent="0.25">
      <c r="A68" s="60" t="s">
        <v>254</v>
      </c>
      <c r="B68" s="61" t="s">
        <v>30</v>
      </c>
      <c r="C68" s="20">
        <v>3725.32521</v>
      </c>
      <c r="D68" s="34">
        <f>IF(OR(4293.97139="",3725.32521=""),"-",3725.32521/4293.97139*100)</f>
        <v>86.757103661093566</v>
      </c>
      <c r="E68" s="34">
        <f>IF(4293.97139="","-",4293.97139/4350574.54459*100)</f>
        <v>9.8698949897079974E-2</v>
      </c>
      <c r="F68" s="34">
        <f>IF(3725.32521="","-",3725.32521/4371623.60554*100)</f>
        <v>8.5216055775685501E-2</v>
      </c>
      <c r="G68" s="34">
        <f>IF(OR(3266113.78787="",1165.83811="",4293.97139=""),"-",(4293.97139-1165.83811)/3266113.78787*100)</f>
        <v>9.5775391892883671E-2</v>
      </c>
      <c r="H68" s="34">
        <f>IF(OR(4350574.54459="",3725.32521="",4293.97139=""),"-",(3725.32521-4293.97139)/4350574.54459*100)</f>
        <v>-1.3070599622459501E-2</v>
      </c>
    </row>
    <row r="69" spans="1:8" s="2" customFormat="1" x14ac:dyDescent="0.25">
      <c r="A69" s="58" t="s">
        <v>255</v>
      </c>
      <c r="B69" s="59" t="s">
        <v>31</v>
      </c>
      <c r="C69" s="18">
        <v>402474.89656999998</v>
      </c>
      <c r="D69" s="33">
        <f>IF(374632.27975="","-",402474.89657/374632.27975*100)</f>
        <v>107.43198552953845</v>
      </c>
      <c r="E69" s="33">
        <f>IF(374632.27975="","-",374632.27975/4350574.54459*100)</f>
        <v>8.6110989688904525</v>
      </c>
      <c r="F69" s="33">
        <f>IF(402474.89657="","-",402474.89657/4371623.60554*100)</f>
        <v>9.2065313230525643</v>
      </c>
      <c r="G69" s="33">
        <f>IF(3266113.78787="","-",(374632.27975-380506.70617)/3266113.78787*100)</f>
        <v>-0.17985982122904073</v>
      </c>
      <c r="H69" s="33">
        <f>IF(4350574.54459="","-",(402474.89657-374632.27975)/4350574.54459*100)</f>
        <v>0.63997562930217289</v>
      </c>
    </row>
    <row r="70" spans="1:8" ht="36" x14ac:dyDescent="0.25">
      <c r="A70" s="60" t="s">
        <v>256</v>
      </c>
      <c r="B70" s="61" t="s">
        <v>186</v>
      </c>
      <c r="C70" s="20">
        <v>21599.399659999999</v>
      </c>
      <c r="D70" s="34">
        <f>IF(OR(29441.18582="",21599.39966=""),"-",21599.39966/29441.18582*100)</f>
        <v>73.364570951918267</v>
      </c>
      <c r="E70" s="34">
        <f>IF(29441.18582="","-",29441.18582/4350574.54459*100)</f>
        <v>0.67671948884568645</v>
      </c>
      <c r="F70" s="34">
        <f>IF(21599.39966="","-",21599.39966/4371623.60554*100)</f>
        <v>0.49408187000884207</v>
      </c>
      <c r="G70" s="34">
        <f>IF(OR(3266113.78787="",30521.93526="",29441.18582=""),"-",(29441.18582-30521.93526)/3266113.78787*100)</f>
        <v>-3.3089766927710491E-2</v>
      </c>
      <c r="H70" s="34">
        <f>IF(OR(4350574.54459="",21599.39966="",29441.18582=""),"-",(21599.39966-29441.18582)/4350574.54459*100)</f>
        <v>-0.18024713930603417</v>
      </c>
    </row>
    <row r="71" spans="1:8" x14ac:dyDescent="0.25">
      <c r="A71" s="60" t="s">
        <v>257</v>
      </c>
      <c r="B71" s="61" t="s">
        <v>161</v>
      </c>
      <c r="C71" s="20">
        <v>32313.414499999999</v>
      </c>
      <c r="D71" s="34">
        <f>IF(OR(35622.41608="",32313.4145=""),"-",32313.4145/35622.41608*100)</f>
        <v>90.71090076380915</v>
      </c>
      <c r="E71" s="34">
        <f>IF(35622.41608="","-",35622.41608/4350574.54459*100)</f>
        <v>0.81879797058751635</v>
      </c>
      <c r="F71" s="34">
        <f>IF(32313.4145="","-",32313.4145/4371623.60554*100)</f>
        <v>0.73916277831079469</v>
      </c>
      <c r="G71" s="34">
        <f>IF(OR(3266113.78787="",33628.47288="",35622.41608=""),"-",(35622.41608-33628.47288)/3266113.78787*100)</f>
        <v>6.1049410078892384E-2</v>
      </c>
      <c r="H71" s="34">
        <f>IF(OR(4350574.54459="",32313.4145="",35622.41608=""),"-",(32313.4145-35622.41608)/4350574.54459*100)</f>
        <v>-7.6058956031791095E-2</v>
      </c>
    </row>
    <row r="72" spans="1:8" x14ac:dyDescent="0.25">
      <c r="A72" s="60" t="s">
        <v>258</v>
      </c>
      <c r="B72" s="61" t="s">
        <v>162</v>
      </c>
      <c r="C72" s="20">
        <v>8696.1522700000005</v>
      </c>
      <c r="D72" s="34">
        <f>IF(OR(8201.11827="",8696.15227=""),"-",8696.15227/8201.11827*100)</f>
        <v>106.03617682006676</v>
      </c>
      <c r="E72" s="34">
        <f>IF(8201.11827="","-",8201.11827/4350574.54459*100)</f>
        <v>0.18850655668452354</v>
      </c>
      <c r="F72" s="34">
        <f>IF(8696.15227="","-",8696.15227/4371623.60554*100)</f>
        <v>0.19892271281040028</v>
      </c>
      <c r="G72" s="34">
        <f>IF(OR(3266113.78787="",6078.90916="",8201.11827=""),"-",(8201.11827-6078.90916)/3266113.78787*100)</f>
        <v>6.4976582196298857E-2</v>
      </c>
      <c r="H72" s="34">
        <f>IF(OR(4350574.54459="",8696.15227="",8201.11827=""),"-",(8696.15227-8201.11827)/4350574.54459*100)</f>
        <v>1.1378589078897206E-2</v>
      </c>
    </row>
    <row r="73" spans="1:8" x14ac:dyDescent="0.25">
      <c r="A73" s="60" t="s">
        <v>259</v>
      </c>
      <c r="B73" s="61" t="s">
        <v>163</v>
      </c>
      <c r="C73" s="20">
        <v>97478.591960000005</v>
      </c>
      <c r="D73" s="34">
        <f>IF(OR(92720.33489="",97478.59196=""),"-",97478.59196/92720.33489*100)</f>
        <v>105.13183766607943</v>
      </c>
      <c r="E73" s="34">
        <f>IF(92720.33489="","-",92720.33489/4350574.54459*100)</f>
        <v>2.1312204615663699</v>
      </c>
      <c r="F73" s="34">
        <f>IF(97478.59196="","-",97478.59196/4371623.60554*100)</f>
        <v>2.2298029463577085</v>
      </c>
      <c r="G73" s="34">
        <f>IF(OR(3266113.78787="",88652.84892="",92720.33489=""),"-",(92720.33489-88652.84892)/3266113.78787*100)</f>
        <v>0.12453595416994365</v>
      </c>
      <c r="H73" s="34">
        <f>IF(OR(4350574.54459="",97478.59196="",92720.33489=""),"-",(97478.59196-92720.33489)/4350574.54459*100)</f>
        <v>0.10937077439385486</v>
      </c>
    </row>
    <row r="74" spans="1:8" x14ac:dyDescent="0.25">
      <c r="A74" s="60" t="s">
        <v>260</v>
      </c>
      <c r="B74" s="61" t="s">
        <v>164</v>
      </c>
      <c r="C74" s="20">
        <v>29939.631799999999</v>
      </c>
      <c r="D74" s="34">
        <f>IF(OR(30047.41229="",29939.6318=""),"-",29939.6318/30047.41229*100)</f>
        <v>99.64129859516764</v>
      </c>
      <c r="E74" s="34">
        <f>IF(30047.41229="","-",30047.41229/4350574.54459*100)</f>
        <v>0.69065388909068059</v>
      </c>
      <c r="F74" s="34">
        <f>IF(29939.6318="","-",29939.6318/4371623.60554*100)</f>
        <v>0.68486298230384224</v>
      </c>
      <c r="G74" s="34">
        <f>IF(OR(3266113.78787="",24636.03446="",30047.41229=""),"-",(30047.41229-24636.03446)/3266113.78787*100)</f>
        <v>0.16568246489443461</v>
      </c>
      <c r="H74" s="34">
        <f>IF(OR(4350574.54459="",29939.6318="",30047.41229=""),"-",(29939.6318-30047.41229)/4350574.54459*100)</f>
        <v>-2.4773852026975965E-3</v>
      </c>
    </row>
    <row r="75" spans="1:8" ht="24" x14ac:dyDescent="0.25">
      <c r="A75" s="60" t="s">
        <v>261</v>
      </c>
      <c r="B75" s="61" t="s">
        <v>300</v>
      </c>
      <c r="C75" s="20">
        <v>39141.892800000001</v>
      </c>
      <c r="D75" s="34">
        <f>IF(OR(33851.80222="",39141.8928=""),"-",39141.8928/33851.80222*100)</f>
        <v>115.62720515032008</v>
      </c>
      <c r="E75" s="34">
        <f>IF(33851.80222="","-",33851.80222/4350574.54459*100)</f>
        <v>0.77809957910260807</v>
      </c>
      <c r="F75" s="34">
        <f>IF(39141.8928="","-",39141.8928/4371623.60554*100)</f>
        <v>0.89536282927919275</v>
      </c>
      <c r="G75" s="34">
        <f>IF(OR(3266113.78787="",48038.9842="",33851.80222=""),"-",(33851.80222-48038.9842)/3266113.78787*100)</f>
        <v>-0.43437500655028277</v>
      </c>
      <c r="H75" s="34">
        <f>IF(OR(4350574.54459="",39141.8928="",33851.80222=""),"-",(39141.8928-33851.80222)/4350574.54459*100)</f>
        <v>0.12159521750014157</v>
      </c>
    </row>
    <row r="76" spans="1:8" ht="24" x14ac:dyDescent="0.25">
      <c r="A76" s="60" t="s">
        <v>262</v>
      </c>
      <c r="B76" s="61" t="s">
        <v>165</v>
      </c>
      <c r="C76" s="20">
        <v>9797.7764200000001</v>
      </c>
      <c r="D76" s="34">
        <f>IF(OR(6869.66517="",9797.77642=""),"-",9797.77642/6869.66517*100)</f>
        <v>142.62378409339561</v>
      </c>
      <c r="E76" s="34">
        <f>IF(6869.66517="","-",6869.66517/4350574.54459*100)</f>
        <v>0.15790248160538989</v>
      </c>
      <c r="F76" s="34">
        <f>IF(9797.77642="","-",9797.77642/4371623.60554*100)</f>
        <v>0.22412214097260416</v>
      </c>
      <c r="G76" s="34">
        <f>IF(OR(3266113.78787="",9296.80939="",6869.66517=""),"-",(6869.66517-9296.80939)/3266113.78787*100)</f>
        <v>-7.431291062222499E-2</v>
      </c>
      <c r="H76" s="34">
        <f>IF(OR(4350574.54459="",9797.77642="",6869.66517=""),"-",(9797.77642-6869.66517)/4350574.54459*100)</f>
        <v>6.7304012837595142E-2</v>
      </c>
    </row>
    <row r="77" spans="1:8" x14ac:dyDescent="0.25">
      <c r="A77" s="60" t="s">
        <v>263</v>
      </c>
      <c r="B77" s="61" t="s">
        <v>32</v>
      </c>
      <c r="C77" s="20">
        <v>163508.03716000001</v>
      </c>
      <c r="D77" s="34">
        <f>IF(OR(137878.34501="",163508.03716=""),"-",163508.03716/137878.34501*100)</f>
        <v>118.58862763992502</v>
      </c>
      <c r="E77" s="34">
        <f>IF(137878.34501="","-",137878.34501/4350574.54459*100)</f>
        <v>3.1691985414076771</v>
      </c>
      <c r="F77" s="34">
        <f>IF(163508.03716="","-",163508.03716/4371623.60554*100)</f>
        <v>3.7402130630091803</v>
      </c>
      <c r="G77" s="34">
        <f>IF(OR(3266113.78787="",139652.7119="",137878.34501=""),"-",(137878.34501-139652.7119)/3266113.78787*100)</f>
        <v>-5.4326548468391238E-2</v>
      </c>
      <c r="H77" s="34">
        <f>IF(OR(4350574.54459="",163508.03716="",137878.34501=""),"-",(163508.03716-137878.34501)/4350574.54459*100)</f>
        <v>0.58911051603220765</v>
      </c>
    </row>
    <row r="78" spans="1:8" ht="24" x14ac:dyDescent="0.25">
      <c r="A78" s="63" t="s">
        <v>266</v>
      </c>
      <c r="B78" s="64" t="s">
        <v>166</v>
      </c>
      <c r="C78" s="65">
        <v>3205.6968200000001</v>
      </c>
      <c r="D78" s="72">
        <f>IF(12809.5982="","-",3205.69682/12809.5982*100)</f>
        <v>25.025740620029751</v>
      </c>
      <c r="E78" s="72">
        <f>IF(12809.5982="","-",12809.5982/4350574.54459*100)</f>
        <v>0.29443463314354457</v>
      </c>
      <c r="F78" s="72">
        <f>IF(3205.69682="","-",3205.69682/4371623.60554*100)</f>
        <v>7.3329662140572599E-2</v>
      </c>
      <c r="G78" s="72">
        <f>IF(3266113.78787="","-",(12809.5982-85.98506)/3266113.78787*100)</f>
        <v>0.38956429464442266</v>
      </c>
      <c r="H78" s="72">
        <f>IF(4350574.54459="","-",(3205.69682-12809.5982)/4350574.54459*100)</f>
        <v>-0.22075018555750489</v>
      </c>
    </row>
    <row r="79" spans="1:8" x14ac:dyDescent="0.25">
      <c r="A79" s="23" t="s">
        <v>269</v>
      </c>
      <c r="B79" s="24"/>
    </row>
    <row r="80" spans="1:8" x14ac:dyDescent="0.25">
      <c r="A80" s="24" t="s">
        <v>355</v>
      </c>
      <c r="B80" s="24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2" sqref="B2:E2"/>
    </sheetView>
  </sheetViews>
  <sheetFormatPr defaultRowHeight="15.75" x14ac:dyDescent="0.25"/>
  <cols>
    <col min="1" max="1" width="5.625" style="44" customWidth="1"/>
    <col min="2" max="2" width="42.875" style="44" customWidth="1"/>
    <col min="3" max="4" width="13.5" style="44" customWidth="1"/>
    <col min="5" max="5" width="11.375" style="44" customWidth="1"/>
  </cols>
  <sheetData>
    <row r="1" spans="1:5" s="51" customFormat="1" ht="12.75" x14ac:dyDescent="0.2">
      <c r="A1" s="50"/>
      <c r="B1" s="91" t="s">
        <v>403</v>
      </c>
      <c r="C1" s="91"/>
      <c r="D1" s="91"/>
      <c r="E1" s="91"/>
    </row>
    <row r="2" spans="1:5" s="51" customFormat="1" ht="12.75" x14ac:dyDescent="0.2">
      <c r="A2" s="50"/>
      <c r="B2" s="91" t="s">
        <v>268</v>
      </c>
      <c r="C2" s="91"/>
      <c r="D2" s="91"/>
      <c r="E2" s="91"/>
    </row>
    <row r="3" spans="1:5" x14ac:dyDescent="0.25">
      <c r="A3" s="101"/>
      <c r="B3" s="101"/>
      <c r="C3" s="101"/>
      <c r="D3" s="101"/>
      <c r="E3" s="101"/>
    </row>
    <row r="4" spans="1:5" ht="66.75" customHeight="1" x14ac:dyDescent="0.25">
      <c r="A4" s="40" t="s">
        <v>267</v>
      </c>
      <c r="B4" s="69"/>
      <c r="C4" s="40" t="s">
        <v>346</v>
      </c>
      <c r="D4" s="40" t="s">
        <v>347</v>
      </c>
      <c r="E4" s="41" t="s">
        <v>415</v>
      </c>
    </row>
    <row r="5" spans="1:5" s="51" customFormat="1" ht="15" customHeight="1" x14ac:dyDescent="0.2">
      <c r="A5" s="74"/>
      <c r="B5" s="67" t="s">
        <v>273</v>
      </c>
      <c r="C5" s="45">
        <v>-2059185.63503</v>
      </c>
      <c r="D5" s="45">
        <v>-2329398.3018100001</v>
      </c>
      <c r="E5" s="45">
        <f>IF(-2059185.63503="","-",-2329398.30181/-2059185.63503*100)</f>
        <v>113.12230729387656</v>
      </c>
    </row>
    <row r="6" spans="1:5" ht="12.75" customHeight="1" x14ac:dyDescent="0.25">
      <c r="A6" s="70"/>
      <c r="B6" s="71" t="s">
        <v>114</v>
      </c>
      <c r="C6" s="79"/>
      <c r="D6" s="79"/>
      <c r="E6" s="33"/>
    </row>
    <row r="7" spans="1:5" x14ac:dyDescent="0.25">
      <c r="A7" s="58" t="s">
        <v>195</v>
      </c>
      <c r="B7" s="59" t="s">
        <v>167</v>
      </c>
      <c r="C7" s="33">
        <f>IF(130915.77398="","-",130915.77398)</f>
        <v>130915.77398</v>
      </c>
      <c r="D7" s="33">
        <v>-64917.718280000001</v>
      </c>
      <c r="E7" s="33" t="s">
        <v>19</v>
      </c>
    </row>
    <row r="8" spans="1:5" x14ac:dyDescent="0.25">
      <c r="A8" s="60" t="s">
        <v>196</v>
      </c>
      <c r="B8" s="61" t="s">
        <v>20</v>
      </c>
      <c r="C8" s="34">
        <f>IF(OR(-729.40312="",-729.40312=0),"-",-729.40312)</f>
        <v>-729.40311999999994</v>
      </c>
      <c r="D8" s="34">
        <v>1493.9961800000001</v>
      </c>
      <c r="E8" s="34" t="s">
        <v>19</v>
      </c>
    </row>
    <row r="9" spans="1:5" x14ac:dyDescent="0.25">
      <c r="A9" s="60" t="s">
        <v>197</v>
      </c>
      <c r="B9" s="61" t="s">
        <v>168</v>
      </c>
      <c r="C9" s="34">
        <f>IF(OR(-41924.81467="",-41924.81467=0),"-",-41924.81467)</f>
        <v>-41924.81467</v>
      </c>
      <c r="D9" s="34">
        <v>-34274.806709999997</v>
      </c>
      <c r="E9" s="34">
        <f>IF(OR(-41924.81467="",-34274.80671="",-41924.81467=0,-34274.80671=0),"-",-34274.80671/-41924.81467*100)</f>
        <v>81.753030943094203</v>
      </c>
    </row>
    <row r="10" spans="1:5" x14ac:dyDescent="0.25">
      <c r="A10" s="60" t="s">
        <v>198</v>
      </c>
      <c r="B10" s="61" t="s">
        <v>169</v>
      </c>
      <c r="C10" s="34">
        <f>IF(OR(-51466.09977="",-51466.09977=0),"-",-51466.09977)</f>
        <v>-51466.099770000001</v>
      </c>
      <c r="D10" s="34">
        <v>-52805.906869999999</v>
      </c>
      <c r="E10" s="34">
        <f>IF(OR(-51466.09977="",-52805.90687="",-51466.09977=0,-52805.90687=0),"-",-52805.90687/-51466.09977*100)</f>
        <v>102.60328081200547</v>
      </c>
    </row>
    <row r="11" spans="1:5" x14ac:dyDescent="0.25">
      <c r="A11" s="60" t="s">
        <v>199</v>
      </c>
      <c r="B11" s="61" t="s">
        <v>170</v>
      </c>
      <c r="C11" s="34">
        <f>IF(OR(-38087.58184="",-38087.58184=0),"-",-38087.58184)</f>
        <v>-38087.581839999999</v>
      </c>
      <c r="D11" s="34">
        <v>-41801.714310000003</v>
      </c>
      <c r="E11" s="34">
        <f>IF(OR(-38087.58184="",-41801.71431="",-38087.58184=0,-41801.71431=0),"-",-41801.71431/-38087.58184*100)</f>
        <v>109.75155756961021</v>
      </c>
    </row>
    <row r="12" spans="1:5" x14ac:dyDescent="0.25">
      <c r="A12" s="60" t="s">
        <v>200</v>
      </c>
      <c r="B12" s="61" t="s">
        <v>171</v>
      </c>
      <c r="C12" s="34">
        <f>IF(OR(256924.50768="",256924.50768=0),"-",256924.50768)</f>
        <v>256924.50768000001</v>
      </c>
      <c r="D12" s="34">
        <v>110369.31720999999</v>
      </c>
      <c r="E12" s="34">
        <f>IF(OR(256924.50768="",110369.31721="",256924.50768=0,110369.31721=0),"-",110369.31721/256924.50768*100)</f>
        <v>42.957878252496336</v>
      </c>
    </row>
    <row r="13" spans="1:5" x14ac:dyDescent="0.25">
      <c r="A13" s="60" t="s">
        <v>201</v>
      </c>
      <c r="B13" s="61" t="s">
        <v>172</v>
      </c>
      <c r="C13" s="34">
        <f>IF(OR(80885.71665="",80885.71665=0),"-",80885.71665)</f>
        <v>80885.716650000002</v>
      </c>
      <c r="D13" s="34">
        <v>32728.767220000002</v>
      </c>
      <c r="E13" s="34">
        <f>IF(OR(80885.71665="",32728.76722="",80885.71665=0,32728.76722=0),"-",32728.76722/80885.71665*100)</f>
        <v>40.462974892860764</v>
      </c>
    </row>
    <row r="14" spans="1:5" x14ac:dyDescent="0.25">
      <c r="A14" s="60" t="s">
        <v>202</v>
      </c>
      <c r="B14" s="61" t="s">
        <v>130</v>
      </c>
      <c r="C14" s="34">
        <f>IF(OR(2765.38005="",2765.38005=0),"-",2765.38005)</f>
        <v>2765.3800500000002</v>
      </c>
      <c r="D14" s="34">
        <v>-2299.1875799999998</v>
      </c>
      <c r="E14" s="34" t="s">
        <v>19</v>
      </c>
    </row>
    <row r="15" spans="1:5" ht="17.25" customHeight="1" x14ac:dyDescent="0.25">
      <c r="A15" s="60" t="s">
        <v>203</v>
      </c>
      <c r="B15" s="61" t="s">
        <v>173</v>
      </c>
      <c r="C15" s="34">
        <f>IF(OR(-27024.7915="",-27024.7915=0),"-",-27024.7915)</f>
        <v>-27024.791499999999</v>
      </c>
      <c r="D15" s="34">
        <v>-33327.522900000004</v>
      </c>
      <c r="E15" s="34">
        <f>IF(OR(-27024.7915="",-33327.5229="",-27024.7915=0,-33327.5229=0),"-",-33327.5229/-27024.7915*100)</f>
        <v>123.32203525048475</v>
      </c>
    </row>
    <row r="16" spans="1:5" ht="15.75" customHeight="1" x14ac:dyDescent="0.25">
      <c r="A16" s="60" t="s">
        <v>204</v>
      </c>
      <c r="B16" s="61" t="s">
        <v>131</v>
      </c>
      <c r="C16" s="34">
        <f>IF(OR(5814.13696="",5814.13696=0),"-",5814.13696)</f>
        <v>5814.1369599999998</v>
      </c>
      <c r="D16" s="34">
        <v>7131.3284199999998</v>
      </c>
      <c r="E16" s="34">
        <f>IF(OR(5814.13696="",7131.32842="",5814.13696=0,7131.32842=0),"-",7131.32842/5814.13696*100)</f>
        <v>122.65497818613478</v>
      </c>
    </row>
    <row r="17" spans="1:5" x14ac:dyDescent="0.25">
      <c r="A17" s="60" t="s">
        <v>205</v>
      </c>
      <c r="B17" s="61" t="s">
        <v>174</v>
      </c>
      <c r="C17" s="34">
        <f>IF(OR(-56241.27646="",-56241.27646=0),"-",-56241.27646)</f>
        <v>-56241.276460000001</v>
      </c>
      <c r="D17" s="34">
        <v>-52131.988940000003</v>
      </c>
      <c r="E17" s="34">
        <f>IF(OR(-56241.27646="",-52131.98894="",-56241.27646=0,-52131.98894=0),"-",-52131.98894/-56241.27646*100)</f>
        <v>92.693466829611154</v>
      </c>
    </row>
    <row r="18" spans="1:5" x14ac:dyDescent="0.25">
      <c r="A18" s="58" t="s">
        <v>206</v>
      </c>
      <c r="B18" s="59" t="s">
        <v>175</v>
      </c>
      <c r="C18" s="33">
        <f>IF(19119.91039="","-",19119.91039)</f>
        <v>19119.910390000001</v>
      </c>
      <c r="D18" s="33">
        <v>40316.829210000004</v>
      </c>
      <c r="E18" s="33" t="s">
        <v>90</v>
      </c>
    </row>
    <row r="19" spans="1:5" x14ac:dyDescent="0.25">
      <c r="A19" s="60" t="s">
        <v>207</v>
      </c>
      <c r="B19" s="61" t="s">
        <v>176</v>
      </c>
      <c r="C19" s="34">
        <f>IF(OR(33920.92011="",33920.92011=0),"-",33920.92011)</f>
        <v>33920.920109999999</v>
      </c>
      <c r="D19" s="34">
        <v>55435.66347</v>
      </c>
      <c r="E19" s="34" t="s">
        <v>99</v>
      </c>
    </row>
    <row r="20" spans="1:5" x14ac:dyDescent="0.25">
      <c r="A20" s="60" t="s">
        <v>208</v>
      </c>
      <c r="B20" s="61" t="s">
        <v>177</v>
      </c>
      <c r="C20" s="34">
        <f>IF(OR(-14801.00972="",-14801.00972=0),"-",-14801.00972)</f>
        <v>-14801.00972</v>
      </c>
      <c r="D20" s="34">
        <v>-15118.83426</v>
      </c>
      <c r="E20" s="34">
        <f>IF(OR(-14801.00972="",-15118.83426="",-14801.00972=0,-15118.83426=0),"-",-15118.83426/-14801.00972*100)</f>
        <v>102.14731660888336</v>
      </c>
    </row>
    <row r="21" spans="1:5" ht="16.5" customHeight="1" x14ac:dyDescent="0.25">
      <c r="A21" s="58" t="s">
        <v>209</v>
      </c>
      <c r="B21" s="59" t="s">
        <v>21</v>
      </c>
      <c r="C21" s="33">
        <f>IF(153068.77713="","-",153068.77713)</f>
        <v>153068.77713</v>
      </c>
      <c r="D21" s="33">
        <v>-1719.9294</v>
      </c>
      <c r="E21" s="33" t="s">
        <v>19</v>
      </c>
    </row>
    <row r="22" spans="1:5" x14ac:dyDescent="0.25">
      <c r="A22" s="60" t="s">
        <v>210</v>
      </c>
      <c r="B22" s="61" t="s">
        <v>184</v>
      </c>
      <c r="C22" s="34">
        <f>IF(OR(790.0434="",790.0434=0),"-",790.0434)</f>
        <v>790.04340000000002</v>
      </c>
      <c r="D22" s="34">
        <v>734.75581999999997</v>
      </c>
      <c r="E22" s="34">
        <f>IF(OR(790.0434="",734.75582="",790.0434=0,734.75582=0),"-",734.75582/790.0434*100)</f>
        <v>93.001956601371518</v>
      </c>
    </row>
    <row r="23" spans="1:5" x14ac:dyDescent="0.25">
      <c r="A23" s="60" t="s">
        <v>211</v>
      </c>
      <c r="B23" s="61" t="s">
        <v>178</v>
      </c>
      <c r="C23" s="34">
        <f>IF(OR(173517.2841="",173517.2841=0),"-",173517.2841)</f>
        <v>173517.28409999999</v>
      </c>
      <c r="D23" s="34">
        <v>32335.8436</v>
      </c>
      <c r="E23" s="34">
        <f>IF(OR(173517.2841="",32335.8436="",173517.2841=0,32335.8436=0),"-",32335.8436/173517.2841*100)</f>
        <v>18.635517359391404</v>
      </c>
    </row>
    <row r="24" spans="1:5" ht="17.25" customHeight="1" x14ac:dyDescent="0.25">
      <c r="A24" s="60" t="s">
        <v>264</v>
      </c>
      <c r="B24" s="61" t="s">
        <v>179</v>
      </c>
      <c r="C24" s="34">
        <f>IF(OR(-2076.47203="",-2076.47203=0),"-",-2076.47203)</f>
        <v>-2076.4720299999999</v>
      </c>
      <c r="D24" s="34">
        <v>-2259.5003099999999</v>
      </c>
      <c r="E24" s="34">
        <f>IF(OR(-2076.47203="",-2259.50031="",-2076.47203=0,-2259.50031=0),"-",-2259.50031/-2076.47203*100)</f>
        <v>108.81438696768768</v>
      </c>
    </row>
    <row r="25" spans="1:5" x14ac:dyDescent="0.25">
      <c r="A25" s="60" t="s">
        <v>212</v>
      </c>
      <c r="B25" s="61" t="s">
        <v>180</v>
      </c>
      <c r="C25" s="34">
        <f>IF(OR(-26992.15322="",-26992.15322=0),"-",-26992.15322)</f>
        <v>-26992.15322</v>
      </c>
      <c r="D25" s="34">
        <v>-18630.986929999999</v>
      </c>
      <c r="E25" s="34">
        <f>IF(OR(-26992.15322="",-18630.98693="",-26992.15322=0,-18630.98693=0),"-",-18630.98693/-26992.15322*100)</f>
        <v>69.023715070627475</v>
      </c>
    </row>
    <row r="26" spans="1:5" x14ac:dyDescent="0.25">
      <c r="A26" s="60" t="s">
        <v>213</v>
      </c>
      <c r="B26" s="61" t="s">
        <v>132</v>
      </c>
      <c r="C26" s="34">
        <f>IF(OR(2381.36006="",2381.36006=0),"-",2381.36006)</f>
        <v>2381.36006</v>
      </c>
      <c r="D26" s="34">
        <v>1511.38282</v>
      </c>
      <c r="E26" s="34">
        <f>IF(OR(2381.36006="",1511.38282="",2381.36006=0,1511.38282=0),"-",1511.38282/2381.36006*100)</f>
        <v>63.467211254059585</v>
      </c>
    </row>
    <row r="27" spans="1:5" ht="28.5" customHeight="1" x14ac:dyDescent="0.25">
      <c r="A27" s="60" t="s">
        <v>214</v>
      </c>
      <c r="B27" s="61" t="s">
        <v>133</v>
      </c>
      <c r="C27" s="34">
        <f>IF(OR(-3973.33339="",-3973.33339=0),"-",-3973.33339)</f>
        <v>-3973.3333899999998</v>
      </c>
      <c r="D27" s="34">
        <v>-3670.0394700000002</v>
      </c>
      <c r="E27" s="34">
        <f>IF(OR(-3973.33339="",-3670.03947="",-3973.33339=0,-3670.03947=0),"-",-3670.03947/-3973.33339*100)</f>
        <v>92.36676386725253</v>
      </c>
    </row>
    <row r="28" spans="1:5" ht="24" x14ac:dyDescent="0.25">
      <c r="A28" s="60" t="s">
        <v>215</v>
      </c>
      <c r="B28" s="61" t="s">
        <v>134</v>
      </c>
      <c r="C28" s="34">
        <f>IF(OR(-4178.17487="",-4178.17487=0),"-",-4178.17487)</f>
        <v>-4178.1748699999998</v>
      </c>
      <c r="D28" s="34">
        <v>-837.54348000000005</v>
      </c>
      <c r="E28" s="34">
        <f>IF(OR(-4178.17487="",-837.54348="",-4178.17487=0,-837.54348=0),"-",-837.54348/-4178.17487*100)</f>
        <v>20.045677982836558</v>
      </c>
    </row>
    <row r="29" spans="1:5" x14ac:dyDescent="0.25">
      <c r="A29" s="60" t="s">
        <v>216</v>
      </c>
      <c r="B29" s="61" t="s">
        <v>135</v>
      </c>
      <c r="C29" s="34">
        <f>IF(OR(39002.35481="",39002.35481=0),"-",39002.35481)</f>
        <v>39002.354809999997</v>
      </c>
      <c r="D29" s="34">
        <v>17549.80889</v>
      </c>
      <c r="E29" s="34">
        <f>IF(OR(39002.35481="",17549.80889="",39002.35481=0,17549.80889=0),"-",17549.80889/39002.35481*100)</f>
        <v>44.996793079530477</v>
      </c>
    </row>
    <row r="30" spans="1:5" x14ac:dyDescent="0.25">
      <c r="A30" s="60" t="s">
        <v>217</v>
      </c>
      <c r="B30" s="61" t="s">
        <v>136</v>
      </c>
      <c r="C30" s="34">
        <f>IF(OR(-25402.13173="",-25402.13173=0),"-",-25402.13173)</f>
        <v>-25402.131730000001</v>
      </c>
      <c r="D30" s="34">
        <v>-28453.65034</v>
      </c>
      <c r="E30" s="34">
        <f>IF(OR(-25402.13173="",-28453.65034="",-25402.13173=0,-28453.65034=0),"-",-28453.65034/-25402.13173*100)</f>
        <v>112.01284460073934</v>
      </c>
    </row>
    <row r="31" spans="1:5" ht="15.75" customHeight="1" x14ac:dyDescent="0.25">
      <c r="A31" s="58" t="s">
        <v>218</v>
      </c>
      <c r="B31" s="59" t="s">
        <v>137</v>
      </c>
      <c r="C31" s="33">
        <f>IF(-895479.37177="","-",-895479.37177)</f>
        <v>-895479.37176999997</v>
      </c>
      <c r="D31" s="33">
        <v>-805081.19238000002</v>
      </c>
      <c r="E31" s="33">
        <f>IF(-895479.37177="","-",-805081.19238/-895479.37177*100)</f>
        <v>89.905051725388233</v>
      </c>
    </row>
    <row r="32" spans="1:5" x14ac:dyDescent="0.25">
      <c r="A32" s="60" t="s">
        <v>219</v>
      </c>
      <c r="B32" s="61" t="s">
        <v>181</v>
      </c>
      <c r="C32" s="34">
        <f>IF(OR(-9395.83877="",-9395.83877=0),"-",-9395.83877)</f>
        <v>-9395.8387700000003</v>
      </c>
      <c r="D32" s="34">
        <v>-8862.0351599999995</v>
      </c>
      <c r="E32" s="34">
        <f>IF(OR(-9395.83877="",-8862.03516="",-9395.83877=0,-8862.03516=0),"-",-8862.03516/-9395.83877*100)</f>
        <v>94.318723180900207</v>
      </c>
    </row>
    <row r="33" spans="1:5" x14ac:dyDescent="0.25">
      <c r="A33" s="60" t="s">
        <v>220</v>
      </c>
      <c r="B33" s="61" t="s">
        <v>138</v>
      </c>
      <c r="C33" s="34">
        <f>IF(OR(-441609.53042="",-441609.53042=0),"-",-441609.53042)</f>
        <v>-441609.53042000002</v>
      </c>
      <c r="D33" s="34">
        <v>-427061.53855</v>
      </c>
      <c r="E33" s="34">
        <f>IF(OR(-441609.53042="",-427061.53855="",-441609.53042=0,-427061.53855=0),"-",-427061.53855/-441609.53042*100)</f>
        <v>96.705688879457853</v>
      </c>
    </row>
    <row r="34" spans="1:5" x14ac:dyDescent="0.25">
      <c r="A34" s="60" t="s">
        <v>265</v>
      </c>
      <c r="B34" s="61" t="s">
        <v>182</v>
      </c>
      <c r="C34" s="34">
        <f>IF(OR(-430809.89248="",-430809.89248=0),"-",-430809.89248)</f>
        <v>-430809.89247999998</v>
      </c>
      <c r="D34" s="34">
        <v>-364455.09805999999</v>
      </c>
      <c r="E34" s="34">
        <f>IF(OR(-430809.89248="",-364455.09806="",-430809.89248=0,-364455.09806=0),"-",-364455.09806/-430809.89248*100)</f>
        <v>84.597662315035976</v>
      </c>
    </row>
    <row r="35" spans="1:5" x14ac:dyDescent="0.25">
      <c r="A35" s="60" t="s">
        <v>270</v>
      </c>
      <c r="B35" s="61" t="s">
        <v>272</v>
      </c>
      <c r="C35" s="34">
        <f>IF(OR(-13664.1101="",-13664.1101=0),"-",-13664.1101)</f>
        <v>-13664.1101</v>
      </c>
      <c r="D35" s="34">
        <v>-4702.5206099999996</v>
      </c>
      <c r="E35" s="34">
        <f>IF(OR(-13664.1101="",-4702.52061="",-13664.1101=0,-4702.52061=0),"-",-4702.52061/-13664.1101*100)</f>
        <v>34.415125285034108</v>
      </c>
    </row>
    <row r="36" spans="1:5" x14ac:dyDescent="0.25">
      <c r="A36" s="58" t="s">
        <v>221</v>
      </c>
      <c r="B36" s="59" t="s">
        <v>139</v>
      </c>
      <c r="C36" s="33">
        <f>IF(186089.26314="","-",186089.26314)</f>
        <v>186089.26314</v>
      </c>
      <c r="D36" s="33">
        <v>127115.92108</v>
      </c>
      <c r="E36" s="33">
        <f>IF(186089.26314="","-",127115.92108/186089.26314*100)</f>
        <v>68.309110872435042</v>
      </c>
    </row>
    <row r="37" spans="1:5" x14ac:dyDescent="0.25">
      <c r="A37" s="60" t="s">
        <v>222</v>
      </c>
      <c r="B37" s="61" t="s">
        <v>185</v>
      </c>
      <c r="C37" s="34">
        <f>IF(OR(-1093.7247="",-1093.7247=0),"-",-1093.7247)</f>
        <v>-1093.7247</v>
      </c>
      <c r="D37" s="34">
        <v>-1397.41905</v>
      </c>
      <c r="E37" s="34">
        <f>IF(OR(-1093.7247="",-1397.41905="",-1093.7247=0,-1397.41905=0),"-",-1397.41905/-1093.7247*100)</f>
        <v>127.76698286140929</v>
      </c>
    </row>
    <row r="38" spans="1:5" ht="14.25" customHeight="1" x14ac:dyDescent="0.25">
      <c r="A38" s="60" t="s">
        <v>223</v>
      </c>
      <c r="B38" s="61" t="s">
        <v>140</v>
      </c>
      <c r="C38" s="34">
        <f>IF(OR(188609.58475="",188609.58475=0),"-",188609.58475)</f>
        <v>188609.58475000001</v>
      </c>
      <c r="D38" s="34">
        <v>130026.46314000001</v>
      </c>
      <c r="E38" s="34">
        <f>IF(OR(188609.58475="",130026.46314="",188609.58475=0,130026.46314=0),"-",130026.46314/188609.58475*100)</f>
        <v>68.939477976343937</v>
      </c>
    </row>
    <row r="39" spans="1:5" ht="40.5" customHeight="1" x14ac:dyDescent="0.25">
      <c r="A39" s="60" t="s">
        <v>224</v>
      </c>
      <c r="B39" s="61" t="s">
        <v>183</v>
      </c>
      <c r="C39" s="34">
        <f>IF(OR(-1426.59691="",-1426.59691=0),"-",-1426.59691)</f>
        <v>-1426.59691</v>
      </c>
      <c r="D39" s="34">
        <v>-1513.12301</v>
      </c>
      <c r="E39" s="34">
        <f>IF(OR(-1426.59691="",-1513.12301="",-1426.59691=0,-1513.12301=0),"-",-1513.12301/-1426.59691*100)</f>
        <v>106.06521010899989</v>
      </c>
    </row>
    <row r="40" spans="1:5" ht="15" customHeight="1" x14ac:dyDescent="0.25">
      <c r="A40" s="58" t="s">
        <v>225</v>
      </c>
      <c r="B40" s="59" t="s">
        <v>141</v>
      </c>
      <c r="C40" s="33">
        <f>IF(-505365.85131="","-",-505365.85131)</f>
        <v>-505365.85131</v>
      </c>
      <c r="D40" s="33">
        <v>-512386.51439999999</v>
      </c>
      <c r="E40" s="33">
        <f>IF(-505365.85131="","-",-512386.5144/-505365.85131*100)</f>
        <v>101.38922388044249</v>
      </c>
    </row>
    <row r="41" spans="1:5" x14ac:dyDescent="0.25">
      <c r="A41" s="60" t="s">
        <v>226</v>
      </c>
      <c r="B41" s="61" t="s">
        <v>22</v>
      </c>
      <c r="C41" s="34">
        <f>IF(OR(15824.1734="",15824.1734=0),"-",15824.1734)</f>
        <v>15824.1734</v>
      </c>
      <c r="D41" s="34">
        <v>6097.2201699999996</v>
      </c>
      <c r="E41" s="34">
        <f>IF(OR(15824.1734="",6097.22017="",15824.1734=0,6097.22017=0),"-",6097.22017/15824.1734*100)</f>
        <v>38.531050032603915</v>
      </c>
    </row>
    <row r="42" spans="1:5" x14ac:dyDescent="0.25">
      <c r="A42" s="60" t="s">
        <v>227</v>
      </c>
      <c r="B42" s="61" t="s">
        <v>23</v>
      </c>
      <c r="C42" s="34">
        <f>IF(OR(-12601.65171="",-12601.65171=0),"-",-12601.65171)</f>
        <v>-12601.65171</v>
      </c>
      <c r="D42" s="34">
        <v>-14734.410540000001</v>
      </c>
      <c r="E42" s="34">
        <f>IF(OR(-12601.65171="",-14734.41054="",-12601.65171=0,-14734.41054=0),"-",-14734.41054/-12601.65171*100)</f>
        <v>116.92443878850862</v>
      </c>
    </row>
    <row r="43" spans="1:5" x14ac:dyDescent="0.25">
      <c r="A43" s="60" t="s">
        <v>228</v>
      </c>
      <c r="B43" s="61" t="s">
        <v>142</v>
      </c>
      <c r="C43" s="34">
        <f>IF(OR(-21222.62004="",-21222.62004=0),"-",-21222.62004)</f>
        <v>-21222.620040000002</v>
      </c>
      <c r="D43" s="34">
        <v>-21223.867969999999</v>
      </c>
      <c r="E43" s="34">
        <f>IF(OR(-21222.62004="",-21223.86797="",-21222.62004=0,-21223.86797=0),"-",-21223.86797/-21222.62004*100)</f>
        <v>100.00588018820318</v>
      </c>
    </row>
    <row r="44" spans="1:5" x14ac:dyDescent="0.25">
      <c r="A44" s="60" t="s">
        <v>229</v>
      </c>
      <c r="B44" s="61" t="s">
        <v>143</v>
      </c>
      <c r="C44" s="34">
        <f>IF(OR(-120983.99005="",-120983.99005=0),"-",-120983.99005)</f>
        <v>-120983.99004999999</v>
      </c>
      <c r="D44" s="34">
        <v>-127026.83796999999</v>
      </c>
      <c r="E44" s="34">
        <f>IF(OR(-120983.99005="",-127026.83797="",-120983.99005=0,-127026.83797=0),"-",-127026.83797/-120983.99005*100)</f>
        <v>104.99475006362628</v>
      </c>
    </row>
    <row r="45" spans="1:5" ht="28.5" customHeight="1" x14ac:dyDescent="0.25">
      <c r="A45" s="60" t="s">
        <v>230</v>
      </c>
      <c r="B45" s="61" t="s">
        <v>144</v>
      </c>
      <c r="C45" s="34">
        <f>IF(OR(-63183.99034="",-63183.99034=0),"-",-63183.99034)</f>
        <v>-63183.990339999997</v>
      </c>
      <c r="D45" s="34">
        <v>-74758.336599999995</v>
      </c>
      <c r="E45" s="34">
        <f>IF(OR(-63183.99034="",-74758.3366="",-63183.99034=0,-74758.3366=0),"-",-74758.3366/-63183.99034*100)</f>
        <v>118.31847940865585</v>
      </c>
    </row>
    <row r="46" spans="1:5" x14ac:dyDescent="0.25">
      <c r="A46" s="60" t="s">
        <v>231</v>
      </c>
      <c r="B46" s="61" t="s">
        <v>145</v>
      </c>
      <c r="C46" s="34">
        <f>IF(OR(-82065.59746="",-82065.59746=0),"-",-82065.59746)</f>
        <v>-82065.597460000005</v>
      </c>
      <c r="D46" s="34">
        <v>-86597.43793</v>
      </c>
      <c r="E46" s="34">
        <f>IF(OR(-82065.59746="",-86597.43793="",-82065.59746=0,-86597.43793=0),"-",-86597.43793/-82065.59746*100)</f>
        <v>105.52221711687272</v>
      </c>
    </row>
    <row r="47" spans="1:5" x14ac:dyDescent="0.25">
      <c r="A47" s="60" t="s">
        <v>232</v>
      </c>
      <c r="B47" s="61" t="s">
        <v>24</v>
      </c>
      <c r="C47" s="34">
        <f>IF(OR(-37275.73007="",-37275.73007=0),"-",-37275.73007)</f>
        <v>-37275.730069999998</v>
      </c>
      <c r="D47" s="34">
        <v>-25360.21716</v>
      </c>
      <c r="E47" s="34">
        <f>IF(OR(-37275.73007="",-25360.21716="",-37275.73007=0,-25360.21716=0),"-",-25360.21716/-37275.73007*100)</f>
        <v>68.034125991298126</v>
      </c>
    </row>
    <row r="48" spans="1:5" x14ac:dyDescent="0.25">
      <c r="A48" s="60" t="s">
        <v>233</v>
      </c>
      <c r="B48" s="61" t="s">
        <v>25</v>
      </c>
      <c r="C48" s="34">
        <f>IF(OR(-69607.7029="",-69607.7029=0),"-",-69607.7029)</f>
        <v>-69607.702900000004</v>
      </c>
      <c r="D48" s="34">
        <v>-65115.677609999999</v>
      </c>
      <c r="E48" s="34">
        <f>IF(OR(-69607.7029="",-65115.67761="",-69607.7029=0,-65115.67761=0),"-",-65115.67761/-69607.7029*100)</f>
        <v>93.546654891839552</v>
      </c>
    </row>
    <row r="49" spans="1:5" x14ac:dyDescent="0.25">
      <c r="A49" s="60" t="s">
        <v>234</v>
      </c>
      <c r="B49" s="61" t="s">
        <v>146</v>
      </c>
      <c r="C49" s="34">
        <f>IF(OR(-114248.74214="",-114248.74214=0),"-",-114248.74214)</f>
        <v>-114248.74214</v>
      </c>
      <c r="D49" s="34">
        <v>-103666.94878999999</v>
      </c>
      <c r="E49" s="34">
        <f>IF(OR(-114248.74214="",-103666.94879="",-114248.74214=0,-103666.94879=0),"-",-103666.94879/-114248.74214*100)</f>
        <v>90.737934482435605</v>
      </c>
    </row>
    <row r="50" spans="1:5" ht="24" x14ac:dyDescent="0.25">
      <c r="A50" s="58" t="s">
        <v>235</v>
      </c>
      <c r="B50" s="59" t="s">
        <v>345</v>
      </c>
      <c r="C50" s="33">
        <f>IF(-492222.76563="","-",-492222.76563)</f>
        <v>-492222.76562999998</v>
      </c>
      <c r="D50" s="33">
        <v>-432179.75715000002</v>
      </c>
      <c r="E50" s="33">
        <f>IF(-492222.76563="","-",-432179.75715/-492222.76563*100)</f>
        <v>87.801659599561503</v>
      </c>
    </row>
    <row r="51" spans="1:5" x14ac:dyDescent="0.25">
      <c r="A51" s="60" t="s">
        <v>236</v>
      </c>
      <c r="B51" s="61" t="s">
        <v>147</v>
      </c>
      <c r="C51" s="34">
        <f>IF(OR(-27281.34829="",-27281.34829=0),"-",-27281.34829)</f>
        <v>-27281.348290000002</v>
      </c>
      <c r="D51" s="34">
        <v>-22035.74324</v>
      </c>
      <c r="E51" s="34">
        <f>IF(OR(-27281.34829="",-22035.74324="",-27281.34829=0,-22035.74324=0),"-",-22035.74324/-27281.34829*100)</f>
        <v>80.772192802791992</v>
      </c>
    </row>
    <row r="52" spans="1:5" x14ac:dyDescent="0.25">
      <c r="A52" s="60" t="s">
        <v>237</v>
      </c>
      <c r="B52" s="61" t="s">
        <v>26</v>
      </c>
      <c r="C52" s="34">
        <f>IF(OR(-40028.20572="",-40028.20572=0),"-",-40028.20572)</f>
        <v>-40028.205719999998</v>
      </c>
      <c r="D52" s="34">
        <v>-33150.125339999999</v>
      </c>
      <c r="E52" s="34">
        <f>IF(OR(-40028.20572="",-33150.12534="",-40028.20572=0,-33150.12534=0),"-",-33150.12534/-40028.20572*100)</f>
        <v>82.81691558169598</v>
      </c>
    </row>
    <row r="53" spans="1:5" x14ac:dyDescent="0.25">
      <c r="A53" s="60" t="s">
        <v>238</v>
      </c>
      <c r="B53" s="61" t="s">
        <v>148</v>
      </c>
      <c r="C53" s="34">
        <f>IF(OR(-35759.07625="",-35759.07625=0),"-",-35759.07625)</f>
        <v>-35759.076249999998</v>
      </c>
      <c r="D53" s="34">
        <v>-35292.766710000004</v>
      </c>
      <c r="E53" s="34">
        <f>IF(OR(-35759.07625="",-35292.76671="",-35759.07625=0,-35292.76671=0),"-",-35292.76671/-35759.07625*100)</f>
        <v>98.695968719270283</v>
      </c>
    </row>
    <row r="54" spans="1:5" ht="24" x14ac:dyDescent="0.25">
      <c r="A54" s="60" t="s">
        <v>239</v>
      </c>
      <c r="B54" s="61" t="s">
        <v>149</v>
      </c>
      <c r="C54" s="34">
        <f>IF(OR(-58048.70178="",-58048.70178=0),"-",-58048.70178)</f>
        <v>-58048.701780000003</v>
      </c>
      <c r="D54" s="34">
        <v>-51413.202770000004</v>
      </c>
      <c r="E54" s="34">
        <f>IF(OR(-58048.70178="",-51413.20277="",-58048.70178=0,-51413.20277=0),"-",-51413.20277/-58048.70178*100)</f>
        <v>88.569082845042743</v>
      </c>
    </row>
    <row r="55" spans="1:5" ht="24" x14ac:dyDescent="0.25">
      <c r="A55" s="60" t="s">
        <v>240</v>
      </c>
      <c r="B55" s="61" t="s">
        <v>150</v>
      </c>
      <c r="C55" s="34">
        <f>IF(OR(-117829.49755="",-117829.49755=0),"-",-117829.49755)</f>
        <v>-117829.49755</v>
      </c>
      <c r="D55" s="34">
        <v>-110025.19753999999</v>
      </c>
      <c r="E55" s="34">
        <f>IF(OR(-117829.49755="",-110025.19754="",-117829.49755=0,-110025.19754=0),"-",-110025.19754/-117829.49755*100)</f>
        <v>93.376616066203354</v>
      </c>
    </row>
    <row r="56" spans="1:5" x14ac:dyDescent="0.25">
      <c r="A56" s="60" t="s">
        <v>241</v>
      </c>
      <c r="B56" s="61" t="s">
        <v>27</v>
      </c>
      <c r="C56" s="34">
        <f>IF(OR(-32780.17303="",-32780.17303=0),"-",-32780.17303)</f>
        <v>-32780.173029999998</v>
      </c>
      <c r="D56" s="34">
        <v>-26195.158049999998</v>
      </c>
      <c r="E56" s="34">
        <f>IF(OR(-32780.17303="",-26195.15805="",-32780.17303=0,-26195.15805=0),"-",-26195.15805/-32780.17303*100)</f>
        <v>79.911591760136602</v>
      </c>
    </row>
    <row r="57" spans="1:5" x14ac:dyDescent="0.25">
      <c r="A57" s="60" t="s">
        <v>242</v>
      </c>
      <c r="B57" s="61" t="s">
        <v>151</v>
      </c>
      <c r="C57" s="34">
        <f>IF(OR(-91291.19434="",-91291.19434=0),"-",-91291.19434)</f>
        <v>-91291.194340000002</v>
      </c>
      <c r="D57" s="34">
        <v>-62030.468540000002</v>
      </c>
      <c r="E57" s="34">
        <f>IF(OR(-91291.19434="",-62030.46854="",-91291.19434=0,-62030.46854=0),"-",-62030.46854/-91291.19434*100)</f>
        <v>67.947920923213118</v>
      </c>
    </row>
    <row r="58" spans="1:5" x14ac:dyDescent="0.25">
      <c r="A58" s="60" t="s">
        <v>243</v>
      </c>
      <c r="B58" s="61" t="s">
        <v>28</v>
      </c>
      <c r="C58" s="34">
        <f>IF(OR(-15558.11529="",-15558.11529=0),"-",-15558.11529)</f>
        <v>-15558.11529</v>
      </c>
      <c r="D58" s="34">
        <v>-16442.617170000001</v>
      </c>
      <c r="E58" s="34">
        <f>IF(OR(-15558.11529="",-16442.61717="",-15558.11529=0,-16442.61717=0),"-",-16442.61717/-15558.11529*100)</f>
        <v>105.68514799841158</v>
      </c>
    </row>
    <row r="59" spans="1:5" x14ac:dyDescent="0.25">
      <c r="A59" s="60" t="s">
        <v>244</v>
      </c>
      <c r="B59" s="61" t="s">
        <v>29</v>
      </c>
      <c r="C59" s="34">
        <f>IF(OR(-73646.45338="",-73646.45338=0),"-",-73646.45338)</f>
        <v>-73646.453380000006</v>
      </c>
      <c r="D59" s="34">
        <v>-75594.477790000004</v>
      </c>
      <c r="E59" s="34">
        <f>IF(OR(-73646.45338="",-75594.47779="",-73646.45338=0,-75594.47779=0),"-",-75594.47779/-73646.45338*100)</f>
        <v>102.64510281296046</v>
      </c>
    </row>
    <row r="60" spans="1:5" x14ac:dyDescent="0.25">
      <c r="A60" s="58" t="s">
        <v>245</v>
      </c>
      <c r="B60" s="59" t="s">
        <v>152</v>
      </c>
      <c r="C60" s="33">
        <f>IF(-581047.35966="","-",-581047.35966)</f>
        <v>-581047.35965999996</v>
      </c>
      <c r="D60" s="33">
        <v>-590157.79836999997</v>
      </c>
      <c r="E60" s="33">
        <f>IF(-581047.35966="","-",-590157.79837/-581047.35966*100)</f>
        <v>101.56793393146661</v>
      </c>
    </row>
    <row r="61" spans="1:5" ht="16.5" customHeight="1" x14ac:dyDescent="0.25">
      <c r="A61" s="60" t="s">
        <v>246</v>
      </c>
      <c r="B61" s="61" t="s">
        <v>153</v>
      </c>
      <c r="C61" s="34">
        <f>IF(OR(-12418.46718="",-12418.46718=0),"-",-12418.46718)</f>
        <v>-12418.46718</v>
      </c>
      <c r="D61" s="34">
        <v>-19946.41865</v>
      </c>
      <c r="E61" s="34">
        <f>IF(OR(-12418.46718="",-19946.41865="",-12418.46718=0,-19946.41865=0),"-",-19946.41865/-12418.46718*100)</f>
        <v>160.61900684589966</v>
      </c>
    </row>
    <row r="62" spans="1:5" ht="15" customHeight="1" x14ac:dyDescent="0.25">
      <c r="A62" s="60" t="s">
        <v>247</v>
      </c>
      <c r="B62" s="61" t="s">
        <v>154</v>
      </c>
      <c r="C62" s="34">
        <f>IF(OR(-150374.26418="",-150374.26418=0),"-",-150374.26418)</f>
        <v>-150374.26418</v>
      </c>
      <c r="D62" s="34">
        <v>-93056.151450000005</v>
      </c>
      <c r="E62" s="34">
        <f>IF(OR(-150374.26418="",-93056.15145="",-150374.26418=0,-93056.15145=0),"-",-93056.15145/-150374.26418*100)</f>
        <v>61.88303028941877</v>
      </c>
    </row>
    <row r="63" spans="1:5" x14ac:dyDescent="0.25">
      <c r="A63" s="60" t="s">
        <v>248</v>
      </c>
      <c r="B63" s="61" t="s">
        <v>155</v>
      </c>
      <c r="C63" s="34">
        <f>IF(OR(-3564.77842="",-3564.77842=0),"-",-3564.77842)</f>
        <v>-3564.7784200000001</v>
      </c>
      <c r="D63" s="34">
        <v>-5078.1448099999998</v>
      </c>
      <c r="E63" s="34">
        <f>IF(OR(-3564.77842="",-5078.14481="",-3564.77842=0,-5078.14481=0),"-",-5078.14481/-3564.77842*100)</f>
        <v>142.45330878097045</v>
      </c>
    </row>
    <row r="64" spans="1:5" ht="24" x14ac:dyDescent="0.25">
      <c r="A64" s="60" t="s">
        <v>249</v>
      </c>
      <c r="B64" s="61" t="s">
        <v>156</v>
      </c>
      <c r="C64" s="34">
        <f>IF(OR(-105063.94363="",-105063.94363=0),"-",-105063.94363)</f>
        <v>-105063.94362999999</v>
      </c>
      <c r="D64" s="34">
        <v>-97457.892170000006</v>
      </c>
      <c r="E64" s="34">
        <f>IF(OR(-105063.94363="",-97457.89217="",-105063.94363=0,-97457.89217=0),"-",-97457.89217/-105063.94363*100)</f>
        <v>92.76055019713904</v>
      </c>
    </row>
    <row r="65" spans="1:5" ht="27.75" customHeight="1" x14ac:dyDescent="0.25">
      <c r="A65" s="60" t="s">
        <v>250</v>
      </c>
      <c r="B65" s="61" t="s">
        <v>157</v>
      </c>
      <c r="C65" s="34">
        <f>IF(OR(-41169.67447="",-41169.67447=0),"-",-41169.67447)</f>
        <v>-41169.674469999998</v>
      </c>
      <c r="D65" s="34">
        <v>-36534.391199999998</v>
      </c>
      <c r="E65" s="34">
        <f>IF(OR(-41169.67447="",-36534.3912="",-41169.67447=0,-36534.3912=0),"-",-36534.3912/-41169.67447*100)</f>
        <v>88.741025209277055</v>
      </c>
    </row>
    <row r="66" spans="1:5" ht="29.25" customHeight="1" x14ac:dyDescent="0.25">
      <c r="A66" s="60" t="s">
        <v>251</v>
      </c>
      <c r="B66" s="61" t="s">
        <v>158</v>
      </c>
      <c r="C66" s="34">
        <f>IF(OR(-83755.03915="",-83755.03915=0),"-",-83755.03915)</f>
        <v>-83755.039149999997</v>
      </c>
      <c r="D66" s="34">
        <v>-100987.72585</v>
      </c>
      <c r="E66" s="34">
        <f>IF(OR(-83755.03915="",-100987.72585="",-83755.03915=0,-100987.72585=0),"-",-100987.72585/-83755.03915*100)</f>
        <v>120.57510434582611</v>
      </c>
    </row>
    <row r="67" spans="1:5" ht="15" customHeight="1" x14ac:dyDescent="0.25">
      <c r="A67" s="60" t="s">
        <v>252</v>
      </c>
      <c r="B67" s="61" t="s">
        <v>159</v>
      </c>
      <c r="C67" s="34">
        <f>IF(OR(15531.52527="",15531.52527=0),"-",15531.52527)</f>
        <v>15531.52527</v>
      </c>
      <c r="D67" s="34">
        <v>1116.4484600000001</v>
      </c>
      <c r="E67" s="34">
        <f>IF(OR(15531.52527="",1116.44846="",15531.52527=0,1116.44846=0),"-",1116.44846/15531.52527*100)</f>
        <v>7.1882731450495854</v>
      </c>
    </row>
    <row r="68" spans="1:5" x14ac:dyDescent="0.25">
      <c r="A68" s="60" t="s">
        <v>253</v>
      </c>
      <c r="B68" s="61" t="s">
        <v>160</v>
      </c>
      <c r="C68" s="34">
        <f>IF(OR(-197475.12829="",-197475.12829=0),"-",-197475.12829)</f>
        <v>-197475.12828999999</v>
      </c>
      <c r="D68" s="34">
        <v>-239815.17416</v>
      </c>
      <c r="E68" s="34">
        <f>IF(OR(-197475.12829="",-239815.17416="",-197475.12829=0,-239815.17416=0),"-",-239815.17416/-197475.12829*100)</f>
        <v>121.44069799403903</v>
      </c>
    </row>
    <row r="69" spans="1:5" x14ac:dyDescent="0.25">
      <c r="A69" s="60" t="s">
        <v>254</v>
      </c>
      <c r="B69" s="61" t="s">
        <v>30</v>
      </c>
      <c r="C69" s="34">
        <f>IF(OR(-2757.58961="",-2757.58961=0),"-",-2757.58961)</f>
        <v>-2757.58961</v>
      </c>
      <c r="D69" s="34">
        <v>1601.65146</v>
      </c>
      <c r="E69" s="34">
        <f>IF(OR(-2757.58961="",1601.65146="",-2757.58961=0,1601.65146=0),"-",1601.65146/-2757.58961*100)</f>
        <v>-58.081574364504519</v>
      </c>
    </row>
    <row r="70" spans="1:5" x14ac:dyDescent="0.25">
      <c r="A70" s="58" t="s">
        <v>255</v>
      </c>
      <c r="B70" s="59" t="s">
        <v>31</v>
      </c>
      <c r="C70" s="33">
        <f>IF(-63429.85859="","-",-63429.85859)</f>
        <v>-63429.858590000003</v>
      </c>
      <c r="D70" s="33">
        <v>-91652.776620000004</v>
      </c>
      <c r="E70" s="33">
        <f>IF(-63429.85859="","-",-91652.77662/-63429.85859*100)</f>
        <v>144.4946885542158</v>
      </c>
    </row>
    <row r="71" spans="1:5" ht="24" x14ac:dyDescent="0.25">
      <c r="A71" s="60" t="s">
        <v>256</v>
      </c>
      <c r="B71" s="61" t="s">
        <v>186</v>
      </c>
      <c r="C71" s="34">
        <f>IF(OR(-20976.47308="",-20976.47308=0),"-",-20976.47308)</f>
        <v>-20976.47308</v>
      </c>
      <c r="D71" s="34">
        <v>-13999.56789</v>
      </c>
      <c r="E71" s="34">
        <f>IF(OR(-20976.47308="",-13999.56789="",-20976.47308=0,-13999.56789=0),"-",-13999.56789/-20976.47308*100)</f>
        <v>66.739379096802864</v>
      </c>
    </row>
    <row r="72" spans="1:5" x14ac:dyDescent="0.25">
      <c r="A72" s="60" t="s">
        <v>257</v>
      </c>
      <c r="B72" s="61" t="s">
        <v>161</v>
      </c>
      <c r="C72" s="34">
        <f>IF(OR(39307.60132="",39307.60132=0),"-",39307.60132)</f>
        <v>39307.601320000002</v>
      </c>
      <c r="D72" s="34">
        <v>39647.597090000003</v>
      </c>
      <c r="E72" s="34">
        <f>IF(OR(39307.60132="",39647.59709="",39307.60132=0,39647.59709=0),"-",39647.59709/39307.60132*100)</f>
        <v>100.86496188671529</v>
      </c>
    </row>
    <row r="73" spans="1:5" x14ac:dyDescent="0.25">
      <c r="A73" s="60" t="s">
        <v>258</v>
      </c>
      <c r="B73" s="61" t="s">
        <v>162</v>
      </c>
      <c r="C73" s="34">
        <f>IF(OR(-404.01361="",-404.01361=0),"-",-404.01361)</f>
        <v>-404.01361000000003</v>
      </c>
      <c r="D73" s="34">
        <v>-1492.5472</v>
      </c>
      <c r="E73" s="34" t="s">
        <v>302</v>
      </c>
    </row>
    <row r="74" spans="1:5" x14ac:dyDescent="0.25">
      <c r="A74" s="60" t="s">
        <v>259</v>
      </c>
      <c r="B74" s="61" t="s">
        <v>163</v>
      </c>
      <c r="C74" s="34">
        <f>IF(OR(54778.463="",54778.463=0),"-",54778.463)</f>
        <v>54778.463000000003</v>
      </c>
      <c r="D74" s="34">
        <v>49082.758759999997</v>
      </c>
      <c r="E74" s="34">
        <f>IF(OR(54778.463="",49082.75876="",54778.463=0,49082.75876=0),"-",49082.75876/54778.463*100)</f>
        <v>89.602292711279603</v>
      </c>
    </row>
    <row r="75" spans="1:5" x14ac:dyDescent="0.25">
      <c r="A75" s="60" t="s">
        <v>260</v>
      </c>
      <c r="B75" s="61" t="s">
        <v>164</v>
      </c>
      <c r="C75" s="34">
        <f>IF(OR(-10246.30782="",-10246.30782=0),"-",-10246.30782)</f>
        <v>-10246.30782</v>
      </c>
      <c r="D75" s="34">
        <v>-13003.011469999999</v>
      </c>
      <c r="E75" s="34">
        <f>IF(OR(-10246.30782="",-13003.01147="",-10246.30782=0,-13003.01147=0),"-",-13003.01147/-10246.30782*100)</f>
        <v>126.90436104817316</v>
      </c>
    </row>
    <row r="76" spans="1:5" x14ac:dyDescent="0.25">
      <c r="A76" s="60" t="s">
        <v>261</v>
      </c>
      <c r="B76" s="61" t="s">
        <v>300</v>
      </c>
      <c r="C76" s="34">
        <f>IF(OR(-23546.75597="",-23546.75597=0),"-",-23546.75597)</f>
        <v>-23546.755969999998</v>
      </c>
      <c r="D76" s="34">
        <v>-26346.650539999999</v>
      </c>
      <c r="E76" s="34">
        <f>IF(OR(-23546.75597="",-26346.65054="",-23546.75597=0,-26346.65054=0),"-",-26346.65054/-23546.75597*100)</f>
        <v>111.89078688192649</v>
      </c>
    </row>
    <row r="77" spans="1:5" ht="24" x14ac:dyDescent="0.25">
      <c r="A77" s="60" t="s">
        <v>262</v>
      </c>
      <c r="B77" s="61" t="s">
        <v>165</v>
      </c>
      <c r="C77" s="34">
        <f>IF(OR(-4530.23117="",-4530.23117=0),"-",-4530.23117)</f>
        <v>-4530.23117</v>
      </c>
      <c r="D77" s="34">
        <v>-5725.6347100000003</v>
      </c>
      <c r="E77" s="34">
        <f>IF(OR(-4530.23117="",-5725.63471="",-4530.23117=0,-5725.63471=0),"-",-5725.63471/-4530.23117*100)</f>
        <v>126.38725255161758</v>
      </c>
    </row>
    <row r="78" spans="1:5" x14ac:dyDescent="0.25">
      <c r="A78" s="60" t="s">
        <v>263</v>
      </c>
      <c r="B78" s="61" t="s">
        <v>32</v>
      </c>
      <c r="C78" s="34">
        <f>IF(OR(-97812.14126="",-97812.14126=0),"-",-97812.14126)</f>
        <v>-97812.141260000004</v>
      </c>
      <c r="D78" s="34">
        <v>-119815.72066000001</v>
      </c>
      <c r="E78" s="34">
        <f>IF(OR(-97812.14126="",-119815.72066="",-97812.14126=0,-119815.72066=0),"-",-119815.72066/-97812.14126*100)</f>
        <v>122.49575473612325</v>
      </c>
    </row>
    <row r="79" spans="1:5" x14ac:dyDescent="0.25">
      <c r="A79" s="63" t="s">
        <v>266</v>
      </c>
      <c r="B79" s="64" t="s">
        <v>166</v>
      </c>
      <c r="C79" s="72">
        <f>IF(-10834.15271="","-",-10834.15271)</f>
        <v>-10834.15271</v>
      </c>
      <c r="D79" s="72">
        <v>1264.6344999999999</v>
      </c>
      <c r="E79" s="72" t="s">
        <v>19</v>
      </c>
    </row>
    <row r="80" spans="1:5" s="29" customFormat="1" ht="11.25" x14ac:dyDescent="0.2">
      <c r="A80" s="10" t="s">
        <v>269</v>
      </c>
      <c r="B80" s="11"/>
      <c r="C80" s="53"/>
      <c r="D80" s="53"/>
      <c r="E80" s="53"/>
    </row>
    <row r="81" spans="3:5" x14ac:dyDescent="0.25">
      <c r="C81" s="34"/>
      <c r="D81" s="34"/>
      <c r="E81" s="73"/>
    </row>
    <row r="82" spans="3:5" x14ac:dyDescent="0.25">
      <c r="C82" s="34"/>
      <c r="D82" s="34"/>
      <c r="E82" s="73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Comerciala_Tari'!Imprimare_titluri</vt:lpstr>
      <vt:lpstr>Balanta_Comerciala_Gr_Marf_CSCI!Imprimare_titluri</vt:lpstr>
      <vt:lpstr>Export_Grupe_Marfuri_CSCI!Imprimare_titluri</vt:lpstr>
      <vt:lpstr>Export_Tari!Imprimare_titluri</vt:lpstr>
      <vt:lpstr>Import_Grupe_Marfuri_CSCI!Imprimare_titluri</vt:lpstr>
      <vt:lpstr>Import_Tari!Imprimare_titluri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2023-08-15T16:35:24Z</cp:lastPrinted>
  <dcterms:created xsi:type="dcterms:W3CDTF">2016-09-01T07:59:47Z</dcterms:created>
  <dcterms:modified xsi:type="dcterms:W3CDTF">2023-08-16T11:02:35Z</dcterms:modified>
</cp:coreProperties>
</file>