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"/>
    </mc:Choice>
  </mc:AlternateContent>
  <xr:revisionPtr revIDLastSave="0" documentId="13_ncr:1_{48C1EA0E-1563-4E70-977A-158CC54CE1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Export_Tari" sheetId="1" r:id="rId1"/>
    <sheet name="2. Import_Tari" sheetId="2" r:id="rId2"/>
    <sheet name="3. Balanta Comerciala_Tari" sheetId="3" r:id="rId3"/>
    <sheet name="4. Export_Moduri_Transport" sheetId="7" r:id="rId4"/>
    <sheet name="5. Import_Moduri_Transport" sheetId="8" r:id="rId5"/>
    <sheet name="6. Export_Grupe_Marfuri_CSCI" sheetId="5" r:id="rId6"/>
    <sheet name="7. Import_Grupe_Marfuri_CSCI" sheetId="6" r:id="rId7"/>
    <sheet name="8. Balanta_Comerciala_CSCI" sheetId="4" r:id="rId8"/>
  </sheets>
  <definedNames>
    <definedName name="_xlnm.Print_Titles" localSheetId="0">'1. Export_Tari'!$3:$4</definedName>
    <definedName name="_xlnm.Print_Titles" localSheetId="1">'2. Import_Tari'!$3:$4</definedName>
    <definedName name="_xlnm.Print_Titles" localSheetId="2">'3. Balanta Comerciala_Tari'!$3:$4</definedName>
    <definedName name="_xlnm.Print_Titles" localSheetId="5">'6. Export_Grupe_Marfuri_CSCI'!$4:$5</definedName>
    <definedName name="_xlnm.Print_Titles" localSheetId="6">'7. Import_Grupe_Marfuri_CSCI'!$4:$5</definedName>
    <definedName name="_xlnm.Print_Titles" localSheetId="7">'8. Balanta_Comerciala_CSCI'!$4:$5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4" l="1"/>
  <c r="E78" i="4"/>
  <c r="E77" i="4"/>
  <c r="E75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2" i="4"/>
  <c r="E21" i="4"/>
  <c r="E20" i="4"/>
  <c r="E19" i="4"/>
  <c r="E18" i="4"/>
  <c r="E16" i="4"/>
  <c r="E14" i="4"/>
  <c r="E13" i="4"/>
  <c r="E12" i="4"/>
  <c r="E11" i="4"/>
  <c r="E10" i="4"/>
  <c r="E6" i="4"/>
  <c r="I80" i="6"/>
  <c r="H80" i="6"/>
  <c r="G80" i="6"/>
  <c r="F80" i="6"/>
  <c r="E80" i="6"/>
  <c r="I79" i="6"/>
  <c r="H79" i="6"/>
  <c r="G79" i="6"/>
  <c r="F79" i="6"/>
  <c r="E79" i="6"/>
  <c r="I78" i="6"/>
  <c r="H78" i="6"/>
  <c r="G78" i="6"/>
  <c r="F78" i="6"/>
  <c r="E78" i="6"/>
  <c r="I77" i="6"/>
  <c r="H77" i="6"/>
  <c r="G77" i="6"/>
  <c r="F77" i="6"/>
  <c r="E77" i="6"/>
  <c r="I76" i="6"/>
  <c r="H76" i="6"/>
  <c r="G76" i="6"/>
  <c r="F76" i="6"/>
  <c r="E76" i="6"/>
  <c r="I75" i="6"/>
  <c r="H75" i="6"/>
  <c r="G75" i="6"/>
  <c r="F75" i="6"/>
  <c r="E75" i="6"/>
  <c r="I74" i="6"/>
  <c r="H74" i="6"/>
  <c r="G74" i="6"/>
  <c r="F74" i="6"/>
  <c r="E74" i="6"/>
  <c r="I73" i="6"/>
  <c r="H73" i="6"/>
  <c r="G73" i="6"/>
  <c r="F73" i="6"/>
  <c r="E73" i="6"/>
  <c r="I72" i="6"/>
  <c r="H72" i="6"/>
  <c r="G72" i="6"/>
  <c r="F72" i="6"/>
  <c r="E72" i="6"/>
  <c r="I71" i="6"/>
  <c r="H71" i="6"/>
  <c r="G71" i="6"/>
  <c r="F71" i="6"/>
  <c r="E71" i="6"/>
  <c r="I70" i="6"/>
  <c r="H70" i="6"/>
  <c r="G70" i="6"/>
  <c r="F70" i="6"/>
  <c r="E70" i="6"/>
  <c r="I69" i="6"/>
  <c r="H69" i="6"/>
  <c r="G69" i="6"/>
  <c r="F69" i="6"/>
  <c r="E69" i="6"/>
  <c r="I68" i="6"/>
  <c r="H68" i="6"/>
  <c r="G68" i="6"/>
  <c r="F68" i="6"/>
  <c r="E68" i="6"/>
  <c r="I67" i="6"/>
  <c r="H67" i="6"/>
  <c r="G67" i="6"/>
  <c r="F67" i="6"/>
  <c r="E67" i="6"/>
  <c r="I66" i="6"/>
  <c r="H66" i="6"/>
  <c r="G66" i="6"/>
  <c r="F66" i="6"/>
  <c r="E66" i="6"/>
  <c r="I65" i="6"/>
  <c r="H65" i="6"/>
  <c r="G65" i="6"/>
  <c r="F65" i="6"/>
  <c r="E65" i="6"/>
  <c r="I64" i="6"/>
  <c r="H64" i="6"/>
  <c r="G64" i="6"/>
  <c r="F64" i="6"/>
  <c r="E64" i="6"/>
  <c r="I63" i="6"/>
  <c r="H63" i="6"/>
  <c r="G63" i="6"/>
  <c r="F63" i="6"/>
  <c r="E63" i="6"/>
  <c r="I62" i="6"/>
  <c r="H62" i="6"/>
  <c r="G62" i="6"/>
  <c r="F62" i="6"/>
  <c r="E62" i="6"/>
  <c r="I61" i="6"/>
  <c r="H61" i="6"/>
  <c r="G61" i="6"/>
  <c r="F61" i="6"/>
  <c r="E61" i="6"/>
  <c r="I60" i="6"/>
  <c r="H60" i="6"/>
  <c r="G60" i="6"/>
  <c r="F60" i="6"/>
  <c r="E60" i="6"/>
  <c r="I59" i="6"/>
  <c r="H59" i="6"/>
  <c r="G59" i="6"/>
  <c r="F59" i="6"/>
  <c r="E59" i="6"/>
  <c r="I58" i="6"/>
  <c r="H58" i="6"/>
  <c r="G58" i="6"/>
  <c r="F58" i="6"/>
  <c r="E58" i="6"/>
  <c r="I57" i="6"/>
  <c r="H57" i="6"/>
  <c r="G57" i="6"/>
  <c r="F57" i="6"/>
  <c r="E57" i="6"/>
  <c r="I56" i="6"/>
  <c r="H56" i="6"/>
  <c r="G56" i="6"/>
  <c r="F56" i="6"/>
  <c r="E56" i="6"/>
  <c r="I55" i="6"/>
  <c r="H55" i="6"/>
  <c r="G55" i="6"/>
  <c r="F55" i="6"/>
  <c r="E55" i="6"/>
  <c r="I54" i="6"/>
  <c r="H54" i="6"/>
  <c r="G54" i="6"/>
  <c r="F54" i="6"/>
  <c r="E54" i="6"/>
  <c r="I53" i="6"/>
  <c r="H53" i="6"/>
  <c r="G53" i="6"/>
  <c r="F53" i="6"/>
  <c r="E53" i="6"/>
  <c r="I52" i="6"/>
  <c r="H52" i="6"/>
  <c r="G52" i="6"/>
  <c r="F52" i="6"/>
  <c r="E52" i="6"/>
  <c r="I51" i="6"/>
  <c r="H51" i="6"/>
  <c r="G51" i="6"/>
  <c r="F51" i="6"/>
  <c r="E51" i="6"/>
  <c r="I50" i="6"/>
  <c r="H50" i="6"/>
  <c r="G50" i="6"/>
  <c r="F50" i="6"/>
  <c r="E50" i="6"/>
  <c r="I49" i="6"/>
  <c r="H49" i="6"/>
  <c r="G49" i="6"/>
  <c r="F49" i="6"/>
  <c r="E49" i="6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6" i="6"/>
  <c r="H6" i="6"/>
  <c r="E6" i="6"/>
  <c r="I80" i="5"/>
  <c r="H80" i="5"/>
  <c r="G80" i="5"/>
  <c r="F80" i="5"/>
  <c r="I79" i="5"/>
  <c r="H79" i="5"/>
  <c r="G79" i="5"/>
  <c r="F79" i="5"/>
  <c r="E79" i="5"/>
  <c r="I78" i="5"/>
  <c r="H78" i="5"/>
  <c r="G78" i="5"/>
  <c r="F78" i="5"/>
  <c r="E78" i="5"/>
  <c r="I77" i="5"/>
  <c r="H77" i="5"/>
  <c r="G77" i="5"/>
  <c r="F77" i="5"/>
  <c r="E77" i="5"/>
  <c r="I76" i="5"/>
  <c r="H76" i="5"/>
  <c r="G76" i="5"/>
  <c r="F76" i="5"/>
  <c r="E76" i="5"/>
  <c r="I75" i="5"/>
  <c r="H75" i="5"/>
  <c r="G75" i="5"/>
  <c r="F75" i="5"/>
  <c r="E75" i="5"/>
  <c r="I74" i="5"/>
  <c r="H74" i="5"/>
  <c r="G74" i="5"/>
  <c r="F74" i="5"/>
  <c r="E74" i="5"/>
  <c r="I73" i="5"/>
  <c r="H73" i="5"/>
  <c r="G73" i="5"/>
  <c r="F73" i="5"/>
  <c r="E73" i="5"/>
  <c r="I72" i="5"/>
  <c r="H72" i="5"/>
  <c r="G72" i="5"/>
  <c r="F72" i="5"/>
  <c r="E72" i="5"/>
  <c r="I71" i="5"/>
  <c r="H71" i="5"/>
  <c r="G71" i="5"/>
  <c r="F71" i="5"/>
  <c r="E71" i="5"/>
  <c r="I70" i="5"/>
  <c r="H70" i="5"/>
  <c r="G70" i="5"/>
  <c r="F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E67" i="5"/>
  <c r="I66" i="5"/>
  <c r="H66" i="5"/>
  <c r="G66" i="5"/>
  <c r="F66" i="5"/>
  <c r="I65" i="5"/>
  <c r="H65" i="5"/>
  <c r="G65" i="5"/>
  <c r="F65" i="5"/>
  <c r="E65" i="5"/>
  <c r="I64" i="5"/>
  <c r="H64" i="5"/>
  <c r="G64" i="5"/>
  <c r="F64" i="5"/>
  <c r="E64" i="5"/>
  <c r="I63" i="5"/>
  <c r="H63" i="5"/>
  <c r="G63" i="5"/>
  <c r="F63" i="5"/>
  <c r="I62" i="5"/>
  <c r="H62" i="5"/>
  <c r="G62" i="5"/>
  <c r="F62" i="5"/>
  <c r="E62" i="5"/>
  <c r="I61" i="5"/>
  <c r="H61" i="5"/>
  <c r="G61" i="5"/>
  <c r="F61" i="5"/>
  <c r="E61" i="5"/>
  <c r="I60" i="5"/>
  <c r="H60" i="5"/>
  <c r="G60" i="5"/>
  <c r="F60" i="5"/>
  <c r="E60" i="5"/>
  <c r="I59" i="5"/>
  <c r="H59" i="5"/>
  <c r="G59" i="5"/>
  <c r="F59" i="5"/>
  <c r="E59" i="5"/>
  <c r="I58" i="5"/>
  <c r="H58" i="5"/>
  <c r="G58" i="5"/>
  <c r="F58" i="5"/>
  <c r="E58" i="5"/>
  <c r="I57" i="5"/>
  <c r="H57" i="5"/>
  <c r="G57" i="5"/>
  <c r="F57" i="5"/>
  <c r="E57" i="5"/>
  <c r="I56" i="5"/>
  <c r="H56" i="5"/>
  <c r="G56" i="5"/>
  <c r="F56" i="5"/>
  <c r="E56" i="5"/>
  <c r="I55" i="5"/>
  <c r="H55" i="5"/>
  <c r="G55" i="5"/>
  <c r="F55" i="5"/>
  <c r="E55" i="5"/>
  <c r="I54" i="5"/>
  <c r="H54" i="5"/>
  <c r="G54" i="5"/>
  <c r="F54" i="5"/>
  <c r="E54" i="5"/>
  <c r="I53" i="5"/>
  <c r="H53" i="5"/>
  <c r="G53" i="5"/>
  <c r="F53" i="5"/>
  <c r="I52" i="5"/>
  <c r="H52" i="5"/>
  <c r="G52" i="5"/>
  <c r="F52" i="5"/>
  <c r="E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I48" i="5"/>
  <c r="H48" i="5"/>
  <c r="G48" i="5"/>
  <c r="F48" i="5"/>
  <c r="I47" i="5"/>
  <c r="H47" i="5"/>
  <c r="G47" i="5"/>
  <c r="F47" i="5"/>
  <c r="E47" i="5"/>
  <c r="I46" i="5"/>
  <c r="H46" i="5"/>
  <c r="G46" i="5"/>
  <c r="F46" i="5"/>
  <c r="E46" i="5"/>
  <c r="I45" i="5"/>
  <c r="H45" i="5"/>
  <c r="G45" i="5"/>
  <c r="F45" i="5"/>
  <c r="E45" i="5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I8" i="5"/>
  <c r="H8" i="5"/>
  <c r="G8" i="5"/>
  <c r="F8" i="5"/>
  <c r="E8" i="5"/>
  <c r="I6" i="5"/>
  <c r="H6" i="5"/>
  <c r="E6" i="5"/>
  <c r="F39" i="8" l="1"/>
  <c r="E39" i="8"/>
  <c r="F38" i="8"/>
  <c r="E38" i="8"/>
  <c r="F37" i="8"/>
  <c r="E37" i="8"/>
  <c r="F36" i="8"/>
  <c r="E36" i="8"/>
  <c r="F35" i="8"/>
  <c r="E35" i="8"/>
  <c r="F34" i="8"/>
  <c r="E34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39" i="7"/>
  <c r="E39" i="7"/>
  <c r="F38" i="7"/>
  <c r="E38" i="7"/>
  <c r="F37" i="7"/>
  <c r="E37" i="7"/>
  <c r="F36" i="7"/>
  <c r="E36" i="7"/>
  <c r="F35" i="7"/>
  <c r="E35" i="7"/>
  <c r="F34" i="7"/>
  <c r="E34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D21" i="3" l="1"/>
  <c r="D154" i="3"/>
  <c r="D153" i="3"/>
  <c r="D151" i="3"/>
  <c r="D150" i="3"/>
  <c r="D147" i="3"/>
  <c r="D146" i="3"/>
  <c r="D145" i="3"/>
  <c r="D144" i="3"/>
  <c r="D142" i="3"/>
  <c r="D141" i="3"/>
  <c r="D138" i="3"/>
  <c r="D137" i="3"/>
  <c r="D135" i="3"/>
  <c r="D134" i="3"/>
  <c r="D133" i="3"/>
  <c r="D130" i="3"/>
  <c r="D128" i="3"/>
  <c r="D127" i="3"/>
  <c r="D122" i="3"/>
  <c r="D120" i="3"/>
  <c r="D118" i="3"/>
  <c r="D117" i="3"/>
  <c r="D115" i="3"/>
  <c r="D113" i="3"/>
  <c r="D110" i="3"/>
  <c r="D109" i="3"/>
  <c r="D107" i="3"/>
  <c r="D106" i="3"/>
  <c r="D102" i="3"/>
  <c r="D100" i="3"/>
  <c r="D99" i="3"/>
  <c r="D97" i="3"/>
  <c r="D95" i="3"/>
  <c r="D94" i="3"/>
  <c r="D92" i="3"/>
  <c r="D89" i="3"/>
  <c r="D86" i="3"/>
  <c r="D84" i="3"/>
  <c r="D83" i="3"/>
  <c r="D82" i="3"/>
  <c r="D81" i="3"/>
  <c r="D80" i="3"/>
  <c r="D79" i="3"/>
  <c r="D76" i="3"/>
  <c r="D75" i="3"/>
  <c r="D73" i="3"/>
  <c r="D70" i="3"/>
  <c r="D69" i="3"/>
  <c r="D68" i="3"/>
  <c r="D66" i="3"/>
  <c r="D65" i="3"/>
  <c r="D64" i="3"/>
  <c r="D63" i="3"/>
  <c r="D62" i="3"/>
  <c r="D61" i="3"/>
  <c r="D60" i="3"/>
  <c r="D59" i="3"/>
  <c r="D58" i="3"/>
  <c r="D57" i="3"/>
  <c r="D54" i="3"/>
  <c r="D53" i="3"/>
  <c r="D52" i="3"/>
  <c r="D51" i="3"/>
  <c r="D50" i="3"/>
  <c r="D48" i="3"/>
  <c r="D47" i="3"/>
  <c r="D45" i="3"/>
  <c r="D44" i="3"/>
  <c r="D43" i="3"/>
  <c r="D42" i="3"/>
  <c r="D41" i="3"/>
  <c r="D38" i="3"/>
  <c r="D36" i="3"/>
  <c r="D30" i="3"/>
  <c r="D29" i="3"/>
  <c r="D28" i="3"/>
  <c r="D27" i="3"/>
  <c r="D26" i="3"/>
  <c r="D25" i="3"/>
  <c r="D24" i="3"/>
  <c r="D23" i="3"/>
  <c r="D19" i="3"/>
  <c r="D18" i="3"/>
  <c r="D17" i="3"/>
  <c r="D15" i="3"/>
  <c r="D14" i="3"/>
  <c r="D12" i="3"/>
  <c r="D11" i="3"/>
  <c r="D10" i="3"/>
  <c r="D8" i="3"/>
  <c r="D7" i="3"/>
  <c r="D5" i="3"/>
  <c r="H133" i="2"/>
  <c r="G133" i="2"/>
  <c r="F133" i="2"/>
  <c r="E133" i="2"/>
  <c r="D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D130" i="2"/>
  <c r="H129" i="2"/>
  <c r="G129" i="2"/>
  <c r="F129" i="2"/>
  <c r="E129" i="2"/>
  <c r="D129" i="2"/>
  <c r="H128" i="2"/>
  <c r="G128" i="2"/>
  <c r="F128" i="2"/>
  <c r="E128" i="2"/>
  <c r="H127" i="2"/>
  <c r="G127" i="2"/>
  <c r="F127" i="2"/>
  <c r="E127" i="2"/>
  <c r="D127" i="2"/>
  <c r="H126" i="2"/>
  <c r="G126" i="2"/>
  <c r="F126" i="2"/>
  <c r="E126" i="2"/>
  <c r="H125" i="2"/>
  <c r="G125" i="2"/>
  <c r="F125" i="2"/>
  <c r="E125" i="2"/>
  <c r="D125" i="2"/>
  <c r="H124" i="2"/>
  <c r="G124" i="2"/>
  <c r="F124" i="2"/>
  <c r="E124" i="2"/>
  <c r="D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D121" i="2"/>
  <c r="H120" i="2"/>
  <c r="G120" i="2"/>
  <c r="F120" i="2"/>
  <c r="E120" i="2"/>
  <c r="D120" i="2"/>
  <c r="H119" i="2"/>
  <c r="G119" i="2"/>
  <c r="F119" i="2"/>
  <c r="E119" i="2"/>
  <c r="H118" i="2"/>
  <c r="G118" i="2"/>
  <c r="F118" i="2"/>
  <c r="E118" i="2"/>
  <c r="D118" i="2"/>
  <c r="H117" i="2"/>
  <c r="G117" i="2"/>
  <c r="F117" i="2"/>
  <c r="E117" i="2"/>
  <c r="D117" i="2"/>
  <c r="H116" i="2"/>
  <c r="G116" i="2"/>
  <c r="F116" i="2"/>
  <c r="E116" i="2"/>
  <c r="H115" i="2"/>
  <c r="G115" i="2"/>
  <c r="F115" i="2"/>
  <c r="E115" i="2"/>
  <c r="D115" i="2"/>
  <c r="H114" i="2"/>
  <c r="G114" i="2"/>
  <c r="F114" i="2"/>
  <c r="E114" i="2"/>
  <c r="D114" i="2"/>
  <c r="H113" i="2"/>
  <c r="G113" i="2"/>
  <c r="F113" i="2"/>
  <c r="E113" i="2"/>
  <c r="D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D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D107" i="2"/>
  <c r="H106" i="2"/>
  <c r="G106" i="2"/>
  <c r="F106" i="2"/>
  <c r="E106" i="2"/>
  <c r="H105" i="2"/>
  <c r="G105" i="2"/>
  <c r="F105" i="2"/>
  <c r="E105" i="2"/>
  <c r="D105" i="2"/>
  <c r="H104" i="2"/>
  <c r="G104" i="2"/>
  <c r="F104" i="2"/>
  <c r="E104" i="2"/>
  <c r="D104" i="2"/>
  <c r="H103" i="2"/>
  <c r="G103" i="2"/>
  <c r="F103" i="2"/>
  <c r="E103" i="2"/>
  <c r="D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D97" i="2"/>
  <c r="H96" i="2"/>
  <c r="G96" i="2"/>
  <c r="F96" i="2"/>
  <c r="E96" i="2"/>
  <c r="D96" i="2"/>
  <c r="H95" i="2"/>
  <c r="G95" i="2"/>
  <c r="F95" i="2"/>
  <c r="E95" i="2"/>
  <c r="D95" i="2"/>
  <c r="H94" i="2"/>
  <c r="G94" i="2"/>
  <c r="F94" i="2"/>
  <c r="E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H74" i="2"/>
  <c r="G74" i="2"/>
  <c r="F74" i="2"/>
  <c r="E74" i="2"/>
  <c r="D74" i="2"/>
  <c r="H73" i="2"/>
  <c r="G73" i="2"/>
  <c r="F73" i="2"/>
  <c r="E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H40" i="2"/>
  <c r="G40" i="2"/>
  <c r="F40" i="2"/>
  <c r="E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5" i="2"/>
  <c r="G35" i="2"/>
  <c r="F35" i="2"/>
  <c r="E35" i="2"/>
  <c r="D35" i="2"/>
  <c r="H34" i="2"/>
  <c r="G34" i="2"/>
  <c r="F34" i="2"/>
  <c r="E34" i="2"/>
  <c r="D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5" i="2"/>
  <c r="G5" i="2"/>
  <c r="D5" i="2"/>
  <c r="H118" i="1" l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H111" i="1"/>
  <c r="G111" i="1"/>
  <c r="F111" i="1"/>
  <c r="E111" i="1"/>
  <c r="D111" i="1"/>
  <c r="H110" i="1"/>
  <c r="G110" i="1"/>
  <c r="F110" i="1"/>
  <c r="E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H104" i="1"/>
  <c r="G104" i="1"/>
  <c r="F104" i="1"/>
  <c r="E104" i="1"/>
  <c r="D104" i="1"/>
  <c r="H103" i="1"/>
  <c r="G103" i="1"/>
  <c r="F103" i="1"/>
  <c r="E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H93" i="1"/>
  <c r="G93" i="1"/>
  <c r="F93" i="1"/>
  <c r="E93" i="1"/>
  <c r="D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D89" i="1"/>
  <c r="H88" i="1"/>
  <c r="G88" i="1"/>
  <c r="F88" i="1"/>
  <c r="E88" i="1"/>
  <c r="H87" i="1"/>
  <c r="G87" i="1"/>
  <c r="F87" i="1"/>
  <c r="E87" i="1"/>
  <c r="D87" i="1"/>
  <c r="B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H72" i="1"/>
  <c r="G72" i="1"/>
  <c r="F72" i="1"/>
  <c r="E72" i="1"/>
  <c r="D72" i="1"/>
  <c r="H71" i="1"/>
  <c r="G71" i="1"/>
  <c r="F71" i="1"/>
  <c r="E71" i="1"/>
  <c r="H70" i="1"/>
  <c r="G70" i="1"/>
  <c r="F70" i="1"/>
  <c r="E70" i="1"/>
  <c r="D70" i="1"/>
  <c r="H69" i="1"/>
  <c r="G69" i="1"/>
  <c r="F69" i="1"/>
  <c r="E69" i="1"/>
  <c r="D69" i="1"/>
  <c r="B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B61" i="1"/>
  <c r="H60" i="1"/>
  <c r="G60" i="1"/>
  <c r="F60" i="1"/>
  <c r="E60" i="1"/>
  <c r="D60" i="1"/>
  <c r="H59" i="1"/>
  <c r="G59" i="1"/>
  <c r="F59" i="1"/>
  <c r="E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H39" i="1"/>
  <c r="G39" i="1"/>
  <c r="F39" i="1"/>
  <c r="E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H32" i="1"/>
  <c r="G32" i="1"/>
  <c r="F32" i="1"/>
  <c r="E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H24" i="1"/>
  <c r="G24" i="1"/>
  <c r="F24" i="1"/>
  <c r="E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5" i="1"/>
  <c r="G5" i="1"/>
  <c r="D5" i="1"/>
</calcChain>
</file>

<file path=xl/sharedStrings.xml><?xml version="1.0" encoding="utf-8"?>
<sst xmlns="http://schemas.openxmlformats.org/spreadsheetml/2006/main" count="1138" uniqueCount="412">
  <si>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</si>
  <si>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</si>
  <si>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</si>
  <si>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</si>
  <si>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</si>
  <si>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</si>
  <si>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</si>
  <si>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</si>
  <si>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</si>
  <si>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</si>
  <si>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</si>
  <si>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</si>
  <si>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</si>
  <si>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</si>
  <si>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</si>
  <si>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</si>
  <si>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¹ În preţuri curente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</si>
  <si>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</si>
  <si>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</si>
  <si>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</si>
  <si>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</si>
  <si>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</si>
  <si>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</si>
  <si>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</si>
  <si>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</si>
  <si>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</si>
  <si>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</si>
  <si>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</si>
  <si>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</si>
  <si>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</si>
  <si>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</si>
  <si>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</si>
  <si>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</si>
  <si>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</si>
  <si>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</si>
  <si>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</si>
  <si>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</si>
  <si>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</si>
  <si>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</si>
  <si>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</si>
  <si>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</si>
  <si>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</si>
  <si>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</si>
  <si>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</si>
  <si>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</si>
  <si>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</si>
  <si>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</si>
  <si>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</si>
  <si>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</si>
  <si>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</si>
  <si>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</si>
  <si>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</si>
  <si>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</si>
  <si>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</si>
  <si>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</si>
  <si>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Israel</t>
  </si>
  <si>
    <t>Egipt</t>
  </si>
  <si>
    <t>Myanmar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</si>
  <si>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</si>
  <si>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</si>
  <si>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</si>
  <si>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</si>
  <si>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</si>
  <si>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</si>
  <si>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</si>
  <si>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</si>
  <si>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</si>
  <si>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</si>
  <si>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</si>
  <si>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</si>
  <si>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</si>
  <si>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</si>
  <si>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</si>
  <si>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</si>
  <si>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</si>
  <si>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</si>
  <si>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</si>
  <si>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</si>
  <si>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</si>
  <si>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</si>
  <si>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</si>
  <si>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</si>
  <si>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</si>
  <si>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</si>
  <si>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Mongolia</t>
  </si>
  <si>
    <t>Peru</t>
  </si>
  <si>
    <t>Kenya</t>
  </si>
  <si>
    <t>EXPORT - total</t>
  </si>
  <si>
    <t>Oman</t>
  </si>
  <si>
    <t>Albania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</si>
  <si>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</si>
  <si>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</si>
  <si>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</si>
  <si>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</si>
  <si>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</si>
  <si>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</si>
  <si>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</si>
  <si>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</si>
  <si>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</si>
  <si>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IMPORT - total</t>
  </si>
  <si>
    <t>Etiopia</t>
  </si>
  <si>
    <t>Bahrain</t>
  </si>
  <si>
    <t xml:space="preserve">   din care:</t>
  </si>
  <si>
    <t>Macedonia de Nord</t>
  </si>
  <si>
    <t>Cote D'Ivoire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</si>
  <si>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</si>
  <si>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</si>
  <si>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</si>
  <si>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</si>
  <si>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</si>
  <si>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</si>
  <si>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</si>
  <si>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</si>
  <si>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</si>
  <si>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</si>
  <si>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</si>
  <si>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</si>
  <si>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</si>
  <si>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</si>
  <si>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</si>
  <si>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</si>
  <si>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</si>
  <si>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</si>
  <si>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</si>
  <si>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</si>
  <si>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</si>
  <si>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</si>
  <si>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</si>
  <si>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</si>
  <si>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</si>
  <si>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</si>
  <si>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</si>
  <si>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</si>
  <si>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</si>
  <si>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</si>
  <si>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</si>
  <si>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</si>
  <si>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</si>
  <si>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</si>
  <si>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</si>
  <si>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</si>
  <si>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</si>
  <si>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</si>
  <si>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</si>
  <si>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</si>
  <si>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</si>
  <si>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</si>
  <si>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</si>
  <si>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</si>
  <si>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</si>
  <si>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</si>
  <si>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</si>
  <si>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</si>
  <si>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</si>
  <si>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</si>
  <si>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</si>
  <si>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</si>
  <si>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</si>
  <si>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</si>
  <si>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</si>
  <si>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</si>
  <si>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</si>
  <si>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</si>
  <si>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</si>
  <si>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</si>
  <si>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</si>
  <si>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</si>
  <si>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</si>
  <si>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</si>
  <si>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</si>
  <si>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</si>
  <si>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</si>
  <si>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</si>
  <si>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</si>
  <si>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</si>
  <si>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</si>
  <si>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</si>
  <si>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</si>
  <si>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</si>
  <si>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</si>
  <si>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</si>
  <si>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</si>
  <si>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</si>
  <si>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</si>
  <si>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</si>
  <si>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</si>
  <si>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</si>
  <si>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</si>
  <si>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</si>
  <si>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</si>
  <si>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</si>
  <si>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</si>
  <si>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</si>
  <si>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</si>
  <si>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</si>
  <si>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</si>
  <si>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</si>
  <si>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</si>
  <si>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</si>
  <si>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</si>
  <si>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</si>
  <si>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</si>
  <si>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</si>
  <si>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</si>
  <si>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</si>
  <si>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</si>
  <si>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</si>
  <si>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</si>
  <si>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</si>
  <si>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</si>
  <si>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</si>
  <si>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</si>
  <si>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</si>
  <si>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</si>
  <si>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</si>
  <si>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</si>
  <si>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</si>
  <si>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</si>
  <si>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</si>
  <si>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</si>
  <si>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</si>
  <si>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</si>
  <si>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</si>
  <si>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</si>
  <si>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</si>
  <si>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</si>
  <si>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</si>
  <si>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</si>
  <si>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</si>
  <si>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</si>
  <si>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</si>
  <si>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</si>
  <si>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</si>
  <si>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</si>
  <si>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</si>
  <si>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</si>
  <si>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</si>
  <si>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</si>
  <si>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</si>
  <si>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</si>
  <si>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</si>
  <si>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</si>
  <si>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</si>
  <si>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</si>
  <si>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</si>
  <si>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</si>
  <si>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</si>
  <si>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</si>
  <si>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</si>
  <si>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</si>
  <si>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</si>
  <si>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</si>
  <si>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</si>
  <si>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</si>
  <si>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</si>
  <si>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</si>
  <si>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</si>
  <si>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Celelalte țări ale lumii</t>
  </si>
  <si>
    <t>Malawi</t>
  </si>
  <si>
    <t>Franța</t>
  </si>
  <si>
    <t>Croația</t>
  </si>
  <si>
    <t>Federația Rusă</t>
  </si>
  <si>
    <t>Cehia</t>
  </si>
  <si>
    <t>Kârgâzstan</t>
  </si>
  <si>
    <t>Taiwan, provincie a Chinei</t>
  </si>
  <si>
    <t>Burkina Faso</t>
  </si>
  <si>
    <t>Regatul Țărilor de Jos (Netherlands)</t>
  </si>
  <si>
    <t>Țările Uniunii Europene - total</t>
  </si>
  <si>
    <t>Gaz și produse industriale obținute din gaz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</si>
  <si>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</si>
  <si>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</si>
  <si>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</si>
  <si>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</si>
  <si>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</si>
  <si>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</si>
  <si>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Uganda</t>
  </si>
  <si>
    <t>Nepal</t>
  </si>
  <si>
    <t>Instrumente şi aparate, profesionale, ştiinţifice şi de control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</si>
  <si>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</si>
  <si>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</si>
  <si>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</si>
  <si>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</si>
  <si>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</si>
  <si>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</si>
  <si>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</si>
  <si>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</si>
  <si>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</si>
  <si>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Sudan</t>
  </si>
  <si>
    <t>Muntenegru</t>
  </si>
  <si>
    <t>Belize</t>
  </si>
  <si>
    <t>Venezuela</t>
  </si>
  <si>
    <t>San Marino</t>
  </si>
  <si>
    <t>Mauritius</t>
  </si>
  <si>
    <t>Guatemala</t>
  </si>
  <si>
    <t>Laos</t>
  </si>
  <si>
    <t>Yemen</t>
  </si>
  <si>
    <t>Haiti</t>
  </si>
  <si>
    <t>Sierra Leone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</si>
  <si>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</si>
  <si>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</si>
  <si>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</si>
  <si>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</si>
  <si>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</si>
  <si>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</si>
  <si>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</si>
  <si>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</si>
  <si>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</si>
  <si>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</si>
  <si>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</si>
  <si>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</si>
  <si>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</si>
  <si>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</si>
  <si>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</si>
  <si>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>Regatul Unit al Marii Britanii și Irlandei de Nord</t>
  </si>
  <si>
    <t>Elveția</t>
  </si>
  <si>
    <t>Mozambic</t>
  </si>
  <si>
    <t>Palau</t>
  </si>
  <si>
    <t>Bosnia și Herțegovina</t>
  </si>
  <si>
    <t>Senegal</t>
  </si>
  <si>
    <t>Barbados</t>
  </si>
  <si>
    <t>Eswatini</t>
  </si>
  <si>
    <t>Trinidad și Tobago</t>
  </si>
  <si>
    <t>Mărfuri manufacturate, clasificate mai ales după materia primă</t>
  </si>
  <si>
    <r>
      <t xml:space="preserve"> </t>
    </r>
    <r>
      <rPr>
        <sz val="9"/>
        <rFont val="Arial"/>
        <family val="2"/>
        <charset val="204"/>
      </rPr>
      <t xml:space="preserve">  din care:</t>
    </r>
  </si>
  <si>
    <t>Mărfuri manufacturate, clasificate iulie ales după materia primă</t>
  </si>
  <si>
    <t>Uruguay</t>
  </si>
  <si>
    <t xml:space="preserve">     din care:</t>
  </si>
  <si>
    <t>de 1,7 ori</t>
  </si>
  <si>
    <t>de 1,9 ori</t>
  </si>
  <si>
    <t>de 3,6 ori</t>
  </si>
  <si>
    <t>de 2,3 ori</t>
  </si>
  <si>
    <t>de 1,8 ori</t>
  </si>
  <si>
    <t>de 2,1 ori</t>
  </si>
  <si>
    <t>de 2,4 ori</t>
  </si>
  <si>
    <t>de 2,9 ori</t>
  </si>
  <si>
    <t>de 3,1 ori</t>
  </si>
  <si>
    <t>de 21,2 ori</t>
  </si>
  <si>
    <t>de 2,2 ori</t>
  </si>
  <si>
    <t>de 6,2 ori</t>
  </si>
  <si>
    <t>de 3,2 ori</t>
  </si>
  <si>
    <t>de 2,0 ori</t>
  </si>
  <si>
    <t>de 3,5 ori</t>
  </si>
  <si>
    <t>de 1,6 ori</t>
  </si>
  <si>
    <t>de 3,4 ori</t>
  </si>
  <si>
    <t>de 2,8 ori</t>
  </si>
  <si>
    <t>x</t>
  </si>
  <si>
    <t>de 91,3 ori</t>
  </si>
  <si>
    <t>de 2,7 ori</t>
  </si>
  <si>
    <t xml:space="preserve">   IMPORT - total      </t>
  </si>
  <si>
    <t>Valoarea, mii dolari SUA</t>
  </si>
  <si>
    <t>BALANŢA COMERCIALĂ - total</t>
  </si>
  <si>
    <t>Djibouti</t>
  </si>
  <si>
    <t>de 3,3 ori</t>
  </si>
  <si>
    <t>de 21,1 ori</t>
  </si>
  <si>
    <t>de 68,7 ori</t>
  </si>
  <si>
    <t>Dominica</t>
  </si>
  <si>
    <t>de 1369,3 ori</t>
  </si>
  <si>
    <t>de 68,4 ori</t>
  </si>
  <si>
    <t>de 5,8 ori</t>
  </si>
  <si>
    <t>de 4,1 ori</t>
  </si>
  <si>
    <t>Piei crude, piei tăbăcite și blănuri brute</t>
  </si>
  <si>
    <t>ianuarie-noiembrie 2022</t>
  </si>
  <si>
    <t>ianuarie-noiembrie 2023</t>
  </si>
  <si>
    <r>
      <t>Ianuarie-noiembrie 2023                           în % față de                             ianuarie-noiembrie 2022</t>
    </r>
    <r>
      <rPr>
        <b/>
        <vertAlign val="superscript"/>
        <sz val="9"/>
        <rFont val="Arial"/>
        <family val="2"/>
        <charset val="204"/>
      </rPr>
      <t>1</t>
    </r>
  </si>
  <si>
    <r>
      <t>ianuarie-noiembrie 2022</t>
    </r>
    <r>
      <rPr>
        <b/>
        <vertAlign val="superscript"/>
        <sz val="9"/>
        <rFont val="Arial"/>
        <family val="2"/>
        <charset val="204"/>
      </rPr>
      <t>1,2</t>
    </r>
  </si>
  <si>
    <r>
      <t>ianuarie-noiembrie 2023</t>
    </r>
    <r>
      <rPr>
        <b/>
        <vertAlign val="superscript"/>
        <sz val="9"/>
        <rFont val="Arial"/>
        <family val="2"/>
        <charset val="204"/>
      </rPr>
      <t>1,2</t>
    </r>
  </si>
  <si>
    <r>
      <t>Ianuarie-noiembrie 2023
în % faţă de ianuarie-noiembrie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</si>
  <si>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>Ianuarie-noiembrie 2023                             în % față de                             ianuarie-noiembrie 2022</t>
    </r>
    <r>
      <rPr>
        <b/>
        <vertAlign val="superscript"/>
        <sz val="9"/>
        <rFont val="Arial"/>
        <family val="2"/>
        <charset val="204"/>
      </rPr>
      <t>1</t>
    </r>
  </si>
  <si>
    <t>de 18,8 ori</t>
  </si>
  <si>
    <t>de 25,1 ori</t>
  </si>
  <si>
    <t>de 20,2 ori</t>
  </si>
  <si>
    <t>de 15,5 ori</t>
  </si>
  <si>
    <t>de 5,4 ori</t>
  </si>
  <si>
    <t>de 24,9 ori</t>
  </si>
  <si>
    <t>de 6,3 ori</t>
  </si>
  <si>
    <t>Panama</t>
  </si>
  <si>
    <t>Madagascar</t>
  </si>
  <si>
    <t>de 3,0 ori</t>
  </si>
  <si>
    <t>de 4,4 ori</t>
  </si>
  <si>
    <t>de 46,7 ori</t>
  </si>
  <si>
    <t>de1199,3 ori</t>
  </si>
  <si>
    <t>de 32,2 ori</t>
  </si>
  <si>
    <t>de 15,9 ori</t>
  </si>
  <si>
    <t>de 214,7 ori</t>
  </si>
  <si>
    <t>de 40,0 ori</t>
  </si>
  <si>
    <t>de 10,1 ori</t>
  </si>
  <si>
    <t>de 25,7 ori</t>
  </si>
  <si>
    <t>de 7,4 ori</t>
  </si>
  <si>
    <t>de 16,6 ori</t>
  </si>
  <si>
    <t>de 4,0 ori</t>
  </si>
  <si>
    <t>de 365,0 ori</t>
  </si>
  <si>
    <t>de 6,1 ori</t>
  </si>
  <si>
    <t>de 48,4 ori</t>
  </si>
  <si>
    <t>de 283,1 ori</t>
  </si>
  <si>
    <t>de 5,0 ori</t>
  </si>
  <si>
    <t>de 842,7 ori</t>
  </si>
  <si>
    <t>de 5,1 ori</t>
  </si>
  <si>
    <t>de 40,9 ori</t>
  </si>
  <si>
    <t>de 6,0 ori</t>
  </si>
  <si>
    <t>de 4,6 ori</t>
  </si>
  <si>
    <t>Republica Arabă Siriană</t>
  </si>
  <si>
    <t>Mărfuri produse în UE, la care țara de origine nu poate fi identificată</t>
  </si>
  <si>
    <t xml:space="preserve">   EXPORT - total</t>
  </si>
  <si>
    <t xml:space="preserve">      din care:</t>
  </si>
  <si>
    <t>Insulele Faroe</t>
  </si>
  <si>
    <t>Mexico</t>
  </si>
  <si>
    <t>Indonesia</t>
  </si>
  <si>
    <t>Malaesia</t>
  </si>
  <si>
    <t xml:space="preserve">Tanzania, Republica Unită </t>
  </si>
  <si>
    <r>
      <t>Ianuarie-noiembrie 2023
în % faţă de           ianuarie-noiembrie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</si>
  <si>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t xml:space="preserve">Mărfuri produse în UE, la care țara de origine nu poate fi identificată 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</si>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</sst>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_ ;[Red]\-#,##0.00\ "/>
  </numFmts>
  <fonts count="38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4" fontId="1" fillId="0" borderId="0" xfId="0" applyNumberFormat="1" applyFont="1"/>
    <xf numFmtId="0" fontId="30" fillId="0" borderId="0" xfId="0" applyFont="1"/>
    <xf numFmtId="0" fontId="22" fillId="0" borderId="0" xfId="0" applyFont="1" applyAlignment="1">
      <alignment vertical="top" wrapTex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4" fillId="0" borderId="0" xfId="0" applyFont="1"/>
    <xf numFmtId="4" fontId="18" fillId="0" borderId="0" xfId="0" applyNumberFormat="1" applyFont="1" applyAlignment="1">
      <alignment horizontal="right" vertical="top" wrapText="1" indent="1"/>
    </xf>
    <xf numFmtId="4" fontId="17" fillId="0" borderId="0" xfId="0" applyNumberFormat="1" applyFont="1" applyAlignment="1">
      <alignment horizontal="right" vertical="top" wrapText="1" indent="1"/>
    </xf>
    <xf numFmtId="4" fontId="21" fillId="0" borderId="0" xfId="0" applyNumberFormat="1" applyFont="1" applyAlignment="1">
      <alignment horizontal="right" vertical="top" indent="1"/>
    </xf>
    <xf numFmtId="4" fontId="18" fillId="0" borderId="3" xfId="0" applyNumberFormat="1" applyFont="1" applyBorder="1" applyAlignment="1">
      <alignment horizontal="right" vertical="top" indent="1"/>
    </xf>
    <xf numFmtId="4" fontId="29" fillId="0" borderId="0" xfId="0" applyNumberFormat="1" applyFont="1" applyAlignment="1">
      <alignment horizontal="right" vertical="top" indent="1"/>
    </xf>
    <xf numFmtId="0" fontId="13" fillId="0" borderId="0" xfId="0" applyFont="1" applyAlignment="1">
      <alignment horizontal="right" vertical="top" indent="1"/>
    </xf>
    <xf numFmtId="4" fontId="14" fillId="0" borderId="0" xfId="0" applyNumberFormat="1" applyFont="1" applyAlignment="1">
      <alignment horizontal="right" vertical="top" indent="1"/>
    </xf>
    <xf numFmtId="4" fontId="20" fillId="0" borderId="0" xfId="0" applyNumberFormat="1" applyFont="1" applyAlignment="1">
      <alignment horizontal="right" vertical="top" wrapText="1" indent="1"/>
    </xf>
    <xf numFmtId="4" fontId="34" fillId="0" borderId="0" xfId="0" applyNumberFormat="1" applyFont="1" applyAlignment="1">
      <alignment horizontal="right" vertical="top" indent="1"/>
    </xf>
    <xf numFmtId="4" fontId="12" fillId="0" borderId="5" xfId="0" applyNumberFormat="1" applyFont="1" applyBorder="1" applyAlignment="1">
      <alignment horizontal="right" vertical="top" wrapText="1" indent="1"/>
    </xf>
    <xf numFmtId="4" fontId="12" fillId="0" borderId="5" xfId="0" applyNumberFormat="1" applyFont="1" applyBorder="1" applyAlignment="1">
      <alignment horizontal="right" vertical="top" indent="1"/>
    </xf>
    <xf numFmtId="4" fontId="12" fillId="0" borderId="0" xfId="0" applyNumberFormat="1" applyFont="1" applyAlignment="1">
      <alignment horizontal="right" vertical="top" indent="1"/>
    </xf>
    <xf numFmtId="165" fontId="1" fillId="0" borderId="0" xfId="0" applyNumberFormat="1" applyFont="1"/>
    <xf numFmtId="4" fontId="37" fillId="0" borderId="0" xfId="0" applyNumberFormat="1" applyFont="1" applyAlignment="1">
      <alignment horizontal="right" vertical="top" indent="1"/>
    </xf>
    <xf numFmtId="0" fontId="12" fillId="0" borderId="5" xfId="0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wrapText="1" indent="1"/>
    </xf>
    <xf numFmtId="0" fontId="17" fillId="0" borderId="0" xfId="0" applyFont="1" applyAlignment="1">
      <alignment horizontal="left" vertical="top" wrapText="1" indent="1"/>
    </xf>
    <xf numFmtId="38" fontId="18" fillId="0" borderId="0" xfId="0" applyNumberFormat="1" applyFont="1" applyAlignment="1">
      <alignment horizontal="left" vertical="top" wrapText="1" indent="1"/>
    </xf>
    <xf numFmtId="0" fontId="21" fillId="0" borderId="0" xfId="0" applyFont="1" applyAlignment="1">
      <alignment horizontal="left" vertical="top" wrapText="1" indent="1"/>
    </xf>
    <xf numFmtId="2" fontId="21" fillId="0" borderId="0" xfId="0" applyNumberFormat="1" applyFont="1" applyAlignment="1">
      <alignment horizontal="left" vertical="top" wrapText="1" indent="1"/>
    </xf>
    <xf numFmtId="0" fontId="21" fillId="0" borderId="3" xfId="0" applyFont="1" applyBorder="1" applyAlignment="1">
      <alignment horizontal="left" vertical="top" wrapText="1" indent="1"/>
    </xf>
    <xf numFmtId="4" fontId="20" fillId="0" borderId="0" xfId="0" applyNumberFormat="1" applyFont="1" applyAlignment="1">
      <alignment horizontal="right" vertical="top" indent="1"/>
    </xf>
    <xf numFmtId="4" fontId="21" fillId="0" borderId="3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0" fontId="18" fillId="0" borderId="0" xfId="0" applyFont="1" applyAlignment="1">
      <alignment horizontal="left" vertical="top" wrapText="1" indent="1"/>
    </xf>
    <xf numFmtId="38" fontId="18" fillId="0" borderId="3" xfId="0" applyNumberFormat="1" applyFont="1" applyBorder="1" applyAlignment="1">
      <alignment horizontal="left" vertical="top" wrapText="1" indent="1"/>
    </xf>
    <xf numFmtId="4" fontId="18" fillId="0" borderId="3" xfId="0" applyNumberFormat="1" applyFont="1" applyBorder="1" applyAlignment="1">
      <alignment horizontal="right" vertical="top" wrapText="1" indent="1"/>
    </xf>
    <xf numFmtId="0" fontId="12" fillId="0" borderId="0" xfId="0" applyFont="1" applyAlignment="1">
      <alignment horizontal="left" vertical="top" wrapText="1" indent="1"/>
    </xf>
    <xf numFmtId="0" fontId="18" fillId="0" borderId="3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/>
    </xf>
    <xf numFmtId="4" fontId="30" fillId="0" borderId="0" xfId="0" applyNumberFormat="1" applyFont="1" applyAlignment="1">
      <alignment horizontal="right" vertical="top" indent="1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20"/>
  <sheetViews>
    <sheetView tabSelected="1" zoomScaleNormal="100" workbookViewId="0">
      <selection sqref="A1:H1"/>
    </sheetView>
  </sheetViews>
  <sheetFormatPr defaultRowHeight="15.75" x14ac:dyDescent="0.25"/>
  <cols>
    <col min="1" max="1" width="35.875" style="15" customWidth="1"/>
    <col min="2" max="3" width="13.875" style="15" customWidth="1"/>
    <col min="4" max="4" width="12.875" style="15" customWidth="1"/>
    <col min="5" max="5" width="10.75" style="15" customWidth="1"/>
    <col min="6" max="6" width="10.875" style="15" customWidth="1"/>
    <col min="7" max="7" width="10.625" style="15" customWidth="1"/>
    <col min="8" max="8" width="11.25" style="15" customWidth="1"/>
    <col min="10" max="10" width="8.875" customWidth="1"/>
  </cols>
  <sheetData>
    <row r="1" spans="1:10" x14ac:dyDescent="0.25">
      <c r="A1" s="74" t="s">
        <v>299</v>
      </c>
      <c r="B1" s="74"/>
      <c r="C1" s="74"/>
      <c r="D1" s="74"/>
      <c r="E1" s="74"/>
      <c r="F1" s="74"/>
      <c r="G1" s="74"/>
      <c r="H1" s="74"/>
    </row>
    <row r="2" spans="1:10" x14ac:dyDescent="0.25">
      <c r="A2" s="81"/>
      <c r="B2" s="81"/>
      <c r="C2" s="81"/>
      <c r="D2" s="81"/>
      <c r="E2" s="81"/>
      <c r="F2" s="81"/>
      <c r="G2" s="81"/>
      <c r="H2" s="81"/>
    </row>
    <row r="3" spans="1:10" ht="51" customHeight="1" x14ac:dyDescent="0.25">
      <c r="A3" s="75"/>
      <c r="B3" s="77" t="s">
        <v>349</v>
      </c>
      <c r="C3" s="84"/>
      <c r="D3" s="82" t="s">
        <v>363</v>
      </c>
      <c r="E3" s="77" t="s">
        <v>91</v>
      </c>
      <c r="F3" s="78"/>
      <c r="G3" s="79" t="s">
        <v>309</v>
      </c>
      <c r="H3" s="80"/>
    </row>
    <row r="4" spans="1:10" ht="44.25" customHeight="1" x14ac:dyDescent="0.25">
      <c r="A4" s="76"/>
      <c r="B4" s="13" t="s">
        <v>361</v>
      </c>
      <c r="C4" s="13" t="s">
        <v>362</v>
      </c>
      <c r="D4" s="83"/>
      <c r="E4" s="13" t="s">
        <v>361</v>
      </c>
      <c r="F4" s="13" t="s">
        <v>362</v>
      </c>
      <c r="G4" s="13" t="s">
        <v>364</v>
      </c>
      <c r="H4" s="12" t="s">
        <v>365</v>
      </c>
    </row>
    <row r="5" spans="1:10" s="16" customFormat="1" ht="15.75" customHeight="1" x14ac:dyDescent="0.2">
      <c r="A5" s="57" t="s">
        <v>402</v>
      </c>
      <c r="B5" s="52">
        <v>3985166.5274</v>
      </c>
      <c r="C5" s="52">
        <v>3737310.6439299998</v>
      </c>
      <c r="D5" s="53">
        <f>IF(3985166.5274="","-",3737310.64393/3985166.5274*100)</f>
        <v>93.780538861654392</v>
      </c>
      <c r="E5" s="53">
        <v>100</v>
      </c>
      <c r="F5" s="53">
        <v>100</v>
      </c>
      <c r="G5" s="53">
        <f>IF(2819533.73145="","-",(3985166.5274-2819533.73145)/2819533.73145*100)</f>
        <v>41.341331829023765</v>
      </c>
      <c r="H5" s="53">
        <f>IF(3985166.5274="","-",(3737310.64393-3985166.5274)/3985166.5274*100)</f>
        <v>-6.2194611383456095</v>
      </c>
      <c r="I5" s="24"/>
    </row>
    <row r="6" spans="1:10" ht="13.5" customHeight="1" x14ac:dyDescent="0.25">
      <c r="A6" s="37" t="s">
        <v>403</v>
      </c>
      <c r="B6" s="43"/>
      <c r="C6" s="43"/>
      <c r="D6" s="64"/>
      <c r="E6" s="64"/>
      <c r="F6" s="64"/>
      <c r="G6" s="64"/>
      <c r="H6" s="64"/>
    </row>
    <row r="7" spans="1:10" x14ac:dyDescent="0.25">
      <c r="A7" s="59" t="s">
        <v>109</v>
      </c>
      <c r="B7" s="44">
        <v>2353864.7222099998</v>
      </c>
      <c r="C7" s="19">
        <v>2435574.7554199998</v>
      </c>
      <c r="D7" s="19">
        <f>IF(2353864.72221="","-",2435574.75542/2353864.72221*100)</f>
        <v>103.47131389663227</v>
      </c>
      <c r="E7" s="19">
        <f>IF(2353864.72221="","-",2353864.72221/3985166.5274*100)</f>
        <v>59.065655249937741</v>
      </c>
      <c r="F7" s="19">
        <f>IF(2435574.75542="","-",2435574.75542/3737310.64393*100)</f>
        <v>65.169181464103588</v>
      </c>
      <c r="G7" s="19">
        <f>IF(2819533.73145="","-",(2353864.72221-1728523.81623)/2819533.73145*100)</f>
        <v>22.178876564048274</v>
      </c>
      <c r="H7" s="19">
        <f>IF(3985166.5274="","-",(2435574.75542-2353864.72221)/3985166.5274*100)</f>
        <v>2.0503542988279899</v>
      </c>
      <c r="J7" s="7"/>
    </row>
    <row r="8" spans="1:10" x14ac:dyDescent="0.25">
      <c r="A8" s="60" t="s">
        <v>0</v>
      </c>
      <c r="B8" s="43">
        <v>1144824.07017</v>
      </c>
      <c r="C8" s="20">
        <v>1307894.93095</v>
      </c>
      <c r="D8" s="20">
        <f>IF(OR(1144824.07017="",1307894.93095=""),"-",1307894.93095/1144824.07017*100)</f>
        <v>114.24418520094402</v>
      </c>
      <c r="E8" s="20">
        <f>IF(1144824.07017="","-",1144824.07017/3985166.5274*100)</f>
        <v>28.727132537593235</v>
      </c>
      <c r="F8" s="20">
        <f>IF(1307894.93095="","-",1307894.93095/3737310.64393*100)</f>
        <v>34.995617318411412</v>
      </c>
      <c r="G8" s="20">
        <f>IF(OR(2819533.73145="",751578.24299="",1144824.07017=""),"-",(1144824.07017-751578.24299)/2819533.73145*100)</f>
        <v>13.947193565858337</v>
      </c>
      <c r="H8" s="20">
        <f>IF(OR(3985166.5274="",1307894.93095="",1144824.07017=""),"-",(1307894.93095-1144824.07017)/3985166.5274*100)</f>
        <v>4.0919459615754272</v>
      </c>
    </row>
    <row r="9" spans="1:10" x14ac:dyDescent="0.25">
      <c r="A9" s="60" t="s">
        <v>1</v>
      </c>
      <c r="B9" s="43">
        <v>310091.92111</v>
      </c>
      <c r="C9" s="20">
        <v>236728.53304000001</v>
      </c>
      <c r="D9" s="20">
        <f>IF(OR(310091.92111="",236728.53304=""),"-",236728.53304/310091.92111*100)</f>
        <v>76.34140618453084</v>
      </c>
      <c r="E9" s="20">
        <f>IF(310091.92111="","-",310091.92111/3985166.5274*100)</f>
        <v>7.7811534092230268</v>
      </c>
      <c r="F9" s="20">
        <f>IF(236728.53304="","-",236728.53304/3737310.64393*100)</f>
        <v>6.3341947082853718</v>
      </c>
      <c r="G9" s="20">
        <f>IF(OR(2819533.73145="",220026.93342="",310091.92111=""),"-",(310091.92111-220026.93342)/2819533.73145*100)</f>
        <v>3.1943220499682528</v>
      </c>
      <c r="H9" s="20">
        <f>IF(OR(3985166.5274="",236728.53304="",310091.92111=""),"-",(236728.53304-310091.92111)/3985166.5274*100)</f>
        <v>-1.8409114792466073</v>
      </c>
    </row>
    <row r="10" spans="1:10" x14ac:dyDescent="0.25">
      <c r="A10" s="60" t="s">
        <v>2</v>
      </c>
      <c r="B10" s="43">
        <v>217474.04603999999</v>
      </c>
      <c r="C10" s="20">
        <v>204994.36682</v>
      </c>
      <c r="D10" s="20">
        <f>IF(OR(217474.04604="",204994.36682=""),"-",204994.36682/217474.04604*100)</f>
        <v>94.261531687461869</v>
      </c>
      <c r="E10" s="20">
        <f>IF(217474.04604="","-",217474.04604/3985166.5274*100)</f>
        <v>5.4570880424885102</v>
      </c>
      <c r="F10" s="20">
        <f>IF(204994.36682="","-",204994.36682/3737310.64393*100)</f>
        <v>5.4850770072577237</v>
      </c>
      <c r="G10" s="20">
        <f>IF(OR(2819533.73145="",232012.55819="",217474.04604=""),"-",(217474.04604-232012.55819)/2819533.73145*100)</f>
        <v>-0.51563533316990373</v>
      </c>
      <c r="H10" s="20">
        <f>IF(OR(3985166.5274="",204994.36682="",217474.04604=""),"-",(204994.36682-217474.04604)/3985166.5274*100)</f>
        <v>-0.31315326810551064</v>
      </c>
    </row>
    <row r="11" spans="1:10" x14ac:dyDescent="0.25">
      <c r="A11" s="60" t="s">
        <v>262</v>
      </c>
      <c r="B11" s="43">
        <v>96485.136450000005</v>
      </c>
      <c r="C11" s="20">
        <v>146791.99538000001</v>
      </c>
      <c r="D11" s="20">
        <f>IF(OR(96485.13645="",146791.99538=""),"-",146791.99538/96485.13645*100)</f>
        <v>152.13949089046451</v>
      </c>
      <c r="E11" s="20">
        <f>IF(96485.13645="","-",96485.13645/3985166.5274*100)</f>
        <v>2.4211067664705288</v>
      </c>
      <c r="F11" s="20">
        <f>IF(146791.99538="","-",146791.99538/3737310.64393*100)</f>
        <v>3.9277440214506671</v>
      </c>
      <c r="G11" s="20">
        <f>IF(OR(2819533.73145="",72846.58021="",96485.13645=""),"-",(96485.13645-72846.58021)/2819533.73145*100)</f>
        <v>0.83838529670093431</v>
      </c>
      <c r="H11" s="20">
        <f>IF(OR(3985166.5274="",146791.99538="",96485.13645=""),"-",(146791.99538-96485.13645)/3985166.5274*100)</f>
        <v>1.2623527419523213</v>
      </c>
    </row>
    <row r="12" spans="1:10" s="4" customFormat="1" x14ac:dyDescent="0.25">
      <c r="A12" s="60" t="s">
        <v>3</v>
      </c>
      <c r="B12" s="43">
        <v>113903.90359</v>
      </c>
      <c r="C12" s="20">
        <v>120135.86167</v>
      </c>
      <c r="D12" s="20">
        <f>IF(OR(113903.90359="",120135.86167=""),"-",120135.86167/113903.90359*100)</f>
        <v>105.47124188336167</v>
      </c>
      <c r="E12" s="20">
        <f>IF(113903.90359="","-",113903.90359/3985166.5274*100)</f>
        <v>2.8581968358625436</v>
      </c>
      <c r="F12" s="20">
        <f>IF(120135.86167="","-",120135.86167/3737310.64393*100)</f>
        <v>3.2145002948877206</v>
      </c>
      <c r="G12" s="20">
        <f>IF(OR(2819533.73145="",99486.35369="",113903.90359=""),"-",(113903.90359-99486.35369)/2819533.73145*100)</f>
        <v>0.51134518233216852</v>
      </c>
      <c r="H12" s="20">
        <f>IF(OR(3985166.5274="",120135.86167="",113903.90359=""),"-",(120135.86167-113903.90359)/3985166.5274*100)</f>
        <v>0.15637886239262996</v>
      </c>
    </row>
    <row r="13" spans="1:10" s="4" customFormat="1" x14ac:dyDescent="0.25">
      <c r="A13" s="60" t="s">
        <v>4</v>
      </c>
      <c r="B13" s="43">
        <v>139470.08775999999</v>
      </c>
      <c r="C13" s="20">
        <v>79054.71256</v>
      </c>
      <c r="D13" s="20">
        <f>IF(OR(139470.08776="",79054.71256=""),"-",79054.71256/139470.08776*100)</f>
        <v>56.682198907078394</v>
      </c>
      <c r="E13" s="20">
        <f>IF(139470.08776="","-",139470.08776/3985166.5274*100)</f>
        <v>3.4997304830569522</v>
      </c>
      <c r="F13" s="20">
        <f>IF(79054.71256="","-",79054.71256/3737310.64393*100)</f>
        <v>2.1152834241487981</v>
      </c>
      <c r="G13" s="20">
        <f>IF(OR(2819533.73145="",65448.73054="",139470.08776=""),"-",(139470.08776-65448.73054)/2819533.73145*100)</f>
        <v>2.6253049003933389</v>
      </c>
      <c r="H13" s="20">
        <f>IF(OR(3985166.5274="",79054.71256="",139470.08776=""),"-",(79054.71256-139470.08776)/3985166.5274*100)</f>
        <v>-1.516006289438955</v>
      </c>
    </row>
    <row r="14" spans="1:10" s="4" customFormat="1" x14ac:dyDescent="0.25">
      <c r="A14" s="60" t="s">
        <v>34</v>
      </c>
      <c r="B14" s="43">
        <v>34470.638350000001</v>
      </c>
      <c r="C14" s="20">
        <v>54426.045489999997</v>
      </c>
      <c r="D14" s="20">
        <f>IF(OR(34470.63835="",54426.04549=""),"-",54426.04549/34470.63835*100)</f>
        <v>157.89102869921177</v>
      </c>
      <c r="E14" s="20">
        <f>IF(34470.63835="","-",34470.63835/3985166.5274*100)</f>
        <v>0.86497359929622097</v>
      </c>
      <c r="F14" s="20">
        <f>IF(54426.04549="","-",54426.04549/3737310.64393*100)</f>
        <v>1.4562890451291959</v>
      </c>
      <c r="G14" s="20">
        <f>IF(OR(2819533.73145="",44113.14106="",34470.63835=""),"-",(34470.63835-44113.14106)/2819533.73145*100)</f>
        <v>-0.34198926590039969</v>
      </c>
      <c r="H14" s="20">
        <f>IF(OR(3985166.5274="",54426.04549="",34470.63835=""),"-",(54426.04549-34470.63835)/3985166.5274*100)</f>
        <v>0.50074211460918028</v>
      </c>
    </row>
    <row r="15" spans="1:10" s="4" customFormat="1" x14ac:dyDescent="0.25">
      <c r="A15" s="60" t="s">
        <v>36</v>
      </c>
      <c r="B15" s="43">
        <v>49611.014369999997</v>
      </c>
      <c r="C15" s="20">
        <v>44134.56839</v>
      </c>
      <c r="D15" s="20">
        <f>IF(OR(49611.01437="",44134.56839=""),"-",44134.56839/49611.01437*100)</f>
        <v>88.961229578664643</v>
      </c>
      <c r="E15" s="20">
        <f>IF(49611.01437="","-",49611.01437/3985166.5274*100)</f>
        <v>1.2448918766355088</v>
      </c>
      <c r="F15" s="20">
        <f>IF(44134.56839="","-",44134.56839/3737310.64393*100)</f>
        <v>1.1809178469464858</v>
      </c>
      <c r="G15" s="20">
        <f>IF(OR(2819533.73145="",38829.35444="",49611.01437=""),"-",(49611.01437-38829.35444)/2819533.73145*100)</f>
        <v>0.38239159226001945</v>
      </c>
      <c r="H15" s="20">
        <f>IF(OR(3985166.5274="",44134.56839="",49611.01437=""),"-",(44134.56839-49611.01437)/3985166.5274*100)</f>
        <v>-0.13742075625564726</v>
      </c>
    </row>
    <row r="16" spans="1:10" s="4" customFormat="1" x14ac:dyDescent="0.25">
      <c r="A16" s="60" t="s">
        <v>266</v>
      </c>
      <c r="B16" s="43">
        <v>61543.924780000001</v>
      </c>
      <c r="C16" s="20">
        <v>43086.249040000002</v>
      </c>
      <c r="D16" s="20">
        <f>IF(OR(61543.92478="",43086.24904=""),"-",43086.24904/61543.92478*100)</f>
        <v>70.008939459125614</v>
      </c>
      <c r="E16" s="20">
        <f>IF(61543.92478="","-",61543.92478/3985166.5274*100)</f>
        <v>1.5443250453112796</v>
      </c>
      <c r="F16" s="20">
        <f>IF(43086.24904="","-",43086.24904/3737310.64393*100)</f>
        <v>1.1528677475601092</v>
      </c>
      <c r="G16" s="20">
        <f>IF(OR(2819533.73145="",32766.39989="",61543.92478=""),"-",(61543.92478-32766.39989)/2819533.73145*100)</f>
        <v>1.0206483635576369</v>
      </c>
      <c r="H16" s="20">
        <f>IF(OR(3985166.5274="",43086.24904="",61543.92478=""),"-",(43086.24904-61543.92478)/3985166.5274*100)</f>
        <v>-0.46315945928719182</v>
      </c>
    </row>
    <row r="17" spans="1:8" s="4" customFormat="1" x14ac:dyDescent="0.25">
      <c r="A17" s="60" t="s">
        <v>259</v>
      </c>
      <c r="B17" s="43">
        <v>34710.734969999998</v>
      </c>
      <c r="C17" s="20">
        <v>36500.90868</v>
      </c>
      <c r="D17" s="20">
        <f>IF(OR(34710.73497="",36500.90868=""),"-",36500.90868/34710.73497*100)</f>
        <v>105.15740652437128</v>
      </c>
      <c r="E17" s="20">
        <f>IF(34710.73497="","-",34710.73497/3985166.5274*100)</f>
        <v>0.87099835681511539</v>
      </c>
      <c r="F17" s="20">
        <f>IF(36500.90868="","-",36500.90868/3737310.64393*100)</f>
        <v>0.97666242273126025</v>
      </c>
      <c r="G17" s="20">
        <f>IF(OR(2819533.73145="",28854.58693="",34710.73497=""),"-",(34710.73497-28854.58693)/2819533.73145*100)</f>
        <v>0.20769916581165918</v>
      </c>
      <c r="H17" s="20">
        <f>IF(OR(3985166.5274="",36500.90868="",34710.73497=""),"-",(36500.90868-34710.73497)/3985166.5274*100)</f>
        <v>4.4920926081549392E-2</v>
      </c>
    </row>
    <row r="18" spans="1:8" s="6" customFormat="1" x14ac:dyDescent="0.25">
      <c r="A18" s="60" t="s">
        <v>6</v>
      </c>
      <c r="B18" s="43">
        <v>30269.563839999999</v>
      </c>
      <c r="C18" s="20">
        <v>34213.697670000001</v>
      </c>
      <c r="D18" s="20">
        <f>IF(OR(30269.56384="",34213.69767=""),"-",34213.69767/30269.56384*100)</f>
        <v>113.03003191868919</v>
      </c>
      <c r="E18" s="20">
        <f>IF(30269.56384="","-",30269.56384/3985166.5274*100)</f>
        <v>0.75955580856864346</v>
      </c>
      <c r="F18" s="20">
        <f>IF(34213.69767="","-",34213.69767/3737310.64393*100)</f>
        <v>0.91546304093208331</v>
      </c>
      <c r="G18" s="20">
        <f>IF(OR(2819533.73145="",35316.78253="",30269.56384=""),"-",(30269.56384-35316.78253)/2819533.73145*100)</f>
        <v>-0.17900898413456354</v>
      </c>
      <c r="H18" s="20">
        <f>IF(OR(3985166.5274="",34213.69767="",30269.56384=""),"-",(34213.69767-30269.56384)/3985166.5274*100)</f>
        <v>9.8970364296752031E-2</v>
      </c>
    </row>
    <row r="19" spans="1:8" s="4" customFormat="1" x14ac:dyDescent="0.25">
      <c r="A19" s="60" t="s">
        <v>41</v>
      </c>
      <c r="B19" s="43">
        <v>14529.66145</v>
      </c>
      <c r="C19" s="20">
        <v>27169.200369999999</v>
      </c>
      <c r="D19" s="20" t="s">
        <v>328</v>
      </c>
      <c r="E19" s="20">
        <f>IF(14529.66145="","-",14529.66145/3985166.5274*100)</f>
        <v>0.3645935834826815</v>
      </c>
      <c r="F19" s="20">
        <f>IF(27169.20037="","-",27169.20037/3737310.64393*100)</f>
        <v>0.72697195814126925</v>
      </c>
      <c r="G19" s="20">
        <f>IF(OR(2819533.73145="",10342.6263="",14529.66145=""),"-",(14529.66145-10342.6263)/2819533.73145*100)</f>
        <v>0.14850097742390675</v>
      </c>
      <c r="H19" s="20">
        <f>IF(OR(3985166.5274="",27169.20037="",14529.66145=""),"-",(27169.20037-14529.66145)/3985166.5274*100)</f>
        <v>0.31716463623532137</v>
      </c>
    </row>
    <row r="20" spans="1:8" s="4" customFormat="1" x14ac:dyDescent="0.25">
      <c r="A20" s="60" t="s">
        <v>5</v>
      </c>
      <c r="B20" s="43">
        <v>20160.19267</v>
      </c>
      <c r="C20" s="20">
        <v>21555.312809999999</v>
      </c>
      <c r="D20" s="20">
        <f>IF(OR(20160.19267="",21555.31281=""),"-",21555.31281/20160.19267*100)</f>
        <v>106.92017265329041</v>
      </c>
      <c r="E20" s="20">
        <f>IF(20160.19267="","-",20160.19267/3985166.5274*100)</f>
        <v>0.50588080902990273</v>
      </c>
      <c r="F20" s="20">
        <f>IF(21555.31281="","-",21555.31281/3737310.64393*100)</f>
        <v>0.57675999839642256</v>
      </c>
      <c r="G20" s="20">
        <f>IF(OR(2819533.73145="",20362.80964="",20160.19267=""),"-",(20160.19267-20362.80964)/2819533.73145*100)</f>
        <v>-7.1861871251953213E-3</v>
      </c>
      <c r="H20" s="20">
        <f>IF(OR(3985166.5274="",21555.31281="",20160.19267=""),"-",(21555.31281-20160.19267)/3985166.5274*100)</f>
        <v>3.5007825404731643E-2</v>
      </c>
    </row>
    <row r="21" spans="1:8" s="4" customFormat="1" x14ac:dyDescent="0.25">
      <c r="A21" s="60" t="s">
        <v>37</v>
      </c>
      <c r="B21" s="43">
        <v>13910.19184</v>
      </c>
      <c r="C21" s="20">
        <v>18328.401949999999</v>
      </c>
      <c r="D21" s="20">
        <f>IF(OR(13910.19184="",18328.40195=""),"-",18328.40195/13910.19184*100)</f>
        <v>131.7623952337957</v>
      </c>
      <c r="E21" s="20">
        <f>IF(13910.19184="","-",13910.19184/3985166.5274*100)</f>
        <v>0.34904919893210279</v>
      </c>
      <c r="F21" s="20">
        <f>IF(18328.40195="","-",18328.40195/3737310.64393*100)</f>
        <v>0.49041687181578836</v>
      </c>
      <c r="G21" s="20">
        <f>IF(OR(2819533.73145="",7326.50012="",13910.19184=""),"-",(13910.19184-7326.50012)/2819533.73145*100)</f>
        <v>0.23350285355920211</v>
      </c>
      <c r="H21" s="20">
        <f>IF(OR(3985166.5274="",18328.40195="",13910.19184=""),"-",(18328.40195-13910.19184)/3985166.5274*100)</f>
        <v>0.11086638612521234</v>
      </c>
    </row>
    <row r="22" spans="1:8" s="4" customFormat="1" x14ac:dyDescent="0.25">
      <c r="A22" s="60" t="s">
        <v>35</v>
      </c>
      <c r="B22" s="43">
        <v>16607.628680000002</v>
      </c>
      <c r="C22" s="20">
        <v>13362.66172</v>
      </c>
      <c r="D22" s="20">
        <f>IF(OR(16607.62868="",13362.66172=""),"-",13362.66172/16607.62868*100)</f>
        <v>80.460985595687092</v>
      </c>
      <c r="E22" s="20">
        <f>IF(16607.62868="","-",16607.62868/3985166.5274*100)</f>
        <v>0.41673612798397014</v>
      </c>
      <c r="F22" s="20">
        <f>IF(13362.66172="","-",13362.66172/3737310.64393*100)</f>
        <v>0.35754752529611461</v>
      </c>
      <c r="G22" s="20">
        <f>IF(OR(2819533.73145="",19704.33824="",16607.62868=""),"-",(16607.62868-19704.33824)/2819533.73145*100)</f>
        <v>-0.10983055550846191</v>
      </c>
      <c r="H22" s="20">
        <f>IF(OR(3985166.5274="",13362.66172="",16607.62868=""),"-",(13362.66172-16607.62868)/3985166.5274*100)</f>
        <v>-8.1426132074763791E-2</v>
      </c>
    </row>
    <row r="23" spans="1:8" s="4" customFormat="1" x14ac:dyDescent="0.25">
      <c r="A23" s="60" t="s">
        <v>38</v>
      </c>
      <c r="B23" s="43">
        <v>16093.097320000001</v>
      </c>
      <c r="C23" s="20">
        <v>12221.92051</v>
      </c>
      <c r="D23" s="20">
        <f>IF(OR(16093.09732="",12221.92051=""),"-",12221.92051/16093.09732*100)</f>
        <v>75.945110297760877</v>
      </c>
      <c r="E23" s="20">
        <f>IF(16093.09732="","-",16093.09732/3985166.5274*100)</f>
        <v>0.40382496463703488</v>
      </c>
      <c r="F23" s="20">
        <f>IF(12221.92051="","-",12221.92051/3737310.64393*100)</f>
        <v>0.32702447493494785</v>
      </c>
      <c r="G23" s="20">
        <f>IF(OR(2819533.73145="",14912.73358="",16093.09732=""),"-",(16093.09732-14912.73358)/2819533.73145*100)</f>
        <v>4.1863792116896427E-2</v>
      </c>
      <c r="H23" s="20">
        <f>IF(OR(3985166.5274="",12221.92051="",16093.09732=""),"-",(12221.92051-16093.09732)/3985166.5274*100)</f>
        <v>-9.7139649833544894E-2</v>
      </c>
    </row>
    <row r="24" spans="1:8" s="4" customFormat="1" x14ac:dyDescent="0.25">
      <c r="A24" s="60" t="s">
        <v>39</v>
      </c>
      <c r="B24" s="43">
        <v>6147.8235299999997</v>
      </c>
      <c r="C24" s="20">
        <v>10185.843360000001</v>
      </c>
      <c r="D24" s="20" t="s">
        <v>327</v>
      </c>
      <c r="E24" s="20">
        <f>IF(6147.82353="","-",6147.82353/3985166.5274*100)</f>
        <v>0.15426766956237983</v>
      </c>
      <c r="F24" s="20">
        <f>IF(10185.84336="","-",10185.84336/3737310.64393*100)</f>
        <v>0.27254473418053882</v>
      </c>
      <c r="G24" s="20">
        <f>IF(OR(2819533.73145="",6289.21026="",6147.82353=""),"-",(6147.82353-6289.21026)/2819533.73145*100)</f>
        <v>-5.0145429516563825E-3</v>
      </c>
      <c r="H24" s="20">
        <f>IF(OR(3985166.5274="",10185.84336="",6147.82353=""),"-",(10185.84336-6147.82353)/3985166.5274*100)</f>
        <v>0.10132625079119299</v>
      </c>
    </row>
    <row r="25" spans="1:8" s="2" customFormat="1" x14ac:dyDescent="0.25">
      <c r="A25" s="60" t="s">
        <v>260</v>
      </c>
      <c r="B25" s="43">
        <v>3668.2334799999999</v>
      </c>
      <c r="C25" s="20">
        <v>9810.9224099999992</v>
      </c>
      <c r="D25" s="20" t="s">
        <v>347</v>
      </c>
      <c r="E25" s="20">
        <f>IF(3668.23348="","-",3668.23348/3985166.5274*100)</f>
        <v>9.204718183742315E-2</v>
      </c>
      <c r="F25" s="20">
        <f>IF(9810.92241="","-",9810.92241/3737310.64393*100)</f>
        <v>0.26251289616330215</v>
      </c>
      <c r="G25" s="20">
        <f>IF(OR(2819533.73145="",2004.14701="",3668.23348=""),"-",(3668.23348-2004.14701)/2819533.73145*100)</f>
        <v>5.9019917067784512E-2</v>
      </c>
      <c r="H25" s="20">
        <f>IF(OR(3985166.5274="",9810.92241="",3668.23348=""),"-",(9810.92241-3668.23348)/3985166.5274*100)</f>
        <v>0.15413882676585686</v>
      </c>
    </row>
    <row r="26" spans="1:8" s="2" customFormat="1" x14ac:dyDescent="0.25">
      <c r="A26" s="60" t="s">
        <v>45</v>
      </c>
      <c r="B26" s="43">
        <v>22299.004290000001</v>
      </c>
      <c r="C26" s="20">
        <v>6929.4204200000004</v>
      </c>
      <c r="D26" s="20">
        <f>IF(OR(22299.00429="",6929.42042=""),"-",6929.42042/22299.00429*100)</f>
        <v>31.075021691024574</v>
      </c>
      <c r="E26" s="20">
        <f>IF(22299.00429="","-",22299.00429/3985166.5274*100)</f>
        <v>0.55955012511229496</v>
      </c>
      <c r="F26" s="20">
        <f>IF(6929.42042="","-",6929.42042/3737310.64393*100)</f>
        <v>0.18541194672309366</v>
      </c>
      <c r="G26" s="20">
        <f>IF(OR(2819533.73145="",16256.44949="",22299.00429=""),"-",(22299.00429-16256.44949)/2819533.73145*100)</f>
        <v>0.21431042773489001</v>
      </c>
      <c r="H26" s="20">
        <f>IF(OR(3985166.5274="",6929.42042="",22299.00429=""),"-",(6929.42042-22299.00429)/3985166.5274*100)</f>
        <v>-0.38566980236149417</v>
      </c>
    </row>
    <row r="27" spans="1:8" s="4" customFormat="1" x14ac:dyDescent="0.25">
      <c r="A27" s="60" t="s">
        <v>40</v>
      </c>
      <c r="B27" s="43">
        <v>3330.6188699999998</v>
      </c>
      <c r="C27" s="20">
        <v>3251.11913</v>
      </c>
      <c r="D27" s="20">
        <f>IF(OR(3330.61887="",3251.11913=""),"-",3251.11913/3330.61887*100)</f>
        <v>97.613064024945018</v>
      </c>
      <c r="E27" s="20">
        <f>IF(3330.61887="","-",3330.61887/3985166.5274*100)</f>
        <v>8.357540010186125E-2</v>
      </c>
      <c r="F27" s="20">
        <f>IF(3251.11913="","-",3251.11913/3737310.64393*100)</f>
        <v>8.6990872307613654E-2</v>
      </c>
      <c r="G27" s="20">
        <f>IF(OR(2819533.73145="",4646.84254="",3330.61887=""),"-",(3330.61887-4646.84254)/2819533.73145*100)</f>
        <v>-4.668231684261874E-2</v>
      </c>
      <c r="H27" s="20">
        <f>IF(OR(3985166.5274="",3251.11913="",3330.61887=""),"-",(3251.11913-3330.61887)/3985166.5274*100)</f>
        <v>-1.9948912913274647E-3</v>
      </c>
    </row>
    <row r="28" spans="1:8" s="4" customFormat="1" x14ac:dyDescent="0.25">
      <c r="A28" s="60" t="s">
        <v>42</v>
      </c>
      <c r="B28" s="43">
        <v>1298.7894799999999</v>
      </c>
      <c r="C28" s="20">
        <v>1772.82197</v>
      </c>
      <c r="D28" s="20">
        <f>IF(OR(1298.78948="",1772.82197=""),"-",1772.82197/1298.78948*100)</f>
        <v>136.49802352880161</v>
      </c>
      <c r="E28" s="20">
        <f>IF(1298.78948="","-",1298.78948/3985166.5274*100)</f>
        <v>3.2590594924206476E-2</v>
      </c>
      <c r="F28" s="20">
        <f>IF(1772.82197="","-",1772.82197/3737310.64393*100)</f>
        <v>4.743576702352402E-2</v>
      </c>
      <c r="G28" s="20">
        <f>IF(OR(2819533.73145="",1251.34475="",1298.78948=""),"-",(1298.78948-1251.34475)/2819533.73145*100)</f>
        <v>1.6827154600346122E-3</v>
      </c>
      <c r="H28" s="20">
        <f>IF(OR(3985166.5274="",1772.82197="",1298.78948=""),"-",(1772.82197-1298.78948)/3985166.5274*100)</f>
        <v>1.1894923003613304E-2</v>
      </c>
    </row>
    <row r="29" spans="1:8" s="2" customFormat="1" x14ac:dyDescent="0.25">
      <c r="A29" s="60" t="s">
        <v>44</v>
      </c>
      <c r="B29" s="43">
        <v>1442.45803</v>
      </c>
      <c r="C29" s="20">
        <v>843.23827000000006</v>
      </c>
      <c r="D29" s="20">
        <f>IF(OR(1442.45803="",843.23827=""),"-",843.23827/1442.45803*100)</f>
        <v>58.458426689891283</v>
      </c>
      <c r="E29" s="20">
        <f>IF(1442.45803="","-",1442.45803/3985166.5274*100)</f>
        <v>3.6195677648158092E-2</v>
      </c>
      <c r="F29" s="20">
        <f>IF(843.23827="","-",843.23827/3737310.64393*100)</f>
        <v>2.2562702176485011E-2</v>
      </c>
      <c r="G29" s="20">
        <f>IF(OR(2819533.73145="",940.19405="",1442.45803=""),"-",(1442.45803-940.19405)/2819533.73145*100)</f>
        <v>1.7813724815475111E-2</v>
      </c>
      <c r="H29" s="20">
        <f>IF(OR(3985166.5274="",843.23827="",1442.45803=""),"-",(843.23827-1442.45803)/3985166.5274*100)</f>
        <v>-1.503625396530023E-2</v>
      </c>
    </row>
    <row r="30" spans="1:8" s="2" customFormat="1" x14ac:dyDescent="0.25">
      <c r="A30" s="60" t="s">
        <v>47</v>
      </c>
      <c r="B30" s="43">
        <v>846.58932000000004</v>
      </c>
      <c r="C30" s="20">
        <v>805.30665999999997</v>
      </c>
      <c r="D30" s="20">
        <f>IF(OR(846.58932="",805.30666=""),"-",805.30666/846.58932*100)</f>
        <v>95.123649799881704</v>
      </c>
      <c r="E30" s="20">
        <f>IF(846.58932="","-",846.58932/3985166.5274*100)</f>
        <v>2.1243511762413885E-2</v>
      </c>
      <c r="F30" s="20">
        <f>IF(805.30666="","-",805.30666/3737310.64393*100)</f>
        <v>2.1547758180282629E-2</v>
      </c>
      <c r="G30" s="20">
        <f>IF(OR(2819533.73145="",810.83111="",846.58932=""),"-",(846.58932-810.83111)/2819533.73145*100)</f>
        <v>1.2682313249577875E-3</v>
      </c>
      <c r="H30" s="20">
        <f>IF(OR(3985166.5274="",805.30666="",846.58932=""),"-",(805.30666-846.58932)/3985166.5274*100)</f>
        <v>-1.0359080283386221E-3</v>
      </c>
    </row>
    <row r="31" spans="1:8" s="2" customFormat="1" x14ac:dyDescent="0.25">
      <c r="A31" s="60" t="s">
        <v>43</v>
      </c>
      <c r="B31" s="43">
        <v>422.54450000000003</v>
      </c>
      <c r="C31" s="20">
        <v>625.66922</v>
      </c>
      <c r="D31" s="20">
        <f>IF(OR(422.5445="",625.66922=""),"-",625.66922/422.5445*100)</f>
        <v>148.07179362173687</v>
      </c>
      <c r="E31" s="20">
        <f>IF(422.5445="","-",422.5445/3985166.5274*100)</f>
        <v>1.060293207560579E-2</v>
      </c>
      <c r="F31" s="20">
        <f>IF(625.66922="","-",625.66922/3737310.64393*100)</f>
        <v>1.6741161749992298E-2</v>
      </c>
      <c r="G31" s="20">
        <f>IF(OR(2819533.73145="",1647.94714="",422.5445=""),"-",(422.5445-1647.94714)/2819533.73145*100)</f>
        <v>-4.3461180348064607E-2</v>
      </c>
      <c r="H31" s="20">
        <f>IF(OR(3985166.5274="",625.66922="",422.5445=""),"-",(625.66922-422.5445)/3985166.5274*100)</f>
        <v>5.0970196252381576E-3</v>
      </c>
    </row>
    <row r="32" spans="1:8" s="2" customFormat="1" x14ac:dyDescent="0.25">
      <c r="A32" s="60" t="s">
        <v>46</v>
      </c>
      <c r="B32" s="43">
        <v>150.68886000000001</v>
      </c>
      <c r="C32" s="20">
        <v>522.79606000000001</v>
      </c>
      <c r="D32" s="20" t="s">
        <v>341</v>
      </c>
      <c r="E32" s="20">
        <f>IF(150.68886="","-",150.68886/3985166.5274*100)</f>
        <v>3.7812437438671438E-3</v>
      </c>
      <c r="F32" s="20">
        <f>IF(522.79606="","-",522.79606/3737310.64393*100)</f>
        <v>1.3988563162366656E-2</v>
      </c>
      <c r="G32" s="20">
        <f>IF(OR(2819533.73145="",663.71239="",150.68886=""),"-",(150.68886-663.71239)/2819533.73145*100)</f>
        <v>-1.8195332238006876E-2</v>
      </c>
      <c r="H32" s="20">
        <f>IF(OR(3985166.5274="",522.79606="",150.68886=""),"-",(522.79606-150.68886)/3985166.5274*100)</f>
        <v>9.3373061688031903E-3</v>
      </c>
    </row>
    <row r="33" spans="1:8" s="2" customFormat="1" x14ac:dyDescent="0.25">
      <c r="A33" s="60" t="s">
        <v>49</v>
      </c>
      <c r="B33" s="43">
        <v>11.652469999999999</v>
      </c>
      <c r="C33" s="20">
        <v>218.78716</v>
      </c>
      <c r="D33" s="20" t="s">
        <v>368</v>
      </c>
      <c r="E33" s="20">
        <f>IF(11.65247="","-",11.65247/3985166.5274*100)</f>
        <v>2.9239606224441258E-4</v>
      </c>
      <c r="F33" s="20">
        <f>IF(218.78716="","-",218.78716/3737310.64393*100)</f>
        <v>5.8541336496966316E-3</v>
      </c>
      <c r="G33" s="20">
        <f>IF(OR(2819533.73145="",74.68069="",11.65247=""),"-",(11.65247-74.68069)/2819533.73145*100)</f>
        <v>-2.2354128733046408E-3</v>
      </c>
      <c r="H33" s="20">
        <f>IF(OR(3985166.5274="",218.78716="",11.65247=""),"-",(218.78716-11.65247)/3985166.5274*100)</f>
        <v>5.197642020122524E-3</v>
      </c>
    </row>
    <row r="34" spans="1:8" s="5" customFormat="1" ht="16.5" customHeight="1" x14ac:dyDescent="0.2">
      <c r="A34" s="60" t="s">
        <v>48</v>
      </c>
      <c r="B34" s="43">
        <v>90.505989999999997</v>
      </c>
      <c r="C34" s="20">
        <v>9.4637100000000007</v>
      </c>
      <c r="D34" s="20">
        <f>IF(OR(90.50599="",9.46371=""),"-",9.46371/90.50599*100)</f>
        <v>10.456446031914574</v>
      </c>
      <c r="E34" s="20">
        <f>IF(90.50599="","-",90.50599/3985166.5274*100)</f>
        <v>2.271071720032936E-3</v>
      </c>
      <c r="F34" s="20">
        <f>IF(9.46371="","-",9.46371/3737310.64393*100)</f>
        <v>2.5322246132712043E-4</v>
      </c>
      <c r="G34" s="20">
        <f>IF(OR(2819533.73145="",9.78503="",90.50599=""),"-",(90.50599-9.78503)/2819533.73145*100)</f>
        <v>2.8629187549562558E-3</v>
      </c>
      <c r="H34" s="20">
        <f>IF(OR(3985166.5274="",9.46371="",90.50599=""),"-",(9.46371-90.50599)/3985166.5274*100)</f>
        <v>-2.0335983312816178E-3</v>
      </c>
    </row>
    <row r="35" spans="1:8" s="5" customFormat="1" ht="15.75" customHeight="1" x14ac:dyDescent="0.2">
      <c r="A35" s="59" t="s">
        <v>111</v>
      </c>
      <c r="B35" s="44">
        <v>929241.7426</v>
      </c>
      <c r="C35" s="19">
        <v>848396.67677999998</v>
      </c>
      <c r="D35" s="19">
        <f>IF(929241.7426="","-",848396.67678/929241.7426*100)</f>
        <v>91.299888703471595</v>
      </c>
      <c r="E35" s="19">
        <f>IF(929241.7426="","-",929241.7426/3985166.5274*100)</f>
        <v>23.31751348936114</v>
      </c>
      <c r="F35" s="19">
        <f>IF(848396.67678="","-",848396.67678/3737310.64393*100)</f>
        <v>22.700726742047365</v>
      </c>
      <c r="G35" s="19">
        <f>IF(2819533.73145="","-",(929241.7426-422984.18785)/2819533.73145*100)</f>
        <v>17.955364360533725</v>
      </c>
      <c r="H35" s="19">
        <f>IF(3985166.5274="","-",(848396.67678-929241.7426)/3985166.5274*100)</f>
        <v>-2.0286496251574437</v>
      </c>
    </row>
    <row r="36" spans="1:8" s="5" customFormat="1" ht="17.25" customHeight="1" x14ac:dyDescent="0.2">
      <c r="A36" s="60" t="s">
        <v>8</v>
      </c>
      <c r="B36" s="43">
        <v>632018.85913999996</v>
      </c>
      <c r="C36" s="20">
        <v>566417.29920999997</v>
      </c>
      <c r="D36" s="20">
        <f>IF(OR(632018.85914="",566417.29921=""),"-",566417.29921/632018.85914*100)</f>
        <v>89.620316074228342</v>
      </c>
      <c r="E36" s="20">
        <f>IF(632018.85914="","-",632018.85914/3985166.5274*100)</f>
        <v>15.859283540463274</v>
      </c>
      <c r="F36" s="20">
        <f>IF(566417.29921="","-",566417.29921/3737310.64393*100)</f>
        <v>15.15574575343245</v>
      </c>
      <c r="G36" s="20">
        <f>IF(OR(2819533.73145="",84260.16904="",632018.85914=""),"-",(632018.85914-84260.16904)/2819533.73145*100)</f>
        <v>19.427279198334134</v>
      </c>
      <c r="H36" s="20">
        <f>IF(OR(3985166.5274="",566417.29921="",632018.85914=""),"-",(566417.29921-632018.85914)/3985166.5274*100)</f>
        <v>-1.6461435043920165</v>
      </c>
    </row>
    <row r="37" spans="1:8" s="3" customFormat="1" ht="18" customHeight="1" x14ac:dyDescent="0.2">
      <c r="A37" s="60" t="s">
        <v>261</v>
      </c>
      <c r="B37" s="43">
        <v>179327.00159999999</v>
      </c>
      <c r="C37" s="20">
        <v>134459.83008000001</v>
      </c>
      <c r="D37" s="20">
        <f>IF(OR(179327.0016="",134459.83008=""),"-",134459.83008/179327.0016*100)</f>
        <v>74.980247748702681</v>
      </c>
      <c r="E37" s="20">
        <f>IF(179327.0016="","-",179327.0016/3985166.5274*100)</f>
        <v>4.4998621856084995</v>
      </c>
      <c r="F37" s="20">
        <f>IF(134459.83008="","-",134459.83008/3737310.64393*100)</f>
        <v>3.5977697036874536</v>
      </c>
      <c r="G37" s="20">
        <f>IF(OR(2819533.73145="",251001.55473="",179327.0016=""),"-",(179327.0016-251001.55473)/2819533.73145*100)</f>
        <v>-2.5420711350433103</v>
      </c>
      <c r="H37" s="20">
        <f>IF(OR(3985166.5274="",134459.83008="",179327.0016=""),"-",(134459.83008-179327.0016)/3985166.5274*100)</f>
        <v>-1.1258543704890593</v>
      </c>
    </row>
    <row r="38" spans="1:8" s="5" customFormat="1" ht="15.75" customHeight="1" x14ac:dyDescent="0.2">
      <c r="A38" s="60" t="s">
        <v>7</v>
      </c>
      <c r="B38" s="43">
        <v>74661.53082</v>
      </c>
      <c r="C38" s="20">
        <v>79246.036410000001</v>
      </c>
      <c r="D38" s="20">
        <f>IF(OR(74661.53082="",79246.03641=""),"-",79246.03641/74661.53082*100)</f>
        <v>106.1403852019224</v>
      </c>
      <c r="E38" s="20">
        <f>IF(74661.53082="","-",74661.53082/3985166.5274*100)</f>
        <v>1.8734858457398176</v>
      </c>
      <c r="F38" s="20">
        <f>IF(79246.03641="","-",79246.03641/3737310.64393*100)</f>
        <v>2.1204027162876717</v>
      </c>
      <c r="G38" s="20">
        <f>IF(OR(2819533.73145="",60517.22835="",74661.53082=""),"-",(74661.53082-60517.22835)/2819533.73145*100)</f>
        <v>0.50165395477379238</v>
      </c>
      <c r="H38" s="20">
        <f>IF(OR(3985166.5274="",79246.03641="",74661.53082=""),"-",(79246.03641-74661.53082)/3985166.5274*100)</f>
        <v>0.11503924763191818</v>
      </c>
    </row>
    <row r="39" spans="1:8" s="3" customFormat="1" ht="16.5" customHeight="1" x14ac:dyDescent="0.2">
      <c r="A39" s="60" t="s">
        <v>9</v>
      </c>
      <c r="B39" s="43">
        <v>23333.501230000002</v>
      </c>
      <c r="C39" s="20">
        <v>39688.135190000001</v>
      </c>
      <c r="D39" s="20" t="s">
        <v>327</v>
      </c>
      <c r="E39" s="20">
        <f>IF(23333.50123="","-",23333.50123/3985166.5274*100)</f>
        <v>0.58550881298361279</v>
      </c>
      <c r="F39" s="20">
        <f>IF(39688.13519="","-",39688.13519/3737310.64393*100)</f>
        <v>1.0619437068861264</v>
      </c>
      <c r="G39" s="20">
        <f>IF(OR(2819533.73145="",13113.33087="",23333.50123=""),"-",(23333.50123-13113.33087)/2819533.73145*100)</f>
        <v>0.36247732190613235</v>
      </c>
      <c r="H39" s="20">
        <f>IF(OR(3985166.5274="",39688.13519="",23333.50123=""),"-",(39688.13519-23333.50123)/3985166.5274*100)</f>
        <v>0.41038771774162419</v>
      </c>
    </row>
    <row r="40" spans="1:8" s="3" customFormat="1" ht="17.25" customHeight="1" x14ac:dyDescent="0.2">
      <c r="A40" s="60" t="s">
        <v>263</v>
      </c>
      <c r="B40" s="43">
        <v>3984.44724</v>
      </c>
      <c r="C40" s="20">
        <v>8631.0260999999991</v>
      </c>
      <c r="D40" s="20" t="s">
        <v>337</v>
      </c>
      <c r="E40" s="20">
        <f>IF(3984.44724="","-",3984.44724/3985166.5274*100)</f>
        <v>9.99819508822265E-2</v>
      </c>
      <c r="F40" s="20">
        <f>IF(8631.0261="","-",8631.0261/3737310.64393*100)</f>
        <v>0.23094216462894754</v>
      </c>
      <c r="G40" s="20">
        <f>IF(OR(2819533.73145="",1623.36274="",3984.44724=""),"-",(3984.44724-1623.36274)/2819533.73145*100)</f>
        <v>8.3740246611121991E-2</v>
      </c>
      <c r="H40" s="20">
        <f>IF(OR(3985166.5274="",8631.0261="",3984.44724=""),"-",(8631.0261-3984.44724)/3985166.5274*100)</f>
        <v>0.11659685556556949</v>
      </c>
    </row>
    <row r="41" spans="1:8" s="3" customFormat="1" ht="16.5" customHeight="1" x14ac:dyDescent="0.2">
      <c r="A41" s="60" t="s">
        <v>11</v>
      </c>
      <c r="B41" s="43">
        <v>7237.65373</v>
      </c>
      <c r="C41" s="20">
        <v>8002.7198200000003</v>
      </c>
      <c r="D41" s="20">
        <f>IF(OR(7237.65373="",8002.71982=""),"-",8002.71982/7237.65373*100)</f>
        <v>110.57063681879127</v>
      </c>
      <c r="E41" s="20">
        <f>IF(7237.65373="","-",7237.65373/3985166.5274*100)</f>
        <v>0.18161483793054906</v>
      </c>
      <c r="F41" s="20">
        <f>IF(8002.71982="","-",8002.71982/3737310.64393*100)</f>
        <v>0.21413044251479921</v>
      </c>
      <c r="G41" s="20">
        <f>IF(OR(2819533.73145="",6639.25298="",7237.65373=""),"-",(7237.65373-6639.25298)/2819533.73145*100)</f>
        <v>2.1223393901099407E-2</v>
      </c>
      <c r="H41" s="20">
        <f>IF(OR(3985166.5274="",8002.71982="",7237.65373=""),"-",(8002.71982-7237.65373)/3985166.5274*100)</f>
        <v>1.9197844926674729E-2</v>
      </c>
    </row>
    <row r="42" spans="1:8" s="3" customFormat="1" ht="16.5" customHeight="1" x14ac:dyDescent="0.2">
      <c r="A42" s="60" t="s">
        <v>10</v>
      </c>
      <c r="B42" s="43">
        <v>3872.2755299999999</v>
      </c>
      <c r="C42" s="20">
        <v>5356.1849899999997</v>
      </c>
      <c r="D42" s="20">
        <f>IF(OR(3872.27553="",5356.18499=""),"-",5356.18499/3872.27553*100)</f>
        <v>138.32138102011558</v>
      </c>
      <c r="E42" s="20">
        <f>IF(3872.27553="","-",3872.27553/3985166.5274*100)</f>
        <v>9.7167220074147007E-2</v>
      </c>
      <c r="F42" s="20">
        <f>IF(5356.18499="","-",5356.18499/3737310.64393*100)</f>
        <v>0.14331655835725926</v>
      </c>
      <c r="G42" s="20">
        <f>IF(OR(2819533.73145="",4009.15468="",3872.27553=""),"-",(3872.27553-4009.15468)/2819533.73145*100)</f>
        <v>-4.8546732558367887E-3</v>
      </c>
      <c r="H42" s="20">
        <f>IF(OR(3985166.5274="",5356.18499="",3872.27553=""),"-",(5356.18499-3872.27553)/3985166.5274*100)</f>
        <v>3.7235820631268103E-2</v>
      </c>
    </row>
    <row r="43" spans="1:8" s="2" customFormat="1" ht="17.25" customHeight="1" x14ac:dyDescent="0.25">
      <c r="A43" s="60" t="s">
        <v>13</v>
      </c>
      <c r="B43" s="43">
        <v>3160.6892400000002</v>
      </c>
      <c r="C43" s="20">
        <v>4827.3392299999996</v>
      </c>
      <c r="D43" s="20">
        <f>IF(OR(3160.68924="",4827.33923=""),"-",4827.33923/3160.68924*100)</f>
        <v>152.73058701588769</v>
      </c>
      <c r="E43" s="20">
        <f>IF(3160.68924="","-",3160.68924/3985166.5274*100)</f>
        <v>7.9311346671931807E-2</v>
      </c>
      <c r="F43" s="20">
        <f>IF(4827.33923="","-",4827.33923/3737310.64393*100)</f>
        <v>0.1291661221108388</v>
      </c>
      <c r="G43" s="20">
        <f>IF(OR(2819533.73145="",976.28063="",3160.68924=""),"-",(3160.68924-976.28063)/2819533.73145*100)</f>
        <v>7.7474108063840252E-2</v>
      </c>
      <c r="H43" s="20">
        <f>IF(OR(3985166.5274="",4827.33923="",3160.68924=""),"-",(4827.33923-3160.68924)/3985166.5274*100)</f>
        <v>4.1821338670315344E-2</v>
      </c>
    </row>
    <row r="44" spans="1:8" s="2" customFormat="1" x14ac:dyDescent="0.25">
      <c r="A44" s="60" t="s">
        <v>12</v>
      </c>
      <c r="B44" s="43">
        <v>1403.6804299999999</v>
      </c>
      <c r="C44" s="20">
        <v>1535.5658599999999</v>
      </c>
      <c r="D44" s="20">
        <f>IF(OR(1403.68043="",1535.56586=""),"-",1535.56586/1403.68043*100)</f>
        <v>109.39568773499251</v>
      </c>
      <c r="E44" s="20">
        <f>IF(1403.68043="","-",1403.68043/3985166.5274*100)</f>
        <v>3.5222629226382376E-2</v>
      </c>
      <c r="F44" s="20">
        <f>IF(1535.56586="","-",1535.56586/3737310.64393*100)</f>
        <v>4.1087455828538323E-2</v>
      </c>
      <c r="G44" s="20">
        <f>IF(OR(2819533.73145="",623.74607="",1403.68043=""),"-",(1403.68043-623.74607)/2819533.73145*100)</f>
        <v>2.7661820509552956E-2</v>
      </c>
      <c r="H44" s="20">
        <f>IF(OR(3985166.5274="",1535.56586="",1403.68043=""),"-",(1535.56586-1403.68043)/3985166.5274*100)</f>
        <v>3.3094082541650941E-3</v>
      </c>
    </row>
    <row r="45" spans="1:8" s="4" customFormat="1" x14ac:dyDescent="0.25">
      <c r="A45" s="60" t="s">
        <v>14</v>
      </c>
      <c r="B45" s="43">
        <v>242.10364000000001</v>
      </c>
      <c r="C45" s="20">
        <v>232.53989000000001</v>
      </c>
      <c r="D45" s="20">
        <f>IF(OR(242.10364="",232.53989=""),"-",232.53989/242.10364*100)</f>
        <v>96.04972895079149</v>
      </c>
      <c r="E45" s="20">
        <f>IF(242.10364="","-",242.10364/3985166.5274*100)</f>
        <v>6.0751197807021907E-3</v>
      </c>
      <c r="F45" s="20">
        <f>IF(232.53989="","-",232.53989/3737310.64393*100)</f>
        <v>6.2221183132764894E-3</v>
      </c>
      <c r="G45" s="20">
        <f>IF(OR(2819533.73145="",220.10776="",242.10364=""),"-",(242.10364-220.10776)/2819533.73145*100)</f>
        <v>7.8012473320147836E-4</v>
      </c>
      <c r="H45" s="20">
        <f>IF(OR(3985166.5274="",232.53989="",242.10364=""),"-",(232.53989-242.10364)/3985166.5274*100)</f>
        <v>-2.3998369790181832E-4</v>
      </c>
    </row>
    <row r="46" spans="1:8" s="2" customFormat="1" x14ac:dyDescent="0.25">
      <c r="A46" s="59" t="s">
        <v>112</v>
      </c>
      <c r="B46" s="44">
        <v>702060.06258999999</v>
      </c>
      <c r="C46" s="44">
        <v>453339.21172999998</v>
      </c>
      <c r="D46" s="19">
        <f>IF(702060.06259="","-",453339.21173/702060.06259*100)</f>
        <v>64.572710496815162</v>
      </c>
      <c r="E46" s="19">
        <f>IF(702060.06259="","-",702060.06259/3985166.5274*100)</f>
        <v>17.616831260701108</v>
      </c>
      <c r="F46" s="19">
        <f>IF(453339.21173="","-",453339.21173/3737310.64393*100)</f>
        <v>12.130091793849051</v>
      </c>
      <c r="G46" s="19">
        <f>IF(2819533.73145="","-",(702060.06259-668025.72737)/2819533.73145*100)</f>
        <v>1.2070909044417493</v>
      </c>
      <c r="H46" s="19">
        <f>IF(3985166.5274="","-",(453339.21173-702060.06259)/3985166.5274*100)</f>
        <v>-6.2411658120161491</v>
      </c>
    </row>
    <row r="47" spans="1:8" s="6" customFormat="1" x14ac:dyDescent="0.25">
      <c r="A47" s="61" t="s">
        <v>50</v>
      </c>
      <c r="B47" s="45">
        <v>286756.52730000002</v>
      </c>
      <c r="C47" s="45">
        <v>126377.68549</v>
      </c>
      <c r="D47" s="20">
        <f>IF(OR(286756.5273="",126377.68549=""),"-",126377.68549/286756.5273*100)</f>
        <v>44.071424172948547</v>
      </c>
      <c r="E47" s="20">
        <f>IF(286756.5273="","-",286756.5273/3985166.5274*100)</f>
        <v>7.1955971056267387</v>
      </c>
      <c r="F47" s="20">
        <f>IF(126377.68549="","-",126377.68549/3737310.64393*100)</f>
        <v>3.3815140760444389</v>
      </c>
      <c r="G47" s="20">
        <f>IF(OR(2819533.73145="",273373.36749="",286756.5273=""),"-",(286756.5273-273373.36749)/2819533.73145*100)</f>
        <v>0.4746586168031936</v>
      </c>
      <c r="H47" s="20">
        <f>IF(OR(3985166.5274="",126377.68549="",286756.5273=""),"-",(126377.68549-286756.5273)/3985166.5274*100)</f>
        <v>-4.0243949834295707</v>
      </c>
    </row>
    <row r="48" spans="1:8" s="4" customFormat="1" x14ac:dyDescent="0.25">
      <c r="A48" s="61" t="s">
        <v>15</v>
      </c>
      <c r="B48" s="45">
        <v>44298.63841</v>
      </c>
      <c r="C48" s="45">
        <v>55301.402929999997</v>
      </c>
      <c r="D48" s="20">
        <f>IF(OR(44298.63841="",55301.40293=""),"-",55301.40293/44298.63841*100)</f>
        <v>124.83770362909445</v>
      </c>
      <c r="E48" s="20">
        <f>IF(44298.63841="","-",44298.63841/3985166.5274*100)</f>
        <v>1.111588138297982</v>
      </c>
      <c r="F48" s="20">
        <f>IF(55301.40293="","-",55301.40293/3737310.64393*100)</f>
        <v>1.47971116663311</v>
      </c>
      <c r="G48" s="20">
        <f>IF(OR(2819533.73145="",28862.08892="",44298.63841=""),"-",(44298.63841-28862.08892)/2819533.73145*100)</f>
        <v>0.54748589519663082</v>
      </c>
      <c r="H48" s="20">
        <f>IF(OR(3985166.5274="",55301.40293="",44298.63841=""),"-",(55301.40293-44298.63841)/3985166.5274*100)</f>
        <v>0.27609296736662126</v>
      </c>
    </row>
    <row r="49" spans="1:8" s="2" customFormat="1" ht="12.75" customHeight="1" x14ac:dyDescent="0.25">
      <c r="A49" s="62" t="s">
        <v>313</v>
      </c>
      <c r="B49" s="45">
        <v>59183.186070000003</v>
      </c>
      <c r="C49" s="45">
        <v>36364.019339999999</v>
      </c>
      <c r="D49" s="20">
        <f>IF(OR(59183.18607="",36364.01934=""),"-",36364.01934/59183.18607*100)</f>
        <v>61.44315937467406</v>
      </c>
      <c r="E49" s="20">
        <f>IF(59183.18607="","-",59183.18607/3985166.5274*100)</f>
        <v>1.4850869007125849</v>
      </c>
      <c r="F49" s="20">
        <f>IF(36364.01934="","-",36364.01934/3737310.64393*100)</f>
        <v>0.97299964612417433</v>
      </c>
      <c r="G49" s="20">
        <f>IF(OR(2819533.73145="",57409.70377="",59183.18607=""),"-",(59183.18607-57409.70377)/2819533.73145*100)</f>
        <v>6.2899843339982164E-2</v>
      </c>
      <c r="H49" s="20">
        <f>IF(OR(3985166.5274="",36364.01934="",59183.18607=""),"-",(36364.01934-59183.18607)/3985166.5274*100)</f>
        <v>-0.57260258945534381</v>
      </c>
    </row>
    <row r="50" spans="1:8" s="6" customFormat="1" x14ac:dyDescent="0.25">
      <c r="A50" s="60" t="s">
        <v>314</v>
      </c>
      <c r="B50" s="43">
        <v>62264.925329999998</v>
      </c>
      <c r="C50" s="43">
        <v>29141.669959999999</v>
      </c>
      <c r="D50" s="20">
        <f>IF(OR(62264.92533="",29141.66996=""),"-",29141.66996/62264.92533*100)</f>
        <v>46.802706026789679</v>
      </c>
      <c r="E50" s="20">
        <f>IF(62264.92533="","-",62264.92533/3985166.5274*100)</f>
        <v>1.5624171512507117</v>
      </c>
      <c r="F50" s="20">
        <f>IF(29141.66996="","-",29141.66996/3737310.64393*100)</f>
        <v>0.77974973815277593</v>
      </c>
      <c r="G50" s="20">
        <f>IF(OR(2819533.73145="",102832.02411="",62264.92533=""),"-",(62264.92533-102832.02411)/2819533.73145*100)</f>
        <v>-1.438787496226817</v>
      </c>
      <c r="H50" s="20">
        <f>IF(OR(3985166.5274="",29141.66996="",62264.92533=""),"-",(29141.66996-62264.92533)/3985166.5274*100)</f>
        <v>-0.83116364503869944</v>
      </c>
    </row>
    <row r="51" spans="1:8" s="2" customFormat="1" x14ac:dyDescent="0.25">
      <c r="A51" s="60" t="s">
        <v>54</v>
      </c>
      <c r="B51" s="43">
        <v>17022.764149999999</v>
      </c>
      <c r="C51" s="43">
        <v>26568.29607</v>
      </c>
      <c r="D51" s="20">
        <f>IF(OR(17022.76415="",26568.29607=""),"-",26568.29607/17022.76415*100)</f>
        <v>156.07509941327598</v>
      </c>
      <c r="E51" s="20">
        <f>IF(17022.76415="","-",17022.76415/3985166.5274*100)</f>
        <v>0.42715314486759931</v>
      </c>
      <c r="F51" s="20">
        <f>IF(26568.29607="","-",26568.29607/3737310.64393*100)</f>
        <v>0.71089343651834869</v>
      </c>
      <c r="G51" s="20">
        <f>IF(OR(2819533.73145="",24261.03739="",17022.76415=""),"-",(17022.76415-24261.03739)/2819533.73145*100)</f>
        <v>-0.25671880280281589</v>
      </c>
      <c r="H51" s="20">
        <f>IF(OR(3985166.5274="",26568.29607="",17022.76415=""),"-",(26568.29607-17022.76415)/3985166.5274*100)</f>
        <v>0.23952655063144102</v>
      </c>
    </row>
    <row r="52" spans="1:8" s="2" customFormat="1" x14ac:dyDescent="0.25">
      <c r="A52" s="60" t="s">
        <v>56</v>
      </c>
      <c r="B52" s="43">
        <v>7900.6410299999998</v>
      </c>
      <c r="C52" s="43">
        <v>19006.529780000001</v>
      </c>
      <c r="D52" s="20" t="s">
        <v>333</v>
      </c>
      <c r="E52" s="20">
        <f>IF(7900.64103="","-",7900.64103/3985166.5274*100)</f>
        <v>0.19825121423858116</v>
      </c>
      <c r="F52" s="20">
        <f>IF(19006.52978="","-",19006.52978/3737310.64393*100)</f>
        <v>0.50856167952936138</v>
      </c>
      <c r="G52" s="20">
        <f>IF(OR(2819533.73145="",4347.15172="",7900.64103=""),"-",(7900.64103-4347.15172)/2819533.73145*100)</f>
        <v>0.12603109763728734</v>
      </c>
      <c r="H52" s="20">
        <f>IF(OR(3985166.5274="",19006.52978="",7900.64103=""),"-",(19006.52978-7900.64103)/3985166.5274*100)</f>
        <v>0.27868066926793394</v>
      </c>
    </row>
    <row r="53" spans="1:8" s="2" customFormat="1" x14ac:dyDescent="0.25">
      <c r="A53" s="60" t="s">
        <v>52</v>
      </c>
      <c r="B53" s="43">
        <v>16332.82792</v>
      </c>
      <c r="C53" s="43">
        <v>14999.08101</v>
      </c>
      <c r="D53" s="20">
        <f>IF(OR(16332.82792="",14999.08101=""),"-",14999.08101/16332.82792*100)</f>
        <v>91.833949904249039</v>
      </c>
      <c r="E53" s="20">
        <f>IF(16332.82792="","-",16332.82792/3985166.5274*100)</f>
        <v>0.40984053759620065</v>
      </c>
      <c r="F53" s="20">
        <f>IF(14999.08101="","-",14999.08101/3737310.64393*100)</f>
        <v>0.40133353737562455</v>
      </c>
      <c r="G53" s="20">
        <f>IF(OR(2819533.73145="",17907.00808="",16332.82792=""),"-",(16332.82792-17907.00808)/2819533.73145*100)</f>
        <v>-5.5831222816775709E-2</v>
      </c>
      <c r="H53" s="20">
        <f>IF(OR(3985166.5274="",14999.08101="",16332.82792=""),"-",(14999.08101-16332.82792)/3985166.5274*100)</f>
        <v>-3.3467783612800797E-2</v>
      </c>
    </row>
    <row r="54" spans="1:8" s="2" customFormat="1" x14ac:dyDescent="0.25">
      <c r="A54" s="61" t="s">
        <v>58</v>
      </c>
      <c r="B54" s="45">
        <v>15174.690570000001</v>
      </c>
      <c r="C54" s="45">
        <v>13909.13121</v>
      </c>
      <c r="D54" s="20">
        <f>IF(OR(15174.69057="",13909.13121=""),"-",13909.13121/15174.69057*100)</f>
        <v>91.66006480223075</v>
      </c>
      <c r="E54" s="20">
        <f>IF(15174.69057="","-",15174.69057/3985166.5274*100)</f>
        <v>0.38077933420514454</v>
      </c>
      <c r="F54" s="20">
        <f>IF(13909.13121="","-",13909.13121/3737310.64393*100)</f>
        <v>0.37216952336008491</v>
      </c>
      <c r="G54" s="20">
        <f>IF(OR(2819533.73145="",15802.20905="",15174.69057=""),"-",(15174.69057-15802.20905)/2819533.73145*100)</f>
        <v>-2.2256108270685068E-2</v>
      </c>
      <c r="H54" s="20">
        <f>IF(OR(3985166.5274="",13909.13121="",15174.69057=""),"-",(13909.13121-15174.69057)/3985166.5274*100)</f>
        <v>-3.1756749719206251E-2</v>
      </c>
    </row>
    <row r="55" spans="1:8" s="4" customFormat="1" x14ac:dyDescent="0.25">
      <c r="A55" s="60" t="s">
        <v>60</v>
      </c>
      <c r="B55" s="43">
        <v>12150.37515</v>
      </c>
      <c r="C55" s="43">
        <v>9439.1875700000001</v>
      </c>
      <c r="D55" s="20">
        <f>IF(OR(12150.37515="",9439.18757=""),"-",9439.18757/12150.37515*100)</f>
        <v>77.686387897249404</v>
      </c>
      <c r="E55" s="20">
        <f>IF(12150.37515="","-",12150.37515/3985166.5274*100)</f>
        <v>0.30489002320129244</v>
      </c>
      <c r="F55" s="20">
        <f>IF(9439.18757="","-",9439.18757/3737310.64393*100)</f>
        <v>0.25256630955552961</v>
      </c>
      <c r="G55" s="20">
        <f>IF(OR(2819533.73145="",6585.56466="",12150.37515=""),"-",(12150.37515-6585.56466)/2819533.73145*100)</f>
        <v>0.19736633855194874</v>
      </c>
      <c r="H55" s="20">
        <f>IF(OR(3985166.5274="",9439.18757="",12150.37515=""),"-",(9439.18757-12150.37515)/3985166.5274*100)</f>
        <v>-6.8031977117122652E-2</v>
      </c>
    </row>
    <row r="56" spans="1:8" s="6" customFormat="1" x14ac:dyDescent="0.25">
      <c r="A56" s="60" t="s">
        <v>66</v>
      </c>
      <c r="B56" s="43">
        <v>4377.4982200000004</v>
      </c>
      <c r="C56" s="43">
        <v>9429.3323400000008</v>
      </c>
      <c r="D56" s="20" t="s">
        <v>337</v>
      </c>
      <c r="E56" s="20">
        <f>IF(4377.49822="","-",4377.49822/3985166.5274*100)</f>
        <v>0.109844800459467</v>
      </c>
      <c r="F56" s="20">
        <f>IF(9429.33234="","-",9429.33234/3737310.64393*100)</f>
        <v>0.25230261111194408</v>
      </c>
      <c r="G56" s="20">
        <f>IF(OR(2819533.73145="",14136.6927="",4377.49822=""),"-",(4377.49822-14136.6927)/2819533.73145*100)</f>
        <v>-0.34612795623413745</v>
      </c>
      <c r="H56" s="20">
        <f>IF(OR(3985166.5274="",9429.33234="",4377.49822=""),"-",(9429.33234-4377.49822)/3985166.5274*100)</f>
        <v>0.12676594780333847</v>
      </c>
    </row>
    <row r="57" spans="1:8" s="2" customFormat="1" x14ac:dyDescent="0.25">
      <c r="A57" s="60" t="s">
        <v>31</v>
      </c>
      <c r="B57" s="43">
        <v>7410.4655700000003</v>
      </c>
      <c r="C57" s="43">
        <v>8741.1278700000003</v>
      </c>
      <c r="D57" s="20">
        <f>IF(OR(7410.46557="",8741.12787=""),"-",8741.12787/7410.46557*100)</f>
        <v>117.9565276625393</v>
      </c>
      <c r="E57" s="20">
        <f>IF(7410.46557="","-",7410.46557/3985166.5274*100)</f>
        <v>0.18595121481246438</v>
      </c>
      <c r="F57" s="20">
        <f>IF(8741.12787="","-",8741.12787/3737310.64393*100)</f>
        <v>0.23388818064125905</v>
      </c>
      <c r="G57" s="20">
        <f>IF(OR(2819533.73145="",4046.21705="",7410.46557=""),"-",(7410.46557-4046.21705)/2819533.73145*100)</f>
        <v>0.11931932157697117</v>
      </c>
      <c r="H57" s="20">
        <f>IF(OR(3985166.5274="",8741.12787="",7410.46557=""),"-",(8741.12787-7410.46557)/3985166.5274*100)</f>
        <v>3.339038132662802E-2</v>
      </c>
    </row>
    <row r="58" spans="1:8" s="2" customFormat="1" x14ac:dyDescent="0.25">
      <c r="A58" s="60" t="s">
        <v>55</v>
      </c>
      <c r="B58" s="43">
        <v>7156.3215799999998</v>
      </c>
      <c r="C58" s="43">
        <v>8535.7746000000006</v>
      </c>
      <c r="D58" s="20">
        <f>IF(OR(7156.32158="",8535.7746=""),"-",8535.7746/7156.32158*100)</f>
        <v>119.27600659890973</v>
      </c>
      <c r="E58" s="20">
        <f>IF(7156.32158="","-",7156.32158/3985166.5274*100)</f>
        <v>0.17957396587562233</v>
      </c>
      <c r="F58" s="20">
        <f>IF(8535.7746="","-",8535.7746/3737310.64393*100)</f>
        <v>0.22839350038679515</v>
      </c>
      <c r="G58" s="20">
        <f>IF(OR(2819533.73145="",11492.57018="",7156.32158=""),"-",(7156.32158-11492.57018)/2819533.73145*100)</f>
        <v>-0.15379310953552597</v>
      </c>
      <c r="H58" s="20">
        <f>IF(OR(3985166.5274="",8535.7746="",7156.32158=""),"-",(8535.7746-7156.32158)/3985166.5274*100)</f>
        <v>3.4614689512108866E-2</v>
      </c>
    </row>
    <row r="59" spans="1:8" s="2" customFormat="1" x14ac:dyDescent="0.25">
      <c r="A59" s="60" t="s">
        <v>406</v>
      </c>
      <c r="B59" s="43">
        <v>320.38916999999998</v>
      </c>
      <c r="C59" s="43">
        <v>8056.4764599999999</v>
      </c>
      <c r="D59" s="20" t="s">
        <v>369</v>
      </c>
      <c r="E59" s="20">
        <f>IF(320.38917="","-",320.38917/3985166.5274*100)</f>
        <v>8.0395428345883483E-3</v>
      </c>
      <c r="F59" s="20">
        <f>IF(8056.47646="","-",8056.47646/3737310.64393*100)</f>
        <v>0.21556882013768452</v>
      </c>
      <c r="G59" s="20">
        <f>IF(OR(2819533.73145="",6884.50732="",320.38917=""),"-",(320.38917-6884.50732)/2819533.73145*100)</f>
        <v>-0.23280864054867237</v>
      </c>
      <c r="H59" s="20">
        <f>IF(OR(3985166.5274="",8056.47646="",320.38917=""),"-",(8056.47646-320.38917)/3985166.5274*100)</f>
        <v>0.19412205830824272</v>
      </c>
    </row>
    <row r="60" spans="1:8" s="2" customFormat="1" x14ac:dyDescent="0.25">
      <c r="A60" s="60" t="s">
        <v>53</v>
      </c>
      <c r="B60" s="43">
        <v>8974.5260099999996</v>
      </c>
      <c r="C60" s="43">
        <v>6866.3707700000004</v>
      </c>
      <c r="D60" s="20">
        <f>IF(OR(8974.52601="",6866.37077=""),"-",6866.37077/8974.52601*100)</f>
        <v>76.509564542450974</v>
      </c>
      <c r="E60" s="20">
        <f>IF(8974.52601="","-",8974.52601/3985166.5274*100)</f>
        <v>0.22519826833573134</v>
      </c>
      <c r="F60" s="20">
        <f>IF(6866.37077="","-",6866.37077/3737310.64393*100)</f>
        <v>0.18372491409436631</v>
      </c>
      <c r="G60" s="20">
        <f>IF(OR(2819533.73145="",11550.66941="",8974.52601=""),"-",(8974.52601-11550.66941)/2819533.73145*100)</f>
        <v>-9.1367709889931675E-2</v>
      </c>
      <c r="H60" s="20">
        <f>IF(OR(3985166.5274="",6866.37077="",8974.52601=""),"-",(6866.37077-8974.52601)/3985166.5274*100)</f>
        <v>-5.2900053874923032E-2</v>
      </c>
    </row>
    <row r="61" spans="1:8" s="2" customFormat="1" x14ac:dyDescent="0.25">
      <c r="A61" s="60" t="s">
        <v>407</v>
      </c>
      <c r="B61" s="43">
        <f>IF(317.27485="","-",317.27485)</f>
        <v>317.27485000000001</v>
      </c>
      <c r="C61" s="43">
        <v>6412.1501099999996</v>
      </c>
      <c r="D61" s="20" t="s">
        <v>370</v>
      </c>
      <c r="E61" s="20">
        <f>IF(317.27485="","-",317.27485/3985166.5274*100)</f>
        <v>7.9613950337728123E-3</v>
      </c>
      <c r="F61" s="20">
        <f>IF(6412.15011="","-",6412.15011/3737310.64393*100)</f>
        <v>0.17157123720540529</v>
      </c>
      <c r="G61" s="20">
        <f>IF(OR(2819533.73145="",3981.13617="",317.27485=""),"-",(317.27485-3981.13617)/2819533.73145*100)</f>
        <v>-0.12994564594606883</v>
      </c>
      <c r="H61" s="20">
        <f>IF(OR(3985166.5274="",6412.15011="",317.27485=""),"-",(6412.15011-317.27485)/3985166.5274*100)</f>
        <v>0.15293903574906353</v>
      </c>
    </row>
    <row r="62" spans="1:8" s="2" customFormat="1" x14ac:dyDescent="0.25">
      <c r="A62" s="60" t="s">
        <v>51</v>
      </c>
      <c r="B62" s="43">
        <v>17164.538260000001</v>
      </c>
      <c r="C62" s="43">
        <v>4371.1116899999997</v>
      </c>
      <c r="D62" s="20">
        <f>IF(OR(17164.53826="",4371.11169=""),"-",4371.11169/17164.53826*100)</f>
        <v>25.465943935039469</v>
      </c>
      <c r="E62" s="20">
        <f>IF(17164.53826="","-",17164.53826/3985166.5274*100)</f>
        <v>0.43071069030579456</v>
      </c>
      <c r="F62" s="20">
        <f>IF(4371.11169="","-",4371.11169/3737310.64393*100)</f>
        <v>0.11695874671535254</v>
      </c>
      <c r="G62" s="20">
        <f>IF(OR(2819533.73145="",5402.1017="",17164.53826=""),"-",(17164.53826-5402.1017)/2819533.73145*100)</f>
        <v>0.41717665686343613</v>
      </c>
      <c r="H62" s="20">
        <f>IF(OR(3985166.5274="",4371.11169="",17164.53826=""),"-",(4371.11169-17164.53826)/3985166.5274*100)</f>
        <v>-0.32102614739029944</v>
      </c>
    </row>
    <row r="63" spans="1:8" s="2" customFormat="1" x14ac:dyDescent="0.25">
      <c r="A63" s="60" t="s">
        <v>103</v>
      </c>
      <c r="B63" s="43">
        <v>2979.28584</v>
      </c>
      <c r="C63" s="43">
        <v>3898.20435</v>
      </c>
      <c r="D63" s="20">
        <f>IF(OR(2979.28584="",3898.20435=""),"-",3898.20435/2979.28584*100)</f>
        <v>130.84358330652825</v>
      </c>
      <c r="E63" s="20">
        <f>IF(2979.28584="","-",2979.28584/3985166.5274*100)</f>
        <v>7.4759381308558359E-2</v>
      </c>
      <c r="F63" s="20">
        <f>IF(3898.20435="","-",3898.20435/3737310.64393*100)</f>
        <v>0.1043050664341033</v>
      </c>
      <c r="G63" s="20">
        <f>IF(OR(2819533.73145="",3081.51829="",2979.28584=""),"-",(2979.28584-3081.51829)/2819533.73145*100)</f>
        <v>-3.6258636972370945E-3</v>
      </c>
      <c r="H63" s="20">
        <f>IF(OR(3985166.5274="",3898.20435="",2979.28584=""),"-",(3898.20435-2979.28584)/3985166.5274*100)</f>
        <v>2.3058472053350307E-2</v>
      </c>
    </row>
    <row r="64" spans="1:8" s="2" customFormat="1" x14ac:dyDescent="0.25">
      <c r="A64" s="61" t="s">
        <v>275</v>
      </c>
      <c r="B64" s="43" t="s">
        <v>272</v>
      </c>
      <c r="C64" s="45">
        <v>3575.02684</v>
      </c>
      <c r="D64" s="20" t="str">
        <f>IF(OR(""="",3575.02684=""),"-",3575.02684/""*100)</f>
        <v>-</v>
      </c>
      <c r="E64" s="20" t="str">
        <f>IF(""="","-",""/3985166.5274*100)</f>
        <v>-</v>
      </c>
      <c r="F64" s="20">
        <f>IF(3575.02684="","-",3575.02684/3737310.64393*100)</f>
        <v>9.5657738427669239E-2</v>
      </c>
      <c r="G64" s="20" t="str">
        <f>IF(OR(2819533.73145="",""="",""=""),"-",(""-"")/2819533.73145*100)</f>
        <v>-</v>
      </c>
      <c r="H64" s="20" t="str">
        <f>IF(OR(3985166.5274="",3575.02684="",""=""),"-",(3575.02684-"")/3985166.5274*100)</f>
        <v>-</v>
      </c>
    </row>
    <row r="65" spans="1:8" s="2" customFormat="1" x14ac:dyDescent="0.25">
      <c r="A65" s="60" t="s">
        <v>67</v>
      </c>
      <c r="B65" s="43">
        <v>2770.7295800000002</v>
      </c>
      <c r="C65" s="43">
        <v>3507.4175300000002</v>
      </c>
      <c r="D65" s="20">
        <f>IF(OR(2770.72958="",3507.41753=""),"-",3507.41753/2770.72958*100)</f>
        <v>126.58822987698424</v>
      </c>
      <c r="E65" s="20">
        <f>IF(2770.72958="","-",2770.72958/3985166.5274*100)</f>
        <v>6.9526067755258339E-2</v>
      </c>
      <c r="F65" s="20">
        <f>IF(3507.41753="","-",3507.41753/3737310.64393*100)</f>
        <v>9.3848702025790029E-2</v>
      </c>
      <c r="G65" s="20">
        <f>IF(OR(2819533.73145="",2971.97465="",2770.72958=""),"-",(2770.72958-2971.97465)/2819533.73145*100)</f>
        <v>-7.1375301439116235E-3</v>
      </c>
      <c r="H65" s="20">
        <f>IF(OR(3985166.5274="",3507.41753="",2770.72958=""),"-",(3507.41753-2770.72958)/3985166.5274*100)</f>
        <v>1.8485750719195906E-2</v>
      </c>
    </row>
    <row r="66" spans="1:8" x14ac:dyDescent="0.25">
      <c r="A66" s="61" t="s">
        <v>63</v>
      </c>
      <c r="B66" s="45">
        <v>1366.2951800000001</v>
      </c>
      <c r="C66" s="45">
        <v>3086.6745299999998</v>
      </c>
      <c r="D66" s="20" t="s">
        <v>330</v>
      </c>
      <c r="E66" s="20">
        <f>IF(1366.29518="","-",1366.29518/3985166.5274*100)</f>
        <v>3.4284519118737991E-2</v>
      </c>
      <c r="F66" s="20">
        <f>IF(3086.67453="","-",3086.67453/3737310.64393*100)</f>
        <v>8.2590793864386447E-2</v>
      </c>
      <c r="G66" s="20">
        <f>IF(OR(2819533.73145="",720.67245="",1366.29518=""),"-",(1366.29518-720.67245)/2819533.73145*100)</f>
        <v>2.2898209118710419E-2</v>
      </c>
      <c r="H66" s="20">
        <f>IF(OR(3985166.5274="",3086.67453="",1366.29518=""),"-",(3086.67453-1366.29518)/3985166.5274*100)</f>
        <v>4.3169572417401804E-2</v>
      </c>
    </row>
    <row r="67" spans="1:8" x14ac:dyDescent="0.25">
      <c r="A67" s="60" t="s">
        <v>317</v>
      </c>
      <c r="B67" s="43">
        <v>1797.5742600000001</v>
      </c>
      <c r="C67" s="43">
        <v>2882.2951899999998</v>
      </c>
      <c r="D67" s="20" t="s">
        <v>342</v>
      </c>
      <c r="E67" s="20">
        <f>IF(1797.57426="","-",1797.57426/3985166.5274*100)</f>
        <v>4.510662848442553E-2</v>
      </c>
      <c r="F67" s="20">
        <f>IF(2882.29519="","-",2882.29519/3737310.64393*100)</f>
        <v>7.7122173257963347E-2</v>
      </c>
      <c r="G67" s="20">
        <f>IF(OR(2819533.73145="",1411.38833="",1797.57426=""),"-",(1797.57426-1411.38833)/2819533.73145*100)</f>
        <v>1.3696801201289284E-2</v>
      </c>
      <c r="H67" s="20">
        <f>IF(OR(3985166.5274="",2882.29519="",1797.57426=""),"-",(2882.29519-1797.57426)/3985166.5274*100)</f>
        <v>2.7218961178711212E-2</v>
      </c>
    </row>
    <row r="68" spans="1:8" x14ac:dyDescent="0.25">
      <c r="A68" s="60" t="s">
        <v>32</v>
      </c>
      <c r="B68" s="43">
        <v>903.55174</v>
      </c>
      <c r="C68" s="43">
        <v>2819.9236599999999</v>
      </c>
      <c r="D68" s="20" t="s">
        <v>335</v>
      </c>
      <c r="E68" s="20">
        <f>IF(903.55174="","-",903.55174/3985166.5274*100)</f>
        <v>2.2672872859581472E-2</v>
      </c>
      <c r="F68" s="20">
        <f>IF(2819.92366="","-",2819.92366/3737310.64393*100)</f>
        <v>7.5453285227440603E-2</v>
      </c>
      <c r="G68" s="20">
        <f>IF(OR(2819533.73145="",1109.37808="",903.55174=""),"-",(903.55174-1109.37808)/2819533.73145*100)</f>
        <v>-7.3000133924324348E-3</v>
      </c>
      <c r="H68" s="20">
        <f>IF(OR(3985166.5274="",2819.92366="",903.55174=""),"-",(2819.92366-903.55174)/3985166.5274*100)</f>
        <v>4.8087624615533398E-2</v>
      </c>
    </row>
    <row r="69" spans="1:8" x14ac:dyDescent="0.25">
      <c r="A69" s="60" t="s">
        <v>75</v>
      </c>
      <c r="B69" s="43">
        <f>IF(1756.9358="","-",1756.9358)</f>
        <v>1756.9358</v>
      </c>
      <c r="C69" s="43">
        <v>2330.0351300000002</v>
      </c>
      <c r="D69" s="20">
        <f>IF(OR(1756.9358="",2330.03513=""),"-",2330.03513/1756.9358*100)</f>
        <v>132.6192527922762</v>
      </c>
      <c r="E69" s="20">
        <f>IF(1756.9358="","-",1756.9358/3985166.5274*100)</f>
        <v>4.4086885401656201E-2</v>
      </c>
      <c r="F69" s="20">
        <f>IF(2330.03513="","-",2330.03513/3737310.64393*100)</f>
        <v>6.2345235705368936E-2</v>
      </c>
      <c r="G69" s="20">
        <f>IF(OR(2819533.73145="",116.77744="",1756.9358=""),"-",(1756.9358-116.77744)/2819533.73145*100)</f>
        <v>5.8171262209248925E-2</v>
      </c>
      <c r="H69" s="20">
        <f>IF(OR(3985166.5274="",2330.03513="",1756.9358=""),"-",(2330.03513-1756.9358)/3985166.5274*100)</f>
        <v>1.4380812597407351E-2</v>
      </c>
    </row>
    <row r="70" spans="1:8" x14ac:dyDescent="0.25">
      <c r="A70" s="60" t="s">
        <v>89</v>
      </c>
      <c r="B70" s="43">
        <v>1782.2233900000001</v>
      </c>
      <c r="C70" s="43">
        <v>1945.28477</v>
      </c>
      <c r="D70" s="20">
        <f>IF(OR(1782.22339="",1945.28477=""),"-",1945.28477/1782.22339*100)</f>
        <v>109.14932330677132</v>
      </c>
      <c r="E70" s="20">
        <f>IF(1782.22339="","-",1782.22339/3985166.5274*100)</f>
        <v>4.4721428270219792E-2</v>
      </c>
      <c r="F70" s="20">
        <f>IF(1945.28477="","-",1945.28477/3737310.64393*100)</f>
        <v>5.2050390115669372E-2</v>
      </c>
      <c r="G70" s="20">
        <f>IF(OR(2819533.73145="",634.39015="",1782.22339=""),"-",(1782.22339-634.39015)/2819533.73145*100)</f>
        <v>4.0710037521335299E-2</v>
      </c>
      <c r="H70" s="20">
        <f>IF(OR(3985166.5274="",1945.28477="",1782.22339=""),"-",(1945.28477-1782.22339)/3985166.5274*100)</f>
        <v>4.0917080598482361E-3</v>
      </c>
    </row>
    <row r="71" spans="1:8" x14ac:dyDescent="0.25">
      <c r="A71" s="60" t="s">
        <v>286</v>
      </c>
      <c r="B71" s="43">
        <v>84.655280000000005</v>
      </c>
      <c r="C71" s="43">
        <v>1782.94677</v>
      </c>
      <c r="D71" s="20" t="s">
        <v>353</v>
      </c>
      <c r="E71" s="20">
        <f>IF(84.65528="","-",84.65528/3985166.5274*100)</f>
        <v>2.1242595364071464E-3</v>
      </c>
      <c r="F71" s="20">
        <f>IF(1782.94677="","-",1782.94677/3737310.64393*100)</f>
        <v>4.7706678407795605E-2</v>
      </c>
      <c r="G71" s="20">
        <f>IF(OR(2819533.73145="",2095.80486="",84.65528=""),"-",(84.65528-2095.80486)/2819533.73145*100)</f>
        <v>-7.132915480197953E-2</v>
      </c>
      <c r="H71" s="20">
        <f>IF(OR(3985166.5274="",1782.94677="",84.65528=""),"-",(1782.94677-84.65528)/3985166.5274*100)</f>
        <v>4.2615320547420094E-2</v>
      </c>
    </row>
    <row r="72" spans="1:8" x14ac:dyDescent="0.25">
      <c r="A72" s="60" t="s">
        <v>68</v>
      </c>
      <c r="B72" s="43">
        <v>1983.9228599999999</v>
      </c>
      <c r="C72" s="43">
        <v>1760.682</v>
      </c>
      <c r="D72" s="20">
        <f>IF(OR(1983.92286="",1760.682=""),"-",1760.682/1983.92286*100)</f>
        <v>88.747503015313811</v>
      </c>
      <c r="E72" s="20">
        <f>IF(1983.92286="","-",1983.92286/3985166.5274*100)</f>
        <v>4.9782684019840685E-2</v>
      </c>
      <c r="F72" s="20">
        <f>IF(1760.682="","-",1760.682/3737310.64393*100)</f>
        <v>4.7110935315468998E-2</v>
      </c>
      <c r="G72" s="20">
        <f>IF(OR(2819533.73145="",2150.46952="",1983.92286=""),"-",(1983.92286-2150.46952)/2819533.73145*100)</f>
        <v>-5.9068865941302416E-3</v>
      </c>
      <c r="H72" s="20">
        <f>IF(OR(3985166.5274="",1760.682="",1983.92286=""),"-",(1760.682-1983.92286)/3985166.5274*100)</f>
        <v>-5.6017950182284245E-3</v>
      </c>
    </row>
    <row r="73" spans="1:8" x14ac:dyDescent="0.25">
      <c r="A73" s="61" t="s">
        <v>76</v>
      </c>
      <c r="B73" s="45">
        <v>682.39233000000002</v>
      </c>
      <c r="C73" s="45">
        <v>1597.1316099999999</v>
      </c>
      <c r="D73" s="20" t="s">
        <v>330</v>
      </c>
      <c r="E73" s="20">
        <f>IF(682.39233="","-",682.39233/3985166.5274*100)</f>
        <v>1.7123307779191001E-2</v>
      </c>
      <c r="F73" s="20">
        <f>IF(1597.13161="","-",1597.13161/3737310.64393*100)</f>
        <v>4.273478343562373E-2</v>
      </c>
      <c r="G73" s="20">
        <f>IF(OR(2819533.73145="",276.42323="",682.39233=""),"-",(682.39233-276.42323)/2819533.73145*100)</f>
        <v>1.4398448065071472E-2</v>
      </c>
      <c r="H73" s="20">
        <f>IF(OR(3985166.5274="",1597.13161="",682.39233=""),"-",(1597.13161-682.39233)/3985166.5274*100)</f>
        <v>2.2953602408097951E-2</v>
      </c>
    </row>
    <row r="74" spans="1:8" x14ac:dyDescent="0.25">
      <c r="A74" s="60" t="s">
        <v>84</v>
      </c>
      <c r="B74" s="43">
        <v>1605.90425</v>
      </c>
      <c r="C74" s="43">
        <v>1586.28251</v>
      </c>
      <c r="D74" s="20">
        <f>IF(OR(1605.90425="",1586.28251=""),"-",1586.28251/1605.90425*100)</f>
        <v>98.778150067166209</v>
      </c>
      <c r="E74" s="20">
        <f>IF(1605.90425="","-",1605.90425/3985166.5274*100)</f>
        <v>4.0297042519016717E-2</v>
      </c>
      <c r="F74" s="20">
        <f>IF(1586.28251="","-",1586.28251/3737310.64393*100)</f>
        <v>4.2444491805260574E-2</v>
      </c>
      <c r="G74" s="20">
        <f>IF(OR(2819533.73145="",962.55267="",1605.90425=""),"-",(1605.90425-962.55267)/2819533.73145*100)</f>
        <v>2.2817658566161008E-2</v>
      </c>
      <c r="H74" s="20">
        <f>IF(OR(3985166.5274="",1586.28251="",1605.90425=""),"-",(1586.28251-1605.90425)/3985166.5274*100)</f>
        <v>-4.9236938695261122E-4</v>
      </c>
    </row>
    <row r="75" spans="1:8" x14ac:dyDescent="0.25">
      <c r="A75" s="61" t="s">
        <v>80</v>
      </c>
      <c r="B75" s="45">
        <v>1645.88123</v>
      </c>
      <c r="C75" s="45">
        <v>1554.8898200000001</v>
      </c>
      <c r="D75" s="20">
        <f>IF(OR(1645.88123="",1554.88982=""),"-",1554.88982/1645.88123*100)</f>
        <v>94.47156888714261</v>
      </c>
      <c r="E75" s="20">
        <f>IF(1645.88123="","-",1645.88123/3985166.5274*100)</f>
        <v>4.1300187048238735E-2</v>
      </c>
      <c r="F75" s="20">
        <f>IF(1554.88982="","-",1554.88982/3737310.64393*100)</f>
        <v>4.1604511054637479E-2</v>
      </c>
      <c r="G75" s="20">
        <f>IF(OR(2819533.73145="",2040.91176="",1645.88123=""),"-",(1645.88123-2040.91176)/2819533.73145*100)</f>
        <v>-1.4010491365777982E-2</v>
      </c>
      <c r="H75" s="20">
        <f>IF(OR(3985166.5274="",1554.88982="",1645.88123=""),"-",(1554.88982-1645.88123)/3985166.5274*100)</f>
        <v>-2.2832523904431274E-3</v>
      </c>
    </row>
    <row r="76" spans="1:8" x14ac:dyDescent="0.25">
      <c r="A76" s="60" t="s">
        <v>115</v>
      </c>
      <c r="B76" s="43">
        <v>1353.6699900000001</v>
      </c>
      <c r="C76" s="43">
        <v>1247.9812300000001</v>
      </c>
      <c r="D76" s="20">
        <f>IF(OR(1353.66999="",1247.98123=""),"-",1247.98123/1353.66999*100)</f>
        <v>92.192427934374166</v>
      </c>
      <c r="E76" s="20">
        <f>IF(1353.66999="","-",1353.66999/3985166.5274*100)</f>
        <v>3.3967714540731136E-2</v>
      </c>
      <c r="F76" s="20">
        <f>IF(1247.98123="","-",1247.98123/3737310.64393*100)</f>
        <v>3.3392493932152108E-2</v>
      </c>
      <c r="G76" s="20">
        <f>IF(OR(2819533.73145="",1060.65036="",1353.66999=""),"-",(1353.66999-1060.65036)/2819533.73145*100)</f>
        <v>1.0392485350735952E-2</v>
      </c>
      <c r="H76" s="20">
        <f>IF(OR(3985166.5274="",1247.98123="",1353.66999=""),"-",(1247.98123-1353.66999)/3985166.5274*100)</f>
        <v>-2.6520537918136482E-3</v>
      </c>
    </row>
    <row r="77" spans="1:8" x14ac:dyDescent="0.25">
      <c r="A77" s="60" t="s">
        <v>69</v>
      </c>
      <c r="B77" s="43">
        <v>2050.2460999999998</v>
      </c>
      <c r="C77" s="43">
        <v>1088.3275599999999</v>
      </c>
      <c r="D77" s="20">
        <f>IF(OR(2050.2461="",1088.32756=""),"-",1088.32756/2050.2461*100)</f>
        <v>53.08277674567946</v>
      </c>
      <c r="E77" s="20">
        <f>IF(2050.2461="","-",2050.2461/3985166.5274*100)</f>
        <v>5.1446936681404383E-2</v>
      </c>
      <c r="F77" s="20">
        <f>IF(1088.32756="","-",1088.32756/3737310.64393*100)</f>
        <v>2.9120607401678555E-2</v>
      </c>
      <c r="G77" s="20">
        <f>IF(OR(2819533.73145="",822.71893="",2050.2461=""),"-",(2050.2461-822.71893)/2819533.73145*100)</f>
        <v>4.3536530750022992E-2</v>
      </c>
      <c r="H77" s="20">
        <f>IF(OR(3985166.5274="",1088.32756="",2050.2461=""),"-",(1088.32756-2050.2461)/3985166.5274*100)</f>
        <v>-2.4137474140323419E-2</v>
      </c>
    </row>
    <row r="78" spans="1:8" x14ac:dyDescent="0.25">
      <c r="A78" s="60" t="s">
        <v>59</v>
      </c>
      <c r="B78" s="43">
        <v>3701.6358599999999</v>
      </c>
      <c r="C78" s="43">
        <v>1083.0624700000001</v>
      </c>
      <c r="D78" s="20">
        <f>IF(OR(3701.63586="",1083.06247=""),"-",1083.06247/3701.63586*100)</f>
        <v>29.259022523085243</v>
      </c>
      <c r="E78" s="20">
        <f>IF(3701.63586="","-",3701.63586/3985166.5274*100)</f>
        <v>9.288534957195424E-2</v>
      </c>
      <c r="F78" s="20">
        <f>IF(1083.06247="","-",1083.06247/3737310.64393*100)</f>
        <v>2.8979728290958892E-2</v>
      </c>
      <c r="G78" s="20">
        <f>IF(OR(2819533.73145="",974.01527="",3701.63586=""),"-",(3701.63586-974.01527)/2819533.73145*100)</f>
        <v>9.6740129744688957E-2</v>
      </c>
      <c r="H78" s="20">
        <f>IF(OR(3985166.5274="",1083.06247="",3701.63586=""),"-",(1083.06247-3701.63586)/3985166.5274*100)</f>
        <v>-6.5708004220049687E-2</v>
      </c>
    </row>
    <row r="79" spans="1:8" x14ac:dyDescent="0.25">
      <c r="A79" s="60" t="s">
        <v>62</v>
      </c>
      <c r="B79" s="43">
        <v>854.59609999999998</v>
      </c>
      <c r="C79" s="43">
        <v>1070.92515</v>
      </c>
      <c r="D79" s="20">
        <f>IF(OR(854.5961="",1070.92515=""),"-",1070.92515/854.5961*100)</f>
        <v>125.3136013609236</v>
      </c>
      <c r="E79" s="20">
        <f>IF(854.5961="","-",854.5961/3985166.5274*100)</f>
        <v>2.1444426327588247E-2</v>
      </c>
      <c r="F79" s="20">
        <f>IF(1070.92515="","-",1070.92515/3737310.64393*100)</f>
        <v>2.86549674895063E-2</v>
      </c>
      <c r="G79" s="20">
        <f>IF(OR(2819533.73145="",3323.84276="",854.5961=""),"-",(854.5961-3323.84276)/2819533.73145*100)</f>
        <v>-8.757641848569557E-2</v>
      </c>
      <c r="H79" s="20">
        <f>IF(OR(3985166.5274="",1070.92515="",854.5961=""),"-",(1070.92515-854.5961)/3985166.5274*100)</f>
        <v>5.4283565947026383E-3</v>
      </c>
    </row>
    <row r="80" spans="1:8" x14ac:dyDescent="0.25">
      <c r="A80" s="60" t="s">
        <v>82</v>
      </c>
      <c r="B80" s="43">
        <v>1150.53558</v>
      </c>
      <c r="C80" s="43">
        <v>996.05911000000003</v>
      </c>
      <c r="D80" s="20">
        <f>IF(OR(1150.53558="",996.05911=""),"-",996.05911/1150.53558*100)</f>
        <v>86.573516483514581</v>
      </c>
      <c r="E80" s="20">
        <f>IF(1150.53558="","-",1150.53558/3985166.5274*100)</f>
        <v>2.8870451763796975E-2</v>
      </c>
      <c r="F80" s="20">
        <f>IF(996.05911="","-",996.05911/3737310.64393*100)</f>
        <v>2.6651761250239183E-2</v>
      </c>
      <c r="G80" s="20">
        <f>IF(OR(2819533.73145="",829.79817="",1150.53558=""),"-",(1150.53558-829.79817)/2819533.73145*100)</f>
        <v>1.137554789369569E-2</v>
      </c>
      <c r="H80" s="20">
        <f>IF(OR(3985166.5274="",996.05911="",1150.53558=""),"-",(996.05911-1150.53558)/3985166.5274*100)</f>
        <v>-3.8762864472010761E-3</v>
      </c>
    </row>
    <row r="81" spans="1:8" x14ac:dyDescent="0.25">
      <c r="A81" s="60" t="s">
        <v>104</v>
      </c>
      <c r="B81" s="43">
        <v>517.05444999999997</v>
      </c>
      <c r="C81" s="43">
        <v>949.20347000000004</v>
      </c>
      <c r="D81" s="20" t="s">
        <v>331</v>
      </c>
      <c r="E81" s="20">
        <f>IF(517.05445="","-",517.05445/3985166.5274*100)</f>
        <v>1.2974475381266847E-2</v>
      </c>
      <c r="F81" s="20">
        <f>IF(949.20347="","-",949.20347/3737310.64393*100)</f>
        <v>2.5398035122974349E-2</v>
      </c>
      <c r="G81" s="20">
        <f>IF(OR(2819533.73145="",606.0642="",517.05445=""),"-",(517.05445-606.0642)/2819533.73145*100)</f>
        <v>-3.1568960855887706E-3</v>
      </c>
      <c r="H81" s="20">
        <f>IF(OR(3985166.5274="",949.20347="",517.05445=""),"-",(949.20347-517.05445)/3985166.5274*100)</f>
        <v>1.0843938817330739E-2</v>
      </c>
    </row>
    <row r="82" spans="1:8" x14ac:dyDescent="0.25">
      <c r="A82" s="60" t="s">
        <v>77</v>
      </c>
      <c r="B82" s="43">
        <v>848.88520000000005</v>
      </c>
      <c r="C82" s="43">
        <v>865.38368000000003</v>
      </c>
      <c r="D82" s="20">
        <f>IF(OR(848.8852="",865.38368=""),"-",865.38368/848.8852*100)</f>
        <v>101.94354666567398</v>
      </c>
      <c r="E82" s="20">
        <f>IF(848.8852="","-",848.8852/3985166.5274*100)</f>
        <v>2.1301122403881809E-2</v>
      </c>
      <c r="F82" s="20">
        <f>IF(865.38368="","-",865.38368/3737310.64393*100)</f>
        <v>2.3155251528409172E-2</v>
      </c>
      <c r="G82" s="20">
        <f>IF(OR(2819533.73145="",809.52015="",848.8852=""),"-",(848.8852-809.52015)/2819533.73145*100)</f>
        <v>1.3961546038945905E-3</v>
      </c>
      <c r="H82" s="20">
        <f>IF(OR(3985166.5274="",865.38368="",848.8852=""),"-",(865.38368-848.8852)/3985166.5274*100)</f>
        <v>4.1399725423177988E-4</v>
      </c>
    </row>
    <row r="83" spans="1:8" x14ac:dyDescent="0.25">
      <c r="A83" s="60" t="s">
        <v>113</v>
      </c>
      <c r="B83" s="43">
        <v>487.15267</v>
      </c>
      <c r="C83" s="43">
        <v>677.54165</v>
      </c>
      <c r="D83" s="20">
        <f>IF(OR(487.15267="",677.54165=""),"-",677.54165/487.15267*100)</f>
        <v>139.0819945624028</v>
      </c>
      <c r="E83" s="20">
        <f>IF(487.15267="","-",487.15267/3985166.5274*100)</f>
        <v>1.2224148392559841E-2</v>
      </c>
      <c r="F83" s="20">
        <f>IF(677.54165="","-",677.54165/3737310.64393*100)</f>
        <v>1.8129123173114811E-2</v>
      </c>
      <c r="G83" s="20">
        <f>IF(OR(2819533.73145="",332.148="",487.15267=""),"-",(487.15267-332.148)/2819533.73145*100)</f>
        <v>5.4975284839130414E-3</v>
      </c>
      <c r="H83" s="20">
        <f>IF(OR(3985166.5274="",677.54165="",487.15267=""),"-",(677.54165-487.15267)/3985166.5274*100)</f>
        <v>4.7774410100802859E-3</v>
      </c>
    </row>
    <row r="84" spans="1:8" x14ac:dyDescent="0.25">
      <c r="A84" s="60" t="s">
        <v>315</v>
      </c>
      <c r="B84" s="43" t="s">
        <v>272</v>
      </c>
      <c r="C84" s="43">
        <v>669.94482000000005</v>
      </c>
      <c r="D84" s="20" t="str">
        <f>IF(OR(""="",669.94482=""),"-",669.94482/""*100)</f>
        <v>-</v>
      </c>
      <c r="E84" s="20" t="str">
        <f>IF(""="","-",""/3985166.5274*100)</f>
        <v>-</v>
      </c>
      <c r="F84" s="20">
        <f>IF(669.94482="","-",669.94482/3737310.64393*100)</f>
        <v>1.7925853209127783E-2</v>
      </c>
      <c r="G84" s="20" t="str">
        <f>IF(OR(2819533.73145="",""="",""=""),"-",(""-"")/2819533.73145*100)</f>
        <v>-</v>
      </c>
      <c r="H84" s="20" t="str">
        <f>IF(OR(3985166.5274="",669.94482="",""=""),"-",(669.94482-"")/3985166.5274*100)</f>
        <v>-</v>
      </c>
    </row>
    <row r="85" spans="1:8" x14ac:dyDescent="0.25">
      <c r="A85" s="60" t="s">
        <v>30</v>
      </c>
      <c r="B85" s="43">
        <v>2363.61877</v>
      </c>
      <c r="C85" s="43">
        <v>665.55805999999995</v>
      </c>
      <c r="D85" s="20">
        <f>IF(OR(2363.61877="",665.55806=""),"-",665.55806/2363.61877*100)</f>
        <v>28.158435211614091</v>
      </c>
      <c r="E85" s="20">
        <f>IF(2363.61877="","-",2363.61877/3985166.5274*100)</f>
        <v>5.9310414100614023E-2</v>
      </c>
      <c r="F85" s="20">
        <f>IF(665.55806="","-",665.55806/3737310.64393*100)</f>
        <v>1.7808475757319624E-2</v>
      </c>
      <c r="G85" s="20">
        <f>IF(OR(2819533.73145="",1720.78391="",2363.61877=""),"-",(2363.61877-1720.78391)/2819533.73145*100)</f>
        <v>2.2799332131749658E-2</v>
      </c>
      <c r="H85" s="20">
        <f>IF(OR(3985166.5274="",665.55806="",2363.61877=""),"-",(665.55806-2363.61877)/3985166.5274*100)</f>
        <v>-4.2609529572352603E-2</v>
      </c>
    </row>
    <row r="86" spans="1:8" x14ac:dyDescent="0.25">
      <c r="A86" s="60" t="s">
        <v>265</v>
      </c>
      <c r="B86" s="43">
        <v>1086.3481400000001</v>
      </c>
      <c r="C86" s="43">
        <v>650.21928000000003</v>
      </c>
      <c r="D86" s="20">
        <f>IF(OR(1086.34814="",650.21928=""),"-",650.21928/1086.34814*100)</f>
        <v>59.853674531996717</v>
      </c>
      <c r="E86" s="20">
        <f>IF(1086.34814="","-",1086.34814/3985166.5274*100)</f>
        <v>2.7259792847571532E-2</v>
      </c>
      <c r="F86" s="20">
        <f>IF(650.21928="","-",650.21928/3737310.64393*100)</f>
        <v>1.739805282325305E-2</v>
      </c>
      <c r="G86" s="20">
        <f>IF(OR(2819533.73145="",917.86663="",1086.34814=""),"-",(1086.34814-917.86663)/2819533.73145*100)</f>
        <v>5.9755096426299956E-3</v>
      </c>
      <c r="H86" s="20">
        <f>IF(OR(3985166.5274="",650.21928="",1086.34814=""),"-",(650.21928-1086.34814)/3985166.5274*100)</f>
        <v>-1.0943805158489549E-2</v>
      </c>
    </row>
    <row r="87" spans="1:8" x14ac:dyDescent="0.25">
      <c r="A87" s="60" t="s">
        <v>108</v>
      </c>
      <c r="B87" s="43">
        <f>IF(781.90606="","-",781.90606)</f>
        <v>781.90606000000002</v>
      </c>
      <c r="C87" s="43">
        <v>557.70389999999998</v>
      </c>
      <c r="D87" s="20">
        <f>IF(OR(781.90606="",557.7039=""),"-",557.7039/781.90606*100)</f>
        <v>71.326202536401865</v>
      </c>
      <c r="E87" s="20">
        <f>IF(781.90606="","-",781.90606/3985166.5274*100)</f>
        <v>1.9620411208013701E-2</v>
      </c>
      <c r="F87" s="20">
        <f>IF(557.7039="","-",557.7039/3737310.64393*100)</f>
        <v>1.4922599514327284E-2</v>
      </c>
      <c r="G87" s="20">
        <f>IF(OR(2819533.73145="",670.70211="",781.90606=""),"-",(781.90606-670.70211)/2819533.73145*100)</f>
        <v>3.9440546058944039E-3</v>
      </c>
      <c r="H87" s="20">
        <f>IF(OR(3985166.5274="",557.7039="",781.90606=""),"-",(557.7039-781.90606)/3985166.5274*100)</f>
        <v>-5.6259169713109552E-3</v>
      </c>
    </row>
    <row r="88" spans="1:8" x14ac:dyDescent="0.25">
      <c r="A88" s="61" t="s">
        <v>411</v>
      </c>
      <c r="B88" s="45">
        <v>35.35</v>
      </c>
      <c r="C88" s="45">
        <v>546.28746000000001</v>
      </c>
      <c r="D88" s="20" t="s">
        <v>371</v>
      </c>
      <c r="E88" s="20">
        <f>IF(35.35="","-",35.35/3985166.5274*100)</f>
        <v>8.8703946891431477E-4</v>
      </c>
      <c r="F88" s="20">
        <f>IF(546.28746="","-",546.28746/3737310.64393*100)</f>
        <v>1.4617127449313309E-2</v>
      </c>
      <c r="G88" s="20" t="str">
        <f>IF(OR(2819533.73145="",""="",35.35=""),"-",(35.35-"")/2819533.73145*100)</f>
        <v>-</v>
      </c>
      <c r="H88" s="20">
        <f>IF(OR(3985166.5274="",546.28746="",35.35=""),"-",(546.28746-35.35)/3985166.5274*100)</f>
        <v>1.2820981419146504E-2</v>
      </c>
    </row>
    <row r="89" spans="1:8" x14ac:dyDescent="0.25">
      <c r="A89" s="60" t="s">
        <v>74</v>
      </c>
      <c r="B89" s="43">
        <v>456.33465999999999</v>
      </c>
      <c r="C89" s="43">
        <v>485.63717000000003</v>
      </c>
      <c r="D89" s="20">
        <f>IF(OR(456.33466="",485.63717=""),"-",485.63717/456.33466*100)</f>
        <v>106.42127643777926</v>
      </c>
      <c r="E89" s="20">
        <f>IF(456.33466="","-",456.33466/3985166.5274*100)</f>
        <v>1.1450830394726857E-2</v>
      </c>
      <c r="F89" s="20">
        <f>IF(485.63717="","-",485.63717/3737310.64393*100)</f>
        <v>1.2994294996289745E-2</v>
      </c>
      <c r="G89" s="20">
        <f>IF(OR(2819533.73145="",523.44822="",456.33466=""),"-",(456.33466-523.44822)/2819533.73145*100)</f>
        <v>-2.3803070433736418E-3</v>
      </c>
      <c r="H89" s="20">
        <f>IF(OR(3985166.5274="",485.63717="",456.33466=""),"-",(485.63717-456.33466)/3985166.5274*100)</f>
        <v>7.3528947406666014E-4</v>
      </c>
    </row>
    <row r="90" spans="1:8" x14ac:dyDescent="0.25">
      <c r="A90" s="61" t="s">
        <v>85</v>
      </c>
      <c r="B90" s="45">
        <v>87.142390000000006</v>
      </c>
      <c r="C90" s="45">
        <v>467.95496000000003</v>
      </c>
      <c r="D90" s="20" t="s">
        <v>372</v>
      </c>
      <c r="E90" s="20">
        <f>IF(87.14239="","-",87.14239/3985166.5274*100)</f>
        <v>2.1866687226456604E-3</v>
      </c>
      <c r="F90" s="20">
        <f>IF(467.95496="","-",467.95496/3737310.64393*100)</f>
        <v>1.252116841718884E-2</v>
      </c>
      <c r="G90" s="20">
        <f>IF(OR(2819533.73145="",29.80973="",87.14239=""),"-",(87.14239-29.80973)/2819533.73145*100)</f>
        <v>2.0334092605629362E-3</v>
      </c>
      <c r="H90" s="20">
        <f>IF(OR(3985166.5274="",467.95496="",87.14239=""),"-",(467.95496-87.14239)/3985166.5274*100)</f>
        <v>9.5557504907693176E-3</v>
      </c>
    </row>
    <row r="91" spans="1:8" x14ac:dyDescent="0.25">
      <c r="A91" s="60" t="s">
        <v>276</v>
      </c>
      <c r="B91" s="43">
        <v>20.290500000000002</v>
      </c>
      <c r="C91" s="43">
        <v>430.84858000000003</v>
      </c>
      <c r="D91" s="20" t="s">
        <v>336</v>
      </c>
      <c r="E91" s="20">
        <f>IF(20.2905="","-",20.2905/3985166.5274*100)</f>
        <v>5.0915061793510336E-4</v>
      </c>
      <c r="F91" s="20">
        <f>IF(430.84858="","-",430.84858/3737310.64393*100)</f>
        <v>1.1528305272128453E-2</v>
      </c>
      <c r="G91" s="20">
        <f>IF(OR(2819533.73145="",662.95097="",20.2905=""),"-",(20.2905-662.95097)/2819533.73145*100)</f>
        <v>-2.2793147066536405E-2</v>
      </c>
      <c r="H91" s="20">
        <f>IF(OR(3985166.5274="",430.84858="",20.2905=""),"-",(430.84858-20.2905)/3985166.5274*100)</f>
        <v>1.0302156187883474E-2</v>
      </c>
    </row>
    <row r="92" spans="1:8" x14ac:dyDescent="0.25">
      <c r="A92" s="60" t="s">
        <v>288</v>
      </c>
      <c r="B92" s="43">
        <v>148.29127</v>
      </c>
      <c r="C92" s="43">
        <v>423.51206999999999</v>
      </c>
      <c r="D92" s="20" t="s">
        <v>334</v>
      </c>
      <c r="E92" s="20">
        <f>IF(148.29127="","-",148.29127/3985166.5274*100)</f>
        <v>3.7210808878480692E-3</v>
      </c>
      <c r="F92" s="20">
        <f>IF(423.51207="","-",423.51207/3737310.64393*100)</f>
        <v>1.1332000744649164E-2</v>
      </c>
      <c r="G92" s="20">
        <f>IF(OR(2819533.73145="",96.75683="",148.29127=""),"-",(148.29127-96.75683)/2819533.73145*100)</f>
        <v>1.8277646202692322E-3</v>
      </c>
      <c r="H92" s="20">
        <f>IF(OR(3985166.5274="",423.51207="",148.29127=""),"-",(423.51207-148.29127)/3985166.5274*100)</f>
        <v>6.9061304742906032E-3</v>
      </c>
    </row>
    <row r="93" spans="1:8" x14ac:dyDescent="0.25">
      <c r="A93" s="61" t="s">
        <v>264</v>
      </c>
      <c r="B93" s="45">
        <v>319.04727000000003</v>
      </c>
      <c r="C93" s="45">
        <v>405.53910999999999</v>
      </c>
      <c r="D93" s="20">
        <f>IF(OR(319.04727="",405.53911=""),"-",405.53911/319.04727*100)</f>
        <v>127.10941234507349</v>
      </c>
      <c r="E93" s="20">
        <f>IF(319.04727="","-",319.04727/3985166.5274*100)</f>
        <v>8.005870465045601E-3</v>
      </c>
      <c r="F93" s="20">
        <f>IF(405.53911="","-",405.53911/3737310.64393*100)</f>
        <v>1.0851094507186911E-2</v>
      </c>
      <c r="G93" s="20">
        <f>IF(OR(2819533.73145="",1006.67648="",319.04727=""),"-",(319.04727-1006.67648)/2819533.73145*100)</f>
        <v>-2.4388046943009025E-2</v>
      </c>
      <c r="H93" s="20">
        <f>IF(OR(3985166.5274="",405.53911="",319.04727=""),"-",(405.53911-319.04727)/3985166.5274*100)</f>
        <v>2.1703444361816648E-3</v>
      </c>
    </row>
    <row r="94" spans="1:8" x14ac:dyDescent="0.25">
      <c r="A94" s="60" t="s">
        <v>88</v>
      </c>
      <c r="B94" s="43">
        <v>166.46709999999999</v>
      </c>
      <c r="C94" s="43">
        <v>371.23860000000002</v>
      </c>
      <c r="D94" s="20" t="s">
        <v>337</v>
      </c>
      <c r="E94" s="20">
        <f>IF(166.4671="","-",166.4671/3985166.5274*100)</f>
        <v>4.177167976681927E-3</v>
      </c>
      <c r="F94" s="20">
        <f>IF(371.2386="","-",371.2386/3737310.64393*100)</f>
        <v>9.9333086106436434E-3</v>
      </c>
      <c r="G94" s="20">
        <f>IF(OR(2819533.73145="",682.18517="",166.4671=""),"-",(166.4671-682.18517)/2819533.73145*100)</f>
        <v>-1.8290899103192572E-2</v>
      </c>
      <c r="H94" s="20">
        <f>IF(OR(3985166.5274="",371.2386="",166.4671=""),"-",(371.2386-166.4671)/3985166.5274*100)</f>
        <v>5.1383423651707961E-3</v>
      </c>
    </row>
    <row r="95" spans="1:8" x14ac:dyDescent="0.25">
      <c r="A95" s="60" t="s">
        <v>33</v>
      </c>
      <c r="B95" s="43">
        <v>1156.2923599999999</v>
      </c>
      <c r="C95" s="43">
        <v>365.70702</v>
      </c>
      <c r="D95" s="20">
        <f>IF(OR(1156.29236="",365.70702=""),"-",365.70702/1156.29236*100)</f>
        <v>31.627556546339196</v>
      </c>
      <c r="E95" s="20">
        <f>IF(1156.29236="","-",1156.29236/3985166.5274*100)</f>
        <v>2.9014906956833932E-2</v>
      </c>
      <c r="F95" s="20">
        <f>IF(365.70702="","-",365.70702/3737310.64393*100)</f>
        <v>9.7852989714400027E-3</v>
      </c>
      <c r="G95" s="20">
        <f>IF(OR(2819533.73145="",763.45408="",1156.29236=""),"-",(1156.29236-763.45408)/2819533.73145*100)</f>
        <v>1.3932739148255383E-2</v>
      </c>
      <c r="H95" s="20">
        <f>IF(OR(3985166.5274="",365.70702="",1156.29236=""),"-",(365.70702-1156.29236)/3985166.5274*100)</f>
        <v>-1.9838200852193573E-2</v>
      </c>
    </row>
    <row r="96" spans="1:8" x14ac:dyDescent="0.25">
      <c r="A96" s="60" t="s">
        <v>270</v>
      </c>
      <c r="B96" s="43">
        <v>281.83136999999999</v>
      </c>
      <c r="C96" s="43">
        <v>345.07886999999999</v>
      </c>
      <c r="D96" s="20">
        <f>IF(OR(281.83137="",345.07887=""),"-",345.07887/281.83137*100)</f>
        <v>122.44161109531562</v>
      </c>
      <c r="E96" s="20">
        <f>IF(281.83137="","-",281.83137/3985166.5274*100)</f>
        <v>7.0720098661440946E-3</v>
      </c>
      <c r="F96" s="20">
        <f>IF(345.07887="","-",345.07887/3737310.64393*100)</f>
        <v>9.2333472616322153E-3</v>
      </c>
      <c r="G96" s="20">
        <f>IF(OR(2819533.73145="",139.09809="",281.83137=""),"-",(281.83137-139.09809)/2819533.73145*100)</f>
        <v>5.0623008481120967E-3</v>
      </c>
      <c r="H96" s="20">
        <f>IF(OR(3985166.5274="",345.07887="",281.83137=""),"-",(345.07887-281.83137)/3985166.5274*100)</f>
        <v>1.5870729507824082E-3</v>
      </c>
    </row>
    <row r="97" spans="1:8" x14ac:dyDescent="0.25">
      <c r="A97" s="61" t="s">
        <v>90</v>
      </c>
      <c r="B97" s="43">
        <v>628.55749000000003</v>
      </c>
      <c r="C97" s="45">
        <v>312.66577999999998</v>
      </c>
      <c r="D97" s="20">
        <f>IF(OR(628.55749="",312.66578=""),"-",312.66578/628.55749*100)</f>
        <v>49.743386241408075</v>
      </c>
      <c r="E97" s="20">
        <f>IF(628.55749="","-",628.55749/3985166.5274*100)</f>
        <v>1.5772427216738747E-2</v>
      </c>
      <c r="F97" s="20">
        <f>IF(312.66578="","-",312.66578/3737310.64393*100)</f>
        <v>8.3660634554909175E-3</v>
      </c>
      <c r="G97" s="20">
        <f>IF(OR(2819533.73145="",701.63872="",628.55749=""),"-",(628.55749-701.63872)/2819533.73145*100)</f>
        <v>-2.5919615426064284E-3</v>
      </c>
      <c r="H97" s="20">
        <f>IF(OR(3985166.5274="",312.66578="",628.55749=""),"-",(312.66578-628.55749)/3985166.5274*100)</f>
        <v>-7.9266878266714223E-3</v>
      </c>
    </row>
    <row r="98" spans="1:8" x14ac:dyDescent="0.25">
      <c r="A98" s="61" t="s">
        <v>280</v>
      </c>
      <c r="B98" s="45">
        <v>159.32383999999999</v>
      </c>
      <c r="C98" s="45">
        <v>296.90719999999999</v>
      </c>
      <c r="D98" s="20" t="s">
        <v>328</v>
      </c>
      <c r="E98" s="20">
        <f>IF(159.32384="","-",159.32384/3985166.5274*100)</f>
        <v>3.9979217657422706E-3</v>
      </c>
      <c r="F98" s="20">
        <f>IF(296.9072="","-",296.9072/3737310.64393*100)</f>
        <v>7.94440784531052E-3</v>
      </c>
      <c r="G98" s="20">
        <f>IF(OR(2819533.73145="",168.79079="",159.32384=""),"-",(159.32384-168.79079)/2819533.73145*100)</f>
        <v>-3.3576296301769849E-4</v>
      </c>
      <c r="H98" s="20">
        <f>IF(OR(3985166.5274="",296.9072="",159.32384=""),"-",(296.9072-159.32384)/3985166.5274*100)</f>
        <v>3.4523867209574816E-3</v>
      </c>
    </row>
    <row r="99" spans="1:8" x14ac:dyDescent="0.25">
      <c r="A99" s="60" t="s">
        <v>177</v>
      </c>
      <c r="B99" s="43">
        <v>502.01533000000001</v>
      </c>
      <c r="C99" s="43">
        <v>287.44904000000002</v>
      </c>
      <c r="D99" s="20">
        <f>IF(OR(502.01533="",287.44904=""),"-",287.44904/502.01533*100)</f>
        <v>57.259016373065741</v>
      </c>
      <c r="E99" s="20">
        <f>IF(502.01533="","-",502.01533/3985166.5274*100)</f>
        <v>1.2597097926733932E-2</v>
      </c>
      <c r="F99" s="20">
        <f>IF(287.44904="","-",287.44904/3737310.64393*100)</f>
        <v>7.6913338864903827E-3</v>
      </c>
      <c r="G99" s="20">
        <f>IF(OR(2819533.73145="",809.73272="",502.01533=""),"-",(502.01533-809.73272)/2819533.73145*100)</f>
        <v>-1.0913768704648564E-2</v>
      </c>
      <c r="H99" s="20">
        <f>IF(OR(3985166.5274="",287.44904="",502.01533=""),"-",(287.44904-502.01533)/3985166.5274*100)</f>
        <v>-5.3841235623342245E-3</v>
      </c>
    </row>
    <row r="100" spans="1:8" x14ac:dyDescent="0.25">
      <c r="A100" s="60" t="s">
        <v>61</v>
      </c>
      <c r="B100" s="43">
        <v>191.32889</v>
      </c>
      <c r="C100" s="43">
        <v>282.46656000000002</v>
      </c>
      <c r="D100" s="20">
        <f>IF(OR(191.32889="",282.46656=""),"-",282.46656/191.32889*100)</f>
        <v>147.63403477645224</v>
      </c>
      <c r="E100" s="20">
        <f>IF(191.32889="","-",191.32889/3985166.5274*100)</f>
        <v>4.8010262227316932E-3</v>
      </c>
      <c r="F100" s="20">
        <f>IF(282.46656="","-",282.46656/3737310.64393*100)</f>
        <v>7.5580166304551541E-3</v>
      </c>
      <c r="G100" s="20">
        <f>IF(OR(2819533.73145="",199.94476="",191.32889=""),"-",(191.32889-199.94476)/2819533.73145*100)</f>
        <v>-3.0557783025951323E-4</v>
      </c>
      <c r="H100" s="20">
        <f>IF(OR(3985166.5274="",282.46656="",191.32889=""),"-",(282.46656-191.32889)/3985166.5274*100)</f>
        <v>2.2869225005626051E-3</v>
      </c>
    </row>
    <row r="101" spans="1:8" x14ac:dyDescent="0.25">
      <c r="A101" s="61" t="s">
        <v>271</v>
      </c>
      <c r="B101" s="45">
        <v>263.53181999999998</v>
      </c>
      <c r="C101" s="45">
        <v>281.59609999999998</v>
      </c>
      <c r="D101" s="20">
        <f>IF(OR(263.53182="",281.5961=""),"-",281.5961/263.53182*100)</f>
        <v>106.85468646632501</v>
      </c>
      <c r="E101" s="20">
        <f>IF(263.53182="","-",263.53182/3985166.5274*100)</f>
        <v>6.6128182646343079E-3</v>
      </c>
      <c r="F101" s="20">
        <f>IF(281.5961="","-",281.5961/3737310.64393*100)</f>
        <v>7.5347255507742673E-3</v>
      </c>
      <c r="G101" s="20" t="str">
        <f>IF(OR(2819533.73145="",""="",263.53182=""),"-",(263.53182-"")/2819533.73145*100)</f>
        <v>-</v>
      </c>
      <c r="H101" s="20">
        <f>IF(OR(3985166.5274="",281.5961="",263.53182=""),"-",(281.5961-263.53182)/3985166.5274*100)</f>
        <v>4.5328795862855661E-4</v>
      </c>
    </row>
    <row r="102" spans="1:8" x14ac:dyDescent="0.25">
      <c r="A102" s="60" t="s">
        <v>86</v>
      </c>
      <c r="B102" s="43">
        <v>228.36518000000001</v>
      </c>
      <c r="C102" s="43">
        <v>269.91185999999999</v>
      </c>
      <c r="D102" s="20">
        <f>IF(OR(228.36518="",269.91186=""),"-",269.91186/228.36518*100)</f>
        <v>118.19308880627074</v>
      </c>
      <c r="E102" s="20">
        <f>IF(228.36518="","-",228.36518/3985166.5274*100)</f>
        <v>5.7303798581533772E-3</v>
      </c>
      <c r="F102" s="20">
        <f>IF(269.91186="","-",269.91186/3737310.64393*100)</f>
        <v>7.2220879053332306E-3</v>
      </c>
      <c r="G102" s="20">
        <f>IF(OR(2819533.73145="",130.35845="",228.36518=""),"-",(228.36518-130.35845)/2819533.73145*100)</f>
        <v>3.4759906897655073E-3</v>
      </c>
      <c r="H102" s="20">
        <f>IF(OR(3985166.5274="",269.91186="",228.36518=""),"-",(269.91186-228.36518)/3985166.5274*100)</f>
        <v>1.0425330965304941E-3</v>
      </c>
    </row>
    <row r="103" spans="1:8" x14ac:dyDescent="0.25">
      <c r="A103" s="60" t="s">
        <v>81</v>
      </c>
      <c r="B103" s="43">
        <v>10.70424</v>
      </c>
      <c r="C103" s="43">
        <v>266.37031999999999</v>
      </c>
      <c r="D103" s="20" t="s">
        <v>373</v>
      </c>
      <c r="E103" s="20">
        <f>IF(10.70424="","-",10.70424/3985166.5274*100)</f>
        <v>2.6860207538136819E-4</v>
      </c>
      <c r="F103" s="20">
        <f>IF(266.37032="","-",266.37032/3737310.64393*100)</f>
        <v>7.1273261812642933E-3</v>
      </c>
      <c r="G103" s="20">
        <f>IF(OR(2819533.73145="",1.58254="",10.70424=""),"-",(10.70424-1.58254)/2819533.73145*100)</f>
        <v>3.2351803059681752E-4</v>
      </c>
      <c r="H103" s="20">
        <f>IF(OR(3985166.5274="",266.37032="",10.70424=""),"-",(266.37032-10.70424)/3985166.5274*100)</f>
        <v>6.4154428238360596E-3</v>
      </c>
    </row>
    <row r="104" spans="1:8" x14ac:dyDescent="0.25">
      <c r="A104" s="61" t="s">
        <v>295</v>
      </c>
      <c r="B104" s="45">
        <v>176.90536</v>
      </c>
      <c r="C104" s="45">
        <v>215.64302000000001</v>
      </c>
      <c r="D104" s="20">
        <f>IF(OR(176.90536="",215.64302=""),"-",215.64302/176.90536*100)</f>
        <v>121.89739191622007</v>
      </c>
      <c r="E104" s="20">
        <f>IF(176.90536="","-",176.90536/3985166.5274*100)</f>
        <v>4.4390958014850256E-3</v>
      </c>
      <c r="F104" s="20">
        <f>IF(215.64302="","-",215.64302/3737310.64393*100)</f>
        <v>5.7700052402718874E-3</v>
      </c>
      <c r="G104" s="20">
        <f>IF(OR(2819533.73145="",211.45377="",176.90536=""),"-",(176.90536-211.45377)/2819533.73145*100)</f>
        <v>-1.2253235212133036E-3</v>
      </c>
      <c r="H104" s="20">
        <f>IF(OR(3985166.5274="",215.64302="",176.90536=""),"-",(215.64302-176.90536)/3985166.5274*100)</f>
        <v>9.7204620518764645E-4</v>
      </c>
    </row>
    <row r="105" spans="1:8" x14ac:dyDescent="0.25">
      <c r="A105" s="60" t="s">
        <v>351</v>
      </c>
      <c r="B105" s="43">
        <v>36.9</v>
      </c>
      <c r="C105" s="43">
        <v>215.15779000000001</v>
      </c>
      <c r="D105" s="20" t="s">
        <v>358</v>
      </c>
      <c r="E105" s="20">
        <f>IF(36.9="","-",36.9/3985166.5274*100)</f>
        <v>9.2593370305341473E-4</v>
      </c>
      <c r="F105" s="20">
        <f>IF(215.15779="","-",215.15779/3737310.64393*100)</f>
        <v>5.7570218400081682E-3</v>
      </c>
      <c r="G105" s="20">
        <f>IF(OR(2819533.73145="",26.508="",36.9=""),"-",(36.9-26.508)/2819533.73145*100)</f>
        <v>3.6857157919709344E-4</v>
      </c>
      <c r="H105" s="20">
        <f>IF(OR(3985166.5274="",215.15779="",36.9=""),"-",(215.15779-36.9)/3985166.5274*100)</f>
        <v>4.4730324008893764E-3</v>
      </c>
    </row>
    <row r="106" spans="1:8" x14ac:dyDescent="0.25">
      <c r="A106" s="60" t="s">
        <v>101</v>
      </c>
      <c r="B106" s="43">
        <v>382.52483000000001</v>
      </c>
      <c r="C106" s="43">
        <v>214.91972999999999</v>
      </c>
      <c r="D106" s="20">
        <f>IF(OR(382.52483="",214.91973=""),"-",214.91973/382.52483*100)</f>
        <v>56.184517486093647</v>
      </c>
      <c r="E106" s="20">
        <f>IF(382.52483="","-",382.52483/3985166.5274*100)</f>
        <v>9.5987163238964238E-3</v>
      </c>
      <c r="F106" s="20">
        <f>IF(214.91973="","-",214.91973/3737310.64393*100)</f>
        <v>5.7506520189608687E-3</v>
      </c>
      <c r="G106" s="20">
        <f>IF(OR(2819533.73145="",571.48393="",382.52483=""),"-",(382.52483-571.48393)/2819533.73145*100)</f>
        <v>-6.701785401333862E-3</v>
      </c>
      <c r="H106" s="20">
        <f>IF(OR(3985166.5274="",214.91973="",382.52483=""),"-",(214.91973-382.52483)/3985166.5274*100)</f>
        <v>-4.2057238724563118E-3</v>
      </c>
    </row>
    <row r="107" spans="1:8" x14ac:dyDescent="0.25">
      <c r="A107" s="61" t="s">
        <v>73</v>
      </c>
      <c r="B107" s="45">
        <v>219.56353999999999</v>
      </c>
      <c r="C107" s="45">
        <v>214.26096999999999</v>
      </c>
      <c r="D107" s="20">
        <f>IF(OR(219.56354="",214.26097=""),"-",214.26097/219.56354*100)</f>
        <v>97.584949668783807</v>
      </c>
      <c r="E107" s="20">
        <f>IF(219.56354="","-",219.56354/3985166.5274*100)</f>
        <v>5.5095198278513977E-3</v>
      </c>
      <c r="F107" s="20">
        <f>IF(214.26097="","-",214.26097/3737310.64393*100)</f>
        <v>5.7330254403121306E-3</v>
      </c>
      <c r="G107" s="20">
        <f>IF(OR(2819533.73145="",36.84126="",219.56354=""),"-",(219.56354-36.84126)/2819533.73145*100)</f>
        <v>6.4805849975070702E-3</v>
      </c>
      <c r="H107" s="20">
        <f>IF(OR(3985166.5274="",214.26097="",219.56354=""),"-",(214.26097-219.56354)/3985166.5274*100)</f>
        <v>-1.330576768509471E-4</v>
      </c>
    </row>
    <row r="108" spans="1:8" x14ac:dyDescent="0.25">
      <c r="A108" s="60" t="s">
        <v>72</v>
      </c>
      <c r="B108" s="43">
        <v>1091.87077</v>
      </c>
      <c r="C108" s="43">
        <v>195.95788999999999</v>
      </c>
      <c r="D108" s="20">
        <f>IF(OR(1091.87077="",195.95789=""),"-",195.95789/1091.87077*100)</f>
        <v>17.946985612592229</v>
      </c>
      <c r="E108" s="20">
        <f>IF(1091.87077="","-",1091.87077/3985166.5274*100)</f>
        <v>2.739837250194806E-2</v>
      </c>
      <c r="F108" s="20">
        <f>IF(195.95789="","-",195.95789/3737310.64393*100)</f>
        <v>5.2432861131912461E-3</v>
      </c>
      <c r="G108" s="20">
        <f>IF(OR(2819533.73145="",375.40028="",1091.87077=""),"-",(1091.87077-375.40028)/2819533.73145*100)</f>
        <v>2.5410956499943734E-2</v>
      </c>
      <c r="H108" s="20">
        <f>IF(OR(3985166.5274="",195.95789="",1091.87077=""),"-",(195.95789-1091.87077)/3985166.5274*100)</f>
        <v>-2.2481190530939013E-2</v>
      </c>
    </row>
    <row r="109" spans="1:8" s="18" customFormat="1" ht="15" customHeight="1" x14ac:dyDescent="0.2">
      <c r="A109" s="60" t="s">
        <v>274</v>
      </c>
      <c r="B109" s="43" t="s">
        <v>272</v>
      </c>
      <c r="C109" s="43">
        <v>175.10164</v>
      </c>
      <c r="D109" s="20" t="str">
        <f>IF(OR(""="",175.10164=""),"-",175.10164/""*100)</f>
        <v>-</v>
      </c>
      <c r="E109" s="20" t="str">
        <f>IF(""="","-",""/3985166.5274*100)</f>
        <v>-</v>
      </c>
      <c r="F109" s="20">
        <f>IF(175.10164="","-",175.10164/3737310.64393*100)</f>
        <v>4.6852310841324768E-3</v>
      </c>
      <c r="G109" s="20" t="str">
        <f>IF(OR(2819533.73145="",""="",""=""),"-",(""-"")/2819533.73145*100)</f>
        <v>-</v>
      </c>
      <c r="H109" s="20" t="str">
        <f>IF(OR(3985166.5274="",175.10164="",""=""),"-",(175.10164-"")/3985166.5274*100)</f>
        <v>-</v>
      </c>
    </row>
    <row r="110" spans="1:8" s="18" customFormat="1" ht="14.25" customHeight="1" x14ac:dyDescent="0.2">
      <c r="A110" s="61" t="s">
        <v>287</v>
      </c>
      <c r="B110" s="45">
        <v>45.284489999999998</v>
      </c>
      <c r="C110" s="45">
        <v>164.60524000000001</v>
      </c>
      <c r="D110" s="20" t="s">
        <v>329</v>
      </c>
      <c r="E110" s="20">
        <f>IF(45.28449="","-",45.28449/3985166.5274*100)</f>
        <v>1.1363261657611201E-3</v>
      </c>
      <c r="F110" s="20">
        <f>IF(164.60524="","-",164.60524/3737310.64393*100)</f>
        <v>4.4043767211951104E-3</v>
      </c>
      <c r="G110" s="20" t="str">
        <f>IF(OR(2819533.73145="",""="",45.28449=""),"-",(45.28449-"")/2819533.73145*100)</f>
        <v>-</v>
      </c>
      <c r="H110" s="20">
        <f>IF(OR(3985166.5274="",164.60524="",45.28449=""),"-",(164.60524-45.28449)/3985166.5274*100)</f>
        <v>2.9941220568729201E-3</v>
      </c>
    </row>
    <row r="111" spans="1:8" x14ac:dyDescent="0.25">
      <c r="A111" s="60" t="s">
        <v>296</v>
      </c>
      <c r="B111" s="43" t="s">
        <v>272</v>
      </c>
      <c r="C111" s="43">
        <v>163.33998</v>
      </c>
      <c r="D111" s="20" t="str">
        <f>IF(OR(""="",163.33998=""),"-",163.33998/""*100)</f>
        <v>-</v>
      </c>
      <c r="E111" s="20" t="str">
        <f>IF(""="","-",""/3985166.5274*100)</f>
        <v>-</v>
      </c>
      <c r="F111" s="20">
        <f>IF(163.33998="","-",163.33998/3737310.64393*100)</f>
        <v>4.3705218956120407E-3</v>
      </c>
      <c r="G111" s="20" t="str">
        <f>IF(OR(2819533.73145="",""="",""=""),"-",(""-"")/2819533.73145*100)</f>
        <v>-</v>
      </c>
      <c r="H111" s="20" t="str">
        <f>IF(OR(3985166.5274="",163.33998="",""=""),"-",(163.33998-"")/3985166.5274*100)</f>
        <v>-</v>
      </c>
    </row>
    <row r="112" spans="1:8" x14ac:dyDescent="0.25">
      <c r="A112" s="61" t="s">
        <v>297</v>
      </c>
      <c r="B112" s="45">
        <v>23.586680000000001</v>
      </c>
      <c r="C112" s="45">
        <v>149.77191999999999</v>
      </c>
      <c r="D112" s="20" t="s">
        <v>374</v>
      </c>
      <c r="E112" s="20">
        <f>IF(23.58668="","-",23.58668/3985166.5274*100)</f>
        <v>5.9186184160259952E-4</v>
      </c>
      <c r="F112" s="20">
        <f>IF(149.77192="","-",149.77192/3737310.64393*100)</f>
        <v>4.007478485719509E-3</v>
      </c>
      <c r="G112" s="20">
        <f>IF(OR(2819533.73145="",60.504="",23.58668=""),"-",(23.58668-60.504)/2819533.73145*100)</f>
        <v>-1.3093413137148231E-3</v>
      </c>
      <c r="H112" s="20">
        <f>IF(OR(3985166.5274="",149.77192="",23.58668=""),"-",(149.77192-23.58668)/3985166.5274*100)</f>
        <v>3.1663730770700236E-3</v>
      </c>
    </row>
    <row r="113" spans="1:8" x14ac:dyDescent="0.25">
      <c r="A113" s="60" t="s">
        <v>405</v>
      </c>
      <c r="B113" s="43">
        <v>1765.4242200000001</v>
      </c>
      <c r="C113" s="43">
        <v>141.40208000000001</v>
      </c>
      <c r="D113" s="20">
        <f>IF(OR(1765.42422="",141.40208=""),"-",141.40208/1765.42422*100)</f>
        <v>8.0095241924346094</v>
      </c>
      <c r="E113" s="20">
        <f>IF(1765.42422="","-",1765.42422/3985166.5274*100)</f>
        <v>4.4299885785495569E-2</v>
      </c>
      <c r="F113" s="20">
        <f>IF(141.40208="","-",141.40208/3737310.64393*100)</f>
        <v>3.7835249320165554E-3</v>
      </c>
      <c r="G113" s="20">
        <f>IF(OR(2819533.73145="",460.03135="",1765.42422=""),"-",(1765.42422-460.03135)/2819533.73145*100)</f>
        <v>4.629818240651714E-2</v>
      </c>
      <c r="H113" s="20">
        <f>IF(OR(3985166.5274="",141.40208="",1765.42422=""),"-",(141.40208-1765.42422)/3985166.5274*100)</f>
        <v>-4.07516757162854E-2</v>
      </c>
    </row>
    <row r="114" spans="1:8" s="18" customFormat="1" ht="14.25" customHeight="1" x14ac:dyDescent="0.2">
      <c r="A114" s="60" t="s">
        <v>279</v>
      </c>
      <c r="B114" s="43">
        <v>118.09535</v>
      </c>
      <c r="C114" s="43">
        <v>136.46142</v>
      </c>
      <c r="D114" s="20">
        <f>IF(OR(118.09535="",136.46142=""),"-",136.46142/118.09535*100)</f>
        <v>115.55189937622438</v>
      </c>
      <c r="E114" s="20">
        <f>IF(118.09535="","-",118.09535/3985166.5274*100)</f>
        <v>2.9633730281541761E-3</v>
      </c>
      <c r="F114" s="20">
        <f>IF(136.46142="","-",136.46142/3737310.64393*100)</f>
        <v>3.6513266624393545E-3</v>
      </c>
      <c r="G114" s="20">
        <f>IF(OR(2819533.73145="",64.96126="",118.09535=""),"-",(118.09535-64.96126)/2819533.73145*100)</f>
        <v>1.8844991782621717E-3</v>
      </c>
      <c r="H114" s="20">
        <f>IF(OR(3985166.5274="",136.46142="",118.09535=""),"-",(136.46142-118.09535)/3985166.5274*100)</f>
        <v>4.6086079148071105E-4</v>
      </c>
    </row>
    <row r="115" spans="1:8" s="18" customFormat="1" ht="15" customHeight="1" x14ac:dyDescent="0.2">
      <c r="A115" s="61" t="s">
        <v>316</v>
      </c>
      <c r="B115" s="45" t="s">
        <v>272</v>
      </c>
      <c r="C115" s="45">
        <v>112.26016</v>
      </c>
      <c r="D115" s="20" t="str">
        <f>IF(OR(""="",112.26016=""),"-",112.26016/""*100)</f>
        <v>-</v>
      </c>
      <c r="E115" s="20" t="str">
        <f>IF(""="","-",""/3985166.5274*100)</f>
        <v>-</v>
      </c>
      <c r="F115" s="20">
        <f>IF(112.26016="","-",112.26016/3737310.64393*100)</f>
        <v>3.0037685034913744E-3</v>
      </c>
      <c r="G115" s="20" t="str">
        <f>IF(OR(2819533.73145="",""="",""=""),"-",(""-"")/2819533.73145*100)</f>
        <v>-</v>
      </c>
      <c r="H115" s="20" t="str">
        <f>IF(OR(3985166.5274="",112.26016="",""=""),"-",(112.26016-"")/3985166.5274*100)</f>
        <v>-</v>
      </c>
    </row>
    <row r="116" spans="1:8" x14ac:dyDescent="0.25">
      <c r="A116" s="60" t="s">
        <v>278</v>
      </c>
      <c r="B116" s="43">
        <v>1.15343</v>
      </c>
      <c r="C116" s="43">
        <v>79.2239</v>
      </c>
      <c r="D116" s="20" t="s">
        <v>354</v>
      </c>
      <c r="E116" s="20">
        <f>IF(1.15343="","-",1.15343/3985166.5274*100)</f>
        <v>2.8943081601975615E-5</v>
      </c>
      <c r="F116" s="20">
        <f>IF(79.2239="","-",79.2239/3737310.64393*100)</f>
        <v>2.1198104077506238E-3</v>
      </c>
      <c r="G116" s="20" t="str">
        <f>IF(OR(2819533.73145="",""="",1.15343=""),"-",(1.15343-"")/2819533.73145*100)</f>
        <v>-</v>
      </c>
      <c r="H116" s="20">
        <f>IF(OR(3985166.5274="",79.2239="",1.15343=""),"-",(79.2239-1.15343)/3985166.5274*100)</f>
        <v>1.9590265416319927E-3</v>
      </c>
    </row>
    <row r="117" spans="1:8" s="18" customFormat="1" ht="14.25" customHeight="1" x14ac:dyDescent="0.2">
      <c r="A117" s="61" t="s">
        <v>400</v>
      </c>
      <c r="B117" s="45">
        <v>4083.0096600000002</v>
      </c>
      <c r="C117" s="45">
        <v>62.251170000000002</v>
      </c>
      <c r="D117" s="20">
        <f>IF(OR(4083.00966="",62.25117=""),"-",62.25117/4083.00966*100)</f>
        <v>1.5246393024698355</v>
      </c>
      <c r="E117" s="20">
        <f>IF(4083.00966="","-",4083.00966/3985166.5274*100)</f>
        <v>0.10245518303757899</v>
      </c>
      <c r="F117" s="20">
        <f>IF(62.25117="","-",62.25117/3737310.64393*100)</f>
        <v>1.6656675329118284E-3</v>
      </c>
      <c r="G117" s="20">
        <f>IF(OR(2819533.73145="",5106.5331="",4083.00966=""),"-",(4083.00966-5106.5331)/2819533.73145*100)</f>
        <v>-3.6301159606047087E-2</v>
      </c>
      <c r="H117" s="20">
        <f>IF(OR(3985166.5274="",62.25117="",4083.00966=""),"-",(62.25117-4083.00966)/3985166.5274*100)</f>
        <v>-0.10089311104957063</v>
      </c>
    </row>
    <row r="118" spans="1:8" s="18" customFormat="1" ht="15" customHeight="1" x14ac:dyDescent="0.2">
      <c r="A118" s="63" t="s">
        <v>269</v>
      </c>
      <c r="B118" s="65">
        <v>62.633279999999999</v>
      </c>
      <c r="C118" s="65">
        <v>54.755000000000003</v>
      </c>
      <c r="D118" s="46">
        <f>IF(OR(62.63328="",54.755=""),"-",54.755/62.63328*100)</f>
        <v>87.421575239233846</v>
      </c>
      <c r="E118" s="46">
        <f>IF(62.63328="","-",62.63328/3985166.5274*100)</f>
        <v>1.5716602949805254E-3</v>
      </c>
      <c r="F118" s="46">
        <f>IF(54.755="","-",54.755/3737310.64393*100)</f>
        <v>1.4650909495289354E-3</v>
      </c>
      <c r="G118" s="46">
        <f>IF(OR(2819533.73145="",5.81="",62.63328=""),"-",(62.63328-5.81)/2819533.73145*100)</f>
        <v>2.0153431528828532E-3</v>
      </c>
      <c r="H118" s="46">
        <f>IF(OR(3985166.5274="",54.755="",62.63328=""),"-",(54.755-62.63328)/3985166.5274*100)</f>
        <v>-1.9769010769896082E-4</v>
      </c>
    </row>
    <row r="119" spans="1:8" s="18" customFormat="1" ht="14.25" customHeight="1" x14ac:dyDescent="0.2">
      <c r="A119" s="9" t="s">
        <v>253</v>
      </c>
      <c r="B119" s="9"/>
      <c r="C119" s="9"/>
      <c r="D119" s="11"/>
      <c r="E119" s="10"/>
      <c r="F119" s="10"/>
      <c r="G119" s="17"/>
      <c r="H119" s="17"/>
    </row>
    <row r="120" spans="1:8" s="18" customFormat="1" ht="15" customHeight="1" x14ac:dyDescent="0.2">
      <c r="A120" s="42" t="s">
        <v>298</v>
      </c>
      <c r="B120" s="42"/>
      <c r="C120" s="42"/>
      <c r="D120" s="42"/>
      <c r="E120" s="42"/>
      <c r="F120" s="42"/>
      <c r="G120" s="17"/>
      <c r="H120" s="17"/>
    </row>
  </sheetData>
  <mergeCells count="7">
    <mergeCell ref="A1:H1"/>
    <mergeCell ref="A3:A4"/>
    <mergeCell ref="E3:F3"/>
    <mergeCell ref="G3:H3"/>
    <mergeCell ref="A2:H2"/>
    <mergeCell ref="D3:D4"/>
    <mergeCell ref="B3:C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135"/>
  <sheetViews>
    <sheetView zoomScaleNormal="100" workbookViewId="0">
      <selection sqref="A1:H1"/>
    </sheetView>
  </sheetViews>
  <sheetFormatPr defaultRowHeight="15.75" x14ac:dyDescent="0.25"/>
  <cols>
    <col min="1" max="1" width="34.5" customWidth="1"/>
    <col min="2" max="3" width="13.875" customWidth="1"/>
    <col min="4" max="4" width="12.875" customWidth="1"/>
    <col min="5" max="5" width="10.75" customWidth="1"/>
    <col min="6" max="6" width="10.875" customWidth="1"/>
    <col min="7" max="7" width="11.625" customWidth="1"/>
    <col min="8" max="8" width="11.25" customWidth="1"/>
    <col min="10" max="10" width="10.25" bestFit="1" customWidth="1"/>
  </cols>
  <sheetData>
    <row r="1" spans="1:15" x14ac:dyDescent="0.25">
      <c r="A1" s="85" t="s">
        <v>302</v>
      </c>
      <c r="B1" s="85"/>
      <c r="C1" s="85"/>
      <c r="D1" s="85"/>
      <c r="E1" s="85"/>
      <c r="F1" s="85"/>
      <c r="G1" s="85"/>
      <c r="H1" s="85"/>
    </row>
    <row r="2" spans="1:15" x14ac:dyDescent="0.25">
      <c r="A2" s="86"/>
      <c r="B2" s="86"/>
      <c r="C2" s="86"/>
      <c r="D2" s="86"/>
      <c r="E2" s="86"/>
      <c r="F2" s="86"/>
      <c r="G2" s="86"/>
      <c r="H2" s="86"/>
    </row>
    <row r="3" spans="1:15" ht="48.75" customHeight="1" x14ac:dyDescent="0.25">
      <c r="A3" s="75"/>
      <c r="B3" s="77" t="s">
        <v>349</v>
      </c>
      <c r="C3" s="84"/>
      <c r="D3" s="82" t="s">
        <v>363</v>
      </c>
      <c r="E3" s="77" t="s">
        <v>91</v>
      </c>
      <c r="F3" s="78"/>
      <c r="G3" s="79" t="s">
        <v>308</v>
      </c>
      <c r="H3" s="80"/>
    </row>
    <row r="4" spans="1:15" s="16" customFormat="1" ht="44.25" customHeight="1" x14ac:dyDescent="0.2">
      <c r="A4" s="76"/>
      <c r="B4" s="13" t="s">
        <v>361</v>
      </c>
      <c r="C4" s="13" t="s">
        <v>362</v>
      </c>
      <c r="D4" s="83"/>
      <c r="E4" s="13" t="s">
        <v>361</v>
      </c>
      <c r="F4" s="13" t="s">
        <v>362</v>
      </c>
      <c r="G4" s="13" t="s">
        <v>364</v>
      </c>
      <c r="H4" s="12" t="s">
        <v>365</v>
      </c>
      <c r="J4" s="21"/>
      <c r="K4" s="21"/>
      <c r="L4" s="21"/>
      <c r="M4" s="21"/>
      <c r="N4" s="21"/>
      <c r="O4" s="21"/>
    </row>
    <row r="5" spans="1:15" s="16" customFormat="1" ht="14.25" customHeight="1" x14ac:dyDescent="0.2">
      <c r="A5" s="66" t="s">
        <v>99</v>
      </c>
      <c r="B5" s="52">
        <v>8345207.3449100005</v>
      </c>
      <c r="C5" s="53">
        <v>7858737.5873299995</v>
      </c>
      <c r="D5" s="53">
        <f>IF(8345207.34491="","-",7858737.58733/8345207.34491*100)</f>
        <v>94.170669014273031</v>
      </c>
      <c r="E5" s="53">
        <v>100</v>
      </c>
      <c r="F5" s="53">
        <v>100</v>
      </c>
      <c r="G5" s="53">
        <f>IF(6422564.27315="","-",(8345207.34491-6422564.27315)/6422564.27315*100)</f>
        <v>29.935754474233146</v>
      </c>
      <c r="H5" s="53">
        <f>IF(8345207.34491="","-",(7858737.58733-8345207.34491)/8345207.34491*100)</f>
        <v>-5.8293309857269611</v>
      </c>
      <c r="J5" s="21"/>
      <c r="K5" s="21"/>
      <c r="L5" s="21"/>
      <c r="M5" s="21"/>
      <c r="N5" s="21"/>
      <c r="O5" s="21"/>
    </row>
    <row r="6" spans="1:15" s="1" customFormat="1" ht="15" x14ac:dyDescent="0.25">
      <c r="A6" s="67" t="s">
        <v>102</v>
      </c>
      <c r="B6" s="43"/>
      <c r="C6" s="64"/>
      <c r="D6" s="64"/>
      <c r="E6" s="64"/>
      <c r="F6" s="64"/>
      <c r="G6" s="64"/>
      <c r="H6" s="64"/>
    </row>
    <row r="7" spans="1:15" ht="16.5" customHeight="1" x14ac:dyDescent="0.25">
      <c r="A7" s="59" t="s">
        <v>109</v>
      </c>
      <c r="B7" s="44">
        <v>3890179.7416699999</v>
      </c>
      <c r="C7" s="19">
        <v>3812853.4375499999</v>
      </c>
      <c r="D7" s="19">
        <f>IF(3890179.74167="","-",3812853.43755/3890179.74167*100)</f>
        <v>98.012269117241217</v>
      </c>
      <c r="E7" s="19">
        <f>IF(3890179.74167="","-",3890179.74167/8345207.34491*100)</f>
        <v>46.615735006784945</v>
      </c>
      <c r="F7" s="19">
        <f>IF(3812853.43755="","-",3812853.43755/7858737.58733*100)</f>
        <v>48.517378207120082</v>
      </c>
      <c r="G7" s="19">
        <f>IF(6422564.27315="","-",(3890179.74167-2854858.17268)/6422564.27315*100)</f>
        <v>16.120065521465278</v>
      </c>
      <c r="H7" s="19">
        <f>IF(8345207.34491="","-",(3812853.43755-3890179.74167)/8345207.34491*100)</f>
        <v>-0.92659536095485617</v>
      </c>
    </row>
    <row r="8" spans="1:15" x14ac:dyDescent="0.25">
      <c r="A8" s="60" t="s">
        <v>0</v>
      </c>
      <c r="B8" s="43">
        <v>1500230.5157399999</v>
      </c>
      <c r="C8" s="45">
        <v>1184443.0724500001</v>
      </c>
      <c r="D8" s="20">
        <f>IF(OR(1500230.51574="",1184443.07245=""),"-",1184443.07245/1500230.51574*100)</f>
        <v>78.950738571383127</v>
      </c>
      <c r="E8" s="20">
        <f>IF(1500230.51574="","-",1500230.51574/8345207.34491*100)</f>
        <v>17.977150881158597</v>
      </c>
      <c r="F8" s="20">
        <f>IF(1184443.07245="","-",1184443.07245/7858737.58733*100)</f>
        <v>15.07167098134923</v>
      </c>
      <c r="G8" s="20">
        <f>IF(OR(6422564.27315="",756088.79237="",1500230.51574=""),"-",(1500230.51574-756088.79237)/6422564.27315*100)</f>
        <v>11.586364755911262</v>
      </c>
      <c r="H8" s="20">
        <f>IF(OR(8345207.34491="",1184443.07245="",1500230.51574=""),"-",(1184443.07245-1500230.51574)/8345207.34491*100)</f>
        <v>-3.7840574863919749</v>
      </c>
    </row>
    <row r="9" spans="1:15" s="2" customFormat="1" x14ac:dyDescent="0.25">
      <c r="A9" s="60" t="s">
        <v>2</v>
      </c>
      <c r="B9" s="43">
        <v>527388.41755000001</v>
      </c>
      <c r="C9" s="45">
        <v>562383.66905999999</v>
      </c>
      <c r="D9" s="20">
        <f>IF(OR(527388.41755="",562383.66906=""),"-",562383.66906/527388.41755*100)</f>
        <v>106.63557453016725</v>
      </c>
      <c r="E9" s="20">
        <f>IF(527388.41755="","-",527388.41755/8345207.34491*100)</f>
        <v>6.3196562500232005</v>
      </c>
      <c r="F9" s="20">
        <f>IF(562383.66906="","-",562383.66906/7858737.58733*100)</f>
        <v>7.1561578791825955</v>
      </c>
      <c r="G9" s="20">
        <f>IF(OR(6422564.27315="",493417.18887="",527388.41755=""),"-",(527388.41755-493417.18887)/6422564.27315*100)</f>
        <v>0.52893559698607007</v>
      </c>
      <c r="H9" s="20">
        <f>IF(OR(8345207.34491="",562383.66906="",527388.41755=""),"-",(562383.66906-527388.41755)/8345207.34491*100)</f>
        <v>0.41934550052066299</v>
      </c>
    </row>
    <row r="10" spans="1:15" s="2" customFormat="1" x14ac:dyDescent="0.25">
      <c r="A10" s="60" t="s">
        <v>1</v>
      </c>
      <c r="B10" s="43">
        <v>397869.25725999998</v>
      </c>
      <c r="C10" s="20">
        <v>430824.99222000001</v>
      </c>
      <c r="D10" s="20">
        <f>IF(OR(397869.25726="",430824.99222=""),"-",430824.99222/397869.25726*100)</f>
        <v>108.28305639570037</v>
      </c>
      <c r="E10" s="20">
        <f>IF(397869.25726="","-",397869.25726/8345207.34491*100)</f>
        <v>4.7676377687927998</v>
      </c>
      <c r="F10" s="20">
        <f>IF(430824.99222="","-",430824.99222/7858737.58733*100)</f>
        <v>5.4821144927218839</v>
      </c>
      <c r="G10" s="20">
        <f>IF(OR(6422564.27315="",406619.00632="",397869.25726=""),"-",(397869.25726-406619.00632)/6422564.27315*100)</f>
        <v>-0.13623451144862761</v>
      </c>
      <c r="H10" s="20">
        <f>IF(OR(8345207.34491="",430824.99222="",397869.25726=""),"-",(430824.99222-397869.25726)/8345207.34491*100)</f>
        <v>0.39490612513181894</v>
      </c>
    </row>
    <row r="11" spans="1:15" s="2" customFormat="1" x14ac:dyDescent="0.25">
      <c r="A11" s="60" t="s">
        <v>3</v>
      </c>
      <c r="B11" s="43">
        <v>277771.55384000001</v>
      </c>
      <c r="C11" s="20">
        <v>287530.05833999999</v>
      </c>
      <c r="D11" s="20">
        <f>IF(OR(277771.55384="",287530.05834=""),"-",287530.05834/277771.55384*100)</f>
        <v>103.51314033604066</v>
      </c>
      <c r="E11" s="20">
        <f>IF(277771.55384="","-",277771.55384/8345207.34491*100)</f>
        <v>3.3285159057122939</v>
      </c>
      <c r="F11" s="20">
        <f>IF(287530.05834="","-",287530.05834/7858737.58733*100)</f>
        <v>3.6587308730547412</v>
      </c>
      <c r="G11" s="20">
        <f>IF(OR(6422564.27315="",236897.77291="",277771.55384=""),"-",(277771.55384-236897.77291)/6422564.27315*100)</f>
        <v>0.63640906017672472</v>
      </c>
      <c r="H11" s="20">
        <f>IF(OR(8345207.34491="",287530.05834="",277771.55384=""),"-",(287530.05834-277771.55384)/8345207.34491*100)</f>
        <v>0.11693543487510821</v>
      </c>
    </row>
    <row r="12" spans="1:15" s="2" customFormat="1" x14ac:dyDescent="0.25">
      <c r="A12" s="60" t="s">
        <v>259</v>
      </c>
      <c r="B12" s="43">
        <v>164234.34020000001</v>
      </c>
      <c r="C12" s="20">
        <v>188592.49122</v>
      </c>
      <c r="D12" s="20">
        <f>IF(OR(164234.3402="",188592.49122=""),"-",188592.49122/164234.3402*100)</f>
        <v>114.83133855583267</v>
      </c>
      <c r="E12" s="20">
        <f>IF(164234.3402="","-",164234.3402/8345207.34491*100)</f>
        <v>1.9680079045629895</v>
      </c>
      <c r="F12" s="20">
        <f>IF(188592.49122="","-",188592.49122/7858737.58733*100)</f>
        <v>2.3997809969383921</v>
      </c>
      <c r="G12" s="20">
        <f>IF(OR(6422564.27315="",153877.7323="",164234.3402=""),"-",(164234.3402-153877.7323)/6422564.27315*100)</f>
        <v>0.16125347228203787</v>
      </c>
      <c r="H12" s="20">
        <f>IF(OR(8345207.34491="",188592.49122="",164234.3402=""),"-",(188592.49122-164234.3402)/8345207.34491*100)</f>
        <v>0.29188191513128525</v>
      </c>
    </row>
    <row r="13" spans="1:15" s="2" customFormat="1" x14ac:dyDescent="0.25">
      <c r="A13" s="61" t="s">
        <v>36</v>
      </c>
      <c r="B13" s="45">
        <v>164555.18976000001</v>
      </c>
      <c r="C13" s="45">
        <v>167372.8499</v>
      </c>
      <c r="D13" s="20">
        <f>IF(OR(164555.18976="",167372.8499=""),"-",167372.8499/164555.18976*100)</f>
        <v>101.71228883398298</v>
      </c>
      <c r="E13" s="20">
        <f>IF(164555.18976="","-",164555.18976/8345207.34491*100)</f>
        <v>1.971852621018066</v>
      </c>
      <c r="F13" s="20">
        <f>IF(167372.8499="","-",167372.8499/7858737.58733*100)</f>
        <v>2.1297676381234765</v>
      </c>
      <c r="G13" s="20">
        <f>IF(OR(6422564.27315="",111888.40104="",164555.18976=""),"-",(164555.18976-111888.40104)/6422564.27315*100)</f>
        <v>0.82002742954519547</v>
      </c>
      <c r="H13" s="20">
        <f>IF(OR(8345207.34491="",167372.8499="",164555.18976=""),"-",(167372.8499-164555.18976)/8345207.34491*100)</f>
        <v>3.3763812252293177E-2</v>
      </c>
    </row>
    <row r="14" spans="1:15" s="2" customFormat="1" x14ac:dyDescent="0.25">
      <c r="A14" s="60" t="s">
        <v>262</v>
      </c>
      <c r="B14" s="43">
        <v>126981.68609</v>
      </c>
      <c r="C14" s="20">
        <v>148841.44294000001</v>
      </c>
      <c r="D14" s="20">
        <f>IF(OR(126981.68609="",148841.44294=""),"-",148841.44294/126981.68609*100)</f>
        <v>117.21488942468964</v>
      </c>
      <c r="E14" s="20">
        <f>IF(126981.68609="","-",126981.68609/8345207.34491*100)</f>
        <v>1.5216121162939116</v>
      </c>
      <c r="F14" s="20">
        <f>IF(148841.44294="","-",148841.44294/7858737.58733*100)</f>
        <v>1.8939612283271159</v>
      </c>
      <c r="G14" s="20">
        <f>IF(OR(6422564.27315="",104992.28567="",126981.68609=""),"-",(126981.68609-104992.28567)/6422564.27315*100)</f>
        <v>0.34237727307655458</v>
      </c>
      <c r="H14" s="20">
        <f>IF(OR(8345207.34491="",148841.44294="",126981.68609=""),"-",(148841.44294-126981.68609)/8345207.34491*100)</f>
        <v>0.26194384329267678</v>
      </c>
    </row>
    <row r="15" spans="1:15" s="2" customFormat="1" x14ac:dyDescent="0.25">
      <c r="A15" s="60" t="s">
        <v>4</v>
      </c>
      <c r="B15" s="43">
        <v>132751.04170999999</v>
      </c>
      <c r="C15" s="20">
        <v>136660.55424999999</v>
      </c>
      <c r="D15" s="20">
        <f>IF(OR(132751.04171="",136660.55425=""),"-",136660.55425/132751.04171*100)</f>
        <v>102.94499575268155</v>
      </c>
      <c r="E15" s="20">
        <f>IF(132751.04171="","-",132751.04171/8345207.34491*100)</f>
        <v>1.5907458763258764</v>
      </c>
      <c r="F15" s="20">
        <f>IF(136660.55425="","-",136660.55425/7858737.58733*100)</f>
        <v>1.7389631951870568</v>
      </c>
      <c r="G15" s="20">
        <f>IF(OR(6422564.27315="",72441.56019="",132751.04171=""),"-",(132751.04171-72441.56019)/6422564.27315*100)</f>
        <v>0.9390249588023305</v>
      </c>
      <c r="H15" s="20">
        <f>IF(OR(8345207.34491="",136660.55425="",132751.04171=""),"-",(136660.55425-132751.04171)/8345207.34491*100)</f>
        <v>4.6847398493753765E-2</v>
      </c>
    </row>
    <row r="16" spans="1:15" s="2" customFormat="1" x14ac:dyDescent="0.25">
      <c r="A16" s="60" t="s">
        <v>6</v>
      </c>
      <c r="B16" s="43">
        <v>61892.527909999997</v>
      </c>
      <c r="C16" s="45">
        <v>130527.15665999999</v>
      </c>
      <c r="D16" s="20" t="s">
        <v>332</v>
      </c>
      <c r="E16" s="20">
        <f>IF(61892.52791="","-",61892.52791/8345207.34491*100)</f>
        <v>0.74165356655578074</v>
      </c>
      <c r="F16" s="20">
        <f>IF(130527.15666="","-",130527.15666/7858737.58733*100)</f>
        <v>1.6609176118876683</v>
      </c>
      <c r="G16" s="20">
        <f>IF(OR(6422564.27315="",39257.11899="",61892.52791=""),"-",(61892.52791-39257.11899)/6422564.27315*100)</f>
        <v>0.35243569324216772</v>
      </c>
      <c r="H16" s="20">
        <f>IF(OR(8345207.34491="",130527.15666="",61892.52791=""),"-",(130527.15666-61892.52791)/8345207.34491*100)</f>
        <v>0.82244366033472349</v>
      </c>
    </row>
    <row r="17" spans="1:8" s="2" customFormat="1" x14ac:dyDescent="0.25">
      <c r="A17" s="61" t="s">
        <v>34</v>
      </c>
      <c r="B17" s="45">
        <v>96463.062170000005</v>
      </c>
      <c r="C17" s="45">
        <v>108371.4935</v>
      </c>
      <c r="D17" s="20">
        <f>IF(OR(96463.06217="",108371.4935=""),"-",108371.4935/96463.06217*100)</f>
        <v>112.34506873627272</v>
      </c>
      <c r="E17" s="20">
        <f>IF(96463.06217="","-",96463.06217/8345207.34491*100)</f>
        <v>1.1559097118040549</v>
      </c>
      <c r="F17" s="20">
        <f>IF(108371.4935="","-",108371.4935/7858737.58733*100)</f>
        <v>1.3789936652767043</v>
      </c>
      <c r="G17" s="20">
        <f>IF(OR(6422564.27315="",83938.71588="",96463.06217=""),"-",(96463.06217-83938.71588)/6422564.27315*100)</f>
        <v>0.19500538659237632</v>
      </c>
      <c r="H17" s="20">
        <f>IF(OR(8345207.34491="",108371.4935="",96463.06217=""),"-",(108371.4935-96463.06217)/8345207.34491*100)</f>
        <v>0.14269784845146252</v>
      </c>
    </row>
    <row r="18" spans="1:8" s="2" customFormat="1" x14ac:dyDescent="0.25">
      <c r="A18" s="60" t="s">
        <v>5</v>
      </c>
      <c r="B18" s="43">
        <v>75733.769650000002</v>
      </c>
      <c r="C18" s="45">
        <v>79791.401419999995</v>
      </c>
      <c r="D18" s="20">
        <f>IF(OR(75733.76965="",79791.40142=""),"-",79791.40142/75733.76965*100)</f>
        <v>105.35775756145792</v>
      </c>
      <c r="E18" s="20">
        <f>IF(75733.76965="","-",75733.76965/8345207.34491*100)</f>
        <v>0.90751213864317426</v>
      </c>
      <c r="F18" s="20">
        <f>IF(79791.40142="","-",79791.40142/7858737.58733*100)</f>
        <v>1.0153208518966348</v>
      </c>
      <c r="G18" s="20">
        <f>IF(OR(6422564.27315="",91109.33337="",75733.76965=""),"-",(75733.76965-91109.33337)/6422564.27315*100)</f>
        <v>-0.23939914130993847</v>
      </c>
      <c r="H18" s="20">
        <f>IF(OR(8345207.34491="",79791.40142="",75733.76965=""),"-",(79791.40142-75733.76965)/8345207.34491*100)</f>
        <v>4.8622300229303084E-2</v>
      </c>
    </row>
    <row r="19" spans="1:8" s="2" customFormat="1" ht="15.75" customHeight="1" x14ac:dyDescent="0.25">
      <c r="A19" s="60" t="s">
        <v>38</v>
      </c>
      <c r="B19" s="43">
        <v>56832.031840000003</v>
      </c>
      <c r="C19" s="20">
        <v>76805.727310000002</v>
      </c>
      <c r="D19" s="20">
        <f>IF(OR(56832.03184="",76805.72731=""),"-",76805.72731/56832.03184*100)</f>
        <v>135.14513703510059</v>
      </c>
      <c r="E19" s="20">
        <f>IF(56832.03184="","-",56832.03184/8345207.34491*100)</f>
        <v>0.68101401788013827</v>
      </c>
      <c r="F19" s="20">
        <f>IF(76805.72731="","-",76805.72731/7858737.58733*100)</f>
        <v>0.97732907425013904</v>
      </c>
      <c r="G19" s="20">
        <f>IF(OR(6422564.27315="",35837.25613="",56832.03184=""),"-",(56832.03184-35837.25613)/6422564.27315*100)</f>
        <v>0.32689086192208611</v>
      </c>
      <c r="H19" s="20">
        <f>IF(OR(8345207.34491="",76805.72731="",56832.03184=""),"-",(76805.72731-56832.03184)/8345207.34491*100)</f>
        <v>0.23934330981221899</v>
      </c>
    </row>
    <row r="20" spans="1:8" s="2" customFormat="1" x14ac:dyDescent="0.25">
      <c r="A20" s="60" t="s">
        <v>266</v>
      </c>
      <c r="B20" s="43">
        <v>79984.487070000003</v>
      </c>
      <c r="C20" s="20">
        <v>74999.212</v>
      </c>
      <c r="D20" s="20">
        <f>IF(OR(79984.48707="",74999.212=""),"-",74999.212/79984.48707*100)</f>
        <v>93.767197549648543</v>
      </c>
      <c r="E20" s="20">
        <f>IF(79984.48707="","-",79984.48707/8345207.34491*100)</f>
        <v>0.95844816988022496</v>
      </c>
      <c r="F20" s="20">
        <f>IF(74999.212="","-",74999.212/7858737.58733*100)</f>
        <v>0.95434172685591512</v>
      </c>
      <c r="G20" s="20">
        <f>IF(OR(6422564.27315="",66855.92103="",79984.48707=""),"-",(79984.48707-66855.92103)/6422564.27315*100)</f>
        <v>0.20441315153333595</v>
      </c>
      <c r="H20" s="20">
        <f>IF(OR(8345207.34491="",74999.212="",79984.48707=""),"-",(74999.212-79984.48707)/8345207.34491*100)</f>
        <v>-5.9738181017643333E-2</v>
      </c>
    </row>
    <row r="21" spans="1:8" s="2" customFormat="1" x14ac:dyDescent="0.25">
      <c r="A21" s="60" t="s">
        <v>35</v>
      </c>
      <c r="B21" s="43">
        <v>48804.802680000001</v>
      </c>
      <c r="C21" s="20">
        <v>48673.394769999999</v>
      </c>
      <c r="D21" s="20">
        <f>IF(OR(48804.80268="",48673.39477=""),"-",48673.39477/48804.80268*100)</f>
        <v>99.730747994492248</v>
      </c>
      <c r="E21" s="20">
        <f>IF(48804.80268="","-",48804.80268/8345207.34491*100)</f>
        <v>0.58482432686070474</v>
      </c>
      <c r="F21" s="20">
        <f>IF(48673.39477="","-",48673.39477/7858737.58733*100)</f>
        <v>0.61935386223446542</v>
      </c>
      <c r="G21" s="20">
        <f>IF(OR(6422564.27315="",46967.5359="",48804.80268=""),"-",(48804.80268-46967.5359)/6422564.27315*100)</f>
        <v>2.8606436648377757E-2</v>
      </c>
      <c r="H21" s="20">
        <f>IF(OR(8345207.34491="",48673.39477="",48804.80268=""),"-",(48673.39477-48804.80268)/8345207.34491*100)</f>
        <v>-1.5746512287696656E-3</v>
      </c>
    </row>
    <row r="22" spans="1:8" s="2" customFormat="1" x14ac:dyDescent="0.25">
      <c r="A22" s="60" t="s">
        <v>44</v>
      </c>
      <c r="B22" s="43">
        <v>31688.64184</v>
      </c>
      <c r="C22" s="20">
        <v>42931.514159999999</v>
      </c>
      <c r="D22" s="20">
        <f>IF(OR(31688.64184="",42931.51416=""),"-",42931.51416/31688.64184*100)</f>
        <v>135.47918644404734</v>
      </c>
      <c r="E22" s="20">
        <f>IF(31688.64184="","-",31688.64184/8345207.34491*100)</f>
        <v>0.37972264235385217</v>
      </c>
      <c r="F22" s="20">
        <f>IF(42931.51416="","-",42931.51416/7858737.58733*100)</f>
        <v>0.54629021115573284</v>
      </c>
      <c r="G22" s="20">
        <f>IF(OR(6422564.27315="",23771.17381="",31688.64184=""),"-",(31688.64184-23771.17381)/6422564.27315*100)</f>
        <v>0.12327580843526245</v>
      </c>
      <c r="H22" s="20">
        <f>IF(OR(8345207.34491="",42931.51416="",31688.64184=""),"-",(42931.51416-31688.64184)/8345207.34491*100)</f>
        <v>0.13472250425098634</v>
      </c>
    </row>
    <row r="23" spans="1:8" s="2" customFormat="1" x14ac:dyDescent="0.25">
      <c r="A23" s="60" t="s">
        <v>46</v>
      </c>
      <c r="B23" s="43">
        <v>26304.62516</v>
      </c>
      <c r="C23" s="20">
        <v>27500.266070000001</v>
      </c>
      <c r="D23" s="20">
        <f>IF(OR(26304.62516="",27500.26607=""),"-",27500.26607/26304.62516*100)</f>
        <v>104.54536380095676</v>
      </c>
      <c r="E23" s="20">
        <f>IF(26304.62516="","-",26304.62516/8345207.34491*100)</f>
        <v>0.31520637022930298</v>
      </c>
      <c r="F23" s="20">
        <f>IF(27500.26607="","-",27500.26607/7858737.58733*100)</f>
        <v>0.34993236209256351</v>
      </c>
      <c r="G23" s="20">
        <f>IF(OR(6422564.27315="",27497.8201="",26304.62516=""),"-",(26304.62516-27497.8201)/6422564.27315*100)</f>
        <v>-1.857817048228291E-2</v>
      </c>
      <c r="H23" s="20">
        <f>IF(OR(8345207.34491="",27500.26607="",26304.62516=""),"-",(27500.26607-26304.62516)/8345207.34491*100)</f>
        <v>1.4327276250712456E-2</v>
      </c>
    </row>
    <row r="24" spans="1:8" s="2" customFormat="1" x14ac:dyDescent="0.25">
      <c r="A24" s="60" t="s">
        <v>45</v>
      </c>
      <c r="B24" s="43">
        <v>24231.924490000001</v>
      </c>
      <c r="C24" s="20">
        <v>26496.744170000002</v>
      </c>
      <c r="D24" s="20">
        <f>IF(OR(24231.92449="",26496.74417=""),"-",26496.74417/24231.92449*100)</f>
        <v>109.34642925672139</v>
      </c>
      <c r="E24" s="20">
        <f>IF(24231.92449="","-",24231.92449/8345207.34491*100)</f>
        <v>0.29036935199434921</v>
      </c>
      <c r="F24" s="20">
        <f>IF(26496.74417="","-",26496.74417/7858737.58733*100)</f>
        <v>0.33716285695451315</v>
      </c>
      <c r="G24" s="20">
        <f>IF(OR(6422564.27315="",24190.08324="",24231.92449=""),"-",(24231.92449-24190.08324)/6422564.27315*100)</f>
        <v>6.5147265516550328E-4</v>
      </c>
      <c r="H24" s="20">
        <f>IF(OR(8345207.34491="",26496.74417="",24231.92449=""),"-",(26496.74417-24231.92449)/8345207.34491*100)</f>
        <v>2.7139166067352224E-2</v>
      </c>
    </row>
    <row r="25" spans="1:8" s="2" customFormat="1" x14ac:dyDescent="0.25">
      <c r="A25" s="60" t="s">
        <v>39</v>
      </c>
      <c r="B25" s="43">
        <v>17095.32547</v>
      </c>
      <c r="C25" s="20">
        <v>18000.52115</v>
      </c>
      <c r="D25" s="20">
        <f>IF(OR(17095.32547="",18000.52115=""),"-",18000.52115/17095.32547*100)</f>
        <v>105.29498944953401</v>
      </c>
      <c r="E25" s="20">
        <f>IF(17095.32547="","-",17095.32547/8345207.34491*100)</f>
        <v>0.20485201581512488</v>
      </c>
      <c r="F25" s="20">
        <f>IF(18000.52115="","-",18000.52115/7858737.58733*100)</f>
        <v>0.229051052411023</v>
      </c>
      <c r="G25" s="20">
        <f>IF(OR(6422564.27315="",13797.67468="",17095.32547=""),"-",(17095.32547-13797.67468)/6422564.27315*100)</f>
        <v>5.1344769001161576E-2</v>
      </c>
      <c r="H25" s="20">
        <f>IF(OR(8345207.34491="",18000.52115="",17095.32547=""),"-",(18000.52115-17095.32547)/8345207.34491*100)</f>
        <v>1.0846892624568611E-2</v>
      </c>
    </row>
    <row r="26" spans="1:8" s="2" customFormat="1" x14ac:dyDescent="0.25">
      <c r="A26" s="60" t="s">
        <v>43</v>
      </c>
      <c r="B26" s="43">
        <v>18871.311529999999</v>
      </c>
      <c r="C26" s="20">
        <v>17254.050950000001</v>
      </c>
      <c r="D26" s="20">
        <f>IF(OR(18871.31153="",17254.05095=""),"-",17254.05095/18871.31153*100)</f>
        <v>91.430057325750695</v>
      </c>
      <c r="E26" s="20">
        <f>IF(18871.31153="","-",18871.31153/8345207.34491*100)</f>
        <v>0.22613352490888314</v>
      </c>
      <c r="F26" s="20">
        <f>IF(17254.05095="","-",17254.05095/7858737.58733*100)</f>
        <v>0.2195524504828523</v>
      </c>
      <c r="G26" s="20">
        <f>IF(OR(6422564.27315="",13610.04807="",18871.31153=""),"-",(18871.31153-13610.04807)/6422564.27315*100)</f>
        <v>8.1918424421147412E-2</v>
      </c>
      <c r="H26" s="20">
        <f>IF(OR(8345207.34491="",17254.05095="",18871.31153=""),"-",(17254.05095-18871.31153)/8345207.34491*100)</f>
        <v>-1.937951345195054E-2</v>
      </c>
    </row>
    <row r="27" spans="1:8" s="2" customFormat="1" x14ac:dyDescent="0.25">
      <c r="A27" s="60" t="s">
        <v>42</v>
      </c>
      <c r="B27" s="43">
        <v>18340.614239999999</v>
      </c>
      <c r="C27" s="20">
        <v>16908.930769999999</v>
      </c>
      <c r="D27" s="20">
        <f>IF(OR(18340.61424="",16908.93077=""),"-",16908.93077/18340.61424*100)</f>
        <v>92.193917546787688</v>
      </c>
      <c r="E27" s="20">
        <f>IF(18340.61424="","-",18340.61424/8345207.34491*100)</f>
        <v>0.21977421868596839</v>
      </c>
      <c r="F27" s="20">
        <f>IF(16908.93077="","-",16908.93077/7858737.58733*100)</f>
        <v>0.21516090316160813</v>
      </c>
      <c r="G27" s="20">
        <f>IF(OR(6422564.27315="",14981.17717="",18340.61424=""),"-",(18340.61424-14981.17717)/6422564.27315*100)</f>
        <v>5.2306787867337834E-2</v>
      </c>
      <c r="H27" s="20">
        <f>IF(OR(8345207.34491="",16908.93077="",18340.61424=""),"-",(16908.93077-18340.61424)/8345207.34491*100)</f>
        <v>-1.7155756721529847E-2</v>
      </c>
    </row>
    <row r="28" spans="1:8" s="2" customFormat="1" x14ac:dyDescent="0.25">
      <c r="A28" s="60" t="s">
        <v>37</v>
      </c>
      <c r="B28" s="43">
        <v>15604.591909999999</v>
      </c>
      <c r="C28" s="20">
        <v>15391.1594</v>
      </c>
      <c r="D28" s="20">
        <f>IF(OR(15604.59191="",15391.1594=""),"-",15391.1594/15604.59191*100)</f>
        <v>98.632245487539961</v>
      </c>
      <c r="E28" s="20">
        <f>IF(15604.59191="","-",15604.59191/8345207.34491*100)</f>
        <v>0.18698866624946978</v>
      </c>
      <c r="F28" s="20">
        <f>IF(15391.1594="","-",15391.1594/7858737.58733*100)</f>
        <v>0.19584773290832244</v>
      </c>
      <c r="G28" s="20">
        <f>IF(OR(6422564.27315="",13970.67117="",15604.59191=""),"-",(15604.59191-13970.67117)/6422564.27315*100)</f>
        <v>2.544031745747917E-2</v>
      </c>
      <c r="H28" s="20">
        <f>IF(OR(8345207.34491="",15391.1594="",15604.59191=""),"-",(15391.1594-15604.59191)/8345207.34491*100)</f>
        <v>-2.5575459204159596E-3</v>
      </c>
    </row>
    <row r="29" spans="1:8" s="2" customFormat="1" x14ac:dyDescent="0.25">
      <c r="A29" s="60" t="s">
        <v>47</v>
      </c>
      <c r="B29" s="43">
        <v>8164.8608400000003</v>
      </c>
      <c r="C29" s="20">
        <v>7616.1477699999996</v>
      </c>
      <c r="D29" s="20">
        <f>IF(OR(8164.86084="",7616.14777=""),"-",7616.14777/8164.86084*100)</f>
        <v>93.279578418387345</v>
      </c>
      <c r="E29" s="20">
        <f>IF(8164.86084="","-",8164.86084/8345207.34491*100)</f>
        <v>9.7838921222011349E-2</v>
      </c>
      <c r="F29" s="20">
        <f>IF(7616.14777="","-",7616.14777/7858737.58733*100)</f>
        <v>9.6913119764666683E-2</v>
      </c>
      <c r="G29" s="20">
        <f>IF(OR(6422564.27315="",7048.41581="",8164.86084=""),"-",(8164.86084-7048.41581)/6422564.27315*100)</f>
        <v>1.7383166326063564E-2</v>
      </c>
      <c r="H29" s="20">
        <f>IF(OR(8345207.34491="",7616.14777="",8164.86084=""),"-",(7616.14777-8164.86084)/8345207.34491*100)</f>
        <v>-6.5751879770210592E-3</v>
      </c>
    </row>
    <row r="30" spans="1:8" s="2" customFormat="1" x14ac:dyDescent="0.25">
      <c r="A30" s="60" t="s">
        <v>260</v>
      </c>
      <c r="B30" s="43">
        <v>9549.36996</v>
      </c>
      <c r="C30" s="20">
        <v>6145.9840299999996</v>
      </c>
      <c r="D30" s="20">
        <f>IF(OR(9549.36996="",6145.98403=""),"-",6145.98403/9549.36996*100)</f>
        <v>64.360099731647637</v>
      </c>
      <c r="E30" s="20">
        <f>IF(9549.36996="","-",9549.36996/8345207.34491*100)</f>
        <v>0.11442939121008724</v>
      </c>
      <c r="F30" s="20">
        <f>IF(6145.98403="","-",6145.98403/7858737.58733*100)</f>
        <v>7.8205741847248683E-2</v>
      </c>
      <c r="G30" s="20">
        <f>IF(OR(6422564.27315="",7215.73771="",9549.36996=""),"-",(9549.36996-7215.73771)/6422564.27315*100)</f>
        <v>3.633489912675409E-2</v>
      </c>
      <c r="H30" s="20">
        <f>IF(OR(8345207.34491="",6145.98403="",9549.36996=""),"-",(6145.98403-9549.36996)/8345207.34491*100)</f>
        <v>-4.0782520904957868E-2</v>
      </c>
    </row>
    <row r="31" spans="1:8" s="2" customFormat="1" x14ac:dyDescent="0.25">
      <c r="A31" s="60" t="s">
        <v>40</v>
      </c>
      <c r="B31" s="43">
        <v>5130.39012</v>
      </c>
      <c r="C31" s="20">
        <v>5912.4904200000001</v>
      </c>
      <c r="D31" s="20">
        <f>IF(OR(5130.39012="",5912.49042=""),"-",5912.49042/5130.39012*100)</f>
        <v>115.24446059084489</v>
      </c>
      <c r="E31" s="20">
        <f>IF(5130.39012="","-",5130.39012/8345207.34491*100)</f>
        <v>6.1477083887306688E-2</v>
      </c>
      <c r="F31" s="20">
        <f>IF(5912.49042="","-",5912.49042/7858737.58733*100)</f>
        <v>7.5234608030839784E-2</v>
      </c>
      <c r="G31" s="20">
        <f>IF(OR(6422564.27315="",5223.20279="",5130.39012=""),"-",(5130.39012-5223.20279)/6422564.27315*100)</f>
        <v>-1.4451030157535427E-3</v>
      </c>
      <c r="H31" s="20">
        <f>IF(OR(8345207.34491="",5912.49042="",5130.39012=""),"-",(5912.49042-5130.39012)/8345207.34491*100)</f>
        <v>9.3718498256011237E-3</v>
      </c>
    </row>
    <row r="32" spans="1:8" s="2" customFormat="1" x14ac:dyDescent="0.25">
      <c r="A32" s="60" t="s">
        <v>48</v>
      </c>
      <c r="B32" s="43">
        <v>2806.2930799999999</v>
      </c>
      <c r="C32" s="20">
        <v>1985.9639199999999</v>
      </c>
      <c r="D32" s="20">
        <f>IF(OR(2806.29308="",1985.96392=""),"-",1985.96392/2806.29308*100)</f>
        <v>70.768229239976606</v>
      </c>
      <c r="E32" s="20">
        <f>IF(2806.29308="","-",2806.29308/8345207.34491*100)</f>
        <v>3.3627601616293509E-2</v>
      </c>
      <c r="F32" s="20">
        <f>IF(1985.96392="","-",1985.96392/7858737.58733*100)</f>
        <v>2.5270775336764102E-2</v>
      </c>
      <c r="G32" s="20">
        <f>IF(OR(6422564.27315="",2244.96561="",2806.29308=""),"-",(2806.29308-2244.96561)/6422564.27315*100)</f>
        <v>8.7399276383526483E-3</v>
      </c>
      <c r="H32" s="20">
        <f>IF(OR(8345207.34491="",1985.96392="",2806.29308=""),"-",(1985.96392-2806.29308)/8345207.34491*100)</f>
        <v>-9.8299434165688409E-3</v>
      </c>
    </row>
    <row r="33" spans="1:8" s="2" customFormat="1" x14ac:dyDescent="0.25">
      <c r="A33" s="60" t="s">
        <v>41</v>
      </c>
      <c r="B33" s="43">
        <v>714.08289000000002</v>
      </c>
      <c r="C33" s="20">
        <v>798.79813999999999</v>
      </c>
      <c r="D33" s="20">
        <f>IF(OR(714.08289="",798.79814=""),"-",798.79814/714.08289*100)</f>
        <v>111.86350368932661</v>
      </c>
      <c r="E33" s="20">
        <f>IF(714.08289="","-",714.08289/8345207.34491*100)</f>
        <v>8.5568022517204592E-3</v>
      </c>
      <c r="F33" s="20">
        <f>IF(798.79814="","-",798.79814/7858737.58733*100)</f>
        <v>1.0164458745738462E-2</v>
      </c>
      <c r="G33" s="20">
        <f>IF(OR(6422564.27315="",994.72213="",714.08289=""),"-",(714.08289-994.72213)/6422564.27315*100)</f>
        <v>-4.3695824294547412E-3</v>
      </c>
      <c r="H33" s="20">
        <f>IF(OR(8345207.34491="",798.79814="",714.08289=""),"-",(798.79814-714.08289)/8345207.34491*100)</f>
        <v>1.0151365508212376E-3</v>
      </c>
    </row>
    <row r="34" spans="1:8" s="2" customFormat="1" x14ac:dyDescent="0.25">
      <c r="A34" s="60" t="s">
        <v>49</v>
      </c>
      <c r="B34" s="43">
        <v>46.621899999999997</v>
      </c>
      <c r="C34" s="20">
        <v>52.709739999999996</v>
      </c>
      <c r="D34" s="20">
        <f>IF(OR(46.6219="",52.70974=""),"-",52.70974/46.6219*100)</f>
        <v>113.0578976832776</v>
      </c>
      <c r="E34" s="20">
        <f>IF(46.6219="","-",46.6219/8345207.34491*100)</f>
        <v>5.5866676612218791E-4</v>
      </c>
      <c r="F34" s="20">
        <f>IF(52.70974="","-",52.70974/7858737.58733*100)</f>
        <v>6.7071510422971243E-4</v>
      </c>
      <c r="G34" s="20">
        <f>IF(OR(6422564.27315="",81.01853="",46.6219=""),"-",(46.6219-81.01853)/6422564.27315*100)</f>
        <v>-5.3555914019883975E-4</v>
      </c>
      <c r="H34" s="20">
        <f>IF(OR(8345207.34491="",52.70974="",46.6219=""),"-",(52.70974-46.6219)/8345207.34491*100)</f>
        <v>7.2950134710711063E-5</v>
      </c>
    </row>
    <row r="35" spans="1:8" s="2" customFormat="1" ht="24" x14ac:dyDescent="0.25">
      <c r="A35" s="60" t="s">
        <v>401</v>
      </c>
      <c r="B35" s="43">
        <v>138.40477000000001</v>
      </c>
      <c r="C35" s="20">
        <v>40.640819999999998</v>
      </c>
      <c r="D35" s="20">
        <f>IF(OR(138.40477="",40.64082=""),"-",40.64082/138.40477*100)</f>
        <v>29.363742304546292</v>
      </c>
      <c r="E35" s="20">
        <f>IF(138.40477="","-",138.40477/8345207.34491*100)</f>
        <v>1.6584940826475374E-3</v>
      </c>
      <c r="F35" s="20">
        <f>IF(40.64082="","-",40.64082/7858737.58733*100)</f>
        <v>5.1714183796544968E-4</v>
      </c>
      <c r="G35" s="20">
        <f>IF(OR(6422564.27315="",42.84089="",138.40477=""),"-",(138.40477-42.84089)/6422564.27315*100)</f>
        <v>1.4879396442868125E-3</v>
      </c>
      <c r="H35" s="20">
        <f>IF(OR(8345207.34491="",40.64082="",138.40477=""),"-",(40.64082-138.40477)/8345207.34491*100)</f>
        <v>-1.1714981540827656E-3</v>
      </c>
    </row>
    <row r="36" spans="1:8" s="2" customFormat="1" ht="13.5" customHeight="1" x14ac:dyDescent="0.25">
      <c r="A36" s="59" t="s">
        <v>173</v>
      </c>
      <c r="B36" s="44">
        <v>2058243.4291399999</v>
      </c>
      <c r="C36" s="19">
        <v>1425455.4831600001</v>
      </c>
      <c r="D36" s="19">
        <f>IF(2058243.42914="","-",1425455.48316/2058243.42914*100)</f>
        <v>69.255922937919991</v>
      </c>
      <c r="E36" s="19">
        <f>IF(2058243.42914="","-",2058243.42914/8345207.34491*100)</f>
        <v>24.663778191148072</v>
      </c>
      <c r="F36" s="19">
        <f>IF(1425455.48316="","-",1425455.48316/7858737.58733*100)</f>
        <v>18.138479206356823</v>
      </c>
      <c r="G36" s="19">
        <f>IF(6422564.27315="","-",(2058243.42914-1671841.81948)/6422564.27315*100)</f>
        <v>6.0163136284268903</v>
      </c>
      <c r="H36" s="19">
        <f>IF(8345207.34491="","-",(1425455.48316-2058243.42914)/8345207.34491*100)</f>
        <v>-7.5826509735070475</v>
      </c>
    </row>
    <row r="37" spans="1:8" s="2" customFormat="1" x14ac:dyDescent="0.25">
      <c r="A37" s="60" t="s">
        <v>8</v>
      </c>
      <c r="B37" s="43">
        <v>792211.04234000004</v>
      </c>
      <c r="C37" s="20">
        <v>931284.39711000002</v>
      </c>
      <c r="D37" s="20">
        <f>IF(OR(792211.04234="",931284.39711=""),"-",931284.39711/792211.04234*100)</f>
        <v>117.55508915392177</v>
      </c>
      <c r="E37" s="20">
        <f>IF(792211.04234="","-",792211.04234/8345207.34491*100)</f>
        <v>9.4930061003600343</v>
      </c>
      <c r="F37" s="20">
        <f>IF(931284.39711="","-",931284.39711/7858737.58733*100)</f>
        <v>11.850305303633419</v>
      </c>
      <c r="G37" s="20">
        <f>IF(OR(6422564.27315="",605371.70182="",792211.04234=""),"-",(792211.04234-605371.70182)/6422564.27315*100)</f>
        <v>2.9091081470542171</v>
      </c>
      <c r="H37" s="20">
        <f>IF(OR(8345207.34491="",931284.39711="",792211.04234=""),"-",(931284.39711-792211.04234)/8345207.34491*100)</f>
        <v>1.6665056843054367</v>
      </c>
    </row>
    <row r="38" spans="1:8" s="2" customFormat="1" x14ac:dyDescent="0.25">
      <c r="A38" s="60" t="s">
        <v>261</v>
      </c>
      <c r="B38" s="43">
        <v>1103875.1188000001</v>
      </c>
      <c r="C38" s="20">
        <v>300320.93368000002</v>
      </c>
      <c r="D38" s="20">
        <f>IF(OR(1103875.1188="",300320.93368=""),"-",300320.93368/1103875.1188*100)</f>
        <v>27.206060591932964</v>
      </c>
      <c r="E38" s="20">
        <f>IF(1103875.1188="","-",1103875.1188/8345207.34491*100)</f>
        <v>13.22765358817942</v>
      </c>
      <c r="F38" s="20">
        <f>IF(300320.93368="","-",300320.93368/7858737.58733*100)</f>
        <v>3.8214907972520029</v>
      </c>
      <c r="G38" s="20">
        <f>IF(OR(6422564.27315="",901238.11846="",1103875.1188=""),"-",(1103875.1188-901238.11846)/6422564.27315*100)</f>
        <v>3.1550793689545289</v>
      </c>
      <c r="H38" s="20">
        <f>IF(OR(8345207.34491="",300320.93368="",1103875.1188=""),"-",(300320.93368-1103875.1188)/8345207.34491*100)</f>
        <v>-9.6289301380883305</v>
      </c>
    </row>
    <row r="39" spans="1:8" s="2" customFormat="1" x14ac:dyDescent="0.25">
      <c r="A39" s="60" t="s">
        <v>7</v>
      </c>
      <c r="B39" s="43">
        <v>88277.193950000001</v>
      </c>
      <c r="C39" s="20">
        <v>79616.172579999999</v>
      </c>
      <c r="D39" s="20">
        <f>IF(OR(88277.19395="",79616.17258=""),"-",79616.17258/88277.19395*100)</f>
        <v>90.18883475736034</v>
      </c>
      <c r="E39" s="20">
        <f>IF(88277.19395="","-",88277.19395/8345207.34491*100)</f>
        <v>1.0578190607072573</v>
      </c>
      <c r="F39" s="20">
        <f>IF(79616.17258="","-",79616.17258/7858737.58733*100)</f>
        <v>1.0130911192194361</v>
      </c>
      <c r="G39" s="20">
        <f>IF(OR(6422564.27315="",130432.22615="",88277.19395=""),"-",(88277.19395-130432.22615)/6422564.27315*100)</f>
        <v>-0.65635827696162108</v>
      </c>
      <c r="H39" s="20">
        <f>IF(OR(8345207.34491="",79616.17258="",88277.19395=""),"-",(79616.17258-88277.19395)/8345207.34491*100)</f>
        <v>-0.10378437601412775</v>
      </c>
    </row>
    <row r="40" spans="1:8" s="2" customFormat="1" x14ac:dyDescent="0.25">
      <c r="A40" s="60" t="s">
        <v>9</v>
      </c>
      <c r="B40" s="43">
        <v>23958.84244</v>
      </c>
      <c r="C40" s="20">
        <v>55747.62285</v>
      </c>
      <c r="D40" s="20" t="s">
        <v>330</v>
      </c>
      <c r="E40" s="20">
        <f>IF(23958.84244="","-",23958.84244/8345207.34491*100)</f>
        <v>0.28709703006496584</v>
      </c>
      <c r="F40" s="20">
        <f>IF(55747.62285="","-",55747.62285/7858737.58733*100)</f>
        <v>0.70937122191072188</v>
      </c>
      <c r="G40" s="20">
        <f>IF(OR(6422564.27315="",13896.14263="",23958.84244=""),"-",(23958.84244-13896.14263)/6422564.27315*100)</f>
        <v>0.15667729246506498</v>
      </c>
      <c r="H40" s="20">
        <f>IF(OR(8345207.34491="",55747.62285="",23958.84244=""),"-",(55747.62285-23958.84244)/8345207.34491*100)</f>
        <v>0.38092259540308437</v>
      </c>
    </row>
    <row r="41" spans="1:8" s="2" customFormat="1" x14ac:dyDescent="0.25">
      <c r="A41" s="60" t="s">
        <v>10</v>
      </c>
      <c r="B41" s="43">
        <v>10912.732249999999</v>
      </c>
      <c r="C41" s="20">
        <v>21622.192859999999</v>
      </c>
      <c r="D41" s="20" t="s">
        <v>340</v>
      </c>
      <c r="E41" s="20">
        <f>IF(10912.73225="","-",10912.73225/8345207.34491*100)</f>
        <v>0.13076646030438069</v>
      </c>
      <c r="F41" s="20">
        <f>IF(21622.19286="","-",21622.19286/7858737.58733*100)</f>
        <v>0.27513570239143365</v>
      </c>
      <c r="G41" s="20">
        <f>IF(OR(6422564.27315="",1371.62443="",10912.73225=""),"-",(10912.73225-1371.62443)/6422564.27315*100)</f>
        <v>0.14855605042190545</v>
      </c>
      <c r="H41" s="20">
        <f>IF(OR(8345207.34491="",21622.19286="",10912.73225=""),"-",(21622.19286-10912.73225)/8345207.34491*100)</f>
        <v>0.12833067133475157</v>
      </c>
    </row>
    <row r="42" spans="1:8" s="2" customFormat="1" x14ac:dyDescent="0.25">
      <c r="A42" s="60" t="s">
        <v>12</v>
      </c>
      <c r="B42" s="43">
        <v>13381.7835</v>
      </c>
      <c r="C42" s="20">
        <v>16678.45248</v>
      </c>
      <c r="D42" s="20">
        <f>IF(OR(13381.7835="",16678.45248=""),"-",16678.45248/13381.7835*100)</f>
        <v>124.63549780191856</v>
      </c>
      <c r="E42" s="20">
        <f>IF(13381.7835="","-",13381.7835/8345207.34491*100)</f>
        <v>0.16035291811127933</v>
      </c>
      <c r="F42" s="20">
        <f>IF(16678.45248="","-",16678.45248/7858737.58733*100)</f>
        <v>0.21222813835760729</v>
      </c>
      <c r="G42" s="20">
        <f>IF(OR(6422564.27315="",7147.77795="",13381.7835=""),"-",(13381.7835-7147.77795)/6422564.27315*100)</f>
        <v>9.706412088488886E-2</v>
      </c>
      <c r="H42" s="20">
        <f>IF(OR(8345207.34491="",16678.45248="",13381.7835=""),"-",(16678.45248-13381.7835)/8345207.34491*100)</f>
        <v>3.9503739616616483E-2</v>
      </c>
    </row>
    <row r="43" spans="1:8" s="2" customFormat="1" x14ac:dyDescent="0.25">
      <c r="A43" s="60" t="s">
        <v>11</v>
      </c>
      <c r="B43" s="43">
        <v>17544.267400000001</v>
      </c>
      <c r="C43" s="20">
        <v>11583.54032</v>
      </c>
      <c r="D43" s="20">
        <f>IF(OR(17544.2674="",11583.54032=""),"-",11583.54032/17544.2674*100)</f>
        <v>66.024645292399043</v>
      </c>
      <c r="E43" s="20">
        <f>IF(17544.2674="","-",17544.2674/8345207.34491*100)</f>
        <v>0.21023165362932283</v>
      </c>
      <c r="F43" s="20">
        <f>IF(11583.54032="","-",11583.54032/7858737.58733*100)</f>
        <v>0.14739696027864824</v>
      </c>
      <c r="G43" s="20">
        <f>IF(OR(6422564.27315="",11150.03909="",17544.2674=""),"-",(17544.2674-11150.03909)/6422564.27315*100)</f>
        <v>9.9558806078929266E-2</v>
      </c>
      <c r="H43" s="20">
        <f>IF(OR(8345207.34491="",11583.54032="",17544.2674=""),"-",(11583.54032-17544.2674)/8345207.34491*100)</f>
        <v>-7.1426950028217473E-2</v>
      </c>
    </row>
    <row r="44" spans="1:8" s="2" customFormat="1" x14ac:dyDescent="0.25">
      <c r="A44" s="60" t="s">
        <v>13</v>
      </c>
      <c r="B44" s="43">
        <v>2149.6057700000001</v>
      </c>
      <c r="C44" s="20">
        <v>4415.5139900000004</v>
      </c>
      <c r="D44" s="20" t="s">
        <v>332</v>
      </c>
      <c r="E44" s="20">
        <f>IF(2149.60577="","-",2149.60577/8345207.34491*100)</f>
        <v>2.5758566338212208E-2</v>
      </c>
      <c r="F44" s="20">
        <f>IF(4415.51399="","-",4415.51399/7858737.58733*100)</f>
        <v>5.6186046943707255E-2</v>
      </c>
      <c r="G44" s="20">
        <f>IF(OR(6422564.27315="",831.30978="",2149.60577=""),"-",(2149.60577-831.30978)/6422564.27315*100)</f>
        <v>2.0526006964402568E-2</v>
      </c>
      <c r="H44" s="20">
        <f>IF(OR(8345207.34491="",4415.51399="",2149.60577=""),"-",(4415.51399-2149.60577)/8345207.34491*100)</f>
        <v>2.7152209961350426E-2</v>
      </c>
    </row>
    <row r="45" spans="1:8" s="2" customFormat="1" x14ac:dyDescent="0.25">
      <c r="A45" s="60" t="s">
        <v>263</v>
      </c>
      <c r="B45" s="43">
        <v>5931.2299400000002</v>
      </c>
      <c r="C45" s="20">
        <v>4186.0830100000003</v>
      </c>
      <c r="D45" s="20">
        <f>IF(OR(5931.22994="",4186.08301=""),"-",4186.08301/5931.22994*100)</f>
        <v>70.576980699554539</v>
      </c>
      <c r="E45" s="20">
        <f>IF(5931.22994="","-",5931.22994/8345207.34491*100)</f>
        <v>7.1073487989697953E-2</v>
      </c>
      <c r="F45" s="20">
        <f>IF(4186.08301="","-",4186.08301/7858737.58733*100)</f>
        <v>5.3266608834844922E-2</v>
      </c>
      <c r="G45" s="20">
        <f>IF(OR(6422564.27315="",387.83843="",5931.22994=""),"-",(5931.22994-387.83843)/6422564.27315*100)</f>
        <v>8.631118777860354E-2</v>
      </c>
      <c r="H45" s="20">
        <f>IF(OR(8345207.34491="",4186.08301="",5931.22994=""),"-",(4186.08301-5931.22994)/8345207.34491*100)</f>
        <v>-2.0911966088708614E-2</v>
      </c>
    </row>
    <row r="46" spans="1:8" s="2" customFormat="1" x14ac:dyDescent="0.25">
      <c r="A46" s="60" t="s">
        <v>14</v>
      </c>
      <c r="B46" s="43">
        <v>1.6127499999999999</v>
      </c>
      <c r="C46" s="20">
        <v>0.57428000000000001</v>
      </c>
      <c r="D46" s="20">
        <f>IF(OR(1.61275="",0.57428=""),"-",0.57428/1.61275*100)</f>
        <v>35.608742830568907</v>
      </c>
      <c r="E46" s="20">
        <f>IF(1.61275="","-",1.61275/8345207.34491*100)</f>
        <v>1.9325463506711621E-5</v>
      </c>
      <c r="F46" s="20">
        <f>IF(0.57428="","-",0.57428/7858737.58733*100)</f>
        <v>7.3075350031519653E-6</v>
      </c>
      <c r="G46" s="20">
        <f>IF(OR(6422564.27315="",15.04074="",1.61275=""),"-",(1.61275-15.04074)/6422564.27315*100)</f>
        <v>-2.0907521402528727E-4</v>
      </c>
      <c r="H46" s="20">
        <f>IF(OR(8345207.34491="",0.57428="",1.61275=""),"-",(0.57428-1.61275)/8345207.34491*100)</f>
        <v>-1.2443908905791236E-5</v>
      </c>
    </row>
    <row r="47" spans="1:8" s="2" customFormat="1" x14ac:dyDescent="0.25">
      <c r="A47" s="59" t="s">
        <v>110</v>
      </c>
      <c r="B47" s="44">
        <v>2396784.1740999999</v>
      </c>
      <c r="C47" s="19">
        <v>2620428.6666199998</v>
      </c>
      <c r="D47" s="19">
        <f>IF(2396784.1741="","-",2620428.66662/2396784.1741*100)</f>
        <v>109.33102341615633</v>
      </c>
      <c r="E47" s="19">
        <f>IF(2396784.1741="","-",2396784.1741/8345207.34491*100)</f>
        <v>28.720486802066969</v>
      </c>
      <c r="F47" s="19">
        <f>IF(2620428.66662="","-",2620428.66662/7858737.58733*100)</f>
        <v>33.344142586523091</v>
      </c>
      <c r="G47" s="19">
        <f>IF(6422564.27315="","-",(2396784.1741-1895864.28099)/6422564.27315*100)</f>
        <v>7.7993753243409669</v>
      </c>
      <c r="H47" s="19">
        <f>IF(8345207.34491="","-",(2620428.66662-2396784.1741)/8345207.34491*100)</f>
        <v>2.6799153487349541</v>
      </c>
    </row>
    <row r="48" spans="1:8" s="2" customFormat="1" x14ac:dyDescent="0.25">
      <c r="A48" s="60" t="s">
        <v>53</v>
      </c>
      <c r="B48" s="43">
        <v>855156.84774</v>
      </c>
      <c r="C48" s="20">
        <v>917567.19203000003</v>
      </c>
      <c r="D48" s="20">
        <f>IF(OR(855156.84774="",917567.19203=""),"-",917567.19203/855156.84774*100)</f>
        <v>107.29811665017212</v>
      </c>
      <c r="E48" s="20">
        <f>IF(855156.84774="","-",855156.84774/8345207.34491*100)</f>
        <v>10.247281012874851</v>
      </c>
      <c r="F48" s="20">
        <f>IF(917567.19203="","-",917567.19203/7858737.58733*100)</f>
        <v>11.675758120608565</v>
      </c>
      <c r="G48" s="20">
        <f>IF(OR(6422564.27315="",743417.92109="",855156.84774=""),"-",(855156.84774-743417.92109)/6422564.27315*100)</f>
        <v>1.7397868187498382</v>
      </c>
      <c r="H48" s="20">
        <f>IF(OR(8345207.34491="",917567.19203="",855156.84774=""),"-",(917567.19203-855156.84774)/8345207.34491*100)</f>
        <v>0.74785852179054646</v>
      </c>
    </row>
    <row r="49" spans="1:8" s="2" customFormat="1" x14ac:dyDescent="0.25">
      <c r="A49" s="61" t="s">
        <v>50</v>
      </c>
      <c r="B49" s="45">
        <v>594461.02399000002</v>
      </c>
      <c r="C49" s="45">
        <v>682455.54402999999</v>
      </c>
      <c r="D49" s="20">
        <f>IF(OR(594461.02399="",682455.54403=""),"-",682455.54403/594461.02399*100)</f>
        <v>114.80240360408898</v>
      </c>
      <c r="E49" s="20">
        <f>IF(594461.02399="","-",594461.02399/8345207.34491*100)</f>
        <v>7.1233823129940586</v>
      </c>
      <c r="F49" s="20">
        <f>IF(682455.54403="","-",682455.54403/7858737.58733*100)</f>
        <v>8.6840352721570362</v>
      </c>
      <c r="G49" s="20">
        <f>IF(OR(6422564.27315="",484020.71881="",594461.02399=""),"-",(594461.02399-484020.71881)/6422564.27315*100)</f>
        <v>1.7195671461273467</v>
      </c>
      <c r="H49" s="20">
        <f>IF(OR(8345207.34491="",682455.54403="",594461.02399=""),"-",(682455.54403-594461.02399)/8345207.34491*100)</f>
        <v>1.0544318002316688</v>
      </c>
    </row>
    <row r="50" spans="1:8" s="2" customFormat="1" x14ac:dyDescent="0.25">
      <c r="A50" s="60" t="s">
        <v>61</v>
      </c>
      <c r="B50" s="43">
        <v>232707.62888</v>
      </c>
      <c r="C50" s="45">
        <v>196441.83399000001</v>
      </c>
      <c r="D50" s="20">
        <f>IF(OR(232707.62888="",196441.83399=""),"-",196441.83399/232707.62888*100)</f>
        <v>84.415725833938552</v>
      </c>
      <c r="E50" s="20">
        <f>IF(232707.62888="","-",232707.62888/8345207.34491*100)</f>
        <v>2.7885182388180629</v>
      </c>
      <c r="F50" s="20">
        <f>IF(196441.83399="","-",196441.83399/7858737.58733*100)</f>
        <v>2.4996614507997714</v>
      </c>
      <c r="G50" s="20">
        <f>IF(OR(6422564.27315="",39887.42179="",232707.62888=""),"-",(232707.62888-39887.42179)/6422564.27315*100)</f>
        <v>3.0022308674449394</v>
      </c>
      <c r="H50" s="20">
        <f>IF(OR(8345207.34491="",196441.83399="",232707.62888=""),"-",(196441.83399-232707.62888)/8345207.34491*100)</f>
        <v>-0.43457032750803509</v>
      </c>
    </row>
    <row r="51" spans="1:8" s="2" customFormat="1" x14ac:dyDescent="0.25">
      <c r="A51" s="61" t="s">
        <v>15</v>
      </c>
      <c r="B51" s="45">
        <v>122827.72164</v>
      </c>
      <c r="C51" s="45">
        <v>110395.49163999999</v>
      </c>
      <c r="D51" s="20">
        <f>IF(OR(122827.72164="",110395.49164=""),"-",110395.49164/122827.72164*100)</f>
        <v>89.878319133494912</v>
      </c>
      <c r="E51" s="20">
        <f>IF(122827.72164="","-",122827.72164/8345207.34491*100)</f>
        <v>1.4718354687126667</v>
      </c>
      <c r="F51" s="20">
        <f>IF(110395.49164="","-",110395.49164/7858737.58733*100)</f>
        <v>1.4047484142743438</v>
      </c>
      <c r="G51" s="20">
        <f>IF(OR(6422564.27315="",95991.96522="",122827.72164=""),"-",(122827.72164-95991.96522)/6422564.27315*100)</f>
        <v>0.41783554478682061</v>
      </c>
      <c r="H51" s="20">
        <f>IF(OR(8345207.34491="",110395.49164="",122827.72164=""),"-",(110395.49164-122827.72164)/8345207.34491*100)</f>
        <v>-0.14897448902312549</v>
      </c>
    </row>
    <row r="52" spans="1:8" s="2" customFormat="1" x14ac:dyDescent="0.25">
      <c r="A52" s="60" t="s">
        <v>67</v>
      </c>
      <c r="B52" s="43">
        <v>64625.503069999999</v>
      </c>
      <c r="C52" s="45">
        <v>90762.335869999995</v>
      </c>
      <c r="D52" s="20">
        <f>IF(OR(64625.50307="",90762.33587=""),"-",90762.33587/64625.50307*100)</f>
        <v>140.44352702630343</v>
      </c>
      <c r="E52" s="20">
        <f>IF(64625.50307="","-",64625.50307/8345207.34491*100)</f>
        <v>0.77440260498041535</v>
      </c>
      <c r="F52" s="20">
        <f>IF(90762.33587="","-",90762.33587/7858737.58733*100)</f>
        <v>1.1549225923554018</v>
      </c>
      <c r="G52" s="20">
        <f>IF(OR(6422564.27315="",60232.34537="",64625.50307=""),"-",(64625.50307-60232.34537)/6422564.27315*100)</f>
        <v>6.8401926600655652E-2</v>
      </c>
      <c r="H52" s="20">
        <f>IF(OR(8345207.34491="",90762.33587="",64625.50307=""),"-",(90762.33587-64625.50307)/8345207.34491*100)</f>
        <v>0.31319572683765201</v>
      </c>
    </row>
    <row r="53" spans="1:8" s="2" customFormat="1" ht="14.25" customHeight="1" x14ac:dyDescent="0.25">
      <c r="A53" s="61" t="s">
        <v>313</v>
      </c>
      <c r="B53" s="45">
        <v>63587.688710000002</v>
      </c>
      <c r="C53" s="45">
        <v>68775.005369999999</v>
      </c>
      <c r="D53" s="20">
        <f>IF(OR(63587.68871="",68775.00537=""),"-",68775.00537/63587.68871*100)</f>
        <v>108.15773739419502</v>
      </c>
      <c r="E53" s="20">
        <f>IF(63587.68871="","-",63587.68871/8345207.34491*100)</f>
        <v>0.76196655256006418</v>
      </c>
      <c r="F53" s="20">
        <f>IF(68775.00537="","-",68775.00537/7858737.58733*100)</f>
        <v>0.8751406266685926</v>
      </c>
      <c r="G53" s="20">
        <f>IF(OR(6422564.27315="",58065.71255="",63587.68871=""),"-",(63587.68871-58065.71255)/6422564.27315*100)</f>
        <v>8.5977748530832634E-2</v>
      </c>
      <c r="H53" s="20">
        <f>IF(OR(8345207.34491="",68775.00537="",63587.68871=""),"-",(68775.00537-63587.68871)/8345207.34491*100)</f>
        <v>6.2159230389451037E-2</v>
      </c>
    </row>
    <row r="54" spans="1:8" s="2" customFormat="1" x14ac:dyDescent="0.25">
      <c r="A54" s="60" t="s">
        <v>30</v>
      </c>
      <c r="B54" s="43">
        <v>56710.146930000003</v>
      </c>
      <c r="C54" s="20">
        <v>57972.400780000004</v>
      </c>
      <c r="D54" s="20">
        <f>IF(OR(56710.14693="",57972.40078=""),"-",57972.40078/56710.14693*100)</f>
        <v>102.22579894133948</v>
      </c>
      <c r="E54" s="20">
        <f>IF(56710.14693="","-",56710.14693/8345207.34491*100)</f>
        <v>0.67955348005330596</v>
      </c>
      <c r="F54" s="20">
        <f>IF(57972.40078="","-",57972.40078/7858737.58733*100)</f>
        <v>0.73768083150484842</v>
      </c>
      <c r="G54" s="20">
        <f>IF(OR(6422564.27315="",52095.40738="",56710.14693=""),"-",(56710.14693-52095.40738)/6422564.27315*100)</f>
        <v>7.1851979267724297E-2</v>
      </c>
      <c r="H54" s="20">
        <f>IF(OR(8345207.34491="",57972.40078="",56710.14693=""),"-",(57972.40078-56710.14693)/8345207.34491*100)</f>
        <v>1.5125494164862046E-2</v>
      </c>
    </row>
    <row r="55" spans="1:8" s="2" customFormat="1" x14ac:dyDescent="0.25">
      <c r="A55" s="61" t="s">
        <v>63</v>
      </c>
      <c r="B55" s="45">
        <v>37250.762730000002</v>
      </c>
      <c r="C55" s="45">
        <v>53448.083409999999</v>
      </c>
      <c r="D55" s="20">
        <f>IF(OR(37250.76273="",53448.08341=""),"-",53448.08341/37250.76273*100)</f>
        <v>143.48184974734878</v>
      </c>
      <c r="E55" s="20">
        <f>IF(37250.76273="","-",37250.76273/8345207.34491*100)</f>
        <v>0.44637312400296908</v>
      </c>
      <c r="F55" s="20">
        <f>IF(53448.08341="","-",53448.08341/7858737.58733*100)</f>
        <v>0.68011029527401423</v>
      </c>
      <c r="G55" s="20">
        <f>IF(OR(6422564.27315="",48009.4209="",37250.76273=""),"-",(37250.76273-48009.4209)/6422564.27315*100)</f>
        <v>-0.16751343719481879</v>
      </c>
      <c r="H55" s="20">
        <f>IF(OR(8345207.34491="",53448.08341="",37250.76273=""),"-",(53448.08341-37250.76273)/8345207.34491*100)</f>
        <v>0.19409129109151785</v>
      </c>
    </row>
    <row r="56" spans="1:8" s="2" customFormat="1" x14ac:dyDescent="0.25">
      <c r="A56" s="60" t="s">
        <v>66</v>
      </c>
      <c r="B56" s="43">
        <v>6098.0999199999997</v>
      </c>
      <c r="C56" s="20">
        <v>37942.940699999999</v>
      </c>
      <c r="D56" s="20" t="s">
        <v>338</v>
      </c>
      <c r="E56" s="20">
        <f>IF(6098.09992="","-",6098.09992/8345207.34491*100)</f>
        <v>7.3073078570293631E-2</v>
      </c>
      <c r="F56" s="20">
        <f>IF(37942.9407="","-",37942.9407/7858737.58733*100)</f>
        <v>0.48281216007482303</v>
      </c>
      <c r="G56" s="20">
        <f>IF(OR(6422564.27315="",4478.03554="",6098.09992=""),"-",(6098.09992-4478.03554)/6422564.27315*100)</f>
        <v>2.5224572477581853E-2</v>
      </c>
      <c r="H56" s="20">
        <f>IF(OR(8345207.34491="",37942.9407="",6098.09992=""),"-",(37942.9407-6098.09992)/8345207.34491*100)</f>
        <v>0.38159436265443003</v>
      </c>
    </row>
    <row r="57" spans="1:8" s="2" customFormat="1" x14ac:dyDescent="0.25">
      <c r="A57" s="61" t="s">
        <v>58</v>
      </c>
      <c r="B57" s="45">
        <v>37631.957159999998</v>
      </c>
      <c r="C57" s="45">
        <v>35731.494740000002</v>
      </c>
      <c r="D57" s="20">
        <f>IF(OR(37631.95716="",35731.49474=""),"-",35731.49474/37631.95716*100)</f>
        <v>94.949870898503136</v>
      </c>
      <c r="E57" s="20">
        <f>IF(37631.95716="","-",37631.95716/8345207.34491*100)</f>
        <v>0.45094094855477607</v>
      </c>
      <c r="F57" s="20">
        <f>IF(35731.49474="","-",35731.49474/7858737.58733*100)</f>
        <v>0.45467219566673112</v>
      </c>
      <c r="G57" s="20">
        <f>IF(OR(6422564.27315="",26922.01771="",37631.95716=""),"-",(37631.95716-26922.01771)/6422564.27315*100)</f>
        <v>0.16675488160972843</v>
      </c>
      <c r="H57" s="20">
        <f>IF(OR(8345207.34491="",35731.49474="",37631.95716=""),"-",(35731.49474-37631.95716)/8345207.34491*100)</f>
        <v>-2.277310007353079E-2</v>
      </c>
    </row>
    <row r="58" spans="1:8" s="2" customFormat="1" x14ac:dyDescent="0.25">
      <c r="A58" s="60" t="s">
        <v>314</v>
      </c>
      <c r="B58" s="43">
        <v>32879.346700000002</v>
      </c>
      <c r="C58" s="20">
        <v>33980.358569999997</v>
      </c>
      <c r="D58" s="20">
        <f>IF(OR(32879.3467="",33980.35857=""),"-",33980.35857/32879.3467*100)</f>
        <v>103.34864278188347</v>
      </c>
      <c r="E58" s="20">
        <f>IF(32879.3467="","-",32879.3467/8345207.34491*100)</f>
        <v>0.39399077028390589</v>
      </c>
      <c r="F58" s="20">
        <f>IF(33980.35857="","-",33980.35857/7858737.58733*100)</f>
        <v>0.43238953066436203</v>
      </c>
      <c r="G58" s="20">
        <f>IF(OR(6422564.27315="",34975.09694="",32879.3467=""),"-",(32879.3467-34975.09694)/6422564.27315*100)</f>
        <v>-3.2631051257228184E-2</v>
      </c>
      <c r="H58" s="20">
        <f>IF(OR(8345207.34491="",33980.35857="",32879.3467=""),"-",(33980.35857-32879.3467)/8345207.34491*100)</f>
        <v>1.3193343490399145E-2</v>
      </c>
    </row>
    <row r="59" spans="1:8" s="2" customFormat="1" x14ac:dyDescent="0.25">
      <c r="A59" s="60" t="s">
        <v>55</v>
      </c>
      <c r="B59" s="43">
        <v>28938.089830000001</v>
      </c>
      <c r="C59" s="45">
        <v>32273.039690000001</v>
      </c>
      <c r="D59" s="20">
        <f>IF(OR(28938.08983="",32273.03969=""),"-",32273.03969/28938.08983*100)</f>
        <v>111.52442984174675</v>
      </c>
      <c r="E59" s="20">
        <f>IF(28938.08983="","-",28938.08983/8345207.34491*100)</f>
        <v>0.34676298184071169</v>
      </c>
      <c r="F59" s="20">
        <f>IF(32273.03969="","-",32273.03969/7858737.58733*100)</f>
        <v>0.41066442709616857</v>
      </c>
      <c r="G59" s="20">
        <f>IF(OR(6422564.27315="",11414.4659="",28938.08983=""),"-",(28938.08983-11414.4659)/6422564.27315*100)</f>
        <v>0.27284466429178128</v>
      </c>
      <c r="H59" s="20">
        <f>IF(OR(8345207.34491="",32273.03969="",28938.08983=""),"-",(32273.03969-28938.08983)/8345207.34491*100)</f>
        <v>3.9962456559381826E-2</v>
      </c>
    </row>
    <row r="60" spans="1:8" s="2" customFormat="1" x14ac:dyDescent="0.25">
      <c r="A60" s="60" t="s">
        <v>70</v>
      </c>
      <c r="B60" s="43">
        <v>19268.785769999999</v>
      </c>
      <c r="C60" s="20">
        <v>27795.165779999999</v>
      </c>
      <c r="D60" s="20">
        <f>IF(OR(19268.78577="",27795.16578=""),"-",27795.16578/19268.78577*100)</f>
        <v>144.24970058712736</v>
      </c>
      <c r="E60" s="20">
        <f>IF(19268.78577="","-",19268.78577/8345207.34491*100)</f>
        <v>0.2308964292151785</v>
      </c>
      <c r="F60" s="20">
        <f>IF(27795.16578="","-",27795.16578/7858737.58733*100)</f>
        <v>0.35368486949878408</v>
      </c>
      <c r="G60" s="20">
        <f>IF(OR(6422564.27315="",20089.57067="",19268.78577=""),"-",(19268.78577-20089.57067)/6422564.27315*100)</f>
        <v>-1.277970706235442E-2</v>
      </c>
      <c r="H60" s="20">
        <f>IF(OR(8345207.34491="",27795.16578="",19268.78577=""),"-",(27795.16578-19268.78577)/8345207.34491*100)</f>
        <v>0.10217097859408494</v>
      </c>
    </row>
    <row r="61" spans="1:8" s="2" customFormat="1" x14ac:dyDescent="0.25">
      <c r="A61" s="61" t="s">
        <v>264</v>
      </c>
      <c r="B61" s="45">
        <v>21226.575840000001</v>
      </c>
      <c r="C61" s="45">
        <v>20951.084149999999</v>
      </c>
      <c r="D61" s="20">
        <f>IF(OR(21226.57584="",20951.08415=""),"-",20951.08415/21226.57584*100)</f>
        <v>98.702137866811015</v>
      </c>
      <c r="E61" s="20">
        <f>IF(21226.57584="","-",21226.57584/8345207.34491*100)</f>
        <v>0.2543564822622022</v>
      </c>
      <c r="F61" s="20">
        <f>IF(20951.08415="","-",20951.08415/7858737.58733*100)</f>
        <v>0.26659605206538156</v>
      </c>
      <c r="G61" s="20">
        <f>IF(OR(6422564.27315="",20959.95934="",21226.57584=""),"-",(21226.57584-20959.95934)/6422564.27315*100)</f>
        <v>4.1512468954901689E-3</v>
      </c>
      <c r="H61" s="20">
        <f>IF(OR(8345207.34491="",20951.08415="",21226.57584=""),"-",(20951.08415-21226.57584)/8345207.34491*100)</f>
        <v>-3.30119646659269E-3</v>
      </c>
    </row>
    <row r="62" spans="1:8" s="2" customFormat="1" x14ac:dyDescent="0.25">
      <c r="A62" s="60" t="s">
        <v>62</v>
      </c>
      <c r="B62" s="43">
        <v>13281.648279999999</v>
      </c>
      <c r="C62" s="20">
        <v>16896.185560000002</v>
      </c>
      <c r="D62" s="20">
        <f>IF(OR(13281.64828="",16896.18556=""),"-",16896.18556/13281.64828*100)</f>
        <v>127.21452340703003</v>
      </c>
      <c r="E62" s="20">
        <f>IF(13281.64828="","-",13281.64828/8345207.34491*100)</f>
        <v>0.15915300520484835</v>
      </c>
      <c r="F62" s="20">
        <f>IF(16896.18556="","-",16896.18556/7858737.58733*100)</f>
        <v>0.21499872431470854</v>
      </c>
      <c r="G62" s="20">
        <f>IF(OR(6422564.27315="",11663.18997="",13281.64828=""),"-",(13281.64828-11663.18997)/6422564.27315*100)</f>
        <v>2.5199565799070057E-2</v>
      </c>
      <c r="H62" s="20">
        <f>IF(OR(8345207.34491="",16896.18556="",13281.64828=""),"-",(16896.18556-13281.64828)/8345207.34491*100)</f>
        <v>4.3312731854465186E-2</v>
      </c>
    </row>
    <row r="63" spans="1:8" s="2" customFormat="1" x14ac:dyDescent="0.25">
      <c r="A63" s="61" t="s">
        <v>69</v>
      </c>
      <c r="B63" s="45">
        <v>13841.43244</v>
      </c>
      <c r="C63" s="45">
        <v>16317.817789999999</v>
      </c>
      <c r="D63" s="20">
        <f>IF(OR(13841.43244="",16317.81779=""),"-",16317.81779/13841.43244*100)</f>
        <v>117.89110600174268</v>
      </c>
      <c r="E63" s="20">
        <f>IF(13841.43244="","-",13841.43244/8345207.34491*100)</f>
        <v>0.16586085723133431</v>
      </c>
      <c r="F63" s="20">
        <f>IF(16317.81779="","-",16317.81779/7858737.58733*100)</f>
        <v>0.20763917370530202</v>
      </c>
      <c r="G63" s="20">
        <f>IF(OR(6422564.27315="",11934.23973="",13841.43244=""),"-",(13841.43244-11934.23973)/6422564.27315*100)</f>
        <v>2.9695190719587816E-2</v>
      </c>
      <c r="H63" s="20">
        <f>IF(OR(8345207.34491="",16317.81779="",13841.43244=""),"-",(16317.81779-13841.43244)/8345207.34491*100)</f>
        <v>2.9674341782657116E-2</v>
      </c>
    </row>
    <row r="64" spans="1:8" s="2" customFormat="1" x14ac:dyDescent="0.25">
      <c r="A64" s="60" t="s">
        <v>56</v>
      </c>
      <c r="B64" s="43">
        <v>8371.6897399999998</v>
      </c>
      <c r="C64" s="20">
        <v>14070.650180000001</v>
      </c>
      <c r="D64" s="20" t="s">
        <v>327</v>
      </c>
      <c r="E64" s="20">
        <f>IF(8371.68974="","-",8371.68974/8345207.34491*100)</f>
        <v>0.10031733657410145</v>
      </c>
      <c r="F64" s="20">
        <f>IF(14070.65018="","-",14070.65018/7858737.58733*100)</f>
        <v>0.17904466237280858</v>
      </c>
      <c r="G64" s="20">
        <f>IF(OR(6422564.27315="",8589.94241="",8371.68974=""),"-",(8371.68974-8589.94241)/6422564.27315*100)</f>
        <v>-3.3982169849575677E-3</v>
      </c>
      <c r="H64" s="20">
        <f>IF(OR(8345207.34491="",14070.65018="",8371.68974=""),"-",(14070.65018-8371.68974)/8345207.34491*100)</f>
        <v>6.8290219816718789E-2</v>
      </c>
    </row>
    <row r="65" spans="1:8" s="2" customFormat="1" x14ac:dyDescent="0.25">
      <c r="A65" s="61" t="s">
        <v>73</v>
      </c>
      <c r="B65" s="45">
        <v>13325.17</v>
      </c>
      <c r="C65" s="45">
        <v>12107.15868</v>
      </c>
      <c r="D65" s="20">
        <f>IF(OR(13325.17="",12107.15868=""),"-",12107.15868/13325.17*100)</f>
        <v>90.859318717885031</v>
      </c>
      <c r="E65" s="20">
        <f>IF(13325.17="","-",13325.17/8345207.34491*100)</f>
        <v>0.15967452274421237</v>
      </c>
      <c r="F65" s="20">
        <f>IF(12107.15868="","-",12107.15868/7858737.58733*100)</f>
        <v>0.15405984161526634</v>
      </c>
      <c r="G65" s="20">
        <f>IF(OR(6422564.27315="",12478.14417="",13325.17=""),"-",(13325.17-12478.14417)/6422564.27315*100)</f>
        <v>1.3188281097334503E-2</v>
      </c>
      <c r="H65" s="20">
        <f>IF(OR(8345207.34491="",12107.15868="",13325.17=""),"-",(12107.15868-13325.17)/8345207.34491*100)</f>
        <v>-1.4595339212786633E-2</v>
      </c>
    </row>
    <row r="66" spans="1:8" s="2" customFormat="1" x14ac:dyDescent="0.25">
      <c r="A66" s="61" t="s">
        <v>65</v>
      </c>
      <c r="B66" s="45">
        <v>15074.458269999999</v>
      </c>
      <c r="C66" s="45">
        <v>11712.70587</v>
      </c>
      <c r="D66" s="20">
        <f>IF(OR(15074.45827="",11712.70587=""),"-",11712.70587/15074.45827*100)</f>
        <v>77.699016841684482</v>
      </c>
      <c r="E66" s="20">
        <f>IF(15074.45827="","-",15074.45827/8345207.34491*100)</f>
        <v>0.18063611420265521</v>
      </c>
      <c r="F66" s="20">
        <f>IF(11712.70587="","-",11712.70587/7858737.58733*100)</f>
        <v>0.14904055186781448</v>
      </c>
      <c r="G66" s="20">
        <f>IF(OR(6422564.27315="",10682.9301="",15074.45827=""),"-",(15074.45827-10682.9301)/6422564.27315*100)</f>
        <v>6.8376554647480992E-2</v>
      </c>
      <c r="H66" s="20">
        <f>IF(OR(8345207.34491="",11712.70587="",15074.45827=""),"-",(11712.70587-15074.45827)/8345207.34491*100)</f>
        <v>-4.028362940616971E-2</v>
      </c>
    </row>
    <row r="67" spans="1:8" s="2" customFormat="1" x14ac:dyDescent="0.25">
      <c r="A67" s="60" t="s">
        <v>74</v>
      </c>
      <c r="B67" s="43">
        <v>10370.268669999999</v>
      </c>
      <c r="C67" s="20">
        <v>11643.45269</v>
      </c>
      <c r="D67" s="20">
        <f>IF(OR(10370.26867="",11643.45269=""),"-",11643.45269/10370.26867*100)</f>
        <v>112.27725202224678</v>
      </c>
      <c r="E67" s="20">
        <f>IF(10370.26867="","-",10370.26867/8345207.34491*100)</f>
        <v>0.12426615950201819</v>
      </c>
      <c r="F67" s="20">
        <f>IF(11643.45269="","-",11643.45269/7858737.58733*100)</f>
        <v>0.14815932661718834</v>
      </c>
      <c r="G67" s="20">
        <f>IF(OR(6422564.27315="",9210.68123="",10370.26867=""),"-",(10370.26867-9210.68123)/6422564.27315*100)</f>
        <v>1.8054898179030134E-2</v>
      </c>
      <c r="H67" s="20">
        <f>IF(OR(8345207.34491="",11643.45269="",10370.26867=""),"-",(11643.45269-10370.26867)/8345207.34491*100)</f>
        <v>1.5256469580429956E-2</v>
      </c>
    </row>
    <row r="68" spans="1:8" s="2" customFormat="1" x14ac:dyDescent="0.25">
      <c r="A68" s="60" t="s">
        <v>406</v>
      </c>
      <c r="B68" s="43">
        <v>9558.5098699999999</v>
      </c>
      <c r="C68" s="45">
        <v>10896.51506</v>
      </c>
      <c r="D68" s="20">
        <f>IF(OR(9558.50987="",10896.51506=""),"-",10896.51506/9558.50987*100)</f>
        <v>113.99805208340493</v>
      </c>
      <c r="E68" s="20">
        <f>IF(9558.50987="","-",9558.50987/8345207.34491*100)</f>
        <v>0.11453891407299821</v>
      </c>
      <c r="F68" s="20">
        <f>IF(10896.51506="","-",10896.51506/7858737.58733*100)</f>
        <v>0.13865477678714658</v>
      </c>
      <c r="G68" s="20">
        <f>IF(OR(6422564.27315="",7753.69407="",9558.50987=""),"-",(9558.50987-7753.69407)/6422564.27315*100)</f>
        <v>2.810117148294124E-2</v>
      </c>
      <c r="H68" s="20">
        <f>IF(OR(8345207.34491="",10896.51506="",9558.50987=""),"-",(10896.51506-9558.50987)/8345207.34491*100)</f>
        <v>1.6033216847704694E-2</v>
      </c>
    </row>
    <row r="69" spans="1:8" s="2" customFormat="1" x14ac:dyDescent="0.25">
      <c r="A69" s="60" t="s">
        <v>405</v>
      </c>
      <c r="B69" s="43">
        <v>10048.256100000001</v>
      </c>
      <c r="C69" s="45">
        <v>10715.59959</v>
      </c>
      <c r="D69" s="20">
        <f>IF(OR(10048.2561="",10715.59959=""),"-",10715.59959/10048.2561*100)</f>
        <v>106.64138616052988</v>
      </c>
      <c r="E69" s="20">
        <f>IF(10048.2561="","-",10048.2561/8345207.34491*100)</f>
        <v>0.12040750678446285</v>
      </c>
      <c r="F69" s="20">
        <f>IF(10715.59959="","-",10715.59959/7858737.58733*100)</f>
        <v>0.13635268350575652</v>
      </c>
      <c r="G69" s="20">
        <f>IF(OR(6422564.27315="",7279.6451="",10048.2561=""),"-",(10048.2561-7279.6451)/6422564.27315*100)</f>
        <v>4.3107563930101594E-2</v>
      </c>
      <c r="H69" s="20">
        <f>IF(OR(8345207.34491="",10715.59959="",10048.2561=""),"-",(10715.59959-10048.2561)/8345207.34491*100)</f>
        <v>7.9967274918223887E-3</v>
      </c>
    </row>
    <row r="70" spans="1:8" s="2" customFormat="1" x14ac:dyDescent="0.25">
      <c r="A70" s="60" t="s">
        <v>75</v>
      </c>
      <c r="B70" s="43">
        <v>6886.6310299999996</v>
      </c>
      <c r="C70" s="45">
        <v>10682.27341</v>
      </c>
      <c r="D70" s="20">
        <f>IF(OR(6886.63103="",10682.27341=""),"-",10682.27341/6886.63103*100)</f>
        <v>155.1160990543151</v>
      </c>
      <c r="E70" s="20">
        <f>IF(6886.63103="","-",6886.63103/8345207.34491*100)</f>
        <v>8.2521988314650657E-2</v>
      </c>
      <c r="F70" s="20">
        <f>IF(10682.27341="","-",10682.27341/7858737.58733*100)</f>
        <v>0.13592861819463417</v>
      </c>
      <c r="G70" s="20">
        <f>IF(OR(6422564.27315="",5855.85541="",6886.63103=""),"-",(6886.63103-5855.85541)/6422564.27315*100)</f>
        <v>1.6049284618438655E-2</v>
      </c>
      <c r="H70" s="20">
        <f>IF(OR(8345207.34491="",10682.27341="",6886.63103=""),"-",(10682.27341-6886.63103)/8345207.34491*100)</f>
        <v>4.5482900821093193E-2</v>
      </c>
    </row>
    <row r="71" spans="1:8" s="2" customFormat="1" x14ac:dyDescent="0.25">
      <c r="A71" s="60" t="s">
        <v>31</v>
      </c>
      <c r="B71" s="43">
        <v>7565.4714199999999</v>
      </c>
      <c r="C71" s="20">
        <v>9046.81322</v>
      </c>
      <c r="D71" s="20">
        <f>IF(OR(7565.47142="",9046.81322=""),"-",9046.81322/7565.47142*100)</f>
        <v>119.58029735045909</v>
      </c>
      <c r="E71" s="20">
        <f>IF(7565.47142="","-",7565.47142/8345207.34491*100)</f>
        <v>9.0656482305552483E-2</v>
      </c>
      <c r="F71" s="20">
        <f>IF(9046.81322="","-",9046.81322/7858737.58733*100)</f>
        <v>0.11511789418424453</v>
      </c>
      <c r="G71" s="20">
        <f>IF(OR(6422564.27315="",2900.31127="",7565.47142=""),"-",(7565.47142-2900.31127)/6422564.27315*100)</f>
        <v>7.2637033303084922E-2</v>
      </c>
      <c r="H71" s="20">
        <f>IF(OR(8345207.34491="",9046.81322="",7565.47142=""),"-",(9046.81322-7565.47142)/8345207.34491*100)</f>
        <v>1.7750808802893508E-2</v>
      </c>
    </row>
    <row r="72" spans="1:8" s="2" customFormat="1" x14ac:dyDescent="0.25">
      <c r="A72" s="60" t="s">
        <v>407</v>
      </c>
      <c r="B72" s="43">
        <v>11488.10074</v>
      </c>
      <c r="C72" s="45">
        <v>8975.0652900000005</v>
      </c>
      <c r="D72" s="20">
        <f>IF(OR(11488.10074="",8975.06529=""),"-",8975.06529/11488.10074*100)</f>
        <v>78.12488324332017</v>
      </c>
      <c r="E72" s="20">
        <f>IF(11488.10074="","-",11488.10074/8345207.34491*100)</f>
        <v>0.13766105820015301</v>
      </c>
      <c r="F72" s="20">
        <f>IF(8975.06529="","-",8975.06529/7858737.58733*100)</f>
        <v>0.11420492401311078</v>
      </c>
      <c r="G72" s="20">
        <f>IF(OR(6422564.27315="",13002.20665="",11488.10074=""),"-",(11488.10074-13002.20665)/6422564.27315*100)</f>
        <v>-2.3574787975728491E-2</v>
      </c>
      <c r="H72" s="20">
        <f>IF(OR(8345207.34491="",8975.06529="",11488.10074=""),"-",(8975.06529-11488.10074)/8345207.34491*100)</f>
        <v>-3.0113517209764441E-2</v>
      </c>
    </row>
    <row r="73" spans="1:8" s="2" customFormat="1" x14ac:dyDescent="0.25">
      <c r="A73" s="60" t="s">
        <v>52</v>
      </c>
      <c r="B73" s="43">
        <v>2913.37228</v>
      </c>
      <c r="C73" s="45">
        <v>8761.9797999999992</v>
      </c>
      <c r="D73" s="20" t="s">
        <v>377</v>
      </c>
      <c r="E73" s="20">
        <f>IF(2913.37228="","-",2913.37228/8345207.34491*100)</f>
        <v>3.4910723719488591E-2</v>
      </c>
      <c r="F73" s="20">
        <f>IF(8761.9798="","-",8761.9798/7858737.58733*100)</f>
        <v>0.11149347719824902</v>
      </c>
      <c r="G73" s="20">
        <f>IF(OR(6422564.27315="",3449.86233="",2913.37228=""),"-",(2913.37228-3449.86233)/6422564.27315*100)</f>
        <v>-8.3532064014187578E-3</v>
      </c>
      <c r="H73" s="20">
        <f>IF(OR(8345207.34491="",8761.9798="",2913.37228=""),"-",(8761.9798-2913.37228)/8345207.34491*100)</f>
        <v>7.0083429665378491E-2</v>
      </c>
    </row>
    <row r="74" spans="1:8" s="2" customFormat="1" x14ac:dyDescent="0.25">
      <c r="A74" s="60" t="s">
        <v>33</v>
      </c>
      <c r="B74" s="43">
        <v>8857.1303900000003</v>
      </c>
      <c r="C74" s="20">
        <v>8354.9484200000006</v>
      </c>
      <c r="D74" s="20">
        <f>IF(OR(8857.13039="",8354.94842=""),"-",8354.94842/8857.13039*100)</f>
        <v>94.330195583809171</v>
      </c>
      <c r="E74" s="20">
        <f>IF(8857.13039="","-",8857.13039/8345207.34491*100)</f>
        <v>0.10613433584010634</v>
      </c>
      <c r="F74" s="20">
        <f>IF(8354.94842="","-",8354.94842/7858737.58733*100)</f>
        <v>0.10631412904624786</v>
      </c>
      <c r="G74" s="20">
        <f>IF(OR(6422564.27315="",4387.42545="",8857.13039=""),"-",(8857.13039-4387.42545)/6422564.27315*100)</f>
        <v>6.9593775163697927E-2</v>
      </c>
      <c r="H74" s="20">
        <f>IF(OR(8345207.34491="",8354.94842="",8857.13039=""),"-",(8354.94842-8857.13039)/8345207.34491*100)</f>
        <v>-6.0176092605571498E-3</v>
      </c>
    </row>
    <row r="75" spans="1:8" s="2" customFormat="1" x14ac:dyDescent="0.25">
      <c r="A75" s="60" t="s">
        <v>103</v>
      </c>
      <c r="B75" s="43">
        <v>4315.3022899999996</v>
      </c>
      <c r="C75" s="45">
        <v>8079.2861899999998</v>
      </c>
      <c r="D75" s="20" t="s">
        <v>328</v>
      </c>
      <c r="E75" s="20">
        <f>IF(4315.30229="","-",4315.30229/8345207.34491*100)</f>
        <v>5.1709946938970137E-2</v>
      </c>
      <c r="F75" s="20">
        <f>IF(8079.28619="","-",8079.28619/7858737.58733*100)</f>
        <v>0.10280641261041178</v>
      </c>
      <c r="G75" s="20">
        <f>IF(OR(6422564.27315="",5361.96545="",4315.30229=""),"-",(4315.30229-5361.96545)/6422564.27315*100)</f>
        <v>-1.6296655284177567E-2</v>
      </c>
      <c r="H75" s="20">
        <f>IF(OR(8345207.34491="",8079.28619="",4315.30229=""),"-",(8079.28619-4315.30229)/8345207.34491*100)</f>
        <v>4.5103539605828608E-2</v>
      </c>
    </row>
    <row r="76" spans="1:8" s="2" customFormat="1" x14ac:dyDescent="0.25">
      <c r="A76" s="60" t="s">
        <v>72</v>
      </c>
      <c r="B76" s="43">
        <v>6487.4637899999998</v>
      </c>
      <c r="C76" s="20">
        <v>6981.8007900000002</v>
      </c>
      <c r="D76" s="20">
        <f>IF(OR(6487.46379="",6981.80079=""),"-",6981.80079/6487.46379*100)</f>
        <v>107.61988068067507</v>
      </c>
      <c r="E76" s="20">
        <f>IF(6487.46379="","-",6487.46379/8345207.34491*100)</f>
        <v>7.7738796915056932E-2</v>
      </c>
      <c r="F76" s="20">
        <f>IF(6981.80079="","-",6981.80079/7858737.58733*100)</f>
        <v>8.8841251058645695E-2</v>
      </c>
      <c r="G76" s="20">
        <f>IF(OR(6422564.27315="",16151.18669="",6487.46379=""),"-",(6487.46379-16151.18669)/6422564.27315*100)</f>
        <v>-0.15046518009013785</v>
      </c>
      <c r="H76" s="20">
        <f>IF(OR(8345207.34491="",6981.80079="",6487.46379=""),"-",(6981.80079-6487.46379)/8345207.34491*100)</f>
        <v>5.9236035675196471E-3</v>
      </c>
    </row>
    <row r="77" spans="1:8" s="2" customFormat="1" x14ac:dyDescent="0.25">
      <c r="A77" s="60" t="s">
        <v>317</v>
      </c>
      <c r="B77" s="43">
        <v>5943.72588</v>
      </c>
      <c r="C77" s="20">
        <v>6042.59908</v>
      </c>
      <c r="D77" s="20">
        <f>IF(OR(5943.72588="",6042.59908=""),"-",6042.59908/5943.72588*100)</f>
        <v>101.66348855913255</v>
      </c>
      <c r="E77" s="20">
        <f>IF(5943.72588="","-",5943.72588/8345207.34491*100)</f>
        <v>7.1223225910920729E-2</v>
      </c>
      <c r="F77" s="20">
        <f>IF(6042.59908="","-",6042.59908/7858737.58733*100)</f>
        <v>7.6890200402441086E-2</v>
      </c>
      <c r="G77" s="20">
        <f>IF(OR(6422564.27315="",2602.89021="",5943.72588=""),"-",(5943.72588-2602.89021)/6422564.27315*100)</f>
        <v>5.201716211648684E-2</v>
      </c>
      <c r="H77" s="20">
        <f>IF(OR(8345207.34491="",6042.59908="",5943.72588=""),"-",(6042.59908-5943.72588)/8345207.34491*100)</f>
        <v>1.1847902144732907E-3</v>
      </c>
    </row>
    <row r="78" spans="1:8" s="2" customFormat="1" x14ac:dyDescent="0.25">
      <c r="A78" s="61" t="s">
        <v>80</v>
      </c>
      <c r="B78" s="45">
        <v>4860.5021100000004</v>
      </c>
      <c r="C78" s="45">
        <v>6022.93559</v>
      </c>
      <c r="D78" s="20">
        <f>IF(OR(4860.50211="",6022.93559=""),"-",6022.93559/4860.50211*100)</f>
        <v>123.91591349396616</v>
      </c>
      <c r="E78" s="20">
        <f>IF(4860.50211="","-",4860.50211/8345207.34491*100)</f>
        <v>5.8243035902092608E-2</v>
      </c>
      <c r="F78" s="20">
        <f>IF(6022.93559="","-",6022.93559/7858737.58733*100)</f>
        <v>7.6639988586847424E-2</v>
      </c>
      <c r="G78" s="20">
        <f>IF(OR(6422564.27315="",3363.42897="",4860.50211=""),"-",(4860.50211-3363.42897)/6422564.27315*100)</f>
        <v>2.3309585958658667E-2</v>
      </c>
      <c r="H78" s="20">
        <f>IF(OR(8345207.34491="",6022.93559="",4860.50211=""),"-",(6022.93559-4860.50211)/8345207.34491*100)</f>
        <v>1.3929354082604114E-2</v>
      </c>
    </row>
    <row r="79" spans="1:8" s="2" customFormat="1" x14ac:dyDescent="0.25">
      <c r="A79" s="60" t="s">
        <v>71</v>
      </c>
      <c r="B79" s="43">
        <v>3960.60493</v>
      </c>
      <c r="C79" s="45">
        <v>5995.4953599999999</v>
      </c>
      <c r="D79" s="20">
        <f>IF(OR(3960.60493="",5995.49536=""),"-",5995.49536/3960.60493*100)</f>
        <v>151.37827341945967</v>
      </c>
      <c r="E79" s="20">
        <f>IF(3960.60493="","-",3960.60493/8345207.34491*100)</f>
        <v>4.7459634809621544E-2</v>
      </c>
      <c r="F79" s="20">
        <f>IF(5995.49536="","-",5995.49536/7858737.58733*100)</f>
        <v>7.6290820165137552E-2</v>
      </c>
      <c r="G79" s="20">
        <f>IF(OR(6422564.27315="",3836.18811="",3960.60493=""),"-",(3960.60493-3836.18811)/6422564.27315*100)</f>
        <v>1.9371829491864106E-3</v>
      </c>
      <c r="H79" s="20">
        <f>IF(OR(8345207.34491="",5995.49536="",3960.60493=""),"-",(5995.49536-3960.60493)/8345207.34491*100)</f>
        <v>2.438394093636442E-2</v>
      </c>
    </row>
    <row r="80" spans="1:8" x14ac:dyDescent="0.25">
      <c r="A80" s="60" t="s">
        <v>278</v>
      </c>
      <c r="B80" s="43">
        <v>1229.66302</v>
      </c>
      <c r="C80" s="20">
        <v>5015.1268499999996</v>
      </c>
      <c r="D80" s="20" t="s">
        <v>359</v>
      </c>
      <c r="E80" s="20">
        <f>IF(1229.66302="","-",1229.66302/8345207.34491*100)</f>
        <v>1.473496066877247E-2</v>
      </c>
      <c r="F80" s="20">
        <f>IF(5015.12685="","-",5015.12685/7858737.58733*100)</f>
        <v>6.3815934738493868E-2</v>
      </c>
      <c r="G80" s="20">
        <f>IF(OR(6422564.27315="",316.37399="",1229.66302=""),"-",(1229.66302-316.37399)/6422564.27315*100)</f>
        <v>1.4220006077916132E-2</v>
      </c>
      <c r="H80" s="20">
        <f>IF(OR(8345207.34491="",5015.12685="",1229.66302=""),"-",(5015.12685-1229.66302)/8345207.34491*100)</f>
        <v>4.536093201217907E-2</v>
      </c>
    </row>
    <row r="81" spans="1:8" x14ac:dyDescent="0.25">
      <c r="A81" s="60" t="s">
        <v>60</v>
      </c>
      <c r="B81" s="43">
        <v>7918.0369300000002</v>
      </c>
      <c r="C81" s="20">
        <v>4574.7555499999999</v>
      </c>
      <c r="D81" s="20">
        <f>IF(OR(7918.03693="",4574.75555=""),"-",4574.75555/7918.03693*100)</f>
        <v>57.776385617337603</v>
      </c>
      <c r="E81" s="20">
        <f>IF(7918.03693="","-",7918.03693/8345207.34491*100)</f>
        <v>9.4881248634636456E-2</v>
      </c>
      <c r="F81" s="20">
        <f>IF(4574.75555="","-",4574.75555/7858737.58733*100)</f>
        <v>5.8212346438128997E-2</v>
      </c>
      <c r="G81" s="20">
        <f>IF(OR(6422564.27315="",7205.346="",7918.03693=""),"-",(7918.03693-7205.346)/6422564.27315*100)</f>
        <v>1.1096672601307506E-2</v>
      </c>
      <c r="H81" s="20">
        <f>IF(OR(8345207.34491="",4574.75555="",7918.03693=""),"-",(4574.75555-7918.03693)/8345207.34491*100)</f>
        <v>-4.0062292544944027E-2</v>
      </c>
    </row>
    <row r="82" spans="1:8" x14ac:dyDescent="0.25">
      <c r="A82" s="60" t="s">
        <v>78</v>
      </c>
      <c r="B82" s="43">
        <v>3480.8551400000001</v>
      </c>
      <c r="C82" s="20">
        <v>4002.7304800000002</v>
      </c>
      <c r="D82" s="20">
        <f>IF(OR(3480.85514="",4002.73048=""),"-",4002.73048/3480.85514*100)</f>
        <v>114.99273365337461</v>
      </c>
      <c r="E82" s="20">
        <f>IF(3480.85514="","-",3480.85514/8345207.34491*100)</f>
        <v>4.1710828696462296E-2</v>
      </c>
      <c r="F82" s="20">
        <f>IF(4002.73048="","-",4002.73048/7858737.58733*100)</f>
        <v>5.0933504720316346E-2</v>
      </c>
      <c r="G82" s="20">
        <f>IF(OR(6422564.27315="",3721.21888="",3480.85514=""),"-",(3480.85514-3721.21888)/6422564.27315*100)</f>
        <v>-3.7424886661680912E-3</v>
      </c>
      <c r="H82" s="20">
        <f>IF(OR(8345207.34491="",4002.73048="",3480.85514=""),"-",(4002.73048-3480.85514)/8345207.34491*100)</f>
        <v>6.2535934510759396E-3</v>
      </c>
    </row>
    <row r="83" spans="1:8" x14ac:dyDescent="0.25">
      <c r="A83" s="60" t="s">
        <v>77</v>
      </c>
      <c r="B83" s="43">
        <v>3285.9119000000001</v>
      </c>
      <c r="C83" s="45">
        <v>3541.1220499999999</v>
      </c>
      <c r="D83" s="20">
        <f>IF(OR(3285.9119="",3541.12205=""),"-",3541.12205/3285.9119*100)</f>
        <v>107.76679831251714</v>
      </c>
      <c r="E83" s="20">
        <f>IF(3285.9119="","-",3285.9119/8345207.34491*100)</f>
        <v>3.9374838325666996E-2</v>
      </c>
      <c r="F83" s="20">
        <f>IF(3541.12205="","-",3541.12205/7858737.58733*100)</f>
        <v>4.5059680523104141E-2</v>
      </c>
      <c r="G83" s="20">
        <f>IF(OR(6422564.27315="",3220.76301="",3285.9119=""),"-",(3285.9119-3220.76301)/6422564.27315*100)</f>
        <v>1.0143750568968168E-3</v>
      </c>
      <c r="H83" s="20">
        <f>IF(OR(8345207.34491="",3541.12205="",3285.9119=""),"-",(3541.12205-3285.9119)/8345207.34491*100)</f>
        <v>3.0581642786342562E-3</v>
      </c>
    </row>
    <row r="84" spans="1:8" x14ac:dyDescent="0.25">
      <c r="A84" s="61" t="s">
        <v>85</v>
      </c>
      <c r="B84" s="45">
        <v>2490.5450500000002</v>
      </c>
      <c r="C84" s="45">
        <v>3189.8480300000001</v>
      </c>
      <c r="D84" s="20">
        <f>IF(OR(2490.54505="",3189.84803=""),"-",3189.84803/2490.54505*100)</f>
        <v>128.0783108099169</v>
      </c>
      <c r="E84" s="20">
        <f>IF(2490.54505="","-",2490.54505/8345207.34491*100)</f>
        <v>2.9844016416429253E-2</v>
      </c>
      <c r="F84" s="20">
        <f>IF(3189.84803="","-",3189.84803/7858737.58733*100)</f>
        <v>4.0589827495229401E-2</v>
      </c>
      <c r="G84" s="20">
        <f>IF(OR(6422564.27315="",1741.56424="",2490.54505=""),"-",(2490.54505-1741.56424)/6422564.27315*100)</f>
        <v>1.1661709842767466E-2</v>
      </c>
      <c r="H84" s="20">
        <f>IF(OR(8345207.34491="",3189.84803="",2490.54505=""),"-",(3189.84803-2490.54505)/8345207.34491*100)</f>
        <v>8.3796956875676239E-3</v>
      </c>
    </row>
    <row r="85" spans="1:8" x14ac:dyDescent="0.25">
      <c r="A85" s="60" t="s">
        <v>57</v>
      </c>
      <c r="B85" s="43">
        <v>1608.9073699999999</v>
      </c>
      <c r="C85" s="45">
        <v>3126.2094299999999</v>
      </c>
      <c r="D85" s="20" t="s">
        <v>328</v>
      </c>
      <c r="E85" s="20">
        <f>IF(1608.90737="","-",1608.90737/8345207.34491*100)</f>
        <v>1.9279417556728799E-2</v>
      </c>
      <c r="F85" s="20">
        <f>IF(3126.20943="","-",3126.20943/7858737.58733*100)</f>
        <v>3.9780046034876289E-2</v>
      </c>
      <c r="G85" s="20">
        <f>IF(OR(6422564.27315="",1017.08888="",1608.90737=""),"-",(1608.90737-1017.08888)/6422564.27315*100)</f>
        <v>9.2146760208245866E-3</v>
      </c>
      <c r="H85" s="20">
        <f>IF(OR(8345207.34491="",3126.20943="",1608.90737=""),"-",(3126.20943-1608.90737)/8345207.34491*100)</f>
        <v>1.8181717928499996E-2</v>
      </c>
    </row>
    <row r="86" spans="1:8" x14ac:dyDescent="0.25">
      <c r="A86" s="60" t="s">
        <v>64</v>
      </c>
      <c r="B86" s="43">
        <v>4174.9341800000002</v>
      </c>
      <c r="C86" s="45">
        <v>3107.7422799999999</v>
      </c>
      <c r="D86" s="20">
        <f>IF(OR(4174.93418="",3107.74228=""),"-",3107.74228/4174.93418*100)</f>
        <v>74.438114375254656</v>
      </c>
      <c r="E86" s="20">
        <f>IF(4174.93418="","-",4174.93418/8345207.34491*100)</f>
        <v>5.0027926298876466E-2</v>
      </c>
      <c r="F86" s="20">
        <f>IF(3107.74228="","-",3107.74228/7858737.58733*100)</f>
        <v>3.9545057274979617E-2</v>
      </c>
      <c r="G86" s="20">
        <f>IF(OR(6422564.27315="",4435.51815="",4174.93418=""),"-",(4174.93418-4435.51815)/6422564.27315*100)</f>
        <v>-4.0573197700705006E-3</v>
      </c>
      <c r="H86" s="20">
        <f>IF(OR(8345207.34491="",3107.74228="",4174.93418=""),"-",(3107.74228-4174.93418)/8345207.34491*100)</f>
        <v>-1.2788081300950702E-2</v>
      </c>
    </row>
    <row r="87" spans="1:8" x14ac:dyDescent="0.25">
      <c r="A87" s="60" t="s">
        <v>32</v>
      </c>
      <c r="B87" s="43">
        <v>3958.9201600000001</v>
      </c>
      <c r="C87" s="45">
        <v>3042.1850800000002</v>
      </c>
      <c r="D87" s="20">
        <f>IF(OR(3958.92016="",3042.18508=""),"-",3042.18508/3958.92016*100)</f>
        <v>76.843809853442451</v>
      </c>
      <c r="E87" s="20">
        <f>IF(3958.92016="","-",3958.92016/8345207.34491*100)</f>
        <v>4.743944633580216E-2</v>
      </c>
      <c r="F87" s="20">
        <f>IF(3042.18508="","-",3042.18508/7858737.58733*100)</f>
        <v>3.8710862224292444E-2</v>
      </c>
      <c r="G87" s="20">
        <f>IF(OR(6422564.27315="",1869.92468="",3958.92016=""),"-",(3958.92016-1869.92468)/6422564.27315*100)</f>
        <v>3.2525878934885843E-2</v>
      </c>
      <c r="H87" s="20">
        <f>IF(OR(8345207.34491="",3042.18508="",3958.92016=""),"-",(3042.18508-3958.92016)/8345207.34491*100)</f>
        <v>-1.0985168397992472E-2</v>
      </c>
    </row>
    <row r="88" spans="1:8" x14ac:dyDescent="0.25">
      <c r="A88" s="60" t="s">
        <v>59</v>
      </c>
      <c r="B88" s="43">
        <v>1871.2739999999999</v>
      </c>
      <c r="C88" s="45">
        <v>2780.9819200000002</v>
      </c>
      <c r="D88" s="20">
        <f>IF(OR(1871.274="",2780.98192=""),"-",2780.98192/1871.274*100)</f>
        <v>148.61436219388503</v>
      </c>
      <c r="E88" s="20">
        <f>IF(1871.274="","-",1871.274/8345207.34491*100)</f>
        <v>2.24233374038495E-2</v>
      </c>
      <c r="F88" s="20">
        <f>IF(2780.98192="","-",2780.98192/7858737.58733*100)</f>
        <v>3.5387132972648817E-2</v>
      </c>
      <c r="G88" s="20">
        <f>IF(OR(6422564.27315="",1238.82264="",1871.274=""),"-",(1871.274-1238.82264)/6422564.27315*100)</f>
        <v>9.8473340725293949E-3</v>
      </c>
      <c r="H88" s="20">
        <f>IF(OR(8345207.34491="",2780.98192="",1871.274=""),"-",(2780.98192-1871.274)/8345207.34491*100)</f>
        <v>1.0900962461464294E-2</v>
      </c>
    </row>
    <row r="89" spans="1:8" x14ac:dyDescent="0.25">
      <c r="A89" s="60" t="s">
        <v>79</v>
      </c>
      <c r="B89" s="43">
        <v>2072.8391999999999</v>
      </c>
      <c r="C89" s="20">
        <v>2532.2583500000001</v>
      </c>
      <c r="D89" s="20">
        <f>IF(OR(2072.8392="",2532.25835=""),"-",2532.25835/2072.8392*100)</f>
        <v>122.16376214807208</v>
      </c>
      <c r="E89" s="20">
        <f>IF(2072.8392="","-",2072.8392/8345207.34491*100)</f>
        <v>2.4838678229658229E-2</v>
      </c>
      <c r="F89" s="20">
        <f>IF(2532.25835="","-",2532.25835/7858737.58733*100)</f>
        <v>3.2222202635733166E-2</v>
      </c>
      <c r="G89" s="20">
        <f>IF(OR(6422564.27315="",2625.54248="",2072.8392=""),"-",(2072.8392-2625.54248)/6422564.27315*100)</f>
        <v>-8.6056480946499325E-3</v>
      </c>
      <c r="H89" s="20">
        <f>IF(OR(8345207.34491="",2532.25835="",2072.8392=""),"-",(2532.25835-2072.8392)/8345207.34491*100)</f>
        <v>5.5051855635464119E-3</v>
      </c>
    </row>
    <row r="90" spans="1:8" x14ac:dyDescent="0.25">
      <c r="A90" s="60" t="s">
        <v>114</v>
      </c>
      <c r="B90" s="43">
        <v>1670.9424200000001</v>
      </c>
      <c r="C90" s="20">
        <v>2427.0005000000001</v>
      </c>
      <c r="D90" s="20">
        <f>IF(OR(1670.94242="",2427.0005=""),"-",2427.0005/1670.94242*100)</f>
        <v>145.24740475497651</v>
      </c>
      <c r="E90" s="20">
        <f>IF(1670.94242="","-",1670.94242/8345207.34491*100)</f>
        <v>2.0022778954907089E-2</v>
      </c>
      <c r="F90" s="20">
        <f>IF(2427.0005="","-",2427.0005/7858737.58733*100)</f>
        <v>3.0882829118926869E-2</v>
      </c>
      <c r="G90" s="20">
        <f>IF(OR(6422564.27315="",1312.58967="",1670.94242=""),"-",(1670.94242-1312.58967)/6422564.27315*100)</f>
        <v>5.5795899388367343E-3</v>
      </c>
      <c r="H90" s="20">
        <f>IF(OR(8345207.34491="",2427.0005="",1670.94242=""),"-",(2427.0005-1670.94242)/8345207.34491*100)</f>
        <v>9.0597878369210703E-3</v>
      </c>
    </row>
    <row r="91" spans="1:8" x14ac:dyDescent="0.25">
      <c r="A91" s="60" t="s">
        <v>89</v>
      </c>
      <c r="B91" s="43">
        <v>1593.3610799999999</v>
      </c>
      <c r="C91" s="20">
        <v>2371.3970599999998</v>
      </c>
      <c r="D91" s="20">
        <f>IF(OR(1593.36108="",2371.39706=""),"-",2371.39706/1593.36108*100)</f>
        <v>148.82985970763136</v>
      </c>
      <c r="E91" s="20">
        <f>IF(1593.36108="","-",1593.36108/8345207.34491*100)</f>
        <v>1.9093127517938065E-2</v>
      </c>
      <c r="F91" s="20">
        <f>IF(2371.39706="","-",2371.39706/7858737.58733*100)</f>
        <v>3.0175292579093231E-2</v>
      </c>
      <c r="G91" s="20">
        <f>IF(OR(6422564.27315="",753.45992="",1593.36108=""),"-",(1593.36108-753.45992)/6422564.27315*100)</f>
        <v>1.3077349237457507E-2</v>
      </c>
      <c r="H91" s="20">
        <f>IF(OR(8345207.34491="",2371.39706="",1593.36108=""),"-",(2371.39706-1593.36108)/8345207.34491*100)</f>
        <v>9.3231473808083158E-3</v>
      </c>
    </row>
    <row r="92" spans="1:8" x14ac:dyDescent="0.25">
      <c r="A92" s="61" t="s">
        <v>76</v>
      </c>
      <c r="B92" s="45">
        <v>2120.6385300000002</v>
      </c>
      <c r="C92" s="45">
        <v>2054.4594699999998</v>
      </c>
      <c r="D92" s="20">
        <f>IF(OR(2120.63853="",2054.45947=""),"-",2054.45947/2120.63853*100)</f>
        <v>96.879286164813749</v>
      </c>
      <c r="E92" s="20">
        <f>IF(2120.63853="","-",2120.63853/8345207.34491*100)</f>
        <v>2.5411454052048726E-2</v>
      </c>
      <c r="F92" s="20">
        <f>IF(2054.45947="","-",2054.45947/7858737.58733*100)</f>
        <v>2.6142359980466035E-2</v>
      </c>
      <c r="G92" s="20">
        <f>IF(OR(6422564.27315="",1923.23292="",2120.63853=""),"-",(2120.63853-1923.23292)/6422564.27315*100)</f>
        <v>3.0736260721479871E-3</v>
      </c>
      <c r="H92" s="20">
        <f>IF(OR(8345207.34491="",2054.45947="",2120.63853=""),"-",(2054.45947-2120.63853)/8345207.34491*100)</f>
        <v>-7.930187623242823E-4</v>
      </c>
    </row>
    <row r="93" spans="1:8" x14ac:dyDescent="0.25">
      <c r="A93" s="60" t="s">
        <v>404</v>
      </c>
      <c r="B93" s="43">
        <v>1557.5216600000001</v>
      </c>
      <c r="C93" s="45">
        <v>1671.85735</v>
      </c>
      <c r="D93" s="20">
        <f>IF(OR(1557.52166="",1671.85735=""),"-",1671.85735/1557.52166*100)</f>
        <v>107.34087319209415</v>
      </c>
      <c r="E93" s="20">
        <f>IF(1557.52166="","-",1557.52166/8345207.34491*100)</f>
        <v>1.8663666409079464E-2</v>
      </c>
      <c r="F93" s="20">
        <f>IF(1671.85735="","-",1671.85735/7858737.58733*100)</f>
        <v>2.1273866590168361E-2</v>
      </c>
      <c r="G93" s="20">
        <f>IF(OR(6422564.27315="",2000.46616="",1557.52166=""),"-",(1557.52166-2000.46616)/6422564.27315*100)</f>
        <v>-6.8966923671244795E-3</v>
      </c>
      <c r="H93" s="20">
        <f>IF(OR(8345207.34491="",1671.85735="",1557.52166=""),"-",(1671.85735-1557.52166)/8345207.34491*100)</f>
        <v>1.3700760840859964E-3</v>
      </c>
    </row>
    <row r="94" spans="1:8" x14ac:dyDescent="0.25">
      <c r="A94" s="60" t="s">
        <v>104</v>
      </c>
      <c r="B94" s="43">
        <v>518.41147000000001</v>
      </c>
      <c r="C94" s="20">
        <v>1444.55052</v>
      </c>
      <c r="D94" s="20" t="s">
        <v>344</v>
      </c>
      <c r="E94" s="20">
        <f>IF(518.41147="","-",518.41147/8345207.34491*100)</f>
        <v>6.212086154050985E-3</v>
      </c>
      <c r="F94" s="20">
        <f>IF(1444.55052="","-",1444.55052/7858737.58733*100)</f>
        <v>1.838145763168032E-2</v>
      </c>
      <c r="G94" s="20">
        <f>IF(OR(6422564.27315="",936.59781="",518.41147=""),"-",(518.41147-936.59781)/6422564.27315*100)</f>
        <v>-6.5112052167116269E-3</v>
      </c>
      <c r="H94" s="20">
        <f>IF(OR(8345207.34491="",1444.55052="",518.41147=""),"-",(1444.55052-518.41147)/8345207.34491*100)</f>
        <v>1.1097855472277519E-2</v>
      </c>
    </row>
    <row r="95" spans="1:8" x14ac:dyDescent="0.25">
      <c r="A95" s="60" t="s">
        <v>82</v>
      </c>
      <c r="B95" s="43">
        <v>1479.42137</v>
      </c>
      <c r="C95" s="20">
        <v>1378.3624400000001</v>
      </c>
      <c r="D95" s="20">
        <f>IF(OR(1479.42137="",1378.36244=""),"-",1378.36244/1479.42137*100)</f>
        <v>93.169023237781133</v>
      </c>
      <c r="E95" s="20">
        <f>IF(1479.42137="","-",1479.42137/8345207.34491*100)</f>
        <v>1.772779643279139E-2</v>
      </c>
      <c r="F95" s="20">
        <f>IF(1378.36244="","-",1378.36244/7858737.58733*100)</f>
        <v>1.7539234828533035E-2</v>
      </c>
      <c r="G95" s="20">
        <f>IF(OR(6422564.27315="",2078.42443="",1479.42137=""),"-",(1479.42137-2078.42443)/6422564.27315*100)</f>
        <v>-9.326540529990119E-3</v>
      </c>
      <c r="H95" s="20">
        <f>IF(OR(8345207.34491="",1378.36244="",1479.42137=""),"-",(1378.36244-1479.42137)/8345207.34491*100)</f>
        <v>-1.2109816547774439E-3</v>
      </c>
    </row>
    <row r="96" spans="1:8" x14ac:dyDescent="0.25">
      <c r="A96" s="61" t="s">
        <v>411</v>
      </c>
      <c r="B96" s="45">
        <v>1549.24461</v>
      </c>
      <c r="C96" s="45">
        <v>1367.2234000000001</v>
      </c>
      <c r="D96" s="20">
        <f>IF(OR(1549.24461="",1367.2234=""),"-",1367.2234/1549.24461*100)</f>
        <v>88.250970258337716</v>
      </c>
      <c r="E96" s="20">
        <f>IF(1549.24461="","-",1549.24461/8345207.34491*100)</f>
        <v>1.8564483133482981E-2</v>
      </c>
      <c r="F96" s="20">
        <f>IF(1367.2234="","-",1367.2234/7858737.58733*100)</f>
        <v>1.739749399705447E-2</v>
      </c>
      <c r="G96" s="20">
        <f>IF(OR(6422564.27315="",1380.45656="",1549.24461=""),"-",(1549.24461-1380.45656)/6422564.27315*100)</f>
        <v>2.6280476585595364E-3</v>
      </c>
      <c r="H96" s="20">
        <f>IF(OR(8345207.34491="",1367.2234="",1549.24461=""),"-",(1367.2234-1549.24461)/8345207.34491*100)</f>
        <v>-2.1811466447387942E-3</v>
      </c>
    </row>
    <row r="97" spans="1:8" x14ac:dyDescent="0.25">
      <c r="A97" s="60" t="s">
        <v>81</v>
      </c>
      <c r="B97" s="43">
        <v>1586.8796</v>
      </c>
      <c r="C97" s="20">
        <v>1358.57844</v>
      </c>
      <c r="D97" s="20">
        <f>IF(OR(1586.8796="",1358.57844=""),"-",1358.57844/1586.8796*100)</f>
        <v>85.613202161020922</v>
      </c>
      <c r="E97" s="20">
        <f>IF(1586.8796="","-",1586.8796/8345207.34491*100)</f>
        <v>1.9015460424334295E-2</v>
      </c>
      <c r="F97" s="20">
        <f>IF(1358.57844="","-",1358.57844/7858737.58733*100)</f>
        <v>1.7287489560541189E-2</v>
      </c>
      <c r="G97" s="20">
        <f>IF(OR(6422564.27315="",562.85903="",1586.8796=""),"-",(1586.8796-562.85903)/6422564.27315*100)</f>
        <v>1.5944107780765902E-2</v>
      </c>
      <c r="H97" s="20">
        <f>IF(OR(8345207.34491="",1358.57844="",1586.8796=""),"-",(1358.57844-1586.8796)/8345207.34491*100)</f>
        <v>-2.73571584940005E-3</v>
      </c>
    </row>
    <row r="98" spans="1:8" x14ac:dyDescent="0.25">
      <c r="A98" s="61" t="s">
        <v>408</v>
      </c>
      <c r="B98" s="45">
        <v>285.51159000000001</v>
      </c>
      <c r="C98" s="45">
        <v>1248.8601699999999</v>
      </c>
      <c r="D98" s="20" t="s">
        <v>378</v>
      </c>
      <c r="E98" s="20">
        <f>IF(285.51159="","-",285.51159/8345207.34491*100)</f>
        <v>3.4212641843362024E-3</v>
      </c>
      <c r="F98" s="20">
        <f>IF(1248.86017="","-",1248.86017/7858737.58733*100)</f>
        <v>1.5891358581732455E-2</v>
      </c>
      <c r="G98" s="20">
        <f>IF(OR(6422564.27315="",535.83251="",285.51159=""),"-",(285.51159-535.83251)/6422564.27315*100)</f>
        <v>-3.8975230041135575E-3</v>
      </c>
      <c r="H98" s="20">
        <f>IF(OR(8345207.34491="",1248.86017="",285.51159=""),"-",(1248.86017-285.51159)/8345207.34491*100)</f>
        <v>1.1543734507538339E-2</v>
      </c>
    </row>
    <row r="99" spans="1:8" x14ac:dyDescent="0.25">
      <c r="A99" s="61" t="s">
        <v>83</v>
      </c>
      <c r="B99" s="45">
        <v>675.73793000000001</v>
      </c>
      <c r="C99" s="45">
        <v>1127.0982200000001</v>
      </c>
      <c r="D99" s="20" t="s">
        <v>327</v>
      </c>
      <c r="E99" s="20">
        <f>IF(675.73793="","-",675.73793/8345207.34491*100)</f>
        <v>8.0973174430729201E-3</v>
      </c>
      <c r="F99" s="20">
        <f>IF(1127.09822="","-",1127.09822/7858737.58733*100)</f>
        <v>1.4341975507836379E-2</v>
      </c>
      <c r="G99" s="20">
        <f>IF(OR(6422564.27315="",398.06572="",675.73793=""),"-",(675.73793-398.06572)/6422564.27315*100)</f>
        <v>4.3233854608638019E-3</v>
      </c>
      <c r="H99" s="20">
        <f>IF(OR(8345207.34491="",1127.09822="",675.73793=""),"-",(1127.09822-675.73793)/8345207.34491*100)</f>
        <v>5.4086168425197803E-3</v>
      </c>
    </row>
    <row r="100" spans="1:8" x14ac:dyDescent="0.25">
      <c r="A100" s="60" t="s">
        <v>86</v>
      </c>
      <c r="B100" s="43">
        <v>497.13319000000001</v>
      </c>
      <c r="C100" s="45">
        <v>1069.93832</v>
      </c>
      <c r="D100" s="20" t="s">
        <v>337</v>
      </c>
      <c r="E100" s="20">
        <f>IF(497.13319="","-",497.13319/8345207.34491*100)</f>
        <v>5.9571101046784281E-3</v>
      </c>
      <c r="F100" s="20">
        <f>IF(1069.93832="","-",1069.93832/7858737.58733*100)</f>
        <v>1.3614633496924163E-2</v>
      </c>
      <c r="G100" s="20">
        <f>IF(OR(6422564.27315="",672.68913="",497.13319=""),"-",(497.13319-672.68913)/6422564.27315*100)</f>
        <v>-2.7334244163802991E-3</v>
      </c>
      <c r="H100" s="20">
        <f>IF(OR(8345207.34491="",1069.93832="",497.13319=""),"-",(1069.93832-497.13319)/8345207.34491*100)</f>
        <v>6.8638813432163725E-3</v>
      </c>
    </row>
    <row r="101" spans="1:8" x14ac:dyDescent="0.25">
      <c r="A101" s="61" t="s">
        <v>400</v>
      </c>
      <c r="B101" s="45">
        <v>20.002400000000002</v>
      </c>
      <c r="C101" s="45">
        <v>934.80124000000001</v>
      </c>
      <c r="D101" s="20" t="s">
        <v>379</v>
      </c>
      <c r="E101" s="20">
        <f>IF(20.0024="","-",20.0024/8345207.34491*100)</f>
        <v>2.396872740639582E-4</v>
      </c>
      <c r="F101" s="20">
        <f>IF(934.80124="","-",934.80124/7858737.58733*100)</f>
        <v>1.1895056039370798E-2</v>
      </c>
      <c r="G101" s="20">
        <f>IF(OR(6422564.27315="",982.29289="",20.0024=""),"-",(20.0024-982.29289)/6422564.27315*100)</f>
        <v>-1.4982963954489736E-2</v>
      </c>
      <c r="H101" s="20">
        <f>IF(OR(8345207.34491="",934.80124="",20.0024=""),"-",(934.80124-20.0024)/8345207.34491*100)</f>
        <v>1.0961966577834213E-2</v>
      </c>
    </row>
    <row r="102" spans="1:8" x14ac:dyDescent="0.25">
      <c r="A102" s="61" t="s">
        <v>318</v>
      </c>
      <c r="B102" s="45">
        <v>0.75722999999999996</v>
      </c>
      <c r="C102" s="45">
        <v>908.18191999999999</v>
      </c>
      <c r="D102" s="20" t="s">
        <v>380</v>
      </c>
      <c r="E102" s="20">
        <f>IF(0.75723="","-",0.75723/8345207.34491*100)</f>
        <v>9.0738308672684795E-6</v>
      </c>
      <c r="F102" s="20">
        <f>IF(908.18192="","-",908.18192/7858737.58733*100)</f>
        <v>1.1556333442971647E-2</v>
      </c>
      <c r="G102" s="20">
        <f>IF(OR(6422564.27315="",21.51934="",0.75723=""),"-",(0.75723-21.51934)/6422564.27315*100)</f>
        <v>-3.2326823239118869E-4</v>
      </c>
      <c r="H102" s="20">
        <f>IF(OR(8345207.34491="",908.18192="",0.75723=""),"-",(908.18192-0.75723)/8345207.34491*100)</f>
        <v>1.0873602685899306E-2</v>
      </c>
    </row>
    <row r="103" spans="1:8" x14ac:dyDescent="0.25">
      <c r="A103" s="61" t="s">
        <v>88</v>
      </c>
      <c r="B103" s="45">
        <v>1053.68633</v>
      </c>
      <c r="C103" s="45">
        <v>783.31500000000005</v>
      </c>
      <c r="D103" s="20">
        <f>IF(OR(1053.68633="",783.315=""),"-",783.315/1053.68633*100)</f>
        <v>74.340434880653717</v>
      </c>
      <c r="E103" s="20">
        <f>IF(1053.68633="","-",1053.68633/8345207.34491*100)</f>
        <v>1.2626245058400805E-2</v>
      </c>
      <c r="F103" s="20">
        <f>IF(783.315="","-",783.315/7858737.58733*100)</f>
        <v>9.96744058820433E-3</v>
      </c>
      <c r="G103" s="20">
        <f>IF(OR(6422564.27315="",597.96427="",1053.68633=""),"-",(1053.68633-597.96427)/6422564.27315*100)</f>
        <v>7.0956403177649674E-3</v>
      </c>
      <c r="H103" s="20">
        <f>IF(OR(8345207.34491="",783.315="",1053.68633=""),"-",(783.315-1053.68633)/8345207.34491*100)</f>
        <v>-3.2398395728885964E-3</v>
      </c>
    </row>
    <row r="104" spans="1:8" x14ac:dyDescent="0.25">
      <c r="A104" s="61" t="s">
        <v>90</v>
      </c>
      <c r="B104" s="45">
        <v>683.68026999999995</v>
      </c>
      <c r="C104" s="45">
        <v>650.22089000000005</v>
      </c>
      <c r="D104" s="20">
        <f>IF(OR(683.68027="",650.22089=""),"-",650.22089/683.68027*100)</f>
        <v>95.105990114355663</v>
      </c>
      <c r="E104" s="20">
        <f>IF(683.68027="","-",683.68027/8345207.34491*100)</f>
        <v>8.1924899135909137E-3</v>
      </c>
      <c r="F104" s="20">
        <f>IF(650.22089="","-",650.22089/7858737.58733*100)</f>
        <v>8.2738592906868146E-3</v>
      </c>
      <c r="G104" s="20">
        <f>IF(OR(6422564.27315="",485.88169="",683.68027=""),"-",(683.68027-485.88169)/6422564.27315*100)</f>
        <v>3.0797446563035793E-3</v>
      </c>
      <c r="H104" s="20">
        <f>IF(OR(8345207.34491="",650.22089="",683.68027=""),"-",(650.22089-683.68027)/8345207.34491*100)</f>
        <v>-4.0094126625155464E-4</v>
      </c>
    </row>
    <row r="105" spans="1:8" x14ac:dyDescent="0.25">
      <c r="A105" s="60" t="s">
        <v>282</v>
      </c>
      <c r="B105" s="43">
        <v>845.04984999999999</v>
      </c>
      <c r="C105" s="20">
        <v>603.83191999999997</v>
      </c>
      <c r="D105" s="20">
        <f>IF(OR(845.04985="",603.83192=""),"-",603.83192/845.04985*100)</f>
        <v>71.455183383560154</v>
      </c>
      <c r="E105" s="20">
        <f>IF(845.04985="","-",845.04985/8345207.34491*100)</f>
        <v>1.0126169609379711E-2</v>
      </c>
      <c r="F105" s="20">
        <f>IF(603.83192="","-",603.83192/7858737.58733*100)</f>
        <v>7.6835740255980665E-3</v>
      </c>
      <c r="G105" s="20">
        <f>IF(OR(6422564.27315="",343.42907="",845.04985=""),"-",(845.04985-343.42907)/6422564.27315*100)</f>
        <v>7.8102882068002396E-3</v>
      </c>
      <c r="H105" s="20">
        <f>IF(OR(8345207.34491="",603.83192="",845.04985=""),"-",(603.83192-845.04985)/8345207.34491*100)</f>
        <v>-2.8904965452671021E-3</v>
      </c>
    </row>
    <row r="106" spans="1:8" x14ac:dyDescent="0.25">
      <c r="A106" s="61" t="s">
        <v>68</v>
      </c>
      <c r="B106" s="45">
        <v>18.478549999999998</v>
      </c>
      <c r="C106" s="45">
        <v>594.26806999999997</v>
      </c>
      <c r="D106" s="20" t="s">
        <v>381</v>
      </c>
      <c r="E106" s="20">
        <f>IF(18.47855="","-",18.47855/8345207.34491*100)</f>
        <v>2.214270926566089E-4</v>
      </c>
      <c r="F106" s="20">
        <f>IF(594.26807="","-",594.26807/7858737.58733*100)</f>
        <v>7.5618769986427574E-3</v>
      </c>
      <c r="G106" s="20">
        <f>IF(OR(6422564.27315="",32.48424="",18.47855=""),"-",(18.47855-32.48424)/6422564.27315*100)</f>
        <v>-2.1807006367459514E-4</v>
      </c>
      <c r="H106" s="20">
        <f>IF(OR(8345207.34491="",594.26807="",18.47855=""),"-",(594.26807-18.47855)/8345207.34491*100)</f>
        <v>6.899643067001705E-3</v>
      </c>
    </row>
    <row r="107" spans="1:8" x14ac:dyDescent="0.25">
      <c r="A107" s="60" t="s">
        <v>100</v>
      </c>
      <c r="B107" s="43">
        <v>381.52760000000001</v>
      </c>
      <c r="C107" s="20">
        <v>593.43979999999999</v>
      </c>
      <c r="D107" s="20">
        <f>IF(OR(381.5276="",593.4398=""),"-",593.4398/381.5276*100)</f>
        <v>155.54308521847435</v>
      </c>
      <c r="E107" s="20">
        <f>IF(381.5276="","-",381.5276/8345207.34491*100)</f>
        <v>4.5718169031798289E-3</v>
      </c>
      <c r="F107" s="20">
        <f>IF(593.4398="","-",593.4398/7858737.58733*100)</f>
        <v>7.5513375196132578E-3</v>
      </c>
      <c r="G107" s="20">
        <f>IF(OR(6422564.27315="",619.17563="",381.5276=""),"-",(381.5276-619.17563)/6422564.27315*100)</f>
        <v>-3.7002047763617552E-3</v>
      </c>
      <c r="H107" s="20">
        <f>IF(OR(8345207.34491="",593.4398="",381.5276=""),"-",(593.4398-381.5276)/8345207.34491*100)</f>
        <v>2.5393281585657877E-3</v>
      </c>
    </row>
    <row r="108" spans="1:8" x14ac:dyDescent="0.25">
      <c r="A108" s="60" t="s">
        <v>177</v>
      </c>
      <c r="B108" s="43">
        <v>185.55010999999999</v>
      </c>
      <c r="C108" s="20">
        <v>515.32101</v>
      </c>
      <c r="D108" s="20" t="s">
        <v>344</v>
      </c>
      <c r="E108" s="20">
        <f>IF(185.55011="","-",185.55011/8345207.34491*100)</f>
        <v>2.223433191425408E-3</v>
      </c>
      <c r="F108" s="20">
        <f>IF(515.32101="","-",515.32101/7858737.58733*100)</f>
        <v>6.55730012961382E-3</v>
      </c>
      <c r="G108" s="20">
        <f>IF(OR(6422564.27315="",118.96211="",185.55011=""),"-",(185.55011-118.96211)/6422564.27315*100)</f>
        <v>1.036782150680469E-3</v>
      </c>
      <c r="H108" s="20">
        <f>IF(OR(8345207.34491="",515.32101="",185.55011=""),"-",(515.32101-185.55011)/8345207.34491*100)</f>
        <v>3.9516202099057181E-3</v>
      </c>
    </row>
    <row r="109" spans="1:8" x14ac:dyDescent="0.25">
      <c r="A109" s="61" t="s">
        <v>269</v>
      </c>
      <c r="B109" s="45">
        <v>131.80438000000001</v>
      </c>
      <c r="C109" s="45">
        <v>425.69675999999998</v>
      </c>
      <c r="D109" s="20" t="s">
        <v>339</v>
      </c>
      <c r="E109" s="20">
        <f>IF(131.80438="","-",131.80438/8345207.34491*100)</f>
        <v>1.5794020993425834E-3</v>
      </c>
      <c r="F109" s="20">
        <f>IF(425.69676="","-",425.69676/7858737.58733*100)</f>
        <v>5.4168593272069052E-3</v>
      </c>
      <c r="G109" s="20">
        <f>IF(OR(6422564.27315="",126.63216="",131.80438=""),"-",(131.80438-126.63216)/6422564.27315*100)</f>
        <v>8.0532008400801126E-5</v>
      </c>
      <c r="H109" s="20">
        <f>IF(OR(8345207.34491="",425.69676="",131.80438=""),"-",(425.69676-131.80438)/8345207.34491*100)</f>
        <v>3.521690568650209E-3</v>
      </c>
    </row>
    <row r="110" spans="1:8" x14ac:dyDescent="0.25">
      <c r="A110" s="61" t="s">
        <v>105</v>
      </c>
      <c r="B110" s="45">
        <v>480.14605</v>
      </c>
      <c r="C110" s="45">
        <v>352.30714999999998</v>
      </c>
      <c r="D110" s="20">
        <f>IF(OR(480.14605="",352.30715=""),"-",352.30715/480.14605*100)</f>
        <v>73.374997045169891</v>
      </c>
      <c r="E110" s="20">
        <f>IF(480.14605="","-",480.14605/8345207.34491*100)</f>
        <v>5.7535544673177697E-3</v>
      </c>
      <c r="F110" s="20">
        <f>IF(352.30715="","-",352.30715/7858737.58733*100)</f>
        <v>4.4829992869083197E-3</v>
      </c>
      <c r="G110" s="20">
        <f>IF(OR(6422564.27315="",193.30595="",480.14605=""),"-",(480.14605-193.30595)/6422564.27315*100)</f>
        <v>4.4661304706463748E-3</v>
      </c>
      <c r="H110" s="20">
        <f>IF(OR(8345207.34491="",352.30715="",480.14605=""),"-",(352.30715-480.14605)/8345207.34491*100)</f>
        <v>-1.5318840469311157E-3</v>
      </c>
    </row>
    <row r="111" spans="1:8" x14ac:dyDescent="0.25">
      <c r="A111" s="61" t="s">
        <v>325</v>
      </c>
      <c r="B111" s="45">
        <v>21.268889999999999</v>
      </c>
      <c r="C111" s="45">
        <v>337.71474999999998</v>
      </c>
      <c r="D111" s="20" t="s">
        <v>382</v>
      </c>
      <c r="E111" s="20">
        <f>IF(21.26889="","-",21.26889/8345207.34491*100)</f>
        <v>2.5486352969974498E-4</v>
      </c>
      <c r="F111" s="20">
        <f>IF(337.71475="","-",337.71475/7858737.58733*100)</f>
        <v>4.2973155197912434E-3</v>
      </c>
      <c r="G111" s="20">
        <f>IF(OR(6422564.27315="",262.58596="",21.26889=""),"-",(21.26889-262.58596)/6422564.27315*100)</f>
        <v>-3.7573321143525755E-3</v>
      </c>
      <c r="H111" s="20">
        <f>IF(OR(8345207.34491="",337.71475="",21.26889=""),"-",(337.71475-21.26889)/8345207.34491*100)</f>
        <v>3.7919472449418536E-3</v>
      </c>
    </row>
    <row r="112" spans="1:8" x14ac:dyDescent="0.25">
      <c r="A112" s="60" t="s">
        <v>288</v>
      </c>
      <c r="B112" s="43">
        <v>1.3113999999999999</v>
      </c>
      <c r="C112" s="45">
        <v>281.57254</v>
      </c>
      <c r="D112" s="20" t="s">
        <v>383</v>
      </c>
      <c r="E112" s="20">
        <f>IF(1.3114="","-",1.3114/8345207.34491*100)</f>
        <v>1.5714408831313979E-5</v>
      </c>
      <c r="F112" s="20">
        <f>IF(281.57254="","-",281.57254/7858737.58733*100)</f>
        <v>3.5829232986982081E-3</v>
      </c>
      <c r="G112" s="20">
        <f>IF(OR(6422564.27315="",1.85523="",1.3114=""),"-",(1.3114-1.85523)/6422564.27315*100)</f>
        <v>-8.4674901934967189E-6</v>
      </c>
      <c r="H112" s="20">
        <f>IF(OR(8345207.34491="",281.57254="",1.3114=""),"-",(281.57254-1.3114)/8345207.34491*100)</f>
        <v>3.3583484318210491E-3</v>
      </c>
    </row>
    <row r="113" spans="1:8" x14ac:dyDescent="0.25">
      <c r="A113" s="60" t="s">
        <v>285</v>
      </c>
      <c r="B113" s="43">
        <v>188.86788999999999</v>
      </c>
      <c r="C113" s="45">
        <v>264.89112</v>
      </c>
      <c r="D113" s="20">
        <f>IF(OR(188.86789="",264.89112=""),"-",264.89112/188.86789*100)</f>
        <v>140.25206719892938</v>
      </c>
      <c r="E113" s="20">
        <f>IF(188.86789="","-",188.86789/8345207.34491*100)</f>
        <v>2.2631899028272358E-3</v>
      </c>
      <c r="F113" s="20">
        <f>IF(264.89112="","-",264.89112/7858737.58733*100)</f>
        <v>3.3706573995683775E-3</v>
      </c>
      <c r="G113" s="20">
        <f>IF(OR(6422564.27315="",166.99974="",188.86789=""),"-",(188.86789-166.99974)/6422564.27315*100)</f>
        <v>3.4048939130778947E-4</v>
      </c>
      <c r="H113" s="20">
        <f>IF(OR(8345207.34491="",264.89112="",188.86789=""),"-",(264.89112-188.86789)/8345207.34491*100)</f>
        <v>9.1098072052540348E-4</v>
      </c>
    </row>
    <row r="114" spans="1:8" x14ac:dyDescent="0.25">
      <c r="A114" s="61" t="s">
        <v>290</v>
      </c>
      <c r="B114" s="45">
        <v>178.57715999999999</v>
      </c>
      <c r="C114" s="45">
        <v>241.70113000000001</v>
      </c>
      <c r="D114" s="20">
        <f>IF(OR(178.57716="",241.70113=""),"-",241.70113/178.57716*100)</f>
        <v>135.34828866132713</v>
      </c>
      <c r="E114" s="20">
        <f>IF(178.57716="","-",178.57716/8345207.34491*100)</f>
        <v>2.1398768493022489E-3</v>
      </c>
      <c r="F114" s="20">
        <f>IF(241.70113="","-",241.70113/7858737.58733*100)</f>
        <v>3.0755719645057878E-3</v>
      </c>
      <c r="G114" s="20">
        <f>IF(OR(6422564.27315="",5.68564="",178.57716=""),"-",(178.57716-5.68564)/6422564.27315*100)</f>
        <v>2.6919391172585947E-3</v>
      </c>
      <c r="H114" s="20">
        <f>IF(OR(8345207.34491="",241.70113="",178.57716=""),"-",(241.70113-178.57716)/8345207.34491*100)</f>
        <v>7.5640984568827135E-4</v>
      </c>
    </row>
    <row r="115" spans="1:8" x14ac:dyDescent="0.25">
      <c r="A115" s="61" t="s">
        <v>291</v>
      </c>
      <c r="B115" s="45">
        <v>234.97783000000001</v>
      </c>
      <c r="C115" s="45">
        <v>226.51209</v>
      </c>
      <c r="D115" s="20">
        <f>IF(OR(234.97783="",226.51209=""),"-",226.51209/234.97783*100)</f>
        <v>96.3972175587799</v>
      </c>
      <c r="E115" s="20">
        <f>IF(234.97783="","-",234.97783/8345207.34491*100)</f>
        <v>2.8157218902813753E-3</v>
      </c>
      <c r="F115" s="20">
        <f>IF(226.51209="","-",226.51209/7858737.58733*100)</f>
        <v>2.8822961383159931E-3</v>
      </c>
      <c r="G115" s="20">
        <f>IF(OR(6422564.27315="",157.72429="",234.97783=""),"-",(234.97783-157.72429)/6422564.27315*100)</f>
        <v>1.202845728192462E-3</v>
      </c>
      <c r="H115" s="20">
        <f>IF(OR(8345207.34491="",226.51209="",234.97783=""),"-",(226.51209-234.97783)/8345207.34491*100)</f>
        <v>-1.01444333856648E-4</v>
      </c>
    </row>
    <row r="116" spans="1:8" x14ac:dyDescent="0.25">
      <c r="A116" s="60" t="s">
        <v>270</v>
      </c>
      <c r="B116" s="43">
        <v>0.12814999999999999</v>
      </c>
      <c r="C116" s="45">
        <v>175.47826000000001</v>
      </c>
      <c r="D116" s="20" t="s">
        <v>356</v>
      </c>
      <c r="E116" s="20">
        <f>IF(0.12815="","-",0.12815/8345207.34491*100)</f>
        <v>1.535611935132596E-6</v>
      </c>
      <c r="F116" s="20">
        <f>IF(175.47826="","-",175.47826/7858737.58733*100)</f>
        <v>2.2329064693915887E-3</v>
      </c>
      <c r="G116" s="20">
        <f>IF(OR(6422564.27315="",6.94972="",0.12815=""),"-",(0.12815-6.94972)/6422564.27315*100)</f>
        <v>-1.0621256105630696E-4</v>
      </c>
      <c r="H116" s="20">
        <f>IF(OR(8345207.34491="",175.47826="",0.12815=""),"-",(175.47826-0.12815)/8345207.34491*100)</f>
        <v>2.1012073487539102E-3</v>
      </c>
    </row>
    <row r="117" spans="1:8" x14ac:dyDescent="0.25">
      <c r="A117" s="60" t="s">
        <v>106</v>
      </c>
      <c r="B117" s="43">
        <v>123.73526</v>
      </c>
      <c r="C117" s="20">
        <v>171.42331999999999</v>
      </c>
      <c r="D117" s="20">
        <f>IF(OR(123.73526="",171.42332=""),"-",171.42332/123.73526*100)</f>
        <v>138.54039665007372</v>
      </c>
      <c r="E117" s="20">
        <f>IF(123.73526="","-",123.73526/8345207.34491*100)</f>
        <v>1.4827104334977363E-3</v>
      </c>
      <c r="F117" s="20">
        <f>IF(171.42332="","-",171.42332/7858737.58733*100)</f>
        <v>2.1813086147115003E-3</v>
      </c>
      <c r="G117" s="20">
        <f>IF(OR(6422564.27315="",305.90733="",123.73526=""),"-",(123.73526-305.90733)/6422564.27315*100)</f>
        <v>-2.8364382550686755E-3</v>
      </c>
      <c r="H117" s="20">
        <f>IF(OR(8345207.34491="",171.42332="",123.73526=""),"-",(171.42332-123.73526)/8345207.34491*100)</f>
        <v>5.7144248224205501E-4</v>
      </c>
    </row>
    <row r="118" spans="1:8" x14ac:dyDescent="0.25">
      <c r="A118" s="60" t="s">
        <v>54</v>
      </c>
      <c r="B118" s="43">
        <v>343.51209999999998</v>
      </c>
      <c r="C118" s="45">
        <v>162.37374</v>
      </c>
      <c r="D118" s="20">
        <f>IF(OR(343.5121="",162.37374=""),"-",162.37374/343.5121*100)</f>
        <v>47.268710476283083</v>
      </c>
      <c r="E118" s="20">
        <f>IF(343.5121="","-",343.5121/8345207.34491*100)</f>
        <v>4.1162799892505795E-3</v>
      </c>
      <c r="F118" s="20">
        <f>IF(162.37374="","-",162.37374/7858737.58733*100)</f>
        <v>2.0661555141093134E-3</v>
      </c>
      <c r="G118" s="20">
        <f>IF(OR(6422564.27315="",210.69828="",343.5121=""),"-",(343.5121-210.69828)/6422564.27315*100)</f>
        <v>2.0679251207378004E-3</v>
      </c>
      <c r="H118" s="20">
        <f>IF(OR(8345207.34491="",162.37374="",343.5121=""),"-",(162.37374-343.5121)/8345207.34491*100)</f>
        <v>-2.1705675187385469E-3</v>
      </c>
    </row>
    <row r="119" spans="1:8" x14ac:dyDescent="0.25">
      <c r="A119" s="60" t="s">
        <v>283</v>
      </c>
      <c r="B119" s="43">
        <v>3.4722599999999999</v>
      </c>
      <c r="C119" s="45">
        <v>138.76545999999999</v>
      </c>
      <c r="D119" s="20" t="s">
        <v>384</v>
      </c>
      <c r="E119" s="20">
        <f>IF(3.47226="","-",3.47226/8345207.34491*100)</f>
        <v>4.1607833772013328E-5</v>
      </c>
      <c r="F119" s="20">
        <f>IF(138.76546="","-",138.76546/7858737.58733*100)</f>
        <v>1.7657474684448073E-3</v>
      </c>
      <c r="G119" s="20">
        <f>IF(OR(6422564.27315="",31.56386="",3.47226=""),"-",(3.47226-31.56386)/6422564.27315*100)</f>
        <v>-4.3738916117101371E-4</v>
      </c>
      <c r="H119" s="20">
        <f>IF(OR(8345207.34491="",138.76546="",3.47226=""),"-",(138.76546-3.47226)/8345207.34491*100)</f>
        <v>1.6212083703650514E-3</v>
      </c>
    </row>
    <row r="120" spans="1:8" x14ac:dyDescent="0.25">
      <c r="A120" s="60" t="s">
        <v>292</v>
      </c>
      <c r="B120" s="43">
        <v>237.16224</v>
      </c>
      <c r="C120" s="45">
        <v>137.16709</v>
      </c>
      <c r="D120" s="20">
        <f>IF(OR(237.16224="",137.16709=""),"-",137.16709/237.16224*100)</f>
        <v>57.83681668717584</v>
      </c>
      <c r="E120" s="20">
        <f>IF(237.16224="","-",237.16224/8345207.34491*100)</f>
        <v>2.8418975131235362E-3</v>
      </c>
      <c r="F120" s="20">
        <f>IF(137.16709="","-",137.16709/7858737.58733*100)</f>
        <v>1.7454087056061431E-3</v>
      </c>
      <c r="G120" s="20">
        <f>IF(OR(6422564.27315="",78.48579="",237.16224=""),"-",(237.16224-78.48579)/6422564.27315*100)</f>
        <v>2.4706089850024312E-3</v>
      </c>
      <c r="H120" s="20">
        <f>IF(OR(8345207.34491="",137.16709="",237.16224=""),"-",(137.16709-237.16224)/8345207.34491*100)</f>
        <v>-1.1982344580208678E-3</v>
      </c>
    </row>
    <row r="121" spans="1:8" x14ac:dyDescent="0.25">
      <c r="A121" s="60" t="s">
        <v>300</v>
      </c>
      <c r="B121" s="43">
        <v>88.315929999999994</v>
      </c>
      <c r="C121" s="20">
        <v>127.84523</v>
      </c>
      <c r="D121" s="20">
        <f>IF(OR(88.31593="",127.84523=""),"-",127.84523/88.31593*100)</f>
        <v>144.75896930485814</v>
      </c>
      <c r="E121" s="20">
        <f>IF(88.31593="","-",88.31593/8345207.34491*100)</f>
        <v>1.0582832319183371E-3</v>
      </c>
      <c r="F121" s="20">
        <f>IF(127.84523="","-",127.84523/7858737.58733*100)</f>
        <v>1.6267909263965555E-3</v>
      </c>
      <c r="G121" s="20">
        <f>IF(OR(6422564.27315="",114.88844="",88.31593=""),"-",(88.31593-114.88844)/6422564.27315*100)</f>
        <v>-4.1373677039073525E-4</v>
      </c>
      <c r="H121" s="20">
        <f>IF(OR(8345207.34491="",127.84523="",88.31593=""),"-",(127.84523-88.31593)/8345207.34491*100)</f>
        <v>4.7367666693278924E-4</v>
      </c>
    </row>
    <row r="122" spans="1:8" s="18" customFormat="1" ht="12" x14ac:dyDescent="0.2">
      <c r="A122" s="61" t="s">
        <v>301</v>
      </c>
      <c r="B122" s="45">
        <v>121.7514</v>
      </c>
      <c r="C122" s="45">
        <v>126.48943</v>
      </c>
      <c r="D122" s="20">
        <f>IF(OR(121.7514="",126.48943=""),"-",126.48943/121.7514*100)</f>
        <v>103.89156100053059</v>
      </c>
      <c r="E122" s="20">
        <f>IF(121.7514="","-",121.7514/8345207.34491*100)</f>
        <v>1.4589379864151601E-3</v>
      </c>
      <c r="F122" s="20">
        <f>IF(126.48943="","-",126.48943/7858737.58733*100)</f>
        <v>1.6095387916238426E-3</v>
      </c>
      <c r="G122" s="20">
        <f>IF(OR(6422564.27315="",32.1768="",121.7514=""),"-",(121.7514-32.1768)/6422564.27315*100)</f>
        <v>1.3946859259077122E-3</v>
      </c>
      <c r="H122" s="20">
        <f>IF(OR(8345207.34491="",126.48943="",121.7514=""),"-",(126.48943-121.7514)/8345207.34491*100)</f>
        <v>5.6775461701258576E-5</v>
      </c>
    </row>
    <row r="123" spans="1:8" s="18" customFormat="1" ht="14.25" customHeight="1" x14ac:dyDescent="0.2">
      <c r="A123" s="60" t="s">
        <v>258</v>
      </c>
      <c r="B123" s="43">
        <v>202.09598</v>
      </c>
      <c r="C123" s="45">
        <v>119.92847999999999</v>
      </c>
      <c r="D123" s="20">
        <f>IF(OR(202.09598="",119.92848=""),"-",119.92848/202.09598*100)</f>
        <v>59.342338229587746</v>
      </c>
      <c r="E123" s="20">
        <f>IF(202.09598="","-",202.09598/8345207.34491*100)</f>
        <v>2.4217011231394336E-3</v>
      </c>
      <c r="F123" s="20">
        <f>IF(119.92848="","-",119.92848/7858737.58733*100)</f>
        <v>1.5260527364261516E-3</v>
      </c>
      <c r="G123" s="20">
        <f>IF(OR(6422564.27315="",78.19658="",202.09598=""),"-",(202.09598-78.19658)/6422564.27315*100)</f>
        <v>1.9291266654655448E-3</v>
      </c>
      <c r="H123" s="20">
        <f>IF(OR(8345207.34491="",119.92848="",202.09598=""),"-",(119.92848-202.09598)/8345207.34491*100)</f>
        <v>-9.8460705173630597E-4</v>
      </c>
    </row>
    <row r="124" spans="1:8" s="18" customFormat="1" ht="15" customHeight="1" x14ac:dyDescent="0.2">
      <c r="A124" s="60" t="s">
        <v>293</v>
      </c>
      <c r="B124" s="43">
        <v>112.27212</v>
      </c>
      <c r="C124" s="45">
        <v>99.877549999999999</v>
      </c>
      <c r="D124" s="20">
        <f>IF(OR(112.27212="",99.87755=""),"-",99.87755/112.27212*100)</f>
        <v>88.96024231127015</v>
      </c>
      <c r="E124" s="20">
        <f>IF(112.27212="","-",112.27212/8345207.34491*100)</f>
        <v>1.345348477991721E-3</v>
      </c>
      <c r="F124" s="20">
        <f>IF(99.87755="","-",99.87755/7858737.58733*100)</f>
        <v>1.2709108669186819E-3</v>
      </c>
      <c r="G124" s="20">
        <f>IF(OR(6422564.27315="",67.78432="",112.27212=""),"-",(112.27212-67.78432)/6422564.27315*100)</f>
        <v>6.9267971651112178E-4</v>
      </c>
      <c r="H124" s="20">
        <f>IF(OR(8345207.34491="",99.87755="",112.27212=""),"-",(99.87755-112.27212)/8345207.34491*100)</f>
        <v>-1.4852321203930101E-4</v>
      </c>
    </row>
    <row r="125" spans="1:8" x14ac:dyDescent="0.25">
      <c r="A125" s="60" t="s">
        <v>319</v>
      </c>
      <c r="B125" s="43">
        <v>67.007000000000005</v>
      </c>
      <c r="C125" s="20">
        <v>88.186989999999994</v>
      </c>
      <c r="D125" s="20">
        <f>IF(OR(67.007="",88.18699=""),"-",88.18699/67.007*100)</f>
        <v>131.60862297968868</v>
      </c>
      <c r="E125" s="20">
        <f>IF(67.007="","-",67.007/8345207.34491*100)</f>
        <v>8.0293990587147778E-4</v>
      </c>
      <c r="F125" s="20">
        <f>IF(88.18699="","-",88.18699/7858737.58733*100)</f>
        <v>1.1221521143825527E-3</v>
      </c>
      <c r="G125" s="20">
        <f>IF(OR(6422564.27315="",60.90681="",67.007=""),"-",(67.007-60.90681)/6422564.27315*100)</f>
        <v>9.498059872288544E-5</v>
      </c>
      <c r="H125" s="20">
        <f>IF(OR(8345207.34491="",88.18699="",67.007=""),"-",(88.18699-67.007)/8345207.34491*100)</f>
        <v>2.5379824760038248E-4</v>
      </c>
    </row>
    <row r="126" spans="1:8" x14ac:dyDescent="0.25">
      <c r="A126" s="61" t="s">
        <v>284</v>
      </c>
      <c r="B126" s="45">
        <v>24.213539999999998</v>
      </c>
      <c r="C126" s="45">
        <v>83.224760000000003</v>
      </c>
      <c r="D126" s="20" t="s">
        <v>343</v>
      </c>
      <c r="E126" s="20">
        <f>IF(24.21354="","-",24.21354/8345207.34491*100)</f>
        <v>2.9014905201568881E-4</v>
      </c>
      <c r="F126" s="20">
        <f>IF(83.22476="","-",83.22476/7858737.58733*100)</f>
        <v>1.0590092756650443E-3</v>
      </c>
      <c r="G126" s="20">
        <f>IF(OR(6422564.27315="",114.07287="",24.21354=""),"-",(24.21354-114.07287)/6422564.27315*100)</f>
        <v>-1.3991192018998316E-3</v>
      </c>
      <c r="H126" s="20">
        <f>IF(OR(8345207.34491="",83.22476="",24.21354=""),"-",(83.22476-24.21354)/8345207.34491*100)</f>
        <v>7.0712706780129051E-4</v>
      </c>
    </row>
    <row r="127" spans="1:8" x14ac:dyDescent="0.25">
      <c r="A127" s="60" t="s">
        <v>289</v>
      </c>
      <c r="B127" s="43">
        <v>55.815750000000001</v>
      </c>
      <c r="C127" s="20">
        <v>82.438310000000001</v>
      </c>
      <c r="D127" s="20">
        <f>IF(OR(55.81575="",82.43831=""),"-",82.43831/55.81575*100)</f>
        <v>147.6972180791264</v>
      </c>
      <c r="E127" s="20">
        <f>IF(55.81575="","-",55.81575/8345207.34491*100)</f>
        <v>6.6883598804820294E-4</v>
      </c>
      <c r="F127" s="20">
        <f>IF(82.43831="","-",82.43831/7858737.58733*100)</f>
        <v>1.0490019431735264E-3</v>
      </c>
      <c r="G127" s="20">
        <f>IF(OR(6422564.27315="",179.24366="",55.81575=""),"-",(55.81575-179.24366)/6422564.27315*100)</f>
        <v>-1.9217855166665972E-3</v>
      </c>
      <c r="H127" s="20">
        <f>IF(OR(8345207.34491="",82.43831="",55.81575=""),"-",(82.43831-55.81575)/8345207.34491*100)</f>
        <v>3.190161598110312E-4</v>
      </c>
    </row>
    <row r="128" spans="1:8" x14ac:dyDescent="0.25">
      <c r="A128" s="60" t="s">
        <v>355</v>
      </c>
      <c r="B128" s="43">
        <v>1.1934499999999999</v>
      </c>
      <c r="C128" s="20">
        <v>81.615830000000003</v>
      </c>
      <c r="D128" s="20" t="s">
        <v>357</v>
      </c>
      <c r="E128" s="20">
        <f>IF(1.19345="","-",1.19345/8345207.34491*100)</f>
        <v>1.4301022738852882E-5</v>
      </c>
      <c r="F128" s="20">
        <f>IF(81.61583="","-",81.61583/7858737.58733*100)</f>
        <v>1.0385361400994293E-3</v>
      </c>
      <c r="G128" s="20">
        <f>IF(OR(6422564.27315="",16.748="",1.19345=""),"-",(1.19345-16.748)/6422564.27315*100)</f>
        <v>-2.4218597648025005E-4</v>
      </c>
      <c r="H128" s="20">
        <f>IF(OR(8345207.34491="",81.61583="",1.19345=""),"-",(81.61583-1.19345)/8345207.34491*100)</f>
        <v>9.6369540834778775E-4</v>
      </c>
    </row>
    <row r="129" spans="1:8" x14ac:dyDescent="0.25">
      <c r="A129" s="61" t="s">
        <v>321</v>
      </c>
      <c r="B129" s="45">
        <v>106.178</v>
      </c>
      <c r="C129" s="45">
        <v>74.458690000000004</v>
      </c>
      <c r="D129" s="20">
        <f>IF(OR(106.178="",74.45869=""),"-",74.45869/106.178*100)</f>
        <v>70.126287931586589</v>
      </c>
      <c r="E129" s="20">
        <f>IF(106.178="","-",106.178/8345207.34491*100)</f>
        <v>1.2723230905072867E-3</v>
      </c>
      <c r="F129" s="20">
        <f>IF(74.45869="","-",74.45869/7858737.58733*100)</f>
        <v>9.4746375193954378E-4</v>
      </c>
      <c r="G129" s="20">
        <f>IF(OR(6422564.27315="",75.00848="",106.178=""),"-",(106.178-75.00848)/6422564.27315*100)</f>
        <v>4.8531269870363852E-4</v>
      </c>
      <c r="H129" s="20">
        <f>IF(OR(8345207.34491="",74.45869="",106.178=""),"-",(74.45869-106.178)/8345207.34491*100)</f>
        <v>-3.800901366380858E-4</v>
      </c>
    </row>
    <row r="130" spans="1:8" s="18" customFormat="1" ht="14.25" customHeight="1" x14ac:dyDescent="0.2">
      <c r="A130" s="60" t="s">
        <v>294</v>
      </c>
      <c r="B130" s="43">
        <v>51.367229999999999</v>
      </c>
      <c r="C130" s="45">
        <v>67.064710000000005</v>
      </c>
      <c r="D130" s="20">
        <f>IF(OR(51.36723="",67.06471=""),"-",67.06471/51.36723*100)</f>
        <v>130.5593274155527</v>
      </c>
      <c r="E130" s="20">
        <f>IF(51.36723="","-",51.36723/8345207.34491*100)</f>
        <v>6.1552970318143687E-4</v>
      </c>
      <c r="F130" s="20">
        <f>IF(67.06471="","-",67.06471/7858737.58733*100)</f>
        <v>8.5337764818770576E-4</v>
      </c>
      <c r="G130" s="20">
        <f>IF(OR(6422564.27315="",107.32388="",51.36723=""),"-",(51.36723-107.32388)/6422564.27315*100)</f>
        <v>-8.7125091505788239E-4</v>
      </c>
      <c r="H130" s="20">
        <f>IF(OR(8345207.34491="",67.06471="",51.36723=""),"-",(67.06471-51.36723)/8345207.34491*100)</f>
        <v>1.8810173733519494E-4</v>
      </c>
    </row>
    <row r="131" spans="1:8" s="18" customFormat="1" ht="14.25" customHeight="1" x14ac:dyDescent="0.2">
      <c r="A131" s="60" t="s">
        <v>320</v>
      </c>
      <c r="B131" s="43">
        <v>35.037140000000001</v>
      </c>
      <c r="C131" s="20">
        <v>65.018910000000005</v>
      </c>
      <c r="D131" s="20" t="s">
        <v>328</v>
      </c>
      <c r="E131" s="20">
        <f>IF(35.03714="","-",35.03714/8345207.34491*100)</f>
        <v>4.1984744718620126E-4</v>
      </c>
      <c r="F131" s="20">
        <f>IF(65.01891="","-",65.01891/7858737.58733*100)</f>
        <v>8.2734547727900576E-4</v>
      </c>
      <c r="G131" s="20">
        <f>IF(OR(6422564.27315="",9.94625="",35.03714=""),"-",(35.03714-9.94625)/6422564.27315*100)</f>
        <v>3.9066779144421033E-4</v>
      </c>
      <c r="H131" s="20">
        <f>IF(OR(8345207.34491="",65.01891="",35.03714=""),"-",(65.01891-35.03714)/8345207.34491*100)</f>
        <v>3.5926932382676879E-4</v>
      </c>
    </row>
    <row r="132" spans="1:8" s="18" customFormat="1" ht="15" customHeight="1" x14ac:dyDescent="0.2">
      <c r="A132" s="61" t="s">
        <v>375</v>
      </c>
      <c r="B132" s="45">
        <v>32.192279999999997</v>
      </c>
      <c r="C132" s="45">
        <v>58.999499999999998</v>
      </c>
      <c r="D132" s="20" t="s">
        <v>331</v>
      </c>
      <c r="E132" s="20">
        <f>IF(32.19228="","-",32.19228/8345207.34491*100)</f>
        <v>3.8575770103106021E-4</v>
      </c>
      <c r="F132" s="20">
        <f>IF(58.9995="","-",58.9995/7858737.58733*100)</f>
        <v>7.5075035073215914E-4</v>
      </c>
      <c r="G132" s="20">
        <f>IF(OR(6422564.27315="",8.65243="",32.19228=""),"-",(32.19228-8.65243)/6422564.27315*100)</f>
        <v>3.665179358096899E-4</v>
      </c>
      <c r="H132" s="20">
        <f>IF(OR(8345207.34491="",58.9995="",32.19228=""),"-",(58.9995-32.19228)/8345207.34491*100)</f>
        <v>3.2122892688041542E-4</v>
      </c>
    </row>
    <row r="133" spans="1:8" x14ac:dyDescent="0.25">
      <c r="A133" s="68" t="s">
        <v>376</v>
      </c>
      <c r="B133" s="69">
        <v>131.99641</v>
      </c>
      <c r="C133" s="65">
        <v>50.888500000000001</v>
      </c>
      <c r="D133" s="46">
        <f>IF(OR(131.99641="",50.8885=""),"-",50.8885/131.99641*100)</f>
        <v>38.552942462601827</v>
      </c>
      <c r="E133" s="46">
        <f>IF(131.99641="","-",131.99641/8345207.34491*100)</f>
        <v>1.5817031805747605E-3</v>
      </c>
      <c r="F133" s="46">
        <f>IF(50.8885="","-",50.8885/7858737.58733*100)</f>
        <v>6.4754038971912443E-4</v>
      </c>
      <c r="G133" s="46">
        <f>IF(OR(6422564.27315="",17.07836="",131.99641=""),"-",(131.99641-17.07836)/6422564.27315*100)</f>
        <v>1.7892861030667038E-3</v>
      </c>
      <c r="H133" s="46">
        <f>IF(OR(8345207.34491="",50.8885="",131.99641=""),"-",(50.8885-131.99641)/8345207.34491*100)</f>
        <v>-9.7191006343863009E-4</v>
      </c>
    </row>
    <row r="134" spans="1:8" s="18" customFormat="1" ht="14.25" customHeight="1" x14ac:dyDescent="0.2">
      <c r="A134" s="9" t="s">
        <v>253</v>
      </c>
      <c r="B134" s="9"/>
      <c r="C134" s="9"/>
      <c r="D134" s="11"/>
      <c r="E134" s="10"/>
      <c r="F134" s="10"/>
      <c r="G134" s="17"/>
      <c r="H134" s="17"/>
    </row>
    <row r="135" spans="1:8" s="18" customFormat="1" ht="15" customHeight="1" x14ac:dyDescent="0.2">
      <c r="A135" s="42" t="s">
        <v>298</v>
      </c>
      <c r="B135" s="42"/>
      <c r="C135" s="42"/>
      <c r="D135" s="42"/>
      <c r="E135" s="42"/>
      <c r="F135" s="42"/>
      <c r="G135" s="17"/>
      <c r="H135" s="17"/>
    </row>
  </sheetData>
  <mergeCells count="7">
    <mergeCell ref="A1:H1"/>
    <mergeCell ref="A2:H2"/>
    <mergeCell ref="G3:H3"/>
    <mergeCell ref="B3:C3"/>
    <mergeCell ref="A3:A4"/>
    <mergeCell ref="D3:D4"/>
    <mergeCell ref="E3:F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55"/>
  <sheetViews>
    <sheetView workbookViewId="0">
      <selection sqref="A1:D1"/>
    </sheetView>
  </sheetViews>
  <sheetFormatPr defaultRowHeight="15.75" x14ac:dyDescent="0.25"/>
  <cols>
    <col min="1" max="1" width="41.625" style="22" customWidth="1"/>
    <col min="2" max="2" width="15.25" style="22" customWidth="1"/>
    <col min="3" max="3" width="15.125" style="22" customWidth="1"/>
    <col min="4" max="4" width="15.875" style="22" customWidth="1"/>
  </cols>
  <sheetData>
    <row r="1" spans="1:4" x14ac:dyDescent="0.25">
      <c r="A1" s="85" t="s">
        <v>303</v>
      </c>
      <c r="B1" s="85"/>
      <c r="C1" s="85"/>
      <c r="D1" s="85"/>
    </row>
    <row r="2" spans="1:4" x14ac:dyDescent="0.25">
      <c r="A2" s="86"/>
      <c r="B2" s="86"/>
      <c r="C2" s="86"/>
      <c r="D2" s="86"/>
    </row>
    <row r="3" spans="1:4" ht="38.25" customHeight="1" x14ac:dyDescent="0.25">
      <c r="A3" s="89"/>
      <c r="B3" s="77" t="s">
        <v>349</v>
      </c>
      <c r="C3" s="84"/>
      <c r="D3" s="87" t="s">
        <v>409</v>
      </c>
    </row>
    <row r="4" spans="1:4" ht="36" customHeight="1" x14ac:dyDescent="0.25">
      <c r="A4" s="90"/>
      <c r="B4" s="13" t="s">
        <v>361</v>
      </c>
      <c r="C4" s="13" t="s">
        <v>362</v>
      </c>
      <c r="D4" s="88"/>
    </row>
    <row r="5" spans="1:4" s="16" customFormat="1" ht="12.75" x14ac:dyDescent="0.2">
      <c r="A5" s="70" t="s">
        <v>350</v>
      </c>
      <c r="B5" s="53">
        <v>-4360040.8175100004</v>
      </c>
      <c r="C5" s="53">
        <v>-4121426.9434000002</v>
      </c>
      <c r="D5" s="53">
        <f>IF(-4360040.81751="","-",-4121426.9434/-4360040.81751*100)</f>
        <v>94.527255957060703</v>
      </c>
    </row>
    <row r="6" spans="1:4" x14ac:dyDescent="0.25">
      <c r="A6" s="67" t="s">
        <v>326</v>
      </c>
      <c r="B6" s="47"/>
      <c r="C6" s="47"/>
      <c r="D6" s="47"/>
    </row>
    <row r="7" spans="1:4" x14ac:dyDescent="0.25">
      <c r="A7" s="59" t="s">
        <v>267</v>
      </c>
      <c r="B7" s="19">
        <v>-1536315.0194600001</v>
      </c>
      <c r="C7" s="19">
        <v>-1377278.6821300001</v>
      </c>
      <c r="D7" s="19">
        <f>IF(-1536315.01946="","-",-1377278.68213/-1536315.01946*100)</f>
        <v>89.648194848352148</v>
      </c>
    </row>
    <row r="8" spans="1:4" x14ac:dyDescent="0.25">
      <c r="A8" s="60" t="s">
        <v>2</v>
      </c>
      <c r="B8" s="20">
        <v>-309914.37151000003</v>
      </c>
      <c r="C8" s="20">
        <v>-357389.30223999999</v>
      </c>
      <c r="D8" s="20">
        <f>IF(OR(-309914.37151="",-357389.30224="",-309914.37151=0),"-",-357389.30224/-309914.37151*100)</f>
        <v>115.31872513645858</v>
      </c>
    </row>
    <row r="9" spans="1:4" x14ac:dyDescent="0.25">
      <c r="A9" s="60" t="s">
        <v>1</v>
      </c>
      <c r="B9" s="20">
        <v>-87777.336150000003</v>
      </c>
      <c r="C9" s="20">
        <v>-194096.45918000001</v>
      </c>
      <c r="D9" s="20" t="s">
        <v>337</v>
      </c>
    </row>
    <row r="10" spans="1:4" x14ac:dyDescent="0.25">
      <c r="A10" s="60" t="s">
        <v>3</v>
      </c>
      <c r="B10" s="20">
        <v>-163867.65025000001</v>
      </c>
      <c r="C10" s="20">
        <v>-167394.19667</v>
      </c>
      <c r="D10" s="20">
        <f>IF(OR(-163867.65025="",-167394.19667="",-163867.65025=0),"-",-167394.19667/-163867.65025*100)</f>
        <v>102.15206992632153</v>
      </c>
    </row>
    <row r="11" spans="1:4" x14ac:dyDescent="0.25">
      <c r="A11" s="60" t="s">
        <v>259</v>
      </c>
      <c r="B11" s="20">
        <v>-129523.60523</v>
      </c>
      <c r="C11" s="20">
        <v>-152091.58254</v>
      </c>
      <c r="D11" s="20">
        <f>IF(OR(-129523.60523="",-152091.58254="",-129523.60523=0),"-",-152091.58254/-129523.60523*100)</f>
        <v>117.42383349345873</v>
      </c>
    </row>
    <row r="12" spans="1:4" x14ac:dyDescent="0.25">
      <c r="A12" s="60" t="s">
        <v>36</v>
      </c>
      <c r="B12" s="20">
        <v>-114944.17539</v>
      </c>
      <c r="C12" s="20">
        <v>-123238.28151</v>
      </c>
      <c r="D12" s="20">
        <f>IF(OR(-114944.17539="",-123238.28151="",-114944.17539=0),"-",-123238.28151/-114944.17539*100)</f>
        <v>107.21576895206609</v>
      </c>
    </row>
    <row r="13" spans="1:4" x14ac:dyDescent="0.25">
      <c r="A13" s="60" t="s">
        <v>6</v>
      </c>
      <c r="B13" s="20">
        <v>-31622.964070000002</v>
      </c>
      <c r="C13" s="20">
        <v>-96313.458989999999</v>
      </c>
      <c r="D13" s="20" t="s">
        <v>377</v>
      </c>
    </row>
    <row r="14" spans="1:4" x14ac:dyDescent="0.25">
      <c r="A14" s="60" t="s">
        <v>38</v>
      </c>
      <c r="B14" s="20">
        <v>-40738.934520000003</v>
      </c>
      <c r="C14" s="20">
        <v>-64583.806799999998</v>
      </c>
      <c r="D14" s="20">
        <f>IF(OR(-40738.93452="",-64583.8068="",-40738.93452=0),"-",-64583.8068/-40738.93452*100)</f>
        <v>158.53091780859859</v>
      </c>
    </row>
    <row r="15" spans="1:4" x14ac:dyDescent="0.25">
      <c r="A15" s="60" t="s">
        <v>5</v>
      </c>
      <c r="B15" s="20">
        <v>-55573.576979999998</v>
      </c>
      <c r="C15" s="20">
        <v>-58236.088609999999</v>
      </c>
      <c r="D15" s="20">
        <f>IF(OR(-55573.57698="",-58236.08861="",-55573.57698=0),"-",-58236.08861/-55573.57698*100)</f>
        <v>104.79096681316409</v>
      </c>
    </row>
    <row r="16" spans="1:4" x14ac:dyDescent="0.25">
      <c r="A16" s="60" t="s">
        <v>4</v>
      </c>
      <c r="B16" s="20">
        <v>6719.0460499999999</v>
      </c>
      <c r="C16" s="20">
        <v>-57605.841690000001</v>
      </c>
      <c r="D16" s="20" t="s">
        <v>345</v>
      </c>
    </row>
    <row r="17" spans="1:4" x14ac:dyDescent="0.25">
      <c r="A17" s="60" t="s">
        <v>34</v>
      </c>
      <c r="B17" s="20">
        <v>-61992.423820000004</v>
      </c>
      <c r="C17" s="20">
        <v>-53945.44801</v>
      </c>
      <c r="D17" s="20">
        <f>IF(OR(-61992.42382="",-53945.44801="",-61992.42382=0),"-",-53945.44801/-61992.42382*100)</f>
        <v>87.019420577319181</v>
      </c>
    </row>
    <row r="18" spans="1:4" x14ac:dyDescent="0.25">
      <c r="A18" s="60" t="s">
        <v>44</v>
      </c>
      <c r="B18" s="20">
        <v>-30246.183809999999</v>
      </c>
      <c r="C18" s="20">
        <v>-42088.275889999997</v>
      </c>
      <c r="D18" s="20">
        <f>IF(OR(-30246.18381="",-42088.27589="",-30246.18381=0),"-",-42088.27589/-30246.18381*100)</f>
        <v>139.15235110118178</v>
      </c>
    </row>
    <row r="19" spans="1:4" x14ac:dyDescent="0.25">
      <c r="A19" s="60" t="s">
        <v>35</v>
      </c>
      <c r="B19" s="20">
        <v>-32197.173999999999</v>
      </c>
      <c r="C19" s="20">
        <v>-35310.733050000003</v>
      </c>
      <c r="D19" s="20">
        <f>IF(OR(-32197.174="",-35310.73305="",-32197.174=0),"-",-35310.73305/-32197.174*100)</f>
        <v>109.67028674628401</v>
      </c>
    </row>
    <row r="20" spans="1:4" x14ac:dyDescent="0.25">
      <c r="A20" s="60" t="s">
        <v>266</v>
      </c>
      <c r="B20" s="20">
        <v>-18440.562290000002</v>
      </c>
      <c r="C20" s="20">
        <v>-31912.962960000001</v>
      </c>
      <c r="D20" s="20" t="s">
        <v>327</v>
      </c>
    </row>
    <row r="21" spans="1:4" x14ac:dyDescent="0.25">
      <c r="A21" s="60" t="s">
        <v>46</v>
      </c>
      <c r="B21" s="20">
        <v>-26153.936300000001</v>
      </c>
      <c r="C21" s="20">
        <v>-26977.470010000001</v>
      </c>
      <c r="D21" s="20">
        <f>IF(OR(-26153.9363="",-26977.47001="",-26153.9363=0),"-",-26977.47001/-26153.9363*100)</f>
        <v>103.14879450861092</v>
      </c>
    </row>
    <row r="22" spans="1:4" x14ac:dyDescent="0.25">
      <c r="A22" s="60" t="s">
        <v>45</v>
      </c>
      <c r="B22" s="20">
        <v>-1932.9202</v>
      </c>
      <c r="C22" s="20">
        <v>-19567.32375</v>
      </c>
      <c r="D22" s="20" t="s">
        <v>385</v>
      </c>
    </row>
    <row r="23" spans="1:4" x14ac:dyDescent="0.25">
      <c r="A23" s="60" t="s">
        <v>43</v>
      </c>
      <c r="B23" s="20">
        <v>-18448.767029999999</v>
      </c>
      <c r="C23" s="20">
        <v>-16628.381730000001</v>
      </c>
      <c r="D23" s="20">
        <f>IF(OR(-18448.76703="",-16628.38173="",-18448.76703=0),"-",-16628.38173/-18448.76703*100)</f>
        <v>90.132753603317639</v>
      </c>
    </row>
    <row r="24" spans="1:4" x14ac:dyDescent="0.25">
      <c r="A24" s="60" t="s">
        <v>42</v>
      </c>
      <c r="B24" s="20">
        <v>-17041.82476</v>
      </c>
      <c r="C24" s="20">
        <v>-15136.1088</v>
      </c>
      <c r="D24" s="20">
        <f>IF(OR(-17041.82476="",-15136.1088="",-17041.82476=0),"-",-15136.1088/-17041.82476*100)</f>
        <v>88.817418399507119</v>
      </c>
    </row>
    <row r="25" spans="1:4" x14ac:dyDescent="0.25">
      <c r="A25" s="60" t="s">
        <v>39</v>
      </c>
      <c r="B25" s="20">
        <v>-10947.50194</v>
      </c>
      <c r="C25" s="20">
        <v>-7814.6777899999997</v>
      </c>
      <c r="D25" s="20">
        <f>IF(OR(-10947.50194="",-7814.67779="",-10947.50194=0),"-",-7814.67779/-10947.50194*100)</f>
        <v>71.383205345200423</v>
      </c>
    </row>
    <row r="26" spans="1:4" x14ac:dyDescent="0.25">
      <c r="A26" s="60" t="s">
        <v>47</v>
      </c>
      <c r="B26" s="20">
        <v>-7318.2715200000002</v>
      </c>
      <c r="C26" s="20">
        <v>-6810.8411100000003</v>
      </c>
      <c r="D26" s="20">
        <f>IF(OR(-7318.27152="",-6810.84111="",-7318.27152=0),"-",-6810.84111/-7318.27152*100)</f>
        <v>93.066253300205517</v>
      </c>
    </row>
    <row r="27" spans="1:4" x14ac:dyDescent="0.25">
      <c r="A27" s="60" t="s">
        <v>40</v>
      </c>
      <c r="B27" s="20">
        <v>-1799.77125</v>
      </c>
      <c r="C27" s="20">
        <v>-2661.37129</v>
      </c>
      <c r="D27" s="20">
        <f>IF(OR(-1799.77125="",-2661.37129="",-1799.77125=0),"-",-2661.37129/-1799.77125*100)</f>
        <v>147.87275271788013</v>
      </c>
    </row>
    <row r="28" spans="1:4" x14ac:dyDescent="0.25">
      <c r="A28" s="60" t="s">
        <v>262</v>
      </c>
      <c r="B28" s="20">
        <v>-30496.549640000001</v>
      </c>
      <c r="C28" s="20">
        <v>-2049.4475600000001</v>
      </c>
      <c r="D28" s="20">
        <f>IF(OR(-30496.54964="",-2049.44756="",-30496.54964=0),"-",-2049.44756/-30496.54964*100)</f>
        <v>6.7202604366491867</v>
      </c>
    </row>
    <row r="29" spans="1:4" x14ac:dyDescent="0.25">
      <c r="A29" s="60" t="s">
        <v>48</v>
      </c>
      <c r="B29" s="20">
        <v>-2715.7870899999998</v>
      </c>
      <c r="C29" s="20">
        <v>-1976.5002099999999</v>
      </c>
      <c r="D29" s="20">
        <f>IF(OR(-2715.78709="",-1976.50021="",-2715.78709=0),"-",-1976.50021/-2715.78709*100)</f>
        <v>72.778172386112942</v>
      </c>
    </row>
    <row r="30" spans="1:4" ht="24" x14ac:dyDescent="0.25">
      <c r="A30" s="60" t="s">
        <v>410</v>
      </c>
      <c r="B30" s="20">
        <v>-138.40477000000001</v>
      </c>
      <c r="C30" s="20">
        <v>-40.640819999999998</v>
      </c>
      <c r="D30" s="20">
        <f>IF(OR(-138.40477="",-40.64082="",-138.40477=0),"-",-40.64082/-138.40477*100)</f>
        <v>29.363742304546292</v>
      </c>
    </row>
    <row r="31" spans="1:4" ht="16.5" customHeight="1" x14ac:dyDescent="0.25">
      <c r="A31" s="60" t="s">
        <v>49</v>
      </c>
      <c r="B31" s="20">
        <v>-34.969430000000003</v>
      </c>
      <c r="C31" s="20">
        <v>166.07741999999999</v>
      </c>
      <c r="D31" s="20" t="s">
        <v>345</v>
      </c>
    </row>
    <row r="32" spans="1:4" x14ac:dyDescent="0.25">
      <c r="A32" s="60" t="s">
        <v>37</v>
      </c>
      <c r="B32" s="20">
        <v>-1694.4000699999999</v>
      </c>
      <c r="C32" s="20">
        <v>2937.2425499999999</v>
      </c>
      <c r="D32" s="20" t="s">
        <v>345</v>
      </c>
    </row>
    <row r="33" spans="1:4" x14ac:dyDescent="0.25">
      <c r="A33" s="60" t="s">
        <v>260</v>
      </c>
      <c r="B33" s="20">
        <v>-5881.1364800000001</v>
      </c>
      <c r="C33" s="20">
        <v>3664.9383800000001</v>
      </c>
      <c r="D33" s="20" t="s">
        <v>345</v>
      </c>
    </row>
    <row r="34" spans="1:4" ht="15" customHeight="1" x14ac:dyDescent="0.25">
      <c r="A34" s="60" t="s">
        <v>41</v>
      </c>
      <c r="B34" s="20">
        <v>13815.57856</v>
      </c>
      <c r="C34" s="20">
        <v>26370.40223</v>
      </c>
      <c r="D34" s="20" t="s">
        <v>328</v>
      </c>
    </row>
    <row r="35" spans="1:4" ht="14.25" customHeight="1" x14ac:dyDescent="0.25">
      <c r="A35" s="60" t="s">
        <v>0</v>
      </c>
      <c r="B35" s="20">
        <v>-355406.44556999998</v>
      </c>
      <c r="C35" s="20">
        <v>123451.8585</v>
      </c>
      <c r="D35" s="20" t="s">
        <v>345</v>
      </c>
    </row>
    <row r="36" spans="1:4" x14ac:dyDescent="0.25">
      <c r="A36" s="59" t="s">
        <v>173</v>
      </c>
      <c r="B36" s="19">
        <v>-1129001.6865399999</v>
      </c>
      <c r="C36" s="19">
        <v>-577058.80637999997</v>
      </c>
      <c r="D36" s="19">
        <f>IF(-1129001.68654="","-",-577058.80638/-1129001.68654*100)</f>
        <v>51.112306851240042</v>
      </c>
    </row>
    <row r="37" spans="1:4" x14ac:dyDescent="0.25">
      <c r="A37" s="60" t="s">
        <v>8</v>
      </c>
      <c r="B37" s="20">
        <v>-160192.1832</v>
      </c>
      <c r="C37" s="20">
        <v>-364867.09789999999</v>
      </c>
      <c r="D37" s="20" t="s">
        <v>330</v>
      </c>
    </row>
    <row r="38" spans="1:4" x14ac:dyDescent="0.25">
      <c r="A38" s="60" t="s">
        <v>261</v>
      </c>
      <c r="B38" s="20">
        <v>-924548.11719999998</v>
      </c>
      <c r="C38" s="20">
        <v>-165861.1036</v>
      </c>
      <c r="D38" s="20">
        <f>IF(OR(-924548.1172="",-165861.1036="",-924548.1172=0),"-",-165861.1036/-924548.1172*100)</f>
        <v>17.93969405316745</v>
      </c>
    </row>
    <row r="39" spans="1:4" x14ac:dyDescent="0.25">
      <c r="A39" s="60" t="s">
        <v>10</v>
      </c>
      <c r="B39" s="20">
        <v>-7040.4567200000001</v>
      </c>
      <c r="C39" s="20">
        <v>-16266.007869999999</v>
      </c>
      <c r="D39" s="20" t="s">
        <v>330</v>
      </c>
    </row>
    <row r="40" spans="1:4" x14ac:dyDescent="0.25">
      <c r="A40" s="60" t="s">
        <v>9</v>
      </c>
      <c r="B40" s="20">
        <v>-625.34121000000005</v>
      </c>
      <c r="C40" s="20">
        <v>-16059.487660000001</v>
      </c>
      <c r="D40" s="20" t="s">
        <v>386</v>
      </c>
    </row>
    <row r="41" spans="1:4" x14ac:dyDescent="0.25">
      <c r="A41" s="60" t="s">
        <v>12</v>
      </c>
      <c r="B41" s="20">
        <v>-11978.103069999999</v>
      </c>
      <c r="C41" s="20">
        <v>-15142.886619999999</v>
      </c>
      <c r="D41" s="20">
        <f>IF(OR(-11978.10307="",-15142.88662="",-11978.10307=0),"-",-15142.88662/-11978.10307*100)</f>
        <v>126.42140856114708</v>
      </c>
    </row>
    <row r="42" spans="1:4" x14ac:dyDescent="0.25">
      <c r="A42" s="60" t="s">
        <v>11</v>
      </c>
      <c r="B42" s="20">
        <v>-10306.613670000001</v>
      </c>
      <c r="C42" s="20">
        <v>-3580.8204999999998</v>
      </c>
      <c r="D42" s="20">
        <f>IF(OR(-10306.61367="",-3580.8205="",-10306.61367=0),"-",-3580.8205/-10306.61367*100)</f>
        <v>34.742938996761673</v>
      </c>
    </row>
    <row r="43" spans="1:4" x14ac:dyDescent="0.25">
      <c r="A43" s="60" t="s">
        <v>7</v>
      </c>
      <c r="B43" s="20">
        <v>-13615.663130000001</v>
      </c>
      <c r="C43" s="20">
        <v>-370.13616999999999</v>
      </c>
      <c r="D43" s="20">
        <f>IF(OR(-13615.66313="",-370.13617="",-13615.66313=0),"-",-370.13617/-13615.66313*100)</f>
        <v>2.7184586344859136</v>
      </c>
    </row>
    <row r="44" spans="1:4" x14ac:dyDescent="0.25">
      <c r="A44" s="60" t="s">
        <v>14</v>
      </c>
      <c r="B44" s="20">
        <v>240.49089000000001</v>
      </c>
      <c r="C44" s="20">
        <v>231.96561</v>
      </c>
      <c r="D44" s="20">
        <f>IF(OR(240.49089="",231.96561="",240.49089=0),"-",231.96561/240.49089*100)</f>
        <v>96.455050750571047</v>
      </c>
    </row>
    <row r="45" spans="1:4" x14ac:dyDescent="0.25">
      <c r="A45" s="60" t="s">
        <v>13</v>
      </c>
      <c r="B45" s="20">
        <v>1011.08347</v>
      </c>
      <c r="C45" s="20">
        <v>411.82524000000001</v>
      </c>
      <c r="D45" s="20">
        <f>IF(OR(1011.08347="",411.82524="",1011.08347=0),"-",411.82524/1011.08347*100)</f>
        <v>40.73108227157546</v>
      </c>
    </row>
    <row r="46" spans="1:4" x14ac:dyDescent="0.25">
      <c r="A46" s="60" t="s">
        <v>263</v>
      </c>
      <c r="B46" s="20">
        <v>-1946.7827</v>
      </c>
      <c r="C46" s="20">
        <v>4444.9430899999998</v>
      </c>
      <c r="D46" s="20" t="s">
        <v>345</v>
      </c>
    </row>
    <row r="47" spans="1:4" x14ac:dyDescent="0.25">
      <c r="A47" s="59" t="s">
        <v>110</v>
      </c>
      <c r="B47" s="19">
        <v>-1694724.11151</v>
      </c>
      <c r="C47" s="19">
        <v>-2167089.4548900002</v>
      </c>
      <c r="D47" s="19">
        <f>IF(-1694724.11151="","-",-2167089.45489/-1694724.11151*100)</f>
        <v>127.87269858095796</v>
      </c>
    </row>
    <row r="48" spans="1:4" x14ac:dyDescent="0.25">
      <c r="A48" s="60" t="s">
        <v>53</v>
      </c>
      <c r="B48" s="20">
        <v>-846182.32172999997</v>
      </c>
      <c r="C48" s="20">
        <v>-910700.82126</v>
      </c>
      <c r="D48" s="20">
        <f>IF(OR(-846182.32173="",-910700.82126="",-846182.32173=0),"-",-910700.82126/-846182.32173*100)</f>
        <v>107.62465698859005</v>
      </c>
    </row>
    <row r="49" spans="1:4" x14ac:dyDescent="0.25">
      <c r="A49" s="61" t="s">
        <v>50</v>
      </c>
      <c r="B49" s="45">
        <v>-307704.49669</v>
      </c>
      <c r="C49" s="45">
        <v>-556077.85854000004</v>
      </c>
      <c r="D49" s="20" t="s">
        <v>331</v>
      </c>
    </row>
    <row r="50" spans="1:4" x14ac:dyDescent="0.25">
      <c r="A50" s="60" t="s">
        <v>61</v>
      </c>
      <c r="B50" s="20">
        <v>-232516.29999</v>
      </c>
      <c r="C50" s="20">
        <v>-196159.36743000001</v>
      </c>
      <c r="D50" s="20">
        <f>IF(OR(-232516.29999="",-196159.36743="",-232516.29999=0),"-",-196159.36743/-232516.29999*100)</f>
        <v>84.363705872851227</v>
      </c>
    </row>
    <row r="51" spans="1:4" x14ac:dyDescent="0.25">
      <c r="A51" s="60" t="s">
        <v>67</v>
      </c>
      <c r="B51" s="20">
        <v>-61854.77349</v>
      </c>
      <c r="C51" s="20">
        <v>-87254.918340000004</v>
      </c>
      <c r="D51" s="20">
        <f>IF(OR(-61854.77349="",-87254.91834="",-61854.77349=0),"-",-87254.91834/-61854.77349*100)</f>
        <v>141.06416274259968</v>
      </c>
    </row>
    <row r="52" spans="1:4" x14ac:dyDescent="0.25">
      <c r="A52" s="60" t="s">
        <v>30</v>
      </c>
      <c r="B52" s="20">
        <v>-54346.528160000002</v>
      </c>
      <c r="C52" s="20">
        <v>-57306.842720000001</v>
      </c>
      <c r="D52" s="20">
        <f>IF(OR(-54346.52816="",-57306.84272="",-54346.52816=0),"-",-57306.84272/-54346.52816*100)</f>
        <v>105.44710887746982</v>
      </c>
    </row>
    <row r="53" spans="1:4" x14ac:dyDescent="0.25">
      <c r="A53" s="61" t="s">
        <v>15</v>
      </c>
      <c r="B53" s="45">
        <v>-78529.083230000004</v>
      </c>
      <c r="C53" s="45">
        <v>-55094.088710000004</v>
      </c>
      <c r="D53" s="20">
        <f>IF(OR(-78529.08323="",-55094.08871="",-78529.08323=0),"-",-55094.08871/-78529.08323*100)</f>
        <v>70.157560032424698</v>
      </c>
    </row>
    <row r="54" spans="1:4" x14ac:dyDescent="0.25">
      <c r="A54" s="61" t="s">
        <v>63</v>
      </c>
      <c r="B54" s="45">
        <v>-35884.467550000001</v>
      </c>
      <c r="C54" s="45">
        <v>-50361.408880000003</v>
      </c>
      <c r="D54" s="20">
        <f>IF(OR(-35884.46755="",-50361.40888="",-35884.46755=0),"-",-50361.40888/-35884.46755*100)</f>
        <v>140.34319670433567</v>
      </c>
    </row>
    <row r="55" spans="1:4" x14ac:dyDescent="0.25">
      <c r="A55" s="60" t="s">
        <v>313</v>
      </c>
      <c r="B55" s="20">
        <v>-4404.5026399999997</v>
      </c>
      <c r="C55" s="20">
        <v>-32410.98603</v>
      </c>
      <c r="D55" s="20" t="s">
        <v>387</v>
      </c>
    </row>
    <row r="56" spans="1:4" x14ac:dyDescent="0.25">
      <c r="A56" s="60" t="s">
        <v>66</v>
      </c>
      <c r="B56" s="20">
        <v>-1720.6016999999999</v>
      </c>
      <c r="C56" s="20">
        <v>-28513.608359999998</v>
      </c>
      <c r="D56" s="20" t="s">
        <v>388</v>
      </c>
    </row>
    <row r="57" spans="1:4" x14ac:dyDescent="0.25">
      <c r="A57" s="60" t="s">
        <v>70</v>
      </c>
      <c r="B57" s="20">
        <v>-19069.565399999999</v>
      </c>
      <c r="C57" s="20">
        <v>-27757.278119999999</v>
      </c>
      <c r="D57" s="20">
        <f>IF(OR(-19069.5654="",-27757.27812="",-19069.5654=0),"-",-27757.27812/-19069.5654*100)</f>
        <v>145.55800060341176</v>
      </c>
    </row>
    <row r="58" spans="1:4" x14ac:dyDescent="0.25">
      <c r="A58" s="60" t="s">
        <v>55</v>
      </c>
      <c r="B58" s="20">
        <v>-21781.768250000001</v>
      </c>
      <c r="C58" s="20">
        <v>-23737.265090000001</v>
      </c>
      <c r="D58" s="20">
        <f>IF(OR(-21781.76825="",-23737.26509="",-21781.76825=0),"-",-23737.26509/-21781.76825*100)</f>
        <v>108.97767719110682</v>
      </c>
    </row>
    <row r="59" spans="1:4" x14ac:dyDescent="0.25">
      <c r="A59" s="60" t="s">
        <v>58</v>
      </c>
      <c r="B59" s="45">
        <v>-22457.266589999999</v>
      </c>
      <c r="C59" s="20">
        <v>-21822.363529999999</v>
      </c>
      <c r="D59" s="20">
        <f>IF(OR(-22457.26659="",-21822.36353="",-22457.26659=0),"-",-21822.36353/-22457.26659*100)</f>
        <v>97.172839101074231</v>
      </c>
    </row>
    <row r="60" spans="1:4" x14ac:dyDescent="0.25">
      <c r="A60" s="61" t="s">
        <v>264</v>
      </c>
      <c r="B60" s="45">
        <v>-20907.528569999999</v>
      </c>
      <c r="C60" s="45">
        <v>-20545.545040000001</v>
      </c>
      <c r="D60" s="20">
        <f>IF(OR(-20907.52857="",-20545.54504="",-20907.52857=0),"-",-20545.54504/-20907.52857*100)</f>
        <v>98.268645053918974</v>
      </c>
    </row>
    <row r="61" spans="1:4" x14ac:dyDescent="0.25">
      <c r="A61" s="60" t="s">
        <v>62</v>
      </c>
      <c r="B61" s="20">
        <v>-12427.052180000001</v>
      </c>
      <c r="C61" s="20">
        <v>-15825.260410000001</v>
      </c>
      <c r="D61" s="20">
        <f>IF(OR(-12427.05218="",-15825.26041="",-12427.05218=0),"-",-15825.26041/-12427.05218*100)</f>
        <v>127.34524793795465</v>
      </c>
    </row>
    <row r="62" spans="1:4" x14ac:dyDescent="0.25">
      <c r="A62" s="60" t="s">
        <v>69</v>
      </c>
      <c r="B62" s="20">
        <v>-11791.18634</v>
      </c>
      <c r="C62" s="20">
        <v>-15229.490229999999</v>
      </c>
      <c r="D62" s="20">
        <f>IF(OR(-11791.18634="",-15229.49023="",-11791.18634=0),"-",-15229.49023/-11791.18634*100)</f>
        <v>129.15994871810327</v>
      </c>
    </row>
    <row r="63" spans="1:4" x14ac:dyDescent="0.25">
      <c r="A63" s="61" t="s">
        <v>73</v>
      </c>
      <c r="B63" s="45">
        <v>-13105.606460000001</v>
      </c>
      <c r="C63" s="45">
        <v>-11892.897709999999</v>
      </c>
      <c r="D63" s="20">
        <f>IF(OR(-13105.60646="",-11892.89771="",-13105.60646=0),"-",-11892.89771/-13105.60646*100)</f>
        <v>90.746641494986562</v>
      </c>
    </row>
    <row r="64" spans="1:4" x14ac:dyDescent="0.25">
      <c r="A64" s="60" t="s">
        <v>65</v>
      </c>
      <c r="B64" s="20">
        <v>-15010.893029999999</v>
      </c>
      <c r="C64" s="20">
        <v>-11712.70587</v>
      </c>
      <c r="D64" s="20">
        <f>IF(OR(-15010.89303="",-11712.70587="",-15010.89303=0),"-",-11712.70587/-15010.89303*100)</f>
        <v>78.028041680075845</v>
      </c>
    </row>
    <row r="65" spans="1:4" x14ac:dyDescent="0.25">
      <c r="A65" s="60" t="s">
        <v>74</v>
      </c>
      <c r="B65" s="20">
        <v>-9913.9340100000009</v>
      </c>
      <c r="C65" s="20">
        <v>-11157.81552</v>
      </c>
      <c r="D65" s="20">
        <f>IF(OR(-9913.93401="",-11157.81552="",-9913.93401=0),"-",-11157.81552/-9913.93401*100)</f>
        <v>112.54680037960026</v>
      </c>
    </row>
    <row r="66" spans="1:4" x14ac:dyDescent="0.25">
      <c r="A66" s="60" t="s">
        <v>405</v>
      </c>
      <c r="B66" s="20">
        <v>-8282.8318799999997</v>
      </c>
      <c r="C66" s="20">
        <v>-10574.19751</v>
      </c>
      <c r="D66" s="20">
        <f>IF(OR(-8282.83188="",-10574.19751="",-8282.83188=0),"-",-10574.19751/-8282.83188*100)</f>
        <v>127.66403644546749</v>
      </c>
    </row>
    <row r="67" spans="1:4" x14ac:dyDescent="0.25">
      <c r="A67" s="60" t="s">
        <v>75</v>
      </c>
      <c r="B67" s="20">
        <v>-5129.6952300000003</v>
      </c>
      <c r="C67" s="20">
        <v>-8352.2382799999996</v>
      </c>
      <c r="D67" s="20" t="s">
        <v>342</v>
      </c>
    </row>
    <row r="68" spans="1:4" x14ac:dyDescent="0.25">
      <c r="A68" s="60" t="s">
        <v>33</v>
      </c>
      <c r="B68" s="20">
        <v>-7700.8380299999999</v>
      </c>
      <c r="C68" s="20">
        <v>-7989.2413999999999</v>
      </c>
      <c r="D68" s="20">
        <f>IF(OR(-7700.83803="",-7989.2414="",-7700.83803=0),"-",-7989.2414/-7700.83803*100)</f>
        <v>103.74509071449719</v>
      </c>
    </row>
    <row r="69" spans="1:4" x14ac:dyDescent="0.25">
      <c r="A69" s="60" t="s">
        <v>72</v>
      </c>
      <c r="B69" s="20">
        <v>-5395.5930200000003</v>
      </c>
      <c r="C69" s="20">
        <v>-6785.8428999999996</v>
      </c>
      <c r="D69" s="20">
        <f>IF(OR(-5395.59302="",-6785.8429="",-5395.59302=0),"-",-6785.8429/-5395.59302*100)</f>
        <v>125.76639629502671</v>
      </c>
    </row>
    <row r="70" spans="1:4" x14ac:dyDescent="0.25">
      <c r="A70" s="60" t="s">
        <v>71</v>
      </c>
      <c r="B70" s="20">
        <v>-3929.6942600000002</v>
      </c>
      <c r="C70" s="20">
        <v>-5988.1515300000001</v>
      </c>
      <c r="D70" s="20">
        <f>IF(OR(-3929.69426="",-5988.15153="",-3929.69426=0),"-",-5988.15153/-3929.69426*100)</f>
        <v>152.38212272524223</v>
      </c>
    </row>
    <row r="71" spans="1:4" x14ac:dyDescent="0.25">
      <c r="A71" s="60" t="s">
        <v>278</v>
      </c>
      <c r="B71" s="20">
        <v>-1228.5095899999999</v>
      </c>
      <c r="C71" s="20">
        <v>-4935.9029499999997</v>
      </c>
      <c r="D71" s="20" t="s">
        <v>389</v>
      </c>
    </row>
    <row r="72" spans="1:4" x14ac:dyDescent="0.25">
      <c r="A72" s="60" t="s">
        <v>314</v>
      </c>
      <c r="B72" s="20">
        <v>29385.57863</v>
      </c>
      <c r="C72" s="20">
        <v>-4838.6886100000002</v>
      </c>
      <c r="D72" s="20" t="s">
        <v>345</v>
      </c>
    </row>
    <row r="73" spans="1:4" x14ac:dyDescent="0.25">
      <c r="A73" s="61" t="s">
        <v>80</v>
      </c>
      <c r="B73" s="45">
        <v>-3214.6208799999999</v>
      </c>
      <c r="C73" s="45">
        <v>-4468.0457699999997</v>
      </c>
      <c r="D73" s="20">
        <f>IF(OR(-3214.62088="",-4468.04577="",-3214.62088=0),"-",-4468.04577/-3214.62088*100)</f>
        <v>138.99137524422477</v>
      </c>
    </row>
    <row r="74" spans="1:4" x14ac:dyDescent="0.25">
      <c r="A74" s="60" t="s">
        <v>103</v>
      </c>
      <c r="B74" s="20">
        <v>-1336.0164500000001</v>
      </c>
      <c r="C74" s="20">
        <v>-4181.0818399999998</v>
      </c>
      <c r="D74" s="20" t="s">
        <v>335</v>
      </c>
    </row>
    <row r="75" spans="1:4" x14ac:dyDescent="0.25">
      <c r="A75" s="60" t="s">
        <v>78</v>
      </c>
      <c r="B75" s="20">
        <v>-3231.66084</v>
      </c>
      <c r="C75" s="20">
        <v>-3991.4279799999999</v>
      </c>
      <c r="D75" s="20">
        <f>IF(OR(-3231.66084="",-3991.42798="",-3231.66084=0),"-",-3991.42798/-3231.66084*100)</f>
        <v>123.51011376552745</v>
      </c>
    </row>
    <row r="76" spans="1:4" x14ac:dyDescent="0.25">
      <c r="A76" s="60" t="s">
        <v>317</v>
      </c>
      <c r="B76" s="20">
        <v>-4146.1516199999996</v>
      </c>
      <c r="C76" s="20">
        <v>-3160.3038900000001</v>
      </c>
      <c r="D76" s="20">
        <f>IF(OR(-4146.15162="",-3160.30389="",-4146.15162=0),"-",-3160.30389/-4146.15162*100)</f>
        <v>76.222583726930864</v>
      </c>
    </row>
    <row r="77" spans="1:4" x14ac:dyDescent="0.25">
      <c r="A77" s="60" t="s">
        <v>57</v>
      </c>
      <c r="B77" s="20">
        <v>-1588.0233700000001</v>
      </c>
      <c r="C77" s="20">
        <v>-3115.65443</v>
      </c>
      <c r="D77" s="20" t="s">
        <v>340</v>
      </c>
    </row>
    <row r="78" spans="1:4" x14ac:dyDescent="0.25">
      <c r="A78" s="60" t="s">
        <v>64</v>
      </c>
      <c r="B78" s="20">
        <v>47673.574710000001</v>
      </c>
      <c r="C78" s="20">
        <v>-3107.7422799999999</v>
      </c>
      <c r="D78" s="20" t="s">
        <v>345</v>
      </c>
    </row>
    <row r="79" spans="1:4" x14ac:dyDescent="0.25">
      <c r="A79" s="60" t="s">
        <v>406</v>
      </c>
      <c r="B79" s="20">
        <v>-9238.1206999999995</v>
      </c>
      <c r="C79" s="20">
        <v>-2840.0385999999999</v>
      </c>
      <c r="D79" s="20">
        <f>IF(OR(-9238.1207="",-2840.0386="",-9238.1207=0),"-",-2840.0386/-9238.1207*100)</f>
        <v>30.742601143975097</v>
      </c>
    </row>
    <row r="80" spans="1:4" x14ac:dyDescent="0.25">
      <c r="A80" s="60" t="s">
        <v>85</v>
      </c>
      <c r="B80" s="20">
        <v>-2403.4026600000002</v>
      </c>
      <c r="C80" s="20">
        <v>-2721.8930700000001</v>
      </c>
      <c r="D80" s="20">
        <f>IF(OR(-2403.40266="",-2721.89307="",-2403.40266=0),"-",-2721.89307/-2403.40266*100)</f>
        <v>113.25164589773733</v>
      </c>
    </row>
    <row r="81" spans="1:4" x14ac:dyDescent="0.25">
      <c r="A81" s="60" t="s">
        <v>77</v>
      </c>
      <c r="B81" s="20">
        <v>-2437.0266999999999</v>
      </c>
      <c r="C81" s="20">
        <v>-2675.73837</v>
      </c>
      <c r="D81" s="20">
        <f>IF(OR(-2437.0267="",-2675.73837="",-2437.0267=0),"-",-2675.73837/-2437.0267*100)</f>
        <v>109.79520125897677</v>
      </c>
    </row>
    <row r="82" spans="1:4" x14ac:dyDescent="0.25">
      <c r="A82" s="60" t="s">
        <v>407</v>
      </c>
      <c r="B82" s="20">
        <v>-11170.82589</v>
      </c>
      <c r="C82" s="20">
        <v>-2562.91518</v>
      </c>
      <c r="D82" s="20">
        <f>IF(OR(-11170.82589="",-2562.91518="",-11170.82589=0),"-",-2562.91518/-11170.82589*100)</f>
        <v>22.942933720722415</v>
      </c>
    </row>
    <row r="83" spans="1:4" x14ac:dyDescent="0.25">
      <c r="A83" s="60" t="s">
        <v>79</v>
      </c>
      <c r="B83" s="20">
        <v>-2072.8391999999999</v>
      </c>
      <c r="C83" s="20">
        <v>-2523.32233</v>
      </c>
      <c r="D83" s="20">
        <f>IF(OR(-2072.8392="",-2523.32233="",-2072.8392=0),"-",-2523.32233/-2072.8392*100)</f>
        <v>121.73266165556885</v>
      </c>
    </row>
    <row r="84" spans="1:4" x14ac:dyDescent="0.25">
      <c r="A84" s="60" t="s">
        <v>114</v>
      </c>
      <c r="B84" s="20">
        <v>-1670.9424200000001</v>
      </c>
      <c r="C84" s="20">
        <v>-2423.9039899999998</v>
      </c>
      <c r="D84" s="20">
        <f>IF(OR(-1670.94242="",-2423.90399="",-1670.94242=0),"-",-2423.90399/-1670.94242*100)</f>
        <v>145.06208957218286</v>
      </c>
    </row>
    <row r="85" spans="1:4" x14ac:dyDescent="0.25">
      <c r="A85" s="60" t="s">
        <v>59</v>
      </c>
      <c r="B85" s="20">
        <v>1830.36186</v>
      </c>
      <c r="C85" s="20">
        <v>-1697.9194500000001</v>
      </c>
      <c r="D85" s="20" t="s">
        <v>345</v>
      </c>
    </row>
    <row r="86" spans="1:4" x14ac:dyDescent="0.25">
      <c r="A86" s="60" t="s">
        <v>404</v>
      </c>
      <c r="B86" s="20">
        <v>-1557.5216600000001</v>
      </c>
      <c r="C86" s="20">
        <v>-1671.85735</v>
      </c>
      <c r="D86" s="20">
        <f>IF(OR(-1557.52166="",-1671.85735="",-1557.52166=0),"-",-1671.85735/-1557.52166*100)</f>
        <v>107.34087319209415</v>
      </c>
    </row>
    <row r="87" spans="1:4" x14ac:dyDescent="0.25">
      <c r="A87" s="60" t="s">
        <v>408</v>
      </c>
      <c r="B87" s="20">
        <v>-282.45812999999998</v>
      </c>
      <c r="C87" s="20">
        <v>-1246.9570900000001</v>
      </c>
      <c r="D87" s="20" t="s">
        <v>378</v>
      </c>
    </row>
    <row r="88" spans="1:4" x14ac:dyDescent="0.25">
      <c r="A88" s="60" t="s">
        <v>83</v>
      </c>
      <c r="B88" s="20">
        <v>-600.10163999999997</v>
      </c>
      <c r="C88" s="20">
        <v>-1116.41733</v>
      </c>
      <c r="D88" s="20" t="s">
        <v>328</v>
      </c>
    </row>
    <row r="89" spans="1:4" x14ac:dyDescent="0.25">
      <c r="A89" s="60" t="s">
        <v>81</v>
      </c>
      <c r="B89" s="20">
        <v>-1576.17536</v>
      </c>
      <c r="C89" s="20">
        <v>-1092.20812</v>
      </c>
      <c r="D89" s="20">
        <f>IF(OR(-1576.17536="",-1092.20812="",-1576.17536=0),"-",-1092.20812/-1576.17536*100)</f>
        <v>69.294835315786187</v>
      </c>
    </row>
    <row r="90" spans="1:4" x14ac:dyDescent="0.25">
      <c r="A90" s="60" t="s">
        <v>318</v>
      </c>
      <c r="B90" s="45">
        <v>141.65717000000001</v>
      </c>
      <c r="C90" s="20">
        <v>-908.18191999999999</v>
      </c>
      <c r="D90" s="20" t="s">
        <v>345</v>
      </c>
    </row>
    <row r="91" spans="1:4" x14ac:dyDescent="0.25">
      <c r="A91" s="60" t="s">
        <v>400</v>
      </c>
      <c r="B91" s="20">
        <v>4063.0072599999999</v>
      </c>
      <c r="C91" s="20">
        <v>-872.55007000000001</v>
      </c>
      <c r="D91" s="20" t="s">
        <v>345</v>
      </c>
    </row>
    <row r="92" spans="1:4" x14ac:dyDescent="0.25">
      <c r="A92" s="60" t="s">
        <v>411</v>
      </c>
      <c r="B92" s="45">
        <v>-1513.8946100000001</v>
      </c>
      <c r="C92" s="20">
        <v>-820.93593999999996</v>
      </c>
      <c r="D92" s="20">
        <f>IF(OR(-1513.89461="",-820.93594="",-1513.89461=0),"-",-820.93594/-1513.89461*100)</f>
        <v>54.226756246922626</v>
      </c>
    </row>
    <row r="93" spans="1:4" x14ac:dyDescent="0.25">
      <c r="A93" s="60" t="s">
        <v>86</v>
      </c>
      <c r="B93" s="20">
        <v>-268.76801</v>
      </c>
      <c r="C93" s="20">
        <v>-800.02646000000004</v>
      </c>
      <c r="D93" s="20" t="s">
        <v>377</v>
      </c>
    </row>
    <row r="94" spans="1:4" x14ac:dyDescent="0.25">
      <c r="A94" s="60" t="s">
        <v>282</v>
      </c>
      <c r="B94" s="20">
        <v>-845.04984999999999</v>
      </c>
      <c r="C94" s="20">
        <v>-603.83191999999997</v>
      </c>
      <c r="D94" s="20">
        <f>IF(OR(-845.04985="",-603.83192="",-845.04985=0),"-",-603.83192/-845.04985*100)</f>
        <v>71.455183383560154</v>
      </c>
    </row>
    <row r="95" spans="1:4" x14ac:dyDescent="0.25">
      <c r="A95" s="60" t="s">
        <v>100</v>
      </c>
      <c r="B95" s="20">
        <v>-381.52760000000001</v>
      </c>
      <c r="C95" s="20">
        <v>-553.96445000000006</v>
      </c>
      <c r="D95" s="20">
        <f>IF(OR(-381.5276="",-553.96445="",-381.5276=0),"-",-553.96445/-381.5276*100)</f>
        <v>145.19642877736763</v>
      </c>
    </row>
    <row r="96" spans="1:4" x14ac:dyDescent="0.25">
      <c r="A96" s="60" t="s">
        <v>104</v>
      </c>
      <c r="B96" s="20">
        <v>-1.3570199999999999</v>
      </c>
      <c r="C96" s="20">
        <v>-495.34705000000002</v>
      </c>
      <c r="D96" s="20" t="s">
        <v>390</v>
      </c>
    </row>
    <row r="97" spans="1:4" x14ac:dyDescent="0.25">
      <c r="A97" s="60" t="s">
        <v>76</v>
      </c>
      <c r="B97" s="20">
        <v>-1438.2462</v>
      </c>
      <c r="C97" s="20">
        <v>-457.32785999999999</v>
      </c>
      <c r="D97" s="20">
        <f>IF(OR(-1438.2462="",-457.32786="",-1438.2462=0),"-",-457.32786/-1438.2462*100)</f>
        <v>31.797606000975353</v>
      </c>
    </row>
    <row r="98" spans="1:4" x14ac:dyDescent="0.25">
      <c r="A98" s="60" t="s">
        <v>89</v>
      </c>
      <c r="B98" s="20">
        <v>188.86231000000001</v>
      </c>
      <c r="C98" s="20">
        <v>-426.11228999999997</v>
      </c>
      <c r="D98" s="20" t="s">
        <v>345</v>
      </c>
    </row>
    <row r="99" spans="1:4" x14ac:dyDescent="0.25">
      <c r="A99" s="60" t="s">
        <v>88</v>
      </c>
      <c r="B99" s="20">
        <v>-887.21923000000004</v>
      </c>
      <c r="C99" s="20">
        <v>-412.07639999999998</v>
      </c>
      <c r="D99" s="20">
        <f>IF(OR(-887.21923="",-412.0764="",-887.21923=0),"-",-412.0764/-887.21923*100)</f>
        <v>46.445837293224578</v>
      </c>
    </row>
    <row r="100" spans="1:4" x14ac:dyDescent="0.25">
      <c r="A100" s="60" t="s">
        <v>82</v>
      </c>
      <c r="B100" s="20">
        <v>-328.88578999999999</v>
      </c>
      <c r="C100" s="20">
        <v>-382.30333000000002</v>
      </c>
      <c r="D100" s="20">
        <f>IF(OR(-328.88579="",-382.30333="",-328.88579=0),"-",-382.30333/-328.88579*100)</f>
        <v>116.24197263128944</v>
      </c>
    </row>
    <row r="101" spans="1:4" x14ac:dyDescent="0.25">
      <c r="A101" s="60" t="s">
        <v>269</v>
      </c>
      <c r="B101" s="20">
        <v>-69.171099999999996</v>
      </c>
      <c r="C101" s="20">
        <v>-370.94175999999999</v>
      </c>
      <c r="D101" s="20" t="s">
        <v>372</v>
      </c>
    </row>
    <row r="102" spans="1:4" x14ac:dyDescent="0.25">
      <c r="A102" s="61" t="s">
        <v>105</v>
      </c>
      <c r="B102" s="45">
        <v>-480.14605</v>
      </c>
      <c r="C102" s="45">
        <v>-352.30714999999998</v>
      </c>
      <c r="D102" s="20">
        <f>IF(OR(-480.14605="",-352.30715="",-480.14605=0),"-",-352.30715/-480.14605*100)</f>
        <v>73.374997045169891</v>
      </c>
    </row>
    <row r="103" spans="1:4" x14ac:dyDescent="0.25">
      <c r="A103" s="60" t="s">
        <v>90</v>
      </c>
      <c r="B103" s="45">
        <v>-55.122779999999999</v>
      </c>
      <c r="C103" s="20">
        <v>-337.55511000000001</v>
      </c>
      <c r="D103" s="20" t="s">
        <v>391</v>
      </c>
    </row>
    <row r="104" spans="1:4" x14ac:dyDescent="0.25">
      <c r="A104" s="61" t="s">
        <v>325</v>
      </c>
      <c r="B104" s="45">
        <v>-6.6702000000000004</v>
      </c>
      <c r="C104" s="45">
        <v>-323.00445999999999</v>
      </c>
      <c r="D104" s="20" t="s">
        <v>392</v>
      </c>
    </row>
    <row r="105" spans="1:4" x14ac:dyDescent="0.25">
      <c r="A105" s="60" t="s">
        <v>31</v>
      </c>
      <c r="B105" s="20">
        <v>-155.00585000000001</v>
      </c>
      <c r="C105" s="20">
        <v>-305.68535000000003</v>
      </c>
      <c r="D105" s="20" t="s">
        <v>340</v>
      </c>
    </row>
    <row r="106" spans="1:4" x14ac:dyDescent="0.25">
      <c r="A106" s="60" t="s">
        <v>285</v>
      </c>
      <c r="B106" s="20">
        <v>-188.86788999999999</v>
      </c>
      <c r="C106" s="20">
        <v>-264.89112</v>
      </c>
      <c r="D106" s="20">
        <f>IF(OR(-188.86789="",-264.89112="",-188.86789=0),"-",-264.89112/-188.86789*100)</f>
        <v>140.25206719892938</v>
      </c>
    </row>
    <row r="107" spans="1:4" x14ac:dyDescent="0.25">
      <c r="A107" s="61" t="s">
        <v>290</v>
      </c>
      <c r="B107" s="45">
        <v>-178.57715999999999</v>
      </c>
      <c r="C107" s="45">
        <v>-241.70113000000001</v>
      </c>
      <c r="D107" s="20">
        <f>IF(OR(-178.57716="",-241.70113="",-178.57716=0),"-",-241.70113/-178.57716*100)</f>
        <v>135.34828866132713</v>
      </c>
    </row>
    <row r="108" spans="1:4" x14ac:dyDescent="0.25">
      <c r="A108" s="60" t="s">
        <v>177</v>
      </c>
      <c r="B108" s="20">
        <v>316.46521999999999</v>
      </c>
      <c r="C108" s="20">
        <v>-227.87197</v>
      </c>
      <c r="D108" s="20" t="s">
        <v>345</v>
      </c>
    </row>
    <row r="109" spans="1:4" x14ac:dyDescent="0.25">
      <c r="A109" s="60" t="s">
        <v>291</v>
      </c>
      <c r="B109" s="45">
        <v>-234.97783000000001</v>
      </c>
      <c r="C109" s="20">
        <v>-226.51209</v>
      </c>
      <c r="D109" s="20">
        <f>IF(OR(-234.97783="",-226.51209="",-234.97783=0),"-",-226.51209/-234.97783*100)</f>
        <v>96.3972175587799</v>
      </c>
    </row>
    <row r="110" spans="1:4" x14ac:dyDescent="0.25">
      <c r="A110" s="60" t="s">
        <v>32</v>
      </c>
      <c r="B110" s="20">
        <v>-3055.3684199999998</v>
      </c>
      <c r="C110" s="20">
        <v>-222.26141999999999</v>
      </c>
      <c r="D110" s="20">
        <f>IF(OR(-3055.36842="",-222.26142="",-3055.36842=0),"-",-222.26142/-3055.36842*100)</f>
        <v>7.2744556284966775</v>
      </c>
    </row>
    <row r="111" spans="1:4" x14ac:dyDescent="0.25">
      <c r="A111" s="60" t="s">
        <v>106</v>
      </c>
      <c r="B111" s="20">
        <v>40.480119999999999</v>
      </c>
      <c r="C111" s="20">
        <v>-171.35731999999999</v>
      </c>
      <c r="D111" s="20" t="s">
        <v>345</v>
      </c>
    </row>
    <row r="112" spans="1:4" x14ac:dyDescent="0.25">
      <c r="A112" s="60" t="s">
        <v>283</v>
      </c>
      <c r="B112" s="20">
        <v>-3.4722599999999999</v>
      </c>
      <c r="C112" s="20">
        <v>-138.76545999999999</v>
      </c>
      <c r="D112" s="20" t="s">
        <v>384</v>
      </c>
    </row>
    <row r="113" spans="1:4" x14ac:dyDescent="0.25">
      <c r="A113" s="60" t="s">
        <v>292</v>
      </c>
      <c r="B113" s="20">
        <v>-236.84925999999999</v>
      </c>
      <c r="C113" s="20">
        <v>-137.16709</v>
      </c>
      <c r="D113" s="20">
        <f>IF(OR(-236.84926="",-137.16709="",-236.84926=0),"-",-137.16709/-236.84926*100)</f>
        <v>57.91324406080053</v>
      </c>
    </row>
    <row r="114" spans="1:4" x14ac:dyDescent="0.25">
      <c r="A114" s="60" t="s">
        <v>301</v>
      </c>
      <c r="B114" s="20">
        <v>103.40797999999999</v>
      </c>
      <c r="C114" s="20">
        <v>-125.6835</v>
      </c>
      <c r="D114" s="20" t="s">
        <v>345</v>
      </c>
    </row>
    <row r="115" spans="1:4" x14ac:dyDescent="0.25">
      <c r="A115" s="60" t="s">
        <v>258</v>
      </c>
      <c r="B115" s="20">
        <v>-202.09598</v>
      </c>
      <c r="C115" s="20">
        <v>-119.92847999999999</v>
      </c>
      <c r="D115" s="20">
        <f>IF(OR(-202.09598="",-119.92848="",-202.09598=0),"-",-119.92848/-202.09598*100)</f>
        <v>59.342338229587746</v>
      </c>
    </row>
    <row r="116" spans="1:4" x14ac:dyDescent="0.25">
      <c r="A116" s="60" t="s">
        <v>300</v>
      </c>
      <c r="B116" s="20">
        <v>-58.008119999999998</v>
      </c>
      <c r="C116" s="20">
        <v>-105.4238</v>
      </c>
      <c r="D116" s="20" t="s">
        <v>331</v>
      </c>
    </row>
    <row r="117" spans="1:4" x14ac:dyDescent="0.25">
      <c r="A117" s="60" t="s">
        <v>293</v>
      </c>
      <c r="B117" s="20">
        <v>-112.27212</v>
      </c>
      <c r="C117" s="20">
        <v>-99.877549999999999</v>
      </c>
      <c r="D117" s="20">
        <f>IF(OR(-112.27212="",-99.87755="",-112.27212=0),"-",-99.87755/-112.27212*100)</f>
        <v>88.96024231127015</v>
      </c>
    </row>
    <row r="118" spans="1:4" x14ac:dyDescent="0.25">
      <c r="A118" s="60" t="s">
        <v>319</v>
      </c>
      <c r="B118" s="20">
        <v>-67.007000000000005</v>
      </c>
      <c r="C118" s="20">
        <v>-88.186989999999994</v>
      </c>
      <c r="D118" s="20">
        <f>IF(OR(-67.007="",-88.18699="",-67.007=0),"-",-88.18699/-67.007*100)</f>
        <v>131.60862297968868</v>
      </c>
    </row>
    <row r="119" spans="1:4" x14ac:dyDescent="0.25">
      <c r="A119" s="60" t="s">
        <v>284</v>
      </c>
      <c r="B119" s="20">
        <v>-24.213539999999998</v>
      </c>
      <c r="C119" s="20">
        <v>-83.224760000000003</v>
      </c>
      <c r="D119" s="20" t="s">
        <v>343</v>
      </c>
    </row>
    <row r="120" spans="1:4" x14ac:dyDescent="0.25">
      <c r="A120" s="60" t="s">
        <v>289</v>
      </c>
      <c r="B120" s="20">
        <v>-55.815750000000001</v>
      </c>
      <c r="C120" s="20">
        <v>-82.438310000000001</v>
      </c>
      <c r="D120" s="20">
        <f>IF(OR(-55.81575="",-82.43831="",-55.81575=0),"-",-82.43831/-55.81575*100)</f>
        <v>147.6972180791264</v>
      </c>
    </row>
    <row r="121" spans="1:4" x14ac:dyDescent="0.25">
      <c r="A121" s="60" t="s">
        <v>355</v>
      </c>
      <c r="B121" s="20">
        <v>-1.1934499999999999</v>
      </c>
      <c r="C121" s="20">
        <v>-81.615830000000003</v>
      </c>
      <c r="D121" s="20" t="s">
        <v>357</v>
      </c>
    </row>
    <row r="122" spans="1:4" x14ac:dyDescent="0.25">
      <c r="A122" s="61" t="s">
        <v>321</v>
      </c>
      <c r="B122" s="45">
        <v>-106.178</v>
      </c>
      <c r="C122" s="45">
        <v>-74.458690000000004</v>
      </c>
      <c r="D122" s="20">
        <f>IF(OR(-106.178="",-74.45869="",-106.178=0),"-",-74.45869/-106.178*100)</f>
        <v>70.126287931586589</v>
      </c>
    </row>
    <row r="123" spans="1:4" x14ac:dyDescent="0.25">
      <c r="A123" s="60" t="s">
        <v>294</v>
      </c>
      <c r="B123" s="20">
        <v>-35.109279999999998</v>
      </c>
      <c r="C123" s="20">
        <v>-67.064710000000005</v>
      </c>
      <c r="D123" s="20" t="s">
        <v>328</v>
      </c>
    </row>
    <row r="124" spans="1:4" x14ac:dyDescent="0.25">
      <c r="A124" s="60" t="s">
        <v>320</v>
      </c>
      <c r="B124" s="20">
        <v>-35.037140000000001</v>
      </c>
      <c r="C124" s="20">
        <v>-65.018910000000005</v>
      </c>
      <c r="D124" s="20" t="s">
        <v>328</v>
      </c>
    </row>
    <row r="125" spans="1:4" x14ac:dyDescent="0.25">
      <c r="A125" s="60" t="s">
        <v>375</v>
      </c>
      <c r="B125" s="20">
        <v>73.57253</v>
      </c>
      <c r="C125" s="20">
        <v>-57.650069999999999</v>
      </c>
      <c r="D125" s="20" t="s">
        <v>345</v>
      </c>
    </row>
    <row r="126" spans="1:4" x14ac:dyDescent="0.25">
      <c r="A126" s="60" t="s">
        <v>281</v>
      </c>
      <c r="B126" s="20">
        <v>-175.30394999999999</v>
      </c>
      <c r="C126" s="20">
        <v>47.443429999999999</v>
      </c>
      <c r="D126" s="20" t="s">
        <v>345</v>
      </c>
    </row>
    <row r="127" spans="1:4" x14ac:dyDescent="0.25">
      <c r="A127" s="60" t="s">
        <v>316</v>
      </c>
      <c r="B127" s="20" t="s">
        <v>272</v>
      </c>
      <c r="C127" s="20">
        <v>112.26016</v>
      </c>
      <c r="D127" s="20" t="str">
        <f>IF(OR(0="",112.26016="",0=0),"-",112.26016/0*100)</f>
        <v>-</v>
      </c>
    </row>
    <row r="128" spans="1:4" x14ac:dyDescent="0.25">
      <c r="A128" s="60" t="s">
        <v>279</v>
      </c>
      <c r="B128" s="20">
        <v>107.67785000000001</v>
      </c>
      <c r="C128" s="20">
        <v>125.54172</v>
      </c>
      <c r="D128" s="20">
        <f>IF(OR(107.67785="",125.54172="",107.67785=0),"-",125.54172/107.67785*100)</f>
        <v>116.59010650751291</v>
      </c>
    </row>
    <row r="129" spans="1:5" x14ac:dyDescent="0.25">
      <c r="A129" s="60" t="s">
        <v>297</v>
      </c>
      <c r="B129" s="45">
        <v>-1.18167</v>
      </c>
      <c r="C129" s="20">
        <v>133.15249</v>
      </c>
      <c r="D129" s="20" t="s">
        <v>345</v>
      </c>
    </row>
    <row r="130" spans="1:5" x14ac:dyDescent="0.25">
      <c r="A130" s="60" t="s">
        <v>288</v>
      </c>
      <c r="B130" s="20">
        <v>146.97987000000001</v>
      </c>
      <c r="C130" s="20">
        <v>141.93952999999999</v>
      </c>
      <c r="D130" s="20">
        <f>IF(OR(146.97987="",141.93953="",146.97987=0),"-",141.93953/146.97987*100)</f>
        <v>96.570727678558967</v>
      </c>
    </row>
    <row r="131" spans="1:5" x14ac:dyDescent="0.25">
      <c r="A131" s="60" t="s">
        <v>296</v>
      </c>
      <c r="B131" s="45">
        <v>-0.9</v>
      </c>
      <c r="C131" s="20">
        <v>162.13289</v>
      </c>
      <c r="D131" s="20" t="s">
        <v>345</v>
      </c>
    </row>
    <row r="132" spans="1:5" x14ac:dyDescent="0.25">
      <c r="A132" s="61" t="s">
        <v>287</v>
      </c>
      <c r="B132" s="45">
        <v>45.284489999999998</v>
      </c>
      <c r="C132" s="45">
        <v>164.60524000000001</v>
      </c>
      <c r="D132" s="20" t="s">
        <v>329</v>
      </c>
    </row>
    <row r="133" spans="1:5" x14ac:dyDescent="0.25">
      <c r="A133" s="60" t="s">
        <v>270</v>
      </c>
      <c r="B133" s="20">
        <v>281.70321999999999</v>
      </c>
      <c r="C133" s="20">
        <v>169.60060999999999</v>
      </c>
      <c r="D133" s="20">
        <f>IF(OR(281.70322="",169.60061="",281.70322=0),"-",169.60061/281.70322*100)</f>
        <v>60.205421152090487</v>
      </c>
    </row>
    <row r="134" spans="1:5" x14ac:dyDescent="0.25">
      <c r="A134" s="60" t="s">
        <v>274</v>
      </c>
      <c r="B134" s="20" t="s">
        <v>272</v>
      </c>
      <c r="C134" s="20">
        <v>175.10164</v>
      </c>
      <c r="D134" s="20" t="str">
        <f>IF(OR(0="",175.10164="",0=0),"-",175.10164/0*100)</f>
        <v>-</v>
      </c>
    </row>
    <row r="135" spans="1:5" x14ac:dyDescent="0.25">
      <c r="A135" s="60" t="s">
        <v>101</v>
      </c>
      <c r="B135" s="20">
        <v>349.86164000000002</v>
      </c>
      <c r="C135" s="20">
        <v>210.95524</v>
      </c>
      <c r="D135" s="20">
        <f>IF(OR(349.86164="",210.95524="",349.86164=0),"-",210.95524/349.86164*100)</f>
        <v>60.296761885641416</v>
      </c>
    </row>
    <row r="136" spans="1:5" x14ac:dyDescent="0.25">
      <c r="A136" s="60" t="s">
        <v>351</v>
      </c>
      <c r="B136" s="20">
        <v>36.9</v>
      </c>
      <c r="C136" s="20">
        <v>215.15779000000001</v>
      </c>
      <c r="D136" s="20" t="s">
        <v>358</v>
      </c>
      <c r="E136" s="8"/>
    </row>
    <row r="137" spans="1:5" x14ac:dyDescent="0.25">
      <c r="A137" s="61" t="s">
        <v>295</v>
      </c>
      <c r="B137" s="45">
        <v>176.90536</v>
      </c>
      <c r="C137" s="45">
        <v>215.64302000000001</v>
      </c>
      <c r="D137" s="20">
        <f>IF(OR(176.90536="",215.64302="",176.90536=0),"-",215.64302/176.90536*100)</f>
        <v>121.89739191622007</v>
      </c>
    </row>
    <row r="138" spans="1:5" x14ac:dyDescent="0.25">
      <c r="A138" s="61" t="s">
        <v>271</v>
      </c>
      <c r="B138" s="45">
        <v>263.31858</v>
      </c>
      <c r="C138" s="45">
        <v>280.63941</v>
      </c>
      <c r="D138" s="20">
        <f>IF(OR(263.31858="",280.63941="",263.31858=0),"-",280.63941/263.31858*100)</f>
        <v>106.5778989086148</v>
      </c>
    </row>
    <row r="139" spans="1:5" x14ac:dyDescent="0.25">
      <c r="A139" s="61" t="s">
        <v>280</v>
      </c>
      <c r="B139" s="45">
        <v>159.32383999999999</v>
      </c>
      <c r="C139" s="45">
        <v>296.90719999999999</v>
      </c>
      <c r="D139" s="20" t="s">
        <v>328</v>
      </c>
    </row>
    <row r="140" spans="1:5" x14ac:dyDescent="0.25">
      <c r="A140" s="60" t="s">
        <v>276</v>
      </c>
      <c r="B140" s="20">
        <v>1.4000300000000001</v>
      </c>
      <c r="C140" s="20">
        <v>396.33472999999998</v>
      </c>
      <c r="D140" s="20" t="s">
        <v>393</v>
      </c>
    </row>
    <row r="141" spans="1:5" x14ac:dyDescent="0.25">
      <c r="A141" s="60" t="s">
        <v>108</v>
      </c>
      <c r="B141" s="20">
        <v>773.62537999999995</v>
      </c>
      <c r="C141" s="20">
        <v>544.80609000000004</v>
      </c>
      <c r="D141" s="20">
        <f>IF(OR(773.62538="",544.80609="",773.62538=0),"-",544.80609/773.62538*100)</f>
        <v>70.422468559653524</v>
      </c>
    </row>
    <row r="142" spans="1:5" x14ac:dyDescent="0.25">
      <c r="A142" s="60" t="s">
        <v>265</v>
      </c>
      <c r="B142" s="20">
        <v>1077.85517</v>
      </c>
      <c r="C142" s="20">
        <v>646.53412000000003</v>
      </c>
      <c r="D142" s="20">
        <f>IF(OR(1077.85517="",646.53412="",1077.85517=0),"-",646.53412/1077.85517*100)</f>
        <v>59.983394615066885</v>
      </c>
    </row>
    <row r="143" spans="1:5" x14ac:dyDescent="0.25">
      <c r="A143" s="60" t="s">
        <v>315</v>
      </c>
      <c r="B143" s="20">
        <v>-2.8247</v>
      </c>
      <c r="C143" s="20">
        <v>667.91438000000005</v>
      </c>
      <c r="D143" s="20" t="s">
        <v>345</v>
      </c>
    </row>
    <row r="144" spans="1:5" x14ac:dyDescent="0.25">
      <c r="A144" s="60" t="s">
        <v>113</v>
      </c>
      <c r="B144" s="20">
        <v>487.15267</v>
      </c>
      <c r="C144" s="20">
        <v>677.54165</v>
      </c>
      <c r="D144" s="20">
        <f>IF(OR(487.15267="",677.54165="",487.15267=0),"-",677.54165/487.15267*100)</f>
        <v>139.0819945624028</v>
      </c>
    </row>
    <row r="145" spans="1:8" x14ac:dyDescent="0.25">
      <c r="A145" s="60" t="s">
        <v>68</v>
      </c>
      <c r="B145" s="20">
        <v>1965.4443100000001</v>
      </c>
      <c r="C145" s="20">
        <v>1166.4139299999999</v>
      </c>
      <c r="D145" s="20">
        <f>IF(OR(1965.44431="",1166.41393="",1965.44431=0),"-",1166.41393/1965.44431*100)</f>
        <v>59.346068675942277</v>
      </c>
    </row>
    <row r="146" spans="1:8" x14ac:dyDescent="0.25">
      <c r="A146" s="60" t="s">
        <v>115</v>
      </c>
      <c r="B146" s="20">
        <v>1339.5289299999999</v>
      </c>
      <c r="C146" s="20">
        <v>1234.21732</v>
      </c>
      <c r="D146" s="20">
        <f>IF(OR(1339.52893="",1234.21732="",1339.52893=0),"-",1234.21732/1339.52893*100)</f>
        <v>92.138160838377715</v>
      </c>
    </row>
    <row r="147" spans="1:8" x14ac:dyDescent="0.25">
      <c r="A147" s="60" t="s">
        <v>84</v>
      </c>
      <c r="B147" s="20">
        <v>1605.55988</v>
      </c>
      <c r="C147" s="20">
        <v>1586.28251</v>
      </c>
      <c r="D147" s="20">
        <f>IF(OR(1605.55988="",1586.28251="",1605.55988=0),"-",1586.28251/1605.55988*100)</f>
        <v>98.799336590298964</v>
      </c>
    </row>
    <row r="148" spans="1:8" x14ac:dyDescent="0.25">
      <c r="A148" s="60" t="s">
        <v>286</v>
      </c>
      <c r="B148" s="20">
        <v>84.655280000000005</v>
      </c>
      <c r="C148" s="20">
        <v>1782.94677</v>
      </c>
      <c r="D148" s="20" t="s">
        <v>353</v>
      </c>
    </row>
    <row r="149" spans="1:8" x14ac:dyDescent="0.25">
      <c r="A149" s="61" t="s">
        <v>275</v>
      </c>
      <c r="B149" s="45">
        <v>-31.781880000000001</v>
      </c>
      <c r="C149" s="45">
        <v>3527.6004499999999</v>
      </c>
      <c r="D149" s="20" t="s">
        <v>345</v>
      </c>
    </row>
    <row r="150" spans="1:8" x14ac:dyDescent="0.25">
      <c r="A150" s="60" t="s">
        <v>51</v>
      </c>
      <c r="B150" s="20">
        <v>16399.363010000001</v>
      </c>
      <c r="C150" s="20">
        <v>4371.1116899999997</v>
      </c>
      <c r="D150" s="20">
        <f>IF(OR(16399.36301="",4371.11169="",16399.36301=0),"-",4371.11169/16399.36301*100)</f>
        <v>26.654155331122215</v>
      </c>
    </row>
    <row r="151" spans="1:8" x14ac:dyDescent="0.25">
      <c r="A151" s="60" t="s">
        <v>60</v>
      </c>
      <c r="B151" s="20">
        <v>4232.3382199999996</v>
      </c>
      <c r="C151" s="20">
        <v>4864.4320200000002</v>
      </c>
      <c r="D151" s="20">
        <f>IF(OR(4232.33822="",4864.43202="",4232.33822=0),"-",4864.43202/4232.33822*100)</f>
        <v>114.93486028628404</v>
      </c>
    </row>
    <row r="152" spans="1:8" s="18" customFormat="1" ht="15" customHeight="1" x14ac:dyDescent="0.2">
      <c r="A152" s="60" t="s">
        <v>56</v>
      </c>
      <c r="B152" s="20">
        <v>-471.04871000000003</v>
      </c>
      <c r="C152" s="20">
        <v>4935.8796000000002</v>
      </c>
      <c r="D152" s="20" t="s">
        <v>345</v>
      </c>
      <c r="E152" s="10"/>
      <c r="F152" s="17"/>
      <c r="G152" s="17"/>
    </row>
    <row r="153" spans="1:8" x14ac:dyDescent="0.25">
      <c r="A153" s="60" t="s">
        <v>52</v>
      </c>
      <c r="B153" s="20">
        <v>13419.45564</v>
      </c>
      <c r="C153" s="20">
        <v>6237.1012099999998</v>
      </c>
      <c r="D153" s="20">
        <f>IF(OR(13419.45564="",6237.10121="",13419.45564=0),"-",6237.10121/13419.45564*100)</f>
        <v>46.478049313779763</v>
      </c>
    </row>
    <row r="154" spans="1:8" x14ac:dyDescent="0.25">
      <c r="A154" s="68" t="s">
        <v>54</v>
      </c>
      <c r="B154" s="46">
        <v>16679.252049999999</v>
      </c>
      <c r="C154" s="46">
        <v>26405.922330000001</v>
      </c>
      <c r="D154" s="46">
        <f>IF(OR(16679.25205="",26405.92233="",16679.25205=0),"-",26405.92233/16679.25205*100)</f>
        <v>158.31598593775072</v>
      </c>
    </row>
    <row r="155" spans="1:8" s="18" customFormat="1" ht="14.25" customHeight="1" x14ac:dyDescent="0.2">
      <c r="A155" s="9" t="s">
        <v>253</v>
      </c>
      <c r="B155" s="48"/>
      <c r="C155" s="48"/>
      <c r="D155" s="49"/>
      <c r="E155" s="10"/>
      <c r="F155" s="10"/>
      <c r="G155" s="17"/>
      <c r="H155" s="17"/>
    </row>
  </sheetData>
  <sortState xmlns:xlrd2="http://schemas.microsoft.com/office/spreadsheetml/2017/richdata2" ref="A48:E105">
    <sortCondition ref="C48:C105"/>
  </sortState>
  <mergeCells count="5">
    <mergeCell ref="A1:D1"/>
    <mergeCell ref="A2:D2"/>
    <mergeCell ref="B3:C3"/>
    <mergeCell ref="D3:D4"/>
    <mergeCell ref="A3:A4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F1"/>
    </sheetView>
  </sheetViews>
  <sheetFormatPr defaultRowHeight="15.75" x14ac:dyDescent="0.25"/>
  <cols>
    <col min="1" max="1" width="25" style="22" customWidth="1"/>
    <col min="2" max="3" width="12.875" style="22" customWidth="1"/>
    <col min="4" max="4" width="12.375" style="22" customWidth="1"/>
    <col min="5" max="5" width="9.75" style="22" customWidth="1"/>
    <col min="6" max="6" width="9.5" style="22" customWidth="1"/>
    <col min="7" max="10" width="9" style="22"/>
  </cols>
  <sheetData>
    <row r="1" spans="1:10" s="25" customFormat="1" ht="15" customHeight="1" x14ac:dyDescent="0.2">
      <c r="A1" s="74" t="s">
        <v>304</v>
      </c>
      <c r="B1" s="74"/>
      <c r="C1" s="74"/>
      <c r="D1" s="74"/>
      <c r="E1" s="74"/>
      <c r="F1" s="74"/>
      <c r="G1" s="24"/>
      <c r="H1" s="24"/>
      <c r="I1" s="24"/>
      <c r="J1" s="24"/>
    </row>
    <row r="2" spans="1:10" x14ac:dyDescent="0.25">
      <c r="A2" s="92"/>
      <c r="B2" s="92"/>
      <c r="C2" s="92"/>
      <c r="D2" s="92"/>
      <c r="E2" s="92"/>
      <c r="F2" s="92"/>
    </row>
    <row r="3" spans="1:10" ht="18.75" customHeight="1" x14ac:dyDescent="0.25">
      <c r="A3" s="75"/>
      <c r="B3" s="77" t="s">
        <v>349</v>
      </c>
      <c r="C3" s="84"/>
      <c r="D3" s="82" t="s">
        <v>367</v>
      </c>
      <c r="E3" s="77" t="s">
        <v>91</v>
      </c>
      <c r="F3" s="91"/>
    </row>
    <row r="4" spans="1:10" ht="44.25" customHeight="1" x14ac:dyDescent="0.25">
      <c r="A4" s="76"/>
      <c r="B4" s="13" t="s">
        <v>361</v>
      </c>
      <c r="C4" s="13" t="s">
        <v>362</v>
      </c>
      <c r="D4" s="83"/>
      <c r="E4" s="13" t="s">
        <v>361</v>
      </c>
      <c r="F4" s="12" t="s">
        <v>362</v>
      </c>
    </row>
    <row r="5" spans="1:10" s="25" customFormat="1" ht="15.75" customHeight="1" x14ac:dyDescent="0.2">
      <c r="A5" s="70" t="s">
        <v>107</v>
      </c>
      <c r="B5" s="54">
        <v>3985166.5274</v>
      </c>
      <c r="C5" s="54">
        <v>3737310.6439299998</v>
      </c>
      <c r="D5" s="53">
        <v>93.780538861654392</v>
      </c>
      <c r="E5" s="54">
        <v>100</v>
      </c>
      <c r="F5" s="54">
        <v>100</v>
      </c>
      <c r="G5" s="24"/>
      <c r="H5" s="24"/>
      <c r="I5" s="24"/>
      <c r="J5" s="24"/>
    </row>
    <row r="6" spans="1:10" ht="15.75" customHeight="1" x14ac:dyDescent="0.25">
      <c r="A6" s="67" t="s">
        <v>102</v>
      </c>
      <c r="B6" s="45"/>
      <c r="C6" s="45"/>
      <c r="D6" s="43"/>
      <c r="E6" s="19"/>
      <c r="F6" s="19"/>
    </row>
    <row r="7" spans="1:10" x14ac:dyDescent="0.25">
      <c r="A7" s="67" t="s">
        <v>92</v>
      </c>
      <c r="B7" s="20">
        <v>534021.41553</v>
      </c>
      <c r="C7" s="20">
        <v>497898.76013000001</v>
      </c>
      <c r="D7" s="20">
        <v>93.235729064507765</v>
      </c>
      <c r="E7" s="20">
        <f>IF(534021.41553="","-",534021.41553/3985166.5274*100)</f>
        <v>13.400228368333856</v>
      </c>
      <c r="F7" s="20">
        <f>IF(497898.76013="","-",497898.76013/3737310.64393*100)</f>
        <v>13.32238091951678</v>
      </c>
    </row>
    <row r="8" spans="1:10" x14ac:dyDescent="0.25">
      <c r="A8" s="67" t="s">
        <v>93</v>
      </c>
      <c r="B8" s="20">
        <v>307666.90811000002</v>
      </c>
      <c r="C8" s="20">
        <v>124156.77149</v>
      </c>
      <c r="D8" s="20">
        <v>40.354281925442002</v>
      </c>
      <c r="E8" s="20">
        <f>IF(307666.90811="","-",307666.90811/3985166.5274*100)</f>
        <v>7.7203024263763425</v>
      </c>
      <c r="F8" s="20">
        <f>IF(124156.77149="","-",124156.77149/3737310.64393*100)</f>
        <v>3.3220886171624722</v>
      </c>
    </row>
    <row r="9" spans="1:10" x14ac:dyDescent="0.25">
      <c r="A9" s="67" t="s">
        <v>94</v>
      </c>
      <c r="B9" s="20">
        <v>3081925.5178499999</v>
      </c>
      <c r="C9" s="20">
        <v>3030116.3568600002</v>
      </c>
      <c r="D9" s="20">
        <v>98.318935331502018</v>
      </c>
      <c r="E9" s="20">
        <f>IF(3081925.51785="","-",3081925.51785/3985166.5274*100)</f>
        <v>77.334924316467848</v>
      </c>
      <c r="F9" s="20">
        <f>IF(3030116.35686="","-",3030116.35686/3737310.64393*100)</f>
        <v>81.077455035251134</v>
      </c>
    </row>
    <row r="10" spans="1:10" x14ac:dyDescent="0.25">
      <c r="A10" s="67" t="s">
        <v>95</v>
      </c>
      <c r="B10" s="20">
        <v>40855.520770000003</v>
      </c>
      <c r="C10" s="20">
        <v>39530.089370000002</v>
      </c>
      <c r="D10" s="20">
        <v>96.755808333807209</v>
      </c>
      <c r="E10" s="20">
        <f>IF(40855.52077="","-",40855.52077/3985166.5274*100)</f>
        <v>1.0251898004537074</v>
      </c>
      <c r="F10" s="20">
        <f>IF(39530.08937="","-",39530.08937/3737310.64393*100)</f>
        <v>1.057714841933284</v>
      </c>
    </row>
    <row r="11" spans="1:10" x14ac:dyDescent="0.25">
      <c r="A11" s="67" t="s">
        <v>96</v>
      </c>
      <c r="B11" s="20">
        <v>1236.40122</v>
      </c>
      <c r="C11" s="20">
        <v>896.50936999999999</v>
      </c>
      <c r="D11" s="20">
        <v>72.509583094717428</v>
      </c>
      <c r="E11" s="20">
        <f>IF(1236.40122="","-",1236.40122/3985166.5274*100)</f>
        <v>3.1025082929386445E-2</v>
      </c>
      <c r="F11" s="20">
        <f>IF(896.50937="","-",896.50937/3737310.64393*100)</f>
        <v>2.3988088104371977E-2</v>
      </c>
    </row>
    <row r="12" spans="1:10" x14ac:dyDescent="0.25">
      <c r="A12" s="67" t="s">
        <v>97</v>
      </c>
      <c r="B12" s="20">
        <v>19127.341219999998</v>
      </c>
      <c r="C12" s="20">
        <v>43052.640149999999</v>
      </c>
      <c r="D12" s="20" t="s">
        <v>330</v>
      </c>
      <c r="E12" s="20">
        <f>IF(19127.34122="","-",19127.34122/3985166.5274*100)</f>
        <v>0.47996341152847755</v>
      </c>
      <c r="F12" s="20">
        <f>IF(43052.64015="","-",43052.64015/3737310.64393*100)</f>
        <v>1.1519684674840849</v>
      </c>
    </row>
    <row r="13" spans="1:10" x14ac:dyDescent="0.25">
      <c r="A13" s="67" t="s">
        <v>98</v>
      </c>
      <c r="B13" s="20">
        <v>333.42270000000002</v>
      </c>
      <c r="C13" s="20">
        <v>1659.51656</v>
      </c>
      <c r="D13" s="20" t="s">
        <v>394</v>
      </c>
      <c r="E13" s="20">
        <f>IF(333.4227="","-",333.4227/3985166.5274*100)</f>
        <v>8.3665939103812412E-3</v>
      </c>
      <c r="F13" s="20">
        <f>IF(1659.51656="","-",1659.51656/3737310.64393*100)</f>
        <v>4.4404030547884069E-2</v>
      </c>
    </row>
    <row r="14" spans="1:10" ht="16.5" customHeight="1" x14ac:dyDescent="0.25">
      <c r="A14" s="59" t="s">
        <v>174</v>
      </c>
      <c r="B14" s="51">
        <v>2353864.7222099998</v>
      </c>
      <c r="C14" s="19">
        <v>2435574.7554199998</v>
      </c>
      <c r="D14" s="19">
        <v>103.47131389663227</v>
      </c>
      <c r="E14" s="19">
        <f>IF(2353864.72221="","-",2353864.72221/3985166.5274*100)</f>
        <v>59.065655249937741</v>
      </c>
      <c r="F14" s="19">
        <f>IF(2435574.75542="","-",2435574.75542/3737310.64393*100)</f>
        <v>65.169181464103588</v>
      </c>
    </row>
    <row r="15" spans="1:10" x14ac:dyDescent="0.25">
      <c r="A15" s="67" t="s">
        <v>102</v>
      </c>
      <c r="B15" s="45"/>
      <c r="C15" s="19"/>
      <c r="D15" s="19"/>
      <c r="E15" s="19"/>
      <c r="F15" s="19"/>
    </row>
    <row r="16" spans="1:10" x14ac:dyDescent="0.25">
      <c r="A16" s="67" t="s">
        <v>92</v>
      </c>
      <c r="B16" s="20">
        <v>363560.82260999997</v>
      </c>
      <c r="C16" s="20">
        <v>394347.33279000001</v>
      </c>
      <c r="D16" s="20">
        <v>108.46804943365018</v>
      </c>
      <c r="E16" s="20">
        <f>IF(363560.82261="","-",363560.82261/3985166.5274*100)</f>
        <v>9.122851457030432</v>
      </c>
      <c r="F16" s="20">
        <f>IF(394347.33279="","-",394347.33279/3737310.64393*100)</f>
        <v>10.551633791279411</v>
      </c>
    </row>
    <row r="17" spans="1:7" x14ac:dyDescent="0.25">
      <c r="A17" s="67" t="s">
        <v>93</v>
      </c>
      <c r="B17" s="20">
        <v>49546.75028</v>
      </c>
      <c r="C17" s="20">
        <v>68104.999219999998</v>
      </c>
      <c r="D17" s="20">
        <v>137.45603664240963</v>
      </c>
      <c r="E17" s="20">
        <f>IF(49546.75028="","-",49546.75028/3985166.5274*100)</f>
        <v>1.2432792943366726</v>
      </c>
      <c r="F17" s="20">
        <f>IF(68104.99922="","-",68104.99922/3737310.64393*100)</f>
        <v>1.8222996616728553</v>
      </c>
    </row>
    <row r="18" spans="1:7" x14ac:dyDescent="0.25">
      <c r="A18" s="67" t="s">
        <v>94</v>
      </c>
      <c r="B18" s="20">
        <v>1934096.5508900001</v>
      </c>
      <c r="C18" s="20">
        <v>1943862.1886400001</v>
      </c>
      <c r="D18" s="20">
        <v>100.50491986790971</v>
      </c>
      <c r="E18" s="20">
        <f>IF(1934096.55089="","-",1934096.55089/3985166.5274*100)</f>
        <v>48.532389740607456</v>
      </c>
      <c r="F18" s="20">
        <f>IF(1943862.18864="","-",1943862.18864/3737310.64393*100)</f>
        <v>52.012325809660709</v>
      </c>
    </row>
    <row r="19" spans="1:7" x14ac:dyDescent="0.25">
      <c r="A19" s="67" t="s">
        <v>95</v>
      </c>
      <c r="B19" s="20">
        <v>5890.4827999999998</v>
      </c>
      <c r="C19" s="20">
        <v>6910.2964400000001</v>
      </c>
      <c r="D19" s="20">
        <v>117.31290413071065</v>
      </c>
      <c r="E19" s="20">
        <f>IF(5890.4828="","-",5890.4828/3985166.5274*100)</f>
        <v>0.14781020465518829</v>
      </c>
      <c r="F19" s="20">
        <f>IF(6910.29644="","-",6910.29644/3737310.64393*100)</f>
        <v>0.18490024240354347</v>
      </c>
    </row>
    <row r="20" spans="1:7" x14ac:dyDescent="0.25">
      <c r="A20" s="67" t="s">
        <v>96</v>
      </c>
      <c r="B20" s="20">
        <v>572.27452000000005</v>
      </c>
      <c r="C20" s="20">
        <v>306.86250000000001</v>
      </c>
      <c r="D20" s="20">
        <v>53.621555612855168</v>
      </c>
      <c r="E20" s="20">
        <f>IF(572.27452="","-",572.27452/3985166.5274*100)</f>
        <v>1.4360115595303945E-2</v>
      </c>
      <c r="F20" s="20">
        <f>IF(306.8625="","-",306.8625/3737310.64393*100)</f>
        <v>8.2107838827471993E-3</v>
      </c>
    </row>
    <row r="21" spans="1:7" x14ac:dyDescent="0.25">
      <c r="A21" s="67" t="s">
        <v>97</v>
      </c>
      <c r="B21" s="45">
        <v>25.98704</v>
      </c>
      <c r="C21" s="20">
        <v>21898.970509999999</v>
      </c>
      <c r="D21" s="20" t="s">
        <v>395</v>
      </c>
      <c r="E21" s="20">
        <f>IF(25.98704="","-",25.98704/3985166.5274*100)</f>
        <v>6.5209420538203829E-4</v>
      </c>
      <c r="F21" s="20">
        <f>IF(21898.97051="","-",21898.97051/3737310.64393*100)</f>
        <v>0.58595531911609988</v>
      </c>
    </row>
    <row r="22" spans="1:7" x14ac:dyDescent="0.25">
      <c r="A22" s="67" t="s">
        <v>98</v>
      </c>
      <c r="B22" s="45">
        <v>171.85407000000001</v>
      </c>
      <c r="C22" s="20">
        <v>144.10532000000001</v>
      </c>
      <c r="D22" s="20">
        <v>83.853306471007642</v>
      </c>
      <c r="E22" s="20">
        <f>IF(171.85407="","-",171.85407/3985166.5274*100)</f>
        <v>4.3123435073143838E-3</v>
      </c>
      <c r="F22" s="20">
        <f>IF(144.10532="","-",144.10532/3737310.64393*100)</f>
        <v>3.8558560882288569E-3</v>
      </c>
    </row>
    <row r="23" spans="1:7" x14ac:dyDescent="0.25">
      <c r="A23" s="59" t="s">
        <v>175</v>
      </c>
      <c r="B23" s="19">
        <v>929241.7426</v>
      </c>
      <c r="C23" s="19">
        <v>848396.67677999998</v>
      </c>
      <c r="D23" s="19">
        <v>91.299888703471595</v>
      </c>
      <c r="E23" s="19">
        <f>IF(929241.7426="","-",929241.7426/3985166.5274*100)</f>
        <v>23.31751348936114</v>
      </c>
      <c r="F23" s="19">
        <f>IF(848396.67678="","-",848396.67678/3737310.64393*100)</f>
        <v>22.700726742047365</v>
      </c>
    </row>
    <row r="24" spans="1:7" x14ac:dyDescent="0.25">
      <c r="A24" s="67" t="s">
        <v>102</v>
      </c>
      <c r="B24" s="45"/>
      <c r="C24" s="19"/>
      <c r="D24" s="19"/>
      <c r="E24" s="19"/>
      <c r="F24" s="19"/>
    </row>
    <row r="25" spans="1:7" x14ac:dyDescent="0.25">
      <c r="A25" s="67" t="s">
        <v>92</v>
      </c>
      <c r="B25" s="20">
        <v>82.096980000000002</v>
      </c>
      <c r="C25" s="20">
        <v>7496.9248200000002</v>
      </c>
      <c r="D25" s="20" t="s">
        <v>346</v>
      </c>
      <c r="E25" s="20">
        <f>IF(82.09698="","-",82.09698/3985166.5274*100)</f>
        <v>2.0600639756342041E-3</v>
      </c>
      <c r="F25" s="20">
        <f>IF(7496.92482="","-",7496.92482/3737310.64393*100)</f>
        <v>0.20059678025898717</v>
      </c>
    </row>
    <row r="26" spans="1:7" x14ac:dyDescent="0.25">
      <c r="A26" s="67" t="s">
        <v>93</v>
      </c>
      <c r="B26" s="20">
        <v>157841.78201</v>
      </c>
      <c r="C26" s="20">
        <v>47047.951990000001</v>
      </c>
      <c r="D26" s="20">
        <v>29.807032961031382</v>
      </c>
      <c r="E26" s="20">
        <f>IF(157841.78201="","-",157841.78201/3985166.5274*100)</f>
        <v>3.9607324041482159</v>
      </c>
      <c r="F26" s="20">
        <f>IF(47047.95199="","-",47047.95199/3737310.64393*100)</f>
        <v>1.2588718592716805</v>
      </c>
    </row>
    <row r="27" spans="1:7" x14ac:dyDescent="0.25">
      <c r="A27" s="67" t="s">
        <v>94</v>
      </c>
      <c r="B27" s="20">
        <v>742266.42168999999</v>
      </c>
      <c r="C27" s="20">
        <v>759238.08560999995</v>
      </c>
      <c r="D27" s="20">
        <v>102.28646526692648</v>
      </c>
      <c r="E27" s="20">
        <f>IF(742266.42169="","-",742266.42169/3985166.5274*100)</f>
        <v>18.625731612130874</v>
      </c>
      <c r="F27" s="20">
        <f>IF(759238.08561="","-",759238.08561/3737310.64393*100)</f>
        <v>20.315091731620598</v>
      </c>
      <c r="G27" s="23"/>
    </row>
    <row r="28" spans="1:7" x14ac:dyDescent="0.25">
      <c r="A28" s="67" t="s">
        <v>95</v>
      </c>
      <c r="B28" s="20">
        <v>9746.7464400000008</v>
      </c>
      <c r="C28" s="20">
        <v>12691.578079999999</v>
      </c>
      <c r="D28" s="20">
        <v>130.21348362890211</v>
      </c>
      <c r="E28" s="20">
        <f>IF(9746.74644="","-",9746.74644/3985166.5274*100)</f>
        <v>0.24457563750438721</v>
      </c>
      <c r="F28" s="20">
        <f>IF(12691.57808="","-",12691.57808/3737310.64393*100)</f>
        <v>0.33959120044284213</v>
      </c>
    </row>
    <row r="29" spans="1:7" x14ac:dyDescent="0.25">
      <c r="A29" s="67" t="s">
        <v>96</v>
      </c>
      <c r="B29" s="20">
        <v>61.072670000000002</v>
      </c>
      <c r="C29" s="20">
        <v>42.530099999999997</v>
      </c>
      <c r="D29" s="20">
        <v>69.638514248681119</v>
      </c>
      <c r="E29" s="20">
        <f>IF(61.07267="","-",61.07267/3985166.5274*100)</f>
        <v>1.5324998235354797E-3</v>
      </c>
      <c r="F29" s="20">
        <f>IF(42.5301="","-",42.5301/3737310.64393*100)</f>
        <v>1.1379867517589365E-3</v>
      </c>
    </row>
    <row r="30" spans="1:7" x14ac:dyDescent="0.25">
      <c r="A30" s="67" t="s">
        <v>97</v>
      </c>
      <c r="B30" s="20">
        <v>19101.354179999998</v>
      </c>
      <c r="C30" s="20">
        <v>21153.66964</v>
      </c>
      <c r="D30" s="20">
        <v>110.74434535195871</v>
      </c>
      <c r="E30" s="20">
        <f>IF(19101.35418="","-",19101.35418/3985166.5274*100)</f>
        <v>0.47931131732309545</v>
      </c>
      <c r="F30" s="20">
        <f>IF(21153.66964="","-",21153.66964/3737310.64393*100)</f>
        <v>0.56601314836798489</v>
      </c>
    </row>
    <row r="31" spans="1:7" x14ac:dyDescent="0.25">
      <c r="A31" s="67" t="s">
        <v>98</v>
      </c>
      <c r="B31" s="20">
        <v>142.26863</v>
      </c>
      <c r="C31" s="20">
        <v>725.93654000000004</v>
      </c>
      <c r="D31" s="20" t="s">
        <v>396</v>
      </c>
      <c r="E31" s="20">
        <f>IF(142.26863="","-",142.26863/3985166.5274*100)</f>
        <v>3.5699544553993538E-3</v>
      </c>
      <c r="F31" s="20">
        <f>IF(725.93654="","-",725.93654/3737310.64393*100)</f>
        <v>1.942403533351018E-2</v>
      </c>
    </row>
    <row r="32" spans="1:7" x14ac:dyDescent="0.25">
      <c r="A32" s="59" t="s">
        <v>257</v>
      </c>
      <c r="B32" s="19">
        <v>702060.06258999999</v>
      </c>
      <c r="C32" s="19">
        <v>453339.21172999998</v>
      </c>
      <c r="D32" s="19">
        <v>64.572710496815162</v>
      </c>
      <c r="E32" s="19">
        <f>IF(702060.06259="","-",702060.06259/3985166.5274*100)</f>
        <v>17.616831260701108</v>
      </c>
      <c r="F32" s="19">
        <f>IF(453339.21173="","-",453339.21173/3737310.64393*100)</f>
        <v>12.130091793849051</v>
      </c>
    </row>
    <row r="33" spans="1:10" x14ac:dyDescent="0.25">
      <c r="A33" s="67" t="s">
        <v>102</v>
      </c>
      <c r="B33" s="45"/>
      <c r="C33" s="19"/>
      <c r="D33" s="19"/>
      <c r="E33" s="19"/>
      <c r="F33" s="19"/>
    </row>
    <row r="34" spans="1:10" x14ac:dyDescent="0.25">
      <c r="A34" s="67" t="s">
        <v>92</v>
      </c>
      <c r="B34" s="20">
        <v>170378.49593999999</v>
      </c>
      <c r="C34" s="20">
        <v>96054.502519999995</v>
      </c>
      <c r="D34" s="20">
        <v>56.377127870541997</v>
      </c>
      <c r="E34" s="20">
        <f>IF(170378.49594="","-",170378.49594/3985166.5274*100)</f>
        <v>4.2753168473277885</v>
      </c>
      <c r="F34" s="20">
        <f>IF(96054.50252="","-",96054.50252/3737310.64393*100)</f>
        <v>2.5701503479783816</v>
      </c>
    </row>
    <row r="35" spans="1:10" x14ac:dyDescent="0.25">
      <c r="A35" s="67" t="s">
        <v>93</v>
      </c>
      <c r="B35" s="20">
        <v>100278.37582</v>
      </c>
      <c r="C35" s="20">
        <v>9003.8202799999999</v>
      </c>
      <c r="D35" s="20">
        <v>8.9788254011631423</v>
      </c>
      <c r="E35" s="20">
        <f>IF(100278.37582="","-",100278.37582/3985166.5274*100)</f>
        <v>2.516290727891453</v>
      </c>
      <c r="F35" s="20">
        <f>IF(9003.82028="","-",9003.82028/3737310.64393*100)</f>
        <v>0.24091709621793597</v>
      </c>
    </row>
    <row r="36" spans="1:10" x14ac:dyDescent="0.25">
      <c r="A36" s="67" t="s">
        <v>94</v>
      </c>
      <c r="B36" s="20">
        <v>405562.54527</v>
      </c>
      <c r="C36" s="20">
        <v>327016.08260999998</v>
      </c>
      <c r="D36" s="20">
        <v>80.632712863632833</v>
      </c>
      <c r="E36" s="20">
        <f>IF(405562.54527="","-",405562.54527/3985166.5274*100)</f>
        <v>10.17680296372952</v>
      </c>
      <c r="F36" s="20">
        <f>IF(327016.08261="","-",327016.08261/3737310.64393*100)</f>
        <v>8.7500374939698222</v>
      </c>
    </row>
    <row r="37" spans="1:10" x14ac:dyDescent="0.25">
      <c r="A37" s="67" t="s">
        <v>95</v>
      </c>
      <c r="B37" s="20">
        <v>25218.291529999999</v>
      </c>
      <c r="C37" s="20">
        <v>19928.21485</v>
      </c>
      <c r="D37" s="20">
        <v>79.022858571894702</v>
      </c>
      <c r="E37" s="20">
        <f>IF(25218.29153="","-",25218.29153/3985166.5274*100)</f>
        <v>0.63280395829413183</v>
      </c>
      <c r="F37" s="20">
        <f>IF(19928.21485="","-",19928.21485/3737310.64393*100)</f>
        <v>0.53322339908689853</v>
      </c>
    </row>
    <row r="38" spans="1:10" x14ac:dyDescent="0.25">
      <c r="A38" s="67" t="s">
        <v>96</v>
      </c>
      <c r="B38" s="20">
        <v>603.05403000000001</v>
      </c>
      <c r="C38" s="20">
        <v>547.11676999999997</v>
      </c>
      <c r="D38" s="20">
        <v>90.724336922182573</v>
      </c>
      <c r="E38" s="20">
        <f>IF(603.05403="","-",603.05403/3985166.5274*100)</f>
        <v>1.5132467510547021E-2</v>
      </c>
      <c r="F38" s="20">
        <f>IF(547.11677="","-",547.11677/3737310.64393*100)</f>
        <v>1.463931746986584E-2</v>
      </c>
    </row>
    <row r="39" spans="1:10" x14ac:dyDescent="0.25">
      <c r="A39" s="71" t="s">
        <v>98</v>
      </c>
      <c r="B39" s="46">
        <v>19.3</v>
      </c>
      <c r="C39" s="65">
        <v>789.47469999999998</v>
      </c>
      <c r="D39" s="46" t="s">
        <v>397</v>
      </c>
      <c r="E39" s="46">
        <f>IF(19.3="","-",19.3/3985166.5274*100)</f>
        <v>4.8429594766750429E-4</v>
      </c>
      <c r="F39" s="46">
        <f>IF(789.4747="","-",789.4747/3737310.64393*100)</f>
        <v>2.1124139126145032E-2</v>
      </c>
    </row>
    <row r="40" spans="1:10" s="18" customFormat="1" ht="14.25" customHeight="1" x14ac:dyDescent="0.2">
      <c r="A40" s="26" t="s">
        <v>16</v>
      </c>
      <c r="B40" s="26"/>
      <c r="C40" s="26"/>
      <c r="D40" s="26"/>
      <c r="E40" s="27"/>
      <c r="F40" s="27"/>
      <c r="G40" s="27"/>
      <c r="H40" s="27"/>
      <c r="I40" s="27"/>
      <c r="J40" s="27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40"/>
  <sheetViews>
    <sheetView workbookViewId="0">
      <selection sqref="A1:F1"/>
    </sheetView>
  </sheetViews>
  <sheetFormatPr defaultRowHeight="15.75" x14ac:dyDescent="0.25"/>
  <cols>
    <col min="1" max="1" width="24.875" style="22" customWidth="1"/>
    <col min="2" max="2" width="13.5" style="22" customWidth="1"/>
    <col min="3" max="3" width="13.125" style="22" customWidth="1"/>
    <col min="4" max="4" width="12.125" style="22" customWidth="1"/>
    <col min="5" max="6" width="9.375" style="22" customWidth="1"/>
    <col min="7" max="8" width="9" style="22"/>
  </cols>
  <sheetData>
    <row r="1" spans="1:8" x14ac:dyDescent="0.25">
      <c r="A1" s="74" t="s">
        <v>305</v>
      </c>
      <c r="B1" s="74"/>
      <c r="C1" s="74"/>
      <c r="D1" s="74"/>
      <c r="E1" s="74"/>
      <c r="F1" s="74"/>
    </row>
    <row r="2" spans="1:8" x14ac:dyDescent="0.25">
      <c r="A2" s="92"/>
      <c r="B2" s="92"/>
      <c r="C2" s="92"/>
      <c r="D2" s="92"/>
      <c r="E2" s="92"/>
      <c r="F2" s="92"/>
    </row>
    <row r="3" spans="1:8" ht="36.75" customHeight="1" x14ac:dyDescent="0.25">
      <c r="A3" s="75"/>
      <c r="B3" s="77" t="s">
        <v>349</v>
      </c>
      <c r="C3" s="84"/>
      <c r="D3" s="82" t="s">
        <v>367</v>
      </c>
      <c r="E3" s="77" t="s">
        <v>91</v>
      </c>
      <c r="F3" s="91"/>
    </row>
    <row r="4" spans="1:8" ht="51.75" customHeight="1" x14ac:dyDescent="0.25">
      <c r="A4" s="76"/>
      <c r="B4" s="13" t="s">
        <v>361</v>
      </c>
      <c r="C4" s="13" t="s">
        <v>362</v>
      </c>
      <c r="D4" s="83"/>
      <c r="E4" s="13" t="s">
        <v>361</v>
      </c>
      <c r="F4" s="12" t="s">
        <v>362</v>
      </c>
    </row>
    <row r="5" spans="1:8" s="25" customFormat="1" ht="15.75" customHeight="1" x14ac:dyDescent="0.2">
      <c r="A5" s="72" t="s">
        <v>348</v>
      </c>
      <c r="B5" s="54">
        <v>8345207.3449100005</v>
      </c>
      <c r="C5" s="54">
        <v>7858737.5873299995</v>
      </c>
      <c r="D5" s="54">
        <v>94.170669014273031</v>
      </c>
      <c r="E5" s="52">
        <v>100</v>
      </c>
      <c r="F5" s="52">
        <v>100</v>
      </c>
      <c r="G5" s="24"/>
      <c r="H5" s="24"/>
    </row>
    <row r="6" spans="1:8" ht="15.75" customHeight="1" x14ac:dyDescent="0.25">
      <c r="A6" s="67" t="s">
        <v>102</v>
      </c>
      <c r="B6" s="47"/>
      <c r="C6" s="50"/>
      <c r="D6" s="19"/>
      <c r="E6" s="50"/>
      <c r="F6" s="50"/>
    </row>
    <row r="7" spans="1:8" x14ac:dyDescent="0.25">
      <c r="A7" s="67" t="s">
        <v>92</v>
      </c>
      <c r="B7" s="20">
        <v>605284.62531000003</v>
      </c>
      <c r="C7" s="20">
        <v>592108.86508000002</v>
      </c>
      <c r="D7" s="20">
        <v>97.823212472437746</v>
      </c>
      <c r="E7" s="20">
        <f>IF(605284.62531="","-",605284.62531/8345207.34491*100)</f>
        <v>7.2530807239820332</v>
      </c>
      <c r="F7" s="20">
        <f>IF(592108.86508="","-",592108.86508/7858737.58733*100)</f>
        <v>7.5344017852766676</v>
      </c>
    </row>
    <row r="8" spans="1:8" x14ac:dyDescent="0.25">
      <c r="A8" s="67" t="s">
        <v>93</v>
      </c>
      <c r="B8" s="20">
        <v>408891.30605999997</v>
      </c>
      <c r="C8" s="20">
        <v>307639.07617000001</v>
      </c>
      <c r="D8" s="20">
        <v>75.237372771349072</v>
      </c>
      <c r="E8" s="20">
        <f>IF(408891.30606="","-",408891.30606/8345207.34491*100)</f>
        <v>4.8997141611993067</v>
      </c>
      <c r="F8" s="20">
        <f>IF(307639.07617="","-",307639.07617/7858737.58733*100)</f>
        <v>3.9146118921947637</v>
      </c>
    </row>
    <row r="9" spans="1:8" x14ac:dyDescent="0.25">
      <c r="A9" s="67" t="s">
        <v>94</v>
      </c>
      <c r="B9" s="20">
        <v>6306713.5716300001</v>
      </c>
      <c r="C9" s="20">
        <v>6248763.8739</v>
      </c>
      <c r="D9" s="20">
        <v>99.08114270496317</v>
      </c>
      <c r="E9" s="20">
        <f>IF(6306713.57163="","-",6306713.57163/8345207.34491*100)</f>
        <v>75.572880468651988</v>
      </c>
      <c r="F9" s="20">
        <f>IF(6248763.8739="","-",6248763.8739/7858737.58733*100)</f>
        <v>79.51358350448514</v>
      </c>
    </row>
    <row r="10" spans="1:8" x14ac:dyDescent="0.25">
      <c r="A10" s="67" t="s">
        <v>95</v>
      </c>
      <c r="B10" s="20">
        <v>137882.51134999999</v>
      </c>
      <c r="C10" s="20">
        <v>152701.83502999999</v>
      </c>
      <c r="D10" s="20">
        <v>110.74779066243052</v>
      </c>
      <c r="E10" s="20">
        <f>IF(137882.51135="","-",137882.51135/8345207.34491*100)</f>
        <v>1.6522358960211911</v>
      </c>
      <c r="F10" s="20">
        <f>IF(152701.83503="","-",152701.83503/7858737.58733*100)</f>
        <v>1.9430835211521593</v>
      </c>
    </row>
    <row r="11" spans="1:8" x14ac:dyDescent="0.25">
      <c r="A11" s="67" t="s">
        <v>96</v>
      </c>
      <c r="B11" s="20">
        <v>9165.1931100000002</v>
      </c>
      <c r="C11" s="20">
        <v>7825.9209499999997</v>
      </c>
      <c r="D11" s="20">
        <v>85.387409256671958</v>
      </c>
      <c r="E11" s="20">
        <f>IF(9165.19311="","-",9165.19311/8345207.34491*100)</f>
        <v>0.10982582854085865</v>
      </c>
      <c r="F11" s="20">
        <f>IF(7825.92095="","-",7825.92095/7858737.58733*100)</f>
        <v>9.9582418461421754E-2</v>
      </c>
    </row>
    <row r="12" spans="1:8" x14ac:dyDescent="0.25">
      <c r="A12" s="67" t="s">
        <v>97</v>
      </c>
      <c r="B12" s="20">
        <v>827346.01251999999</v>
      </c>
      <c r="C12" s="20">
        <v>492401.94932999997</v>
      </c>
      <c r="D12" s="20">
        <v>59.515842450270682</v>
      </c>
      <c r="E12" s="20">
        <f>IF(827346.01252="","-",827346.01252/8345207.34491*100)</f>
        <v>9.91402583932949</v>
      </c>
      <c r="F12" s="20">
        <f>IF(492401.94933="","-",492401.94933/7858737.58733*100)</f>
        <v>6.2656621863015172</v>
      </c>
    </row>
    <row r="13" spans="1:8" x14ac:dyDescent="0.25">
      <c r="A13" s="67" t="s">
        <v>98</v>
      </c>
      <c r="B13" s="20">
        <v>49924.124929999998</v>
      </c>
      <c r="C13" s="20">
        <v>57296.066870000002</v>
      </c>
      <c r="D13" s="20">
        <v>114.766291748401</v>
      </c>
      <c r="E13" s="20">
        <f>IF(49924.12493="","-",49924.12493/8345207.34491*100)</f>
        <v>0.59823708227513683</v>
      </c>
      <c r="F13" s="20">
        <f>IF(57296.06687="","-",57296.06687/7858737.58733*100)</f>
        <v>0.72907469212833587</v>
      </c>
    </row>
    <row r="14" spans="1:8" ht="16.5" customHeight="1" x14ac:dyDescent="0.25">
      <c r="A14" s="59" t="s">
        <v>174</v>
      </c>
      <c r="B14" s="19">
        <v>3890179.7416699999</v>
      </c>
      <c r="C14" s="44">
        <v>3812853.4375499999</v>
      </c>
      <c r="D14" s="19">
        <v>98.012269117241217</v>
      </c>
      <c r="E14" s="19">
        <f>IF(3890179.74167="","-",3890179.74167/8345207.34491*100)</f>
        <v>46.615735006784945</v>
      </c>
      <c r="F14" s="19">
        <f>IF(3812853.43755="","-",3812853.43755/7858737.58733*100)</f>
        <v>48.517378207120082</v>
      </c>
    </row>
    <row r="15" spans="1:8" x14ac:dyDescent="0.25">
      <c r="A15" s="67" t="s">
        <v>102</v>
      </c>
      <c r="B15" s="45"/>
      <c r="C15" s="45"/>
      <c r="D15" s="19"/>
      <c r="E15" s="19"/>
      <c r="F15" s="19"/>
    </row>
    <row r="16" spans="1:8" x14ac:dyDescent="0.25">
      <c r="A16" s="67" t="s">
        <v>92</v>
      </c>
      <c r="B16" s="20">
        <v>191196.79203000001</v>
      </c>
      <c r="C16" s="20">
        <v>167620.07983999999</v>
      </c>
      <c r="D16" s="20">
        <v>87.668876689991393</v>
      </c>
      <c r="E16" s="20">
        <f>IF(191196.79203="","-",191196.79203/8345207.34491*100)</f>
        <v>2.2910969629366589</v>
      </c>
      <c r="F16" s="20">
        <f>IF(167620.07984="","-",167620.07984/7858737.58733*100)</f>
        <v>2.1329135624815891</v>
      </c>
    </row>
    <row r="17" spans="1:7" x14ac:dyDescent="0.25">
      <c r="A17" s="67" t="s">
        <v>93</v>
      </c>
      <c r="B17" s="20">
        <v>249552.02911</v>
      </c>
      <c r="C17" s="20">
        <v>174156.28849000001</v>
      </c>
      <c r="D17" s="20">
        <v>69.787566589263704</v>
      </c>
      <c r="E17" s="20">
        <f>IF(249552.02911="","-",249552.02911/8345207.34491*100)</f>
        <v>2.9903634361129385</v>
      </c>
      <c r="F17" s="20">
        <f>IF(174156.28849="","-",174156.28849/7858737.58733*100)</f>
        <v>2.2160847916690587</v>
      </c>
    </row>
    <row r="18" spans="1:7" x14ac:dyDescent="0.25">
      <c r="A18" s="67" t="s">
        <v>94</v>
      </c>
      <c r="B18" s="20">
        <v>3288071.6071799998</v>
      </c>
      <c r="C18" s="20">
        <v>3243469.5328899999</v>
      </c>
      <c r="D18" s="20">
        <v>98.643518766665409</v>
      </c>
      <c r="E18" s="20">
        <f>IF(3288071.60718="","-",3288071.60718/8345207.34491*100)</f>
        <v>39.40071793645123</v>
      </c>
      <c r="F18" s="20">
        <f>IF(3243469.53289="","-",3243469.53289/7858737.58733*100)</f>
        <v>41.272144499635424</v>
      </c>
    </row>
    <row r="19" spans="1:7" x14ac:dyDescent="0.25">
      <c r="A19" s="67" t="s">
        <v>95</v>
      </c>
      <c r="B19" s="20">
        <v>31963.718339999999</v>
      </c>
      <c r="C19" s="20">
        <v>37710.096870000001</v>
      </c>
      <c r="D19" s="20">
        <v>117.97781618795231</v>
      </c>
      <c r="E19" s="20">
        <f>IF(31963.71834="","-",31963.71834/8345207.34491*100)</f>
        <v>0.38301886362950177</v>
      </c>
      <c r="F19" s="20">
        <f>IF(37710.09687="","-",37710.09687/7858737.58733*100)</f>
        <v>0.47984929450751618</v>
      </c>
    </row>
    <row r="20" spans="1:7" x14ac:dyDescent="0.25">
      <c r="A20" s="67" t="s">
        <v>96</v>
      </c>
      <c r="B20" s="20">
        <v>5960.7308300000004</v>
      </c>
      <c r="C20" s="20">
        <v>4820.2736500000001</v>
      </c>
      <c r="D20" s="20">
        <v>80.867158532639195</v>
      </c>
      <c r="E20" s="20">
        <f>IF(5960.73083="","-",5960.73083/8345207.34491*100)</f>
        <v>7.1426994964189042E-2</v>
      </c>
      <c r="F20" s="20">
        <f>IF(4820.27365="","-",4820.27365/7858737.58733*100)</f>
        <v>6.1336488162823173E-2</v>
      </c>
    </row>
    <row r="21" spans="1:7" x14ac:dyDescent="0.25">
      <c r="A21" s="67" t="s">
        <v>97</v>
      </c>
      <c r="B21" s="45">
        <v>78644.083190000005</v>
      </c>
      <c r="C21" s="20">
        <v>134432.40804000001</v>
      </c>
      <c r="D21" s="20" t="s">
        <v>327</v>
      </c>
      <c r="E21" s="20">
        <f>IF(78644.08319="","-",78644.08319/8345207.34491*100)</f>
        <v>0.94238620970834786</v>
      </c>
      <c r="F21" s="20">
        <f>IF(134432.40804="","-",134432.40804/7858737.58733*100)</f>
        <v>1.7106107252739218</v>
      </c>
    </row>
    <row r="22" spans="1:7" x14ac:dyDescent="0.25">
      <c r="A22" s="67" t="s">
        <v>98</v>
      </c>
      <c r="B22" s="45">
        <v>44790.780989999999</v>
      </c>
      <c r="C22" s="20">
        <v>50644.757769999997</v>
      </c>
      <c r="D22" s="20">
        <v>113.06960193729812</v>
      </c>
      <c r="E22" s="20">
        <f>IF(44790.78099="","-",44790.78099/8345207.34491*100)</f>
        <v>0.53672460298208502</v>
      </c>
      <c r="F22" s="20">
        <f>IF(50644.75777="","-",50644.75777/7858737.58733*100)</f>
        <v>0.64443884538975316</v>
      </c>
      <c r="G22" s="19"/>
    </row>
    <row r="23" spans="1:7" x14ac:dyDescent="0.25">
      <c r="A23" s="59" t="s">
        <v>175</v>
      </c>
      <c r="B23" s="44">
        <v>2058243.4291399999</v>
      </c>
      <c r="C23" s="19">
        <v>1425455.4831600001</v>
      </c>
      <c r="D23" s="51">
        <v>69.255922937919991</v>
      </c>
      <c r="E23" s="19">
        <f>IF(2058243.42914="","-",2058243.42914/8345207.34491*100)</f>
        <v>24.663778191148072</v>
      </c>
      <c r="F23" s="19">
        <f>IF(1425455.48316="","-",1425455.48316/7858737.58733*100)</f>
        <v>18.138479206356823</v>
      </c>
      <c r="G23" s="19"/>
    </row>
    <row r="24" spans="1:7" x14ac:dyDescent="0.25">
      <c r="A24" s="67" t="s">
        <v>102</v>
      </c>
      <c r="B24" s="45"/>
      <c r="C24" s="19"/>
      <c r="D24" s="45"/>
      <c r="E24" s="19"/>
      <c r="F24" s="19"/>
      <c r="G24" s="20"/>
    </row>
    <row r="25" spans="1:7" x14ac:dyDescent="0.25">
      <c r="A25" s="67" t="s">
        <v>92</v>
      </c>
      <c r="B25" s="43">
        <v>147964.53583000001</v>
      </c>
      <c r="C25" s="20">
        <v>111965.63605</v>
      </c>
      <c r="D25" s="45">
        <v>75.670589186749453</v>
      </c>
      <c r="E25" s="20">
        <f>IF(147964.53583="","-",147964.53583/8345207.34491*100)</f>
        <v>1.7730480467959628</v>
      </c>
      <c r="F25" s="20">
        <f>IF(111965.63605="","-",111965.63605/7858737.58733*100)</f>
        <v>1.4247280152287187</v>
      </c>
      <c r="G25" s="20"/>
    </row>
    <row r="26" spans="1:7" x14ac:dyDescent="0.25">
      <c r="A26" s="67" t="s">
        <v>93</v>
      </c>
      <c r="B26" s="43">
        <v>157304.62447000001</v>
      </c>
      <c r="C26" s="20">
        <v>121206.79975999999</v>
      </c>
      <c r="D26" s="45">
        <v>77.05228003841404</v>
      </c>
      <c r="E26" s="20">
        <f>IF(157304.62447="","-",157304.62447/8345207.34491*100)</f>
        <v>1.884969635487187</v>
      </c>
      <c r="F26" s="20">
        <f>IF(121206.79976="","-",121206.79976/7858737.58733*100)</f>
        <v>1.5423189591596977</v>
      </c>
      <c r="G26" s="20"/>
    </row>
    <row r="27" spans="1:7" x14ac:dyDescent="0.25">
      <c r="A27" s="67" t="s">
        <v>94</v>
      </c>
      <c r="B27" s="43">
        <v>986773.17194999999</v>
      </c>
      <c r="C27" s="20">
        <v>815327.01664000005</v>
      </c>
      <c r="D27" s="45">
        <v>82.625575949617811</v>
      </c>
      <c r="E27" s="20">
        <f>IF(986773.17195="","-",986773.17195/8345207.34491*100)</f>
        <v>11.824429653648611</v>
      </c>
      <c r="F27" s="20">
        <f>IF(815327.01664="","-",815327.01664/7858737.58733*100)</f>
        <v>10.37478357789278</v>
      </c>
      <c r="G27" s="20"/>
    </row>
    <row r="28" spans="1:7" x14ac:dyDescent="0.25">
      <c r="A28" s="67" t="s">
        <v>95</v>
      </c>
      <c r="B28" s="43">
        <v>16500.141309999999</v>
      </c>
      <c r="C28" s="20">
        <v>18619.186849999998</v>
      </c>
      <c r="D28" s="45">
        <v>112.84259025536794</v>
      </c>
      <c r="E28" s="20">
        <f>IF(16500.14131="","-",16500.14131/8345207.34491*100)</f>
        <v>0.19771996821701435</v>
      </c>
      <c r="F28" s="20">
        <f>IF(18619.18685="","-",18619.18685/7858737.58733*100)</f>
        <v>0.2369233816894229</v>
      </c>
      <c r="G28" s="20"/>
    </row>
    <row r="29" spans="1:7" x14ac:dyDescent="0.25">
      <c r="A29" s="67" t="s">
        <v>96</v>
      </c>
      <c r="B29" s="43">
        <v>277.28402</v>
      </c>
      <c r="C29" s="20">
        <v>55.02834</v>
      </c>
      <c r="D29" s="45">
        <v>19.845478293339806</v>
      </c>
      <c r="E29" s="20">
        <f>IF(277.28402="","-",277.28402/8345207.34491*100)</f>
        <v>3.3226738239059343E-3</v>
      </c>
      <c r="F29" s="20">
        <f>IF(55.02834="","-",55.02834/7858737.58733*100)</f>
        <v>7.0021857058464069E-4</v>
      </c>
      <c r="G29" s="20"/>
    </row>
    <row r="30" spans="1:7" x14ac:dyDescent="0.25">
      <c r="A30" s="67" t="s">
        <v>97</v>
      </c>
      <c r="B30" s="43">
        <v>748701.92932999996</v>
      </c>
      <c r="C30" s="20">
        <v>357969.54129000002</v>
      </c>
      <c r="D30" s="45">
        <v>47.81202335224922</v>
      </c>
      <c r="E30" s="20">
        <f>IF(748701.92933="","-",748701.92933/8345207.34491*100)</f>
        <v>8.9716396296211425</v>
      </c>
      <c r="F30" s="20">
        <f>IF(357969.54129="","-",357969.54129/7858737.58733*100)</f>
        <v>4.5550514610275963</v>
      </c>
    </row>
    <row r="31" spans="1:7" x14ac:dyDescent="0.25">
      <c r="A31" s="67" t="s">
        <v>98</v>
      </c>
      <c r="B31" s="20">
        <v>721.74222999999995</v>
      </c>
      <c r="C31" s="20">
        <v>312.27422999999999</v>
      </c>
      <c r="D31" s="43">
        <v>43.266725573200837</v>
      </c>
      <c r="E31" s="20">
        <f>IF(721.74223="","-",721.74223/8345207.34491*100)</f>
        <v>8.6485835542506051E-3</v>
      </c>
      <c r="F31" s="20">
        <f>IF(312.27423="","-",312.27423/7858737.58733*100)</f>
        <v>3.9735927880255751E-3</v>
      </c>
    </row>
    <row r="32" spans="1:7" x14ac:dyDescent="0.25">
      <c r="A32" s="59" t="s">
        <v>176</v>
      </c>
      <c r="B32" s="19">
        <v>2396784.1740999999</v>
      </c>
      <c r="C32" s="44">
        <v>2620428.6666199998</v>
      </c>
      <c r="D32" s="19">
        <v>109.33102341615633</v>
      </c>
      <c r="E32" s="19">
        <f>IF(2396784.1741="","-",2396784.1741/8345207.34491*100)</f>
        <v>28.720486802066969</v>
      </c>
      <c r="F32" s="19">
        <f>IF(2620428.66662="","-",2620428.66662/7858737.58733*100)</f>
        <v>33.344142586523091</v>
      </c>
    </row>
    <row r="33" spans="1:8" x14ac:dyDescent="0.25">
      <c r="A33" s="67" t="s">
        <v>102</v>
      </c>
      <c r="B33" s="45"/>
      <c r="C33" s="45"/>
      <c r="D33" s="19"/>
      <c r="E33" s="19"/>
      <c r="F33" s="19"/>
    </row>
    <row r="34" spans="1:8" x14ac:dyDescent="0.25">
      <c r="A34" s="67" t="s">
        <v>92</v>
      </c>
      <c r="B34" s="20">
        <v>266123.29745000001</v>
      </c>
      <c r="C34" s="20">
        <v>312523.14919000003</v>
      </c>
      <c r="D34" s="20">
        <v>117.4354715218865</v>
      </c>
      <c r="E34" s="20">
        <f>IF(266123.29745="","-",266123.29745/8345207.34491*100)</f>
        <v>3.1889357142494106</v>
      </c>
      <c r="F34" s="20">
        <f>IF(312523.14919="","-",312523.14919/7858737.58733*100)</f>
        <v>3.9767602075663602</v>
      </c>
    </row>
    <row r="35" spans="1:8" x14ac:dyDescent="0.25">
      <c r="A35" s="67" t="s">
        <v>93</v>
      </c>
      <c r="B35" s="45">
        <v>2034.65248</v>
      </c>
      <c r="C35" s="20">
        <v>12275.98792</v>
      </c>
      <c r="D35" s="20" t="s">
        <v>398</v>
      </c>
      <c r="E35" s="20">
        <f>IF(2034.65248="","-",2034.65248/8345207.34491*100)</f>
        <v>2.4381089599181706E-2</v>
      </c>
      <c r="F35" s="20">
        <f>IF(12275.98792="","-",12275.98792/7858737.58733*100)</f>
        <v>0.15620814136600733</v>
      </c>
    </row>
    <row r="36" spans="1:8" x14ac:dyDescent="0.25">
      <c r="A36" s="67" t="s">
        <v>94</v>
      </c>
      <c r="B36" s="45">
        <v>2031868.7925</v>
      </c>
      <c r="C36" s="20">
        <v>2189967.32437</v>
      </c>
      <c r="D36" s="20">
        <v>107.78094198077999</v>
      </c>
      <c r="E36" s="20">
        <f>IF(2031868.7925="","-",2031868.7925/8345207.34491*100)</f>
        <v>24.347732878552137</v>
      </c>
      <c r="F36" s="20">
        <f>IF(2189967.32437="","-",2189967.32437/7858737.58733*100)</f>
        <v>27.866655426956939</v>
      </c>
    </row>
    <row r="37" spans="1:8" x14ac:dyDescent="0.25">
      <c r="A37" s="67" t="s">
        <v>95</v>
      </c>
      <c r="B37" s="20">
        <v>89418.651700000002</v>
      </c>
      <c r="C37" s="20">
        <v>96372.551309999995</v>
      </c>
      <c r="D37" s="20">
        <v>107.77678870995547</v>
      </c>
      <c r="E37" s="20">
        <f>IF(89418.6517="","-",89418.6517/8345207.34491*100)</f>
        <v>1.0714970641746751</v>
      </c>
      <c r="F37" s="20">
        <f>IF(96372.55131="","-",96372.55131/7858737.58733*100)</f>
        <v>1.22631084495522</v>
      </c>
    </row>
    <row r="38" spans="1:8" x14ac:dyDescent="0.25">
      <c r="A38" s="67" t="s">
        <v>96</v>
      </c>
      <c r="B38" s="20">
        <v>2927.1782600000001</v>
      </c>
      <c r="C38" s="20">
        <v>2950.6189599999998</v>
      </c>
      <c r="D38" s="20">
        <v>100.80079509746017</v>
      </c>
      <c r="E38" s="20">
        <f>IF(2927.17826="","-",2927.17826/8345207.34491*100)</f>
        <v>3.507615975276368E-2</v>
      </c>
      <c r="F38" s="20">
        <f>IF(2950.61896="","-",2950.61896/7858737.58733*100)</f>
        <v>3.7545711728013943E-2</v>
      </c>
    </row>
    <row r="39" spans="1:8" x14ac:dyDescent="0.25">
      <c r="A39" s="71" t="s">
        <v>98</v>
      </c>
      <c r="B39" s="46">
        <v>4411.6017099999999</v>
      </c>
      <c r="C39" s="46">
        <v>6339.0348700000004</v>
      </c>
      <c r="D39" s="46">
        <v>143.69009912275149</v>
      </c>
      <c r="E39" s="46">
        <f>IF(4411.60171="","-",4411.60171/8345207.34491*100)</f>
        <v>5.2863895738801167E-2</v>
      </c>
      <c r="F39" s="46">
        <f>IF(6339.03487="","-",6339.03487/7858737.58733*100)</f>
        <v>8.0662253950556997E-2</v>
      </c>
    </row>
    <row r="40" spans="1:8" s="18" customFormat="1" ht="14.25" customHeight="1" x14ac:dyDescent="0.2">
      <c r="A40" s="26" t="s">
        <v>16</v>
      </c>
      <c r="B40" s="26"/>
      <c r="C40" s="17"/>
      <c r="D40" s="17"/>
      <c r="E40" s="17"/>
      <c r="F40" s="17"/>
      <c r="G40" s="27"/>
      <c r="H40" s="27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82"/>
  <sheetViews>
    <sheetView zoomScaleNormal="100" workbookViewId="0">
      <selection activeCell="B1" sqref="B1:I1"/>
    </sheetView>
  </sheetViews>
  <sheetFormatPr defaultRowHeight="15.75" x14ac:dyDescent="0.25"/>
  <cols>
    <col min="1" max="1" width="6.75" style="22" customWidth="1"/>
    <col min="2" max="2" width="41" style="22" customWidth="1"/>
    <col min="3" max="3" width="13" style="22" customWidth="1"/>
    <col min="4" max="4" width="12.25" style="22" customWidth="1"/>
    <col min="5" max="5" width="11.625" style="22" customWidth="1"/>
    <col min="6" max="6" width="10.375" style="22" customWidth="1"/>
    <col min="7" max="7" width="10.875" style="22" customWidth="1"/>
    <col min="8" max="8" width="11.375" style="22" customWidth="1"/>
    <col min="9" max="9" width="11" style="22" customWidth="1"/>
    <col min="10" max="12" width="9" style="22"/>
  </cols>
  <sheetData>
    <row r="1" spans="1:12" s="25" customFormat="1" ht="12.75" x14ac:dyDescent="0.2">
      <c r="A1" s="24"/>
      <c r="B1" s="85" t="s">
        <v>306</v>
      </c>
      <c r="C1" s="85"/>
      <c r="D1" s="85"/>
      <c r="E1" s="85"/>
      <c r="F1" s="85"/>
      <c r="G1" s="85"/>
      <c r="H1" s="85"/>
      <c r="I1" s="85"/>
      <c r="J1" s="24"/>
      <c r="K1" s="24"/>
      <c r="L1" s="24"/>
    </row>
    <row r="2" spans="1:12" s="25" customFormat="1" ht="12.75" x14ac:dyDescent="0.2">
      <c r="A2" s="24"/>
      <c r="B2" s="85" t="s">
        <v>252</v>
      </c>
      <c r="C2" s="85"/>
      <c r="D2" s="85"/>
      <c r="E2" s="85"/>
      <c r="F2" s="85"/>
      <c r="G2" s="85"/>
      <c r="H2" s="85"/>
      <c r="I2" s="85"/>
      <c r="J2" s="24"/>
      <c r="K2" s="24"/>
      <c r="L2" s="24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</row>
    <row r="4" spans="1:12" ht="44.25" customHeight="1" x14ac:dyDescent="0.25">
      <c r="A4" s="93" t="s">
        <v>178</v>
      </c>
      <c r="B4" s="75"/>
      <c r="C4" s="77" t="s">
        <v>349</v>
      </c>
      <c r="D4" s="84"/>
      <c r="E4" s="82" t="s">
        <v>363</v>
      </c>
      <c r="F4" s="77" t="s">
        <v>91</v>
      </c>
      <c r="G4" s="78"/>
      <c r="H4" s="87" t="s">
        <v>307</v>
      </c>
      <c r="I4" s="95"/>
    </row>
    <row r="5" spans="1:12" ht="45" customHeight="1" x14ac:dyDescent="0.25">
      <c r="A5" s="94"/>
      <c r="B5" s="76"/>
      <c r="C5" s="13" t="s">
        <v>361</v>
      </c>
      <c r="D5" s="13" t="s">
        <v>362</v>
      </c>
      <c r="E5" s="83"/>
      <c r="F5" s="13" t="s">
        <v>361</v>
      </c>
      <c r="G5" s="13" t="s">
        <v>362</v>
      </c>
      <c r="H5" s="13" t="s">
        <v>364</v>
      </c>
      <c r="I5" s="12" t="s">
        <v>365</v>
      </c>
    </row>
    <row r="6" spans="1:12" s="25" customFormat="1" ht="15" customHeight="1" x14ac:dyDescent="0.2">
      <c r="A6" s="35"/>
      <c r="B6" s="57" t="s">
        <v>87</v>
      </c>
      <c r="C6" s="52">
        <v>3985166.5274</v>
      </c>
      <c r="D6" s="53">
        <v>3737310.6439299998</v>
      </c>
      <c r="E6" s="53">
        <f>IF(3985166.5274="","-",3737310.64393/3985166.5274*100)</f>
        <v>93.780538861654392</v>
      </c>
      <c r="F6" s="53">
        <v>100</v>
      </c>
      <c r="G6" s="53">
        <v>100</v>
      </c>
      <c r="H6" s="53">
        <f>IF(2819533.73145="","-",(3985166.5274-2819533.73145)/2819533.73145*100)</f>
        <v>41.341331829023765</v>
      </c>
      <c r="I6" s="53">
        <f>IF(3985166.5274="","-",(3737310.64393-3985166.5274)/3985166.5274*100)</f>
        <v>-6.2194611383456095</v>
      </c>
      <c r="J6" s="24"/>
      <c r="K6" s="24"/>
      <c r="L6" s="24"/>
    </row>
    <row r="7" spans="1:12" s="25" customFormat="1" ht="12.75" x14ac:dyDescent="0.2">
      <c r="A7" s="40"/>
      <c r="B7" s="41" t="s">
        <v>323</v>
      </c>
      <c r="C7" s="44"/>
      <c r="D7" s="19"/>
      <c r="E7" s="19"/>
      <c r="F7" s="19"/>
      <c r="G7" s="19"/>
      <c r="H7" s="19"/>
      <c r="I7" s="19"/>
      <c r="J7" s="24"/>
      <c r="K7" s="24"/>
      <c r="L7" s="24"/>
    </row>
    <row r="8" spans="1:12" x14ac:dyDescent="0.25">
      <c r="A8" s="28" t="s">
        <v>179</v>
      </c>
      <c r="B8" s="29" t="s">
        <v>153</v>
      </c>
      <c r="C8" s="44">
        <v>863322.26763000002</v>
      </c>
      <c r="D8" s="19">
        <v>855538.73947999999</v>
      </c>
      <c r="E8" s="19">
        <f>IF(863322.26763="","-",855538.73948/863322.26763*100)</f>
        <v>99.098421476910644</v>
      </c>
      <c r="F8" s="19">
        <f>IF(863322.26763="","-",863322.26763/3985166.5274*100)</f>
        <v>21.663392525612931</v>
      </c>
      <c r="G8" s="19">
        <f>IF(855538.73948="","-",855538.73948/3737310.64393*100)</f>
        <v>22.891828402584999</v>
      </c>
      <c r="H8" s="19">
        <f>IF(2819533.73145="","-",(863322.26763-708861.52499)/2819533.73145*100)</f>
        <v>5.478237089951949</v>
      </c>
      <c r="I8" s="19">
        <f>IF(3985166.5274="","-",(855538.73948-863322.26763)/3985166.5274*100)</f>
        <v>-0.1953124943834694</v>
      </c>
    </row>
    <row r="9" spans="1:12" x14ac:dyDescent="0.25">
      <c r="A9" s="30" t="s">
        <v>180</v>
      </c>
      <c r="B9" s="31" t="s">
        <v>17</v>
      </c>
      <c r="C9" s="43">
        <v>5095.8450599999996</v>
      </c>
      <c r="D9" s="20">
        <v>6314.3254399999996</v>
      </c>
      <c r="E9" s="20">
        <f>IF(OR(5095.84506="",6314.32544=""),"-",6314.32544/5095.84506*100)</f>
        <v>123.91125251363118</v>
      </c>
      <c r="F9" s="20">
        <f>IF(5095.84506="","-",5095.84506/3985166.5274*100)</f>
        <v>0.12787031670981711</v>
      </c>
      <c r="G9" s="20">
        <f>IF(6314.32544="","-",6314.32544/3737310.64393*100)</f>
        <v>0.16895372211714568</v>
      </c>
      <c r="H9" s="20">
        <f>IF(OR(2819533.73145="",6916.86207="",5095.84506=""),"-",(5095.84506-6916.86207)/2819533.73145*100)</f>
        <v>-6.4585750107820389E-2</v>
      </c>
      <c r="I9" s="20">
        <f>IF(OR(3985166.5274="",6314.32544="",5095.84506=""),"-",(6314.32544-5095.84506)/3985166.5274*100)</f>
        <v>3.0575394318464282E-2</v>
      </c>
      <c r="J9" s="28"/>
    </row>
    <row r="10" spans="1:12" x14ac:dyDescent="0.25">
      <c r="A10" s="30" t="s">
        <v>181</v>
      </c>
      <c r="B10" s="31" t="s">
        <v>154</v>
      </c>
      <c r="C10" s="43">
        <v>4325.2551199999998</v>
      </c>
      <c r="D10" s="20">
        <v>4294.2985500000004</v>
      </c>
      <c r="E10" s="20">
        <f>IF(OR(4325.25512="",4294.29855=""),"-",4294.29855/4325.25512*100)</f>
        <v>99.284283374248687</v>
      </c>
      <c r="F10" s="20">
        <f>IF(4325.25512="","-",4325.25512/3985166.5274*100)</f>
        <v>0.10853386151523962</v>
      </c>
      <c r="G10" s="20">
        <f>IF(4294.29855="","-",4294.29855/3737310.64393*100)</f>
        <v>0.11490344151548226</v>
      </c>
      <c r="H10" s="20">
        <f>IF(OR(2819533.73145="",7294.31342="",4325.25512=""),"-",(4325.25512-7294.31342)/2819533.73145*100)</f>
        <v>-0.10530316650877963</v>
      </c>
      <c r="I10" s="20">
        <f>IF(OR(3985166.5274="",4294.29855="",4325.25512=""),"-",(4294.29855-4325.25512)/3985166.5274*100)</f>
        <v>-7.7679489143446263E-4</v>
      </c>
      <c r="J10" s="30"/>
    </row>
    <row r="11" spans="1:12" s="2" customFormat="1" x14ac:dyDescent="0.25">
      <c r="A11" s="30" t="s">
        <v>182</v>
      </c>
      <c r="B11" s="31" t="s">
        <v>155</v>
      </c>
      <c r="C11" s="43">
        <v>16069.75266</v>
      </c>
      <c r="D11" s="20">
        <v>15699.553830000001</v>
      </c>
      <c r="E11" s="20">
        <f>IF(OR(16069.75266="",15699.55383=""),"-",15699.55383/16069.75266*100)</f>
        <v>97.696300385994874</v>
      </c>
      <c r="F11" s="20">
        <f>IF(16069.75266="","-",16069.75266/3985166.5274*100)</f>
        <v>0.40323917581642993</v>
      </c>
      <c r="G11" s="20">
        <f>IF(15699.55383="","-",15699.55383/3737310.64393*100)</f>
        <v>0.42007623464478738</v>
      </c>
      <c r="H11" s="20">
        <f>IF(OR(2819533.73145="",11227.49113="",16069.75266=""),"-",(16069.75266-11227.49113)/2819533.73145*100)</f>
        <v>0.17173979782500326</v>
      </c>
      <c r="I11" s="20">
        <f>IF(OR(3985166.5274="",15699.55383="",16069.75266=""),"-",(15699.55383-16069.75266)/3985166.5274*100)</f>
        <v>-9.2894193368005702E-3</v>
      </c>
      <c r="J11" s="30"/>
      <c r="K11" s="15"/>
      <c r="L11" s="15"/>
    </row>
    <row r="12" spans="1:12" s="2" customFormat="1" x14ac:dyDescent="0.25">
      <c r="A12" s="30" t="s">
        <v>183</v>
      </c>
      <c r="B12" s="31" t="s">
        <v>156</v>
      </c>
      <c r="C12" s="43">
        <v>56.987340000000003</v>
      </c>
      <c r="D12" s="20">
        <v>260.31808000000001</v>
      </c>
      <c r="E12" s="20" t="s">
        <v>399</v>
      </c>
      <c r="F12" s="20">
        <f>IF(56.98734="","-",56.98734/3985166.5274*100)</f>
        <v>1.429986416080325E-3</v>
      </c>
      <c r="G12" s="20">
        <f>IF(260.31808="","-",260.31808/3737310.64393*100)</f>
        <v>6.9653851339010024E-3</v>
      </c>
      <c r="H12" s="20">
        <f>IF(OR(2819533.73145="",39.64692="",56.98734=""),"-",(56.98734-39.64692)/2819533.73145*100)</f>
        <v>6.1501019855089137E-4</v>
      </c>
      <c r="I12" s="20">
        <f>IF(OR(3985166.5274="",260.31808="",56.98734=""),"-",(260.31808-56.98734)/3985166.5274*100)</f>
        <v>5.1021892962816017E-3</v>
      </c>
      <c r="J12" s="30"/>
      <c r="K12" s="15"/>
      <c r="L12" s="15"/>
    </row>
    <row r="13" spans="1:12" s="2" customFormat="1" x14ac:dyDescent="0.25">
      <c r="A13" s="30" t="s">
        <v>184</v>
      </c>
      <c r="B13" s="31" t="s">
        <v>157</v>
      </c>
      <c r="C13" s="43">
        <v>415924.46150999999</v>
      </c>
      <c r="D13" s="20">
        <v>386721.38621999999</v>
      </c>
      <c r="E13" s="20">
        <f>IF(OR(415924.46151="",386721.38622=""),"-",386721.38622/415924.46151*100)</f>
        <v>92.978755040283218</v>
      </c>
      <c r="F13" s="20">
        <f>IF(415924.46151="","-",415924.46151/3985166.5274*100)</f>
        <v>10.436815090418747</v>
      </c>
      <c r="G13" s="20">
        <f>IF(386721.38622="","-",386721.38622/3737310.64393*100)</f>
        <v>10.34758474915909</v>
      </c>
      <c r="H13" s="20">
        <f>IF(OR(2819533.73145="",331326.05799="",415924.46151=""),"-",(415924.46151-331326.05799)/2819533.73145*100)</f>
        <v>3.0004394902732243</v>
      </c>
      <c r="I13" s="20">
        <f>IF(OR(3985166.5274="",386721.38622="",415924.46151=""),"-",(386721.38622-415924.46151)/3985166.5274*100)</f>
        <v>-0.73279435349098598</v>
      </c>
      <c r="J13" s="30"/>
      <c r="K13" s="15"/>
      <c r="L13" s="15"/>
    </row>
    <row r="14" spans="1:12" s="2" customFormat="1" x14ac:dyDescent="0.25">
      <c r="A14" s="30" t="s">
        <v>185</v>
      </c>
      <c r="B14" s="31" t="s">
        <v>158</v>
      </c>
      <c r="C14" s="43">
        <v>328008.66732000001</v>
      </c>
      <c r="D14" s="20">
        <v>341762.35538000002</v>
      </c>
      <c r="E14" s="20">
        <f>IF(OR(328008.66732="",341762.35538=""),"-",341762.35538/328008.66732*100)</f>
        <v>104.19308677797289</v>
      </c>
      <c r="F14" s="20">
        <f>IF(328008.66732="","-",328008.66732/3985166.5274*100)</f>
        <v>8.230739294450494</v>
      </c>
      <c r="G14" s="20">
        <f>IF(341762.35538="","-",341762.35538/3737310.64393*100)</f>
        <v>9.1446065885659689</v>
      </c>
      <c r="H14" s="20">
        <f>IF(OR(2819533.73145="",282694.96364="",328008.66732=""),"-",(328008.66732-282694.96364)/2819533.73145*100)</f>
        <v>1.607134654022975</v>
      </c>
      <c r="I14" s="20">
        <f>IF(OR(3985166.5274="",341762.35538="",328008.66732=""),"-",(341762.35538-328008.66732)/3985166.5274*100)</f>
        <v>0.34512204108502309</v>
      </c>
      <c r="J14" s="30"/>
      <c r="K14" s="15"/>
      <c r="L14" s="15"/>
    </row>
    <row r="15" spans="1:12" s="2" customFormat="1" x14ac:dyDescent="0.25">
      <c r="A15" s="30" t="s">
        <v>186</v>
      </c>
      <c r="B15" s="31" t="s">
        <v>116</v>
      </c>
      <c r="C15" s="43">
        <v>24004.983540000001</v>
      </c>
      <c r="D15" s="20">
        <v>17893.632399999999</v>
      </c>
      <c r="E15" s="20">
        <f>IF(OR(24004.98354="",17893.6324=""),"-",17893.6324/24004.98354*100)</f>
        <v>74.541323347226921</v>
      </c>
      <c r="F15" s="20">
        <f>IF(24004.98354="","-",24004.98354/3985166.5274*100)</f>
        <v>0.60235835503871193</v>
      </c>
      <c r="G15" s="20">
        <f>IF(17893.6324="","-",17893.6324/3737310.64393*100)</f>
        <v>0.47878365233198283</v>
      </c>
      <c r="H15" s="20">
        <f>IF(OR(2819533.73145="",29788.83094="",24004.98354=""),"-",(24004.98354-29788.83094)/2819533.73145*100)</f>
        <v>-0.2051348893430526</v>
      </c>
      <c r="I15" s="20">
        <f>IF(OR(3985166.5274="",17893.6324="",24004.98354=""),"-",(17893.6324-24004.98354)/3985166.5274*100)</f>
        <v>-0.15335246590026858</v>
      </c>
      <c r="J15" s="30"/>
      <c r="K15" s="15"/>
      <c r="L15" s="15"/>
    </row>
    <row r="16" spans="1:12" s="2" customFormat="1" ht="17.25" customHeight="1" x14ac:dyDescent="0.25">
      <c r="A16" s="30" t="s">
        <v>187</v>
      </c>
      <c r="B16" s="31" t="s">
        <v>159</v>
      </c>
      <c r="C16" s="43">
        <v>11191.852709999999</v>
      </c>
      <c r="D16" s="20">
        <v>11698.914570000001</v>
      </c>
      <c r="E16" s="20">
        <f>IF(OR(11191.85271="",11698.91457=""),"-",11698.91457/11191.85271*100)</f>
        <v>104.53063378458276</v>
      </c>
      <c r="F16" s="20">
        <f>IF(11191.85271="","-",11191.85271/3985166.5274*100)</f>
        <v>0.28083776758262047</v>
      </c>
      <c r="G16" s="20">
        <f>IF(11698.91457="","-",11698.91457/3737310.64393*100)</f>
        <v>0.31303029596966847</v>
      </c>
      <c r="H16" s="20">
        <f>IF(OR(2819533.73145="",9787.97283="",11191.85271=""),"-",(11191.85271-9787.97283)/2819533.73145*100)</f>
        <v>4.9791207118420465E-2</v>
      </c>
      <c r="I16" s="20">
        <f>IF(OR(3985166.5274="",11698.91457="",11191.85271=""),"-",(11698.91457-11191.85271)/3985166.5274*100)</f>
        <v>1.2723730777966225E-2</v>
      </c>
      <c r="J16" s="30"/>
      <c r="K16" s="15"/>
      <c r="L16" s="15"/>
    </row>
    <row r="17" spans="1:12" s="2" customFormat="1" ht="15.75" customHeight="1" x14ac:dyDescent="0.25">
      <c r="A17" s="30" t="s">
        <v>188</v>
      </c>
      <c r="B17" s="31" t="s">
        <v>117</v>
      </c>
      <c r="C17" s="43">
        <v>50809.97062</v>
      </c>
      <c r="D17" s="20">
        <v>60731.746339999998</v>
      </c>
      <c r="E17" s="20">
        <f>IF(OR(50809.97062="",60731.74634=""),"-",60731.74634/50809.97062*100)</f>
        <v>119.52722191910607</v>
      </c>
      <c r="F17" s="20">
        <f>IF(50809.97062="","-",50809.97062/3985166.5274*100)</f>
        <v>1.2749773509000493</v>
      </c>
      <c r="G17" s="20">
        <f>IF(60731.74634="","-",60731.74634/3737310.64393*100)</f>
        <v>1.625011997293782</v>
      </c>
      <c r="H17" s="20">
        <f>IF(OR(2819533.73145="",24630.30853="",50809.97062=""),"-",(50809.97062-24630.30853)/2819533.73145*100)</f>
        <v>0.92851033481116052</v>
      </c>
      <c r="I17" s="20">
        <f>IF(OR(3985166.5274="",60731.74634="",50809.97062=""),"-",(60731.74634-50809.97062)/3985166.5274*100)</f>
        <v>0.24896765672859242</v>
      </c>
      <c r="J17" s="30"/>
      <c r="K17" s="15"/>
      <c r="L17" s="15"/>
    </row>
    <row r="18" spans="1:12" s="2" customFormat="1" x14ac:dyDescent="0.25">
      <c r="A18" s="30" t="s">
        <v>189</v>
      </c>
      <c r="B18" s="31" t="s">
        <v>160</v>
      </c>
      <c r="C18" s="43">
        <v>7834.4917500000001</v>
      </c>
      <c r="D18" s="20">
        <v>10162.20867</v>
      </c>
      <c r="E18" s="20">
        <f>IF(OR(7834.49175="",10162.20867=""),"-",10162.20867/7834.49175*100)</f>
        <v>129.7111413768481</v>
      </c>
      <c r="F18" s="20">
        <f>IF(7834.49175="","-",7834.49175/3985166.5274*100)</f>
        <v>0.19659132676474061</v>
      </c>
      <c r="G18" s="20">
        <f>IF(10162.20867="","-",10162.20867/3737310.64393*100)</f>
        <v>0.27191233585319113</v>
      </c>
      <c r="H18" s="20">
        <f>IF(OR(2819533.73145="",5155.07752="",7834.49175=""),"-",(7834.49175-5155.07752)/2819533.73145*100)</f>
        <v>9.5030401662265618E-2</v>
      </c>
      <c r="I18" s="20">
        <f>IF(OR(3985166.5274="",10162.20867="",7834.49175=""),"-",(10162.20867-7834.49175)/3985166.5274*100)</f>
        <v>5.8409527029693473E-2</v>
      </c>
      <c r="J18" s="30"/>
      <c r="K18" s="15"/>
      <c r="L18" s="15"/>
    </row>
    <row r="19" spans="1:12" s="2" customFormat="1" x14ac:dyDescent="0.25">
      <c r="A19" s="28" t="s">
        <v>190</v>
      </c>
      <c r="B19" s="29" t="s">
        <v>161</v>
      </c>
      <c r="C19" s="44">
        <v>175206.55317999999</v>
      </c>
      <c r="D19" s="19">
        <v>197211.72709</v>
      </c>
      <c r="E19" s="19">
        <f>IF(175206.55318="","-",197211.72709/175206.55318*100)</f>
        <v>112.55956099278592</v>
      </c>
      <c r="F19" s="19">
        <f>IF(175206.55318="","-",175206.55318/3985166.5274*100)</f>
        <v>4.3964675497339414</v>
      </c>
      <c r="G19" s="19">
        <f>IF(197211.72709="","-",197211.72709/3737310.64393*100)</f>
        <v>5.2768352935901621</v>
      </c>
      <c r="H19" s="19">
        <f>IF(2819533.73145="","-",(175206.55318-189199.07119)/2819533.73145*100)</f>
        <v>-0.49627063701784746</v>
      </c>
      <c r="I19" s="19">
        <f>IF(3985166.5274="","-",(197211.72709-175206.55318)/3985166.5274*100)</f>
        <v>0.55217702343687536</v>
      </c>
      <c r="J19" s="30"/>
      <c r="K19" s="15"/>
      <c r="L19" s="15"/>
    </row>
    <row r="20" spans="1:12" s="2" customFormat="1" x14ac:dyDescent="0.25">
      <c r="A20" s="30" t="s">
        <v>191</v>
      </c>
      <c r="B20" s="31" t="s">
        <v>162</v>
      </c>
      <c r="C20" s="43">
        <v>165292.08564</v>
      </c>
      <c r="D20" s="20">
        <v>188565.85271000001</v>
      </c>
      <c r="E20" s="20">
        <f>IF(OR(165292.08564="",188565.85271=""),"-",188565.85271/165292.08564*100)</f>
        <v>114.08038804754959</v>
      </c>
      <c r="F20" s="20">
        <f>IF(165292.08564="","-",165292.08564/3985166.5274*100)</f>
        <v>4.1476832775628019</v>
      </c>
      <c r="G20" s="20">
        <f>IF(188565.85271="","-",188565.85271/3737310.64393*100)</f>
        <v>5.0454958304379005</v>
      </c>
      <c r="H20" s="20">
        <f>IF(OR(2819533.73145="",177509.87676="",165292.08564=""),"-",(165292.08564-177509.87676)/2819533.73145*100)</f>
        <v>-0.43332665198216203</v>
      </c>
      <c r="I20" s="20">
        <f>IF(OR(3985166.5274="",188565.85271="",165292.08564=""),"-",(188565.85271-165292.08564)/3985166.5274*100)</f>
        <v>0.58400990046416601</v>
      </c>
      <c r="J20" s="28"/>
      <c r="K20" s="15"/>
      <c r="L20" s="15"/>
    </row>
    <row r="21" spans="1:12" s="2" customFormat="1" x14ac:dyDescent="0.25">
      <c r="A21" s="30" t="s">
        <v>192</v>
      </c>
      <c r="B21" s="31" t="s">
        <v>163</v>
      </c>
      <c r="C21" s="43">
        <v>9914.4675399999996</v>
      </c>
      <c r="D21" s="20">
        <v>8645.8743799999993</v>
      </c>
      <c r="E21" s="20">
        <f>IF(OR(9914.46754="",8645.87438=""),"-",8645.87438/9914.46754*100)</f>
        <v>87.204626422126537</v>
      </c>
      <c r="F21" s="20">
        <f>IF(9914.46754="","-",9914.46754/3985166.5274*100)</f>
        <v>0.24878427217114038</v>
      </c>
      <c r="G21" s="20">
        <f>IF(8645.87438="","-",8645.87438/3737310.64393*100)</f>
        <v>0.23133946315226178</v>
      </c>
      <c r="H21" s="20">
        <f>IF(OR(2819533.73145="",11689.19443="",9914.46754=""),"-",(9914.46754-11689.19443)/2819533.73145*100)</f>
        <v>-6.2943985035685754E-2</v>
      </c>
      <c r="I21" s="20">
        <f>IF(OR(3985166.5274="",8645.87438="",9914.46754=""),"-",(8645.87438-9914.46754)/3985166.5274*100)</f>
        <v>-3.183287702729088E-2</v>
      </c>
      <c r="J21" s="30"/>
      <c r="K21" s="15"/>
      <c r="L21" s="15"/>
    </row>
    <row r="22" spans="1:12" s="2" customFormat="1" x14ac:dyDescent="0.25">
      <c r="A22" s="28" t="s">
        <v>193</v>
      </c>
      <c r="B22" s="29" t="s">
        <v>18</v>
      </c>
      <c r="C22" s="44">
        <v>459681.67196000001</v>
      </c>
      <c r="D22" s="19">
        <v>324462.86349999998</v>
      </c>
      <c r="E22" s="19">
        <f>IF(459681.67196="","-",324462.8635/459681.67196*100)</f>
        <v>70.584250643831126</v>
      </c>
      <c r="F22" s="19">
        <f>IF(459681.67196="","-",459681.67196/3985166.5274*100)</f>
        <v>11.53481714752596</v>
      </c>
      <c r="G22" s="19">
        <f>IF(324462.8635="","-",324462.8635/3737310.64393*100)</f>
        <v>8.6817204779854311</v>
      </c>
      <c r="H22" s="19">
        <f>IF(2819533.73145="","-",(459681.67196-318242.30239)/2819533.73145*100)</f>
        <v>5.0164099117644554</v>
      </c>
      <c r="I22" s="19">
        <f>IF(3985166.5274="","-",(324462.8635-459681.67196)/3985166.5274*100)</f>
        <v>-3.393052900808625</v>
      </c>
      <c r="J22" s="30"/>
      <c r="K22" s="15"/>
      <c r="L22" s="15"/>
    </row>
    <row r="23" spans="1:12" s="2" customFormat="1" x14ac:dyDescent="0.25">
      <c r="A23" s="30" t="s">
        <v>194</v>
      </c>
      <c r="B23" s="31" t="s">
        <v>170</v>
      </c>
      <c r="C23" s="43">
        <v>1019.61056</v>
      </c>
      <c r="D23" s="20">
        <v>1071.0586499999999</v>
      </c>
      <c r="E23" s="20">
        <f>IF(OR(1019.61056="",1071.05865=""),"-",1071.05865/1019.61056*100)</f>
        <v>105.04585692011663</v>
      </c>
      <c r="F23" s="20">
        <f>IF(1019.61056="","-",1019.61056/3985166.5274*100)</f>
        <v>2.5585143129896099E-2</v>
      </c>
      <c r="G23" s="20">
        <f>IF(1071.05865="","-",1071.05865/3737310.64393*100)</f>
        <v>2.8658539576836443E-2</v>
      </c>
      <c r="H23" s="20">
        <f>IF(OR(2819533.73145="",1106.69093="",1019.61056=""),"-",(1019.61056-1106.69093)/2819533.73145*100)</f>
        <v>-3.0884670407974602E-3</v>
      </c>
      <c r="I23" s="20">
        <f>IF(OR(3985166.5274="",1071.05865="",1019.61056=""),"-",(1071.05865-1019.61056)/3985166.5274*100)</f>
        <v>1.2909897151416082E-3</v>
      </c>
      <c r="J23" s="28"/>
      <c r="K23" s="15"/>
      <c r="L23" s="15"/>
    </row>
    <row r="24" spans="1:12" s="2" customFormat="1" x14ac:dyDescent="0.25">
      <c r="A24" s="30" t="s">
        <v>195</v>
      </c>
      <c r="B24" s="31" t="s">
        <v>164</v>
      </c>
      <c r="C24" s="43">
        <v>373284.54405999999</v>
      </c>
      <c r="D24" s="20">
        <v>260413.75224999999</v>
      </c>
      <c r="E24" s="20">
        <f>IF(OR(373284.54406="",260413.75225=""),"-",260413.75225/373284.54406*100)</f>
        <v>69.7628006286117</v>
      </c>
      <c r="F24" s="20">
        <f>IF(373284.54406="","-",373284.54406/3985166.5274*100)</f>
        <v>9.3668493272108773</v>
      </c>
      <c r="G24" s="20">
        <f>IF(260413.75225="","-",260413.75225/3737310.64393*100)</f>
        <v>6.9679450562386158</v>
      </c>
      <c r="H24" s="20">
        <f>IF(OR(2819533.73145="",219380.45809="",373284.54406=""),"-",(373284.54406-219380.45809)/2819533.73145*100)</f>
        <v>5.4584942273718369</v>
      </c>
      <c r="I24" s="20">
        <f>IF(OR(3985166.5274="",260413.75225="",373284.54406=""),"-",(260413.75225-373284.54406)/3985166.5274*100)</f>
        <v>-2.8322729058862963</v>
      </c>
      <c r="J24" s="30"/>
      <c r="K24" s="15"/>
      <c r="L24" s="15"/>
    </row>
    <row r="25" spans="1:12" s="2" customFormat="1" x14ac:dyDescent="0.25">
      <c r="A25" s="30" t="s">
        <v>248</v>
      </c>
      <c r="B25" s="31" t="s">
        <v>165</v>
      </c>
      <c r="C25" s="43">
        <v>83.783529999999999</v>
      </c>
      <c r="D25" s="20">
        <v>23.587050000000001</v>
      </c>
      <c r="E25" s="20">
        <f>IF(OR(83.78353="",23.58705=""),"-",23.58705/83.78353*100)</f>
        <v>28.152370758310134</v>
      </c>
      <c r="F25" s="20">
        <f>IF(83.78353="","-",83.78353/3985166.5274*100)</f>
        <v>2.1023846663356877E-3</v>
      </c>
      <c r="G25" s="20">
        <f>IF(23.58705="","-",23.58705/3737310.64393*100)</f>
        <v>6.3112361393637974E-4</v>
      </c>
      <c r="H25" s="20">
        <f>IF(OR(2819533.73145="",0.79006="",83.78353=""),"-",(83.78353-0.79006)/2819533.73145*100)</f>
        <v>2.9435175424313508E-3</v>
      </c>
      <c r="I25" s="20">
        <f>IF(OR(3985166.5274="",23.58705="",83.78353=""),"-",(23.58705-83.78353)/3985166.5274*100)</f>
        <v>-1.5105135403030033E-3</v>
      </c>
      <c r="J25" s="30"/>
      <c r="K25" s="15"/>
      <c r="L25" s="15"/>
    </row>
    <row r="26" spans="1:12" s="2" customFormat="1" x14ac:dyDescent="0.25">
      <c r="A26" s="30" t="s">
        <v>196</v>
      </c>
      <c r="B26" s="31" t="s">
        <v>166</v>
      </c>
      <c r="C26" s="43">
        <v>3680.29511</v>
      </c>
      <c r="D26" s="20">
        <v>2677.5705600000001</v>
      </c>
      <c r="E26" s="20">
        <f>IF(OR(3680.29511="",2677.57056=""),"-",2677.57056/3680.29511*100)</f>
        <v>72.754235189579674</v>
      </c>
      <c r="F26" s="20">
        <f>IF(3680.29511="","-",3680.29511/3985166.5274*100)</f>
        <v>9.2349844973758116E-2</v>
      </c>
      <c r="G26" s="20">
        <f>IF(2677.57056="","-",2677.57056/3737310.64393*100)</f>
        <v>7.1644313655029185E-2</v>
      </c>
      <c r="H26" s="20">
        <f>IF(OR(2819533.73145="",2229.47178="",3680.29511=""),"-",(3680.29511-2229.47178)/2819533.73145*100)</f>
        <v>5.1456143752317739E-2</v>
      </c>
      <c r="I26" s="20">
        <f>IF(OR(3985166.5274="",2677.57056="",3680.29511=""),"-",(2677.57056-3680.29511)/3985166.5274*100)</f>
        <v>-2.5161421564337913E-2</v>
      </c>
      <c r="J26" s="30"/>
      <c r="K26" s="15"/>
      <c r="L26" s="15"/>
    </row>
    <row r="27" spans="1:12" s="2" customFormat="1" x14ac:dyDescent="0.25">
      <c r="A27" s="30" t="s">
        <v>197</v>
      </c>
      <c r="B27" s="31" t="s">
        <v>118</v>
      </c>
      <c r="C27" s="43">
        <v>4312.5666000000001</v>
      </c>
      <c r="D27" s="20">
        <v>3255.87608</v>
      </c>
      <c r="E27" s="20">
        <f>IF(OR(4312.5666="",3255.87608=""),"-",3255.87608/4312.5666*100)</f>
        <v>75.497409825508541</v>
      </c>
      <c r="F27" s="20">
        <f>IF(4312.5666="","-",4312.5666/3985166.5274*100)</f>
        <v>0.10821546779410501</v>
      </c>
      <c r="G27" s="20">
        <f>IF(3255.87608="","-",3255.87608/3737310.64393*100)</f>
        <v>8.7118155010423665E-2</v>
      </c>
      <c r="H27" s="20">
        <f>IF(OR(2819533.73145="",4800.82713="",4312.5666=""),"-",(4312.5666-4800.82713)/2819533.73145*100)</f>
        <v>-1.7317066455129874E-2</v>
      </c>
      <c r="I27" s="20">
        <f>IF(OR(3985166.5274="",3255.87608="",4312.5666=""),"-",(3255.87608-4312.5666)/3985166.5274*100)</f>
        <v>-2.6515592578998336E-2</v>
      </c>
      <c r="J27" s="30"/>
      <c r="K27" s="15"/>
      <c r="L27" s="15"/>
    </row>
    <row r="28" spans="1:12" s="2" customFormat="1" ht="27.75" customHeight="1" x14ac:dyDescent="0.25">
      <c r="A28" s="30" t="s">
        <v>198</v>
      </c>
      <c r="B28" s="31" t="s">
        <v>119</v>
      </c>
      <c r="C28" s="43">
        <v>222.15167</v>
      </c>
      <c r="D28" s="20">
        <v>214.54347000000001</v>
      </c>
      <c r="E28" s="20">
        <f>IF(OR(222.15167="",214.54347=""),"-",214.54347/222.15167*100)</f>
        <v>96.57522268457403</v>
      </c>
      <c r="F28" s="20">
        <f>IF(222.15167="","-",222.15167/3985166.5274*100)</f>
        <v>5.5744639144336096E-3</v>
      </c>
      <c r="G28" s="20">
        <f>IF(214.54347="","-",214.54347/3737310.64393*100)</f>
        <v>5.7405843517036375E-3</v>
      </c>
      <c r="H28" s="20">
        <f>IF(OR(2819533.73145="",287.16449="",222.15167=""),"-",(222.15167-287.16449)/2819533.73145*100)</f>
        <v>-2.3058003979461489E-3</v>
      </c>
      <c r="I28" s="20">
        <f>IF(OR(3985166.5274="",214.54347="",222.15167=""),"-",(214.54347-222.15167)/3985166.5274*100)</f>
        <v>-1.9091297559812936E-4</v>
      </c>
      <c r="J28" s="30"/>
      <c r="K28" s="15"/>
      <c r="L28" s="15"/>
    </row>
    <row r="29" spans="1:12" s="2" customFormat="1" ht="29.25" customHeight="1" x14ac:dyDescent="0.25">
      <c r="A29" s="30" t="s">
        <v>199</v>
      </c>
      <c r="B29" s="31" t="s">
        <v>120</v>
      </c>
      <c r="C29" s="43">
        <v>19845.592530000002</v>
      </c>
      <c r="D29" s="20">
        <v>18873.124039999999</v>
      </c>
      <c r="E29" s="20">
        <f>IF(OR(19845.59253="",18873.12404=""),"-",18873.12404/19845.59253*100)</f>
        <v>95.099826379434376</v>
      </c>
      <c r="F29" s="20">
        <f>IF(19845.59253="","-",19845.59253/3985166.5274*100)</f>
        <v>0.497986530639352</v>
      </c>
      <c r="G29" s="20">
        <f>IF(18873.12404="","-",18873.12404/3737310.64393*100)</f>
        <v>0.50499211433368596</v>
      </c>
      <c r="H29" s="20">
        <f>IF(OR(2819533.73145="",7185.75833="",19845.59253=""),"-",(19845.59253-7185.75833)/2819533.73145*100)</f>
        <v>0.44900453074166408</v>
      </c>
      <c r="I29" s="20">
        <f>IF(OR(3985166.5274="",18873.12404="",19845.59253=""),"-",(18873.12404-19845.59253)/3985166.5274*100)</f>
        <v>-2.4402204608359495E-2</v>
      </c>
      <c r="J29" s="30"/>
      <c r="K29" s="15"/>
      <c r="L29" s="15"/>
    </row>
    <row r="30" spans="1:12" s="2" customFormat="1" ht="15.75" customHeight="1" x14ac:dyDescent="0.25">
      <c r="A30" s="30" t="s">
        <v>200</v>
      </c>
      <c r="B30" s="31" t="s">
        <v>121</v>
      </c>
      <c r="C30" s="43">
        <v>52915.781329999998</v>
      </c>
      <c r="D30" s="20">
        <v>33207.329030000001</v>
      </c>
      <c r="E30" s="20">
        <f>IF(OR(52915.78133="",33207.32903=""),"-",33207.32903/52915.78133*100)</f>
        <v>62.755057556286111</v>
      </c>
      <c r="F30" s="20">
        <f>IF(52915.78133="","-",52915.78133/3985166.5274*100)</f>
        <v>1.3278185733564132</v>
      </c>
      <c r="G30" s="20">
        <f>IF(33207.32903="","-",33207.32903/3737310.64393*100)</f>
        <v>0.88853542543845276</v>
      </c>
      <c r="H30" s="20">
        <f>IF(OR(2819533.73145="",79202.79857="",52915.78133=""),"-",(52915.78133-79202.79857)/2819533.73145*100)</f>
        <v>-0.93231788457736919</v>
      </c>
      <c r="I30" s="20">
        <f>IF(OR(3985166.5274="",33207.32903="",52915.78133=""),"-",(33207.32903-52915.78133)/3985166.5274*100)</f>
        <v>-0.49454526340353899</v>
      </c>
      <c r="J30" s="30"/>
      <c r="K30" s="15"/>
      <c r="L30" s="15"/>
    </row>
    <row r="31" spans="1:12" s="2" customFormat="1" x14ac:dyDescent="0.25">
      <c r="A31" s="30" t="s">
        <v>201</v>
      </c>
      <c r="B31" s="31" t="s">
        <v>122</v>
      </c>
      <c r="C31" s="43">
        <v>4317.3465699999997</v>
      </c>
      <c r="D31" s="20">
        <v>4726.0223699999997</v>
      </c>
      <c r="E31" s="20">
        <f>IF(OR(4317.34657="",4726.02237=""),"-",4726.02237/4317.34657*100)</f>
        <v>109.46590210847955</v>
      </c>
      <c r="F31" s="20">
        <f>IF(4317.34657="","-",4317.34657/3985166.5274*100)</f>
        <v>0.1083354118407875</v>
      </c>
      <c r="G31" s="20">
        <f>IF(4726.02237="","-",4726.02237/3737310.64393*100)</f>
        <v>0.12645516576674803</v>
      </c>
      <c r="H31" s="20">
        <f>IF(OR(2819533.73145="",4048.34301="",4317.34657=""),"-",(4317.34657-4048.34301)/2819533.73145*100)</f>
        <v>9.5407108274480311E-3</v>
      </c>
      <c r="I31" s="20">
        <f>IF(OR(3985166.5274="",4726.02237="",4317.34657=""),"-",(4726.02237-4317.34657)/3985166.5274*100)</f>
        <v>1.025492403366712E-2</v>
      </c>
      <c r="J31" s="30"/>
      <c r="K31" s="15"/>
      <c r="L31" s="15"/>
    </row>
    <row r="32" spans="1:12" s="2" customFormat="1" x14ac:dyDescent="0.25">
      <c r="A32" s="28" t="s">
        <v>202</v>
      </c>
      <c r="B32" s="29" t="s">
        <v>123</v>
      </c>
      <c r="C32" s="44">
        <v>518359.06001000002</v>
      </c>
      <c r="D32" s="19">
        <v>438140.26016000001</v>
      </c>
      <c r="E32" s="19">
        <f>IF(518359.06001="","-",438140.26016/518359.06001*100)</f>
        <v>84.524472312984656</v>
      </c>
      <c r="F32" s="19">
        <f>IF(518359.06001="","-",518359.06001/3985166.5274*100)</f>
        <v>13.007212031066304</v>
      </c>
      <c r="G32" s="19">
        <f>IF(438140.26016="","-",438140.26016/3737310.64393*100)</f>
        <v>11.723410278233388</v>
      </c>
      <c r="H32" s="19">
        <f>IF(2819533.73145="","-",(518359.06001-15073.9546)/2819533.73145*100)</f>
        <v>17.849940924493779</v>
      </c>
      <c r="I32" s="19">
        <f>IF(3985166.5274="","-",(438140.26016-518359.06001)/3985166.5274*100)</f>
        <v>-2.0129346991764563</v>
      </c>
      <c r="J32" s="30"/>
      <c r="K32" s="15"/>
      <c r="L32" s="15"/>
    </row>
    <row r="33" spans="1:12" s="2" customFormat="1" x14ac:dyDescent="0.25">
      <c r="A33" s="30" t="s">
        <v>203</v>
      </c>
      <c r="B33" s="31" t="s">
        <v>167</v>
      </c>
      <c r="C33" s="43">
        <v>813.15363000000002</v>
      </c>
      <c r="D33" s="20">
        <v>160.66224</v>
      </c>
      <c r="E33" s="20">
        <f>IF(OR(813.15363="",160.66224=""),"-",160.66224/813.15363*100)</f>
        <v>19.757919545904258</v>
      </c>
      <c r="F33" s="20">
        <f>IF(813.15363="","-",813.15363/3985166.5274*100)</f>
        <v>2.0404508178244615E-2</v>
      </c>
      <c r="G33" s="20">
        <f>IF(160.66224="","-",160.66224/3737310.64393*100)</f>
        <v>4.2988730482156085E-3</v>
      </c>
      <c r="H33" s="20">
        <f>IF(OR(2819533.73145="",385.35397="",813.15363=""),"-",(813.15363-385.35397)/2819533.73145*100)</f>
        <v>1.5172709417453776E-2</v>
      </c>
      <c r="I33" s="20">
        <f>IF(OR(3985166.5274="",160.66224="",813.15363=""),"-",(160.66224-813.15363)/3985166.5274*100)</f>
        <v>-1.6373001868649591E-2</v>
      </c>
      <c r="J33" s="28"/>
      <c r="K33" s="15"/>
      <c r="L33" s="15"/>
    </row>
    <row r="34" spans="1:12" s="2" customFormat="1" x14ac:dyDescent="0.25">
      <c r="A34" s="30" t="s">
        <v>204</v>
      </c>
      <c r="B34" s="31" t="s">
        <v>124</v>
      </c>
      <c r="C34" s="43">
        <v>491779.94844000001</v>
      </c>
      <c r="D34" s="20">
        <v>385852.91813000001</v>
      </c>
      <c r="E34" s="20">
        <f>IF(OR(491779.94844="",385852.91813=""),"-",385852.91813/491779.94844*100)</f>
        <v>78.460482041608955</v>
      </c>
      <c r="F34" s="20">
        <f>IF(491779.94844="","-",491779.94844/3985166.5274*100)</f>
        <v>12.340260941638661</v>
      </c>
      <c r="G34" s="20">
        <f>IF(385852.91813="","-",385852.91813/3737310.64393*100)</f>
        <v>10.324346967429317</v>
      </c>
      <c r="H34" s="20">
        <f>IF(OR(2819533.73145="",14682.90706="",491779.94844=""),"-",(491779.94844-14682.90706)/2819533.73145*100)</f>
        <v>16.921132599277104</v>
      </c>
      <c r="I34" s="20">
        <f>IF(OR(3985166.5274="",385852.91813="",491779.94844=""),"-",(385852.91813-491779.94844)/3985166.5274*100)</f>
        <v>-2.6580327216365749</v>
      </c>
      <c r="J34" s="30"/>
      <c r="K34" s="15"/>
      <c r="L34" s="15"/>
    </row>
    <row r="35" spans="1:12" s="2" customFormat="1" x14ac:dyDescent="0.25">
      <c r="A35" s="32" t="s">
        <v>249</v>
      </c>
      <c r="B35" s="31" t="s">
        <v>268</v>
      </c>
      <c r="C35" s="43">
        <v>6638.61672</v>
      </c>
      <c r="D35" s="20">
        <v>9074.0396400000009</v>
      </c>
      <c r="E35" s="20">
        <f>IF(OR(6638.61672="",9074.03964=""),"-",9074.03964/6638.61672*100)</f>
        <v>136.68569858330369</v>
      </c>
      <c r="F35" s="20">
        <f>IF(6638.61672="","-",6638.61672/3985166.5274*100)</f>
        <v>0.16658316972091911</v>
      </c>
      <c r="G35" s="20">
        <f>IF(9074.03964="","-",9074.03964/3737310.64393*100)</f>
        <v>0.24279597027177061</v>
      </c>
      <c r="H35" s="20" t="str">
        <f>IF(OR(2819533.73145="",""="",6638.61672=""),"-",(6638.61672-"")/2819533.73145*100)</f>
        <v>-</v>
      </c>
      <c r="I35" s="20">
        <f>IF(OR(3985166.5274="",9074.03964="",6638.61672=""),"-",(9074.03964-6638.61672)/3985166.5274*100)</f>
        <v>6.1112199534329573E-2</v>
      </c>
      <c r="J35" s="30"/>
      <c r="K35" s="15"/>
      <c r="L35" s="15"/>
    </row>
    <row r="36" spans="1:12" s="2" customFormat="1" x14ac:dyDescent="0.25">
      <c r="A36" s="30" t="s">
        <v>254</v>
      </c>
      <c r="B36" s="31" t="s">
        <v>255</v>
      </c>
      <c r="C36" s="43">
        <v>19127.341219999998</v>
      </c>
      <c r="D36" s="20">
        <v>43052.640149999999</v>
      </c>
      <c r="E36" s="20" t="s">
        <v>330</v>
      </c>
      <c r="F36" s="20">
        <f>IF(19127.34122="","-",19127.34122/3985166.5274*100)</f>
        <v>0.47996341152847755</v>
      </c>
      <c r="G36" s="20">
        <f>IF(43052.64015="","-",43052.64015/3737310.64393*100)</f>
        <v>1.1519684674840849</v>
      </c>
      <c r="H36" s="20">
        <f>IF(OR(2819533.73145="",5.69357="",19127.34122=""),"-",(19127.34122-5.69357)/2819533.73145*100)</f>
        <v>0.67818474511267224</v>
      </c>
      <c r="I36" s="20">
        <f>IF(OR(3985166.5274="",43052.64015="",19127.34122=""),"-",(43052.64015-19127.34122)/3985166.5274*100)</f>
        <v>0.60035882479443914</v>
      </c>
      <c r="J36" s="30"/>
      <c r="K36" s="15"/>
      <c r="L36" s="15"/>
    </row>
    <row r="37" spans="1:12" s="2" customFormat="1" ht="14.25" customHeight="1" x14ac:dyDescent="0.25">
      <c r="A37" s="28" t="s">
        <v>205</v>
      </c>
      <c r="B37" s="29" t="s">
        <v>125</v>
      </c>
      <c r="C37" s="44">
        <v>346495.64984000003</v>
      </c>
      <c r="D37" s="19">
        <v>228362.71156</v>
      </c>
      <c r="E37" s="19">
        <f>IF(346495.64984="","-",228362.71156/346495.64984*100)</f>
        <v>65.906371888204134</v>
      </c>
      <c r="F37" s="19">
        <f>IF(346495.64984="","-",346495.64984/3985166.5274*100)</f>
        <v>8.6946341503590947</v>
      </c>
      <c r="G37" s="19">
        <f>IF(228362.71156="","-",228362.71156/3737310.64393*100)</f>
        <v>6.1103486789597801</v>
      </c>
      <c r="H37" s="19">
        <f>IF(2819533.73145="","-",(346495.64984-99888.81709)/2819533.73145*100)</f>
        <v>8.7463693021036395</v>
      </c>
      <c r="I37" s="19">
        <f>IF(3985166.5274="","-",(228362.71156-346495.64984)/3985166.5274*100)</f>
        <v>-2.9643162329046322</v>
      </c>
      <c r="J37" s="30"/>
      <c r="K37" s="15"/>
      <c r="L37" s="15"/>
    </row>
    <row r="38" spans="1:12" s="2" customFormat="1" x14ac:dyDescent="0.25">
      <c r="A38" s="30" t="s">
        <v>206</v>
      </c>
      <c r="B38" s="31" t="s">
        <v>171</v>
      </c>
      <c r="C38" s="43">
        <v>2.7789799999999998</v>
      </c>
      <c r="D38" s="20">
        <v>1.9330099999999999</v>
      </c>
      <c r="E38" s="20">
        <f>IF(OR(2.77898="",1.93301=""),"-",1.93301/2.77898*100)</f>
        <v>69.558255187154998</v>
      </c>
      <c r="F38" s="20">
        <f>IF(2.77898="","-",2.77898/3985166.5274*100)</f>
        <v>6.9733095992178282E-5</v>
      </c>
      <c r="G38" s="20">
        <f>IF(1.93301="","-",1.93301/3737310.64393*100)</f>
        <v>5.1721951535913195E-5</v>
      </c>
      <c r="H38" s="20">
        <f>IF(OR(2819533.73145="",10.03732="",2.77898=""),"-",(2.77898-10.03732)/2819533.73145*100)</f>
        <v>-2.5743050771260883E-4</v>
      </c>
      <c r="I38" s="20">
        <f>IF(OR(3985166.5274="",1.93301="",2.77898=""),"-",(1.93301-2.77898)/3985166.5274*100)</f>
        <v>-2.1227971132035158E-5</v>
      </c>
      <c r="J38" s="28"/>
      <c r="K38" s="15"/>
      <c r="L38" s="15"/>
    </row>
    <row r="39" spans="1:12" s="2" customFormat="1" ht="28.5" customHeight="1" x14ac:dyDescent="0.25">
      <c r="A39" s="30" t="s">
        <v>207</v>
      </c>
      <c r="B39" s="31" t="s">
        <v>126</v>
      </c>
      <c r="C39" s="43">
        <v>346480.75319000002</v>
      </c>
      <c r="D39" s="20">
        <v>228304.72146999999</v>
      </c>
      <c r="E39" s="20">
        <f>IF(OR(346480.75319="",228304.72147=""),"-",228304.72147/346480.75319*100)</f>
        <v>65.892468591120931</v>
      </c>
      <c r="F39" s="20">
        <f>IF(346480.75319="","-",346480.75319/3985166.5274*100)</f>
        <v>8.6942603479120049</v>
      </c>
      <c r="G39" s="20">
        <f>IF(228304.72147="","-",228304.72147/3737310.64393*100)</f>
        <v>6.1087970260327165</v>
      </c>
      <c r="H39" s="20">
        <f>IF(OR(2819533.73145="",99875.21744="",346480.75319=""),"-",(346480.75319-99875.21744)/2819533.73145*100)</f>
        <v>8.7463233015899533</v>
      </c>
      <c r="I39" s="20">
        <f>IF(OR(3985166.5274="",228304.72147="",346480.75319=""),"-",(228304.72147-346480.75319)/3985166.5274*100)</f>
        <v>-2.9653975789338061</v>
      </c>
      <c r="J39" s="30"/>
      <c r="K39" s="15"/>
      <c r="L39" s="15"/>
    </row>
    <row r="40" spans="1:12" s="2" customFormat="1" ht="40.5" customHeight="1" x14ac:dyDescent="0.25">
      <c r="A40" s="30" t="s">
        <v>208</v>
      </c>
      <c r="B40" s="31" t="s">
        <v>169</v>
      </c>
      <c r="C40" s="43">
        <v>12.11767</v>
      </c>
      <c r="D40" s="20">
        <v>56.057079999999999</v>
      </c>
      <c r="E40" s="20" t="s">
        <v>399</v>
      </c>
      <c r="F40" s="20">
        <f>IF(12.11767="","-",12.11767/3985166.5274*100)</f>
        <v>3.0406935109699926E-4</v>
      </c>
      <c r="G40" s="20">
        <f>IF(56.05708="","-",56.05708/3737310.64393*100)</f>
        <v>1.4999309755277051E-3</v>
      </c>
      <c r="H40" s="20">
        <f>IF(OR(2819533.73145="",3.56233="",12.11767=""),"-",(12.11767-3.56233)/2819533.73145*100)</f>
        <v>3.0343102139800441E-4</v>
      </c>
      <c r="I40" s="20">
        <f>IF(OR(3985166.5274="",56.05708="",12.11767=""),"-",(56.05708-12.11767)/3985166.5274*100)</f>
        <v>1.1025740003057518E-3</v>
      </c>
      <c r="J40" s="30"/>
      <c r="K40" s="15"/>
      <c r="L40" s="15"/>
    </row>
    <row r="41" spans="1:12" s="2" customFormat="1" ht="27" customHeight="1" x14ac:dyDescent="0.25">
      <c r="A41" s="28" t="s">
        <v>209</v>
      </c>
      <c r="B41" s="29" t="s">
        <v>127</v>
      </c>
      <c r="C41" s="44">
        <v>133532.15268999999</v>
      </c>
      <c r="D41" s="19">
        <v>125482.28939000001</v>
      </c>
      <c r="E41" s="19">
        <f>IF(133532.15269="","-",125482.28939/133532.15269*100)</f>
        <v>93.971591756864697</v>
      </c>
      <c r="F41" s="19">
        <f>IF(133532.15269="","-",133532.15269/3985166.5274*100)</f>
        <v>3.3507295560147887</v>
      </c>
      <c r="G41" s="19">
        <f>IF(125482.28939="","-",125482.28939/3737310.64393*100)</f>
        <v>3.3575557759375352</v>
      </c>
      <c r="H41" s="19">
        <f>IF(2819533.73145="","-",(133532.15269-137912.00697)/2819533.73145*100)</f>
        <v>-0.15533966595773177</v>
      </c>
      <c r="I41" s="19">
        <f>IF(3985166.5274="","-",(125482.28939-133532.15269)/3985166.5274*100)</f>
        <v>-0.20199565675996656</v>
      </c>
      <c r="J41" s="30"/>
      <c r="K41" s="15"/>
      <c r="L41" s="15"/>
    </row>
    <row r="42" spans="1:12" s="2" customFormat="1" x14ac:dyDescent="0.25">
      <c r="A42" s="30" t="s">
        <v>210</v>
      </c>
      <c r="B42" s="31" t="s">
        <v>19</v>
      </c>
      <c r="C42" s="43">
        <v>45547.400009999998</v>
      </c>
      <c r="D42" s="20">
        <v>27458.816620000001</v>
      </c>
      <c r="E42" s="20">
        <f>IF(OR(45547.40001="",27458.81662=""),"-",27458.81662/45547.40001*100)</f>
        <v>60.286243811878123</v>
      </c>
      <c r="F42" s="20">
        <f>IF(45547.40001="","-",45547.40001/3985166.5274*100)</f>
        <v>1.1429233809136705</v>
      </c>
      <c r="G42" s="20">
        <f>IF(27458.81662="","-",27458.81662/3737310.64393*100)</f>
        <v>0.73472128051751828</v>
      </c>
      <c r="H42" s="20">
        <f>IF(OR(2819533.73145="",32555.98347="",45547.40001=""),"-",(45547.40001-32555.98347)/2819533.73145*100)</f>
        <v>0.46076471421815229</v>
      </c>
      <c r="I42" s="20">
        <f>IF(OR(3985166.5274="",27458.81662="",45547.40001=""),"-",(27458.81662-45547.40001)/3985166.5274*100)</f>
        <v>-0.45389780491309456</v>
      </c>
      <c r="J42" s="30"/>
      <c r="K42" s="15"/>
      <c r="L42" s="15"/>
    </row>
    <row r="43" spans="1:12" s="2" customFormat="1" x14ac:dyDescent="0.25">
      <c r="A43" s="30" t="s">
        <v>211</v>
      </c>
      <c r="B43" s="31" t="s">
        <v>20</v>
      </c>
      <c r="C43" s="43">
        <v>7587.3394600000001</v>
      </c>
      <c r="D43" s="20">
        <v>8460.7036800000005</v>
      </c>
      <c r="E43" s="20">
        <f>IF(OR(7587.33946="",8460.70368=""),"-",8460.70368/7587.33946*100)</f>
        <v>111.51080987748504</v>
      </c>
      <c r="F43" s="20">
        <f>IF(7587.33946="","-",7587.33946/3985166.5274*100)</f>
        <v>0.1903895209355311</v>
      </c>
      <c r="G43" s="20">
        <f>IF(8460.70368="","-",8460.70368/3737310.64393*100)</f>
        <v>0.22638481213065761</v>
      </c>
      <c r="H43" s="20">
        <f>IF(OR(2819533.73145="",1279.4021="",7587.33946=""),"-",(7587.33946-1279.4021)/2819533.73145*100)</f>
        <v>0.22372271307270442</v>
      </c>
      <c r="I43" s="20">
        <f>IF(OR(3985166.5274="",8460.70368="",7587.33946=""),"-",(8460.70368-7587.33946)/3985166.5274*100)</f>
        <v>2.1915375781543567E-2</v>
      </c>
      <c r="J43" s="30"/>
      <c r="K43" s="15"/>
      <c r="L43" s="15"/>
    </row>
    <row r="44" spans="1:12" s="2" customFormat="1" x14ac:dyDescent="0.25">
      <c r="A44" s="30" t="s">
        <v>212</v>
      </c>
      <c r="B44" s="31" t="s">
        <v>128</v>
      </c>
      <c r="C44" s="43">
        <v>2935.1842799999999</v>
      </c>
      <c r="D44" s="20">
        <v>4366.1590100000003</v>
      </c>
      <c r="E44" s="20">
        <f>IF(OR(2935.18428="",4366.15901=""),"-",4366.15901/2935.18428*100)</f>
        <v>148.75246640391521</v>
      </c>
      <c r="F44" s="20">
        <f>IF(2935.18428="","-",2935.18428/3985166.5274*100)</f>
        <v>7.3652738469500573E-2</v>
      </c>
      <c r="G44" s="20">
        <f>IF(4366.15901="","-",4366.15901/3737310.64393*100)</f>
        <v>0.11682622682412962</v>
      </c>
      <c r="H44" s="20">
        <f>IF(OR(2819533.73145="",2762.61177="",2935.18428=""),"-",(2935.18428-2762.61177)/2819533.73145*100)</f>
        <v>6.1206045551102954E-3</v>
      </c>
      <c r="I44" s="20">
        <f>IF(OR(3985166.5274="",4366.15901="",2935.18428=""),"-",(4366.15901-2935.18428)/3985166.5274*100)</f>
        <v>3.5907526577906794E-2</v>
      </c>
      <c r="J44" s="30"/>
      <c r="K44" s="15"/>
      <c r="L44" s="15"/>
    </row>
    <row r="45" spans="1:12" s="2" customFormat="1" x14ac:dyDescent="0.25">
      <c r="A45" s="30" t="s">
        <v>213</v>
      </c>
      <c r="B45" s="31" t="s">
        <v>129</v>
      </c>
      <c r="C45" s="43">
        <v>42637.064599999998</v>
      </c>
      <c r="D45" s="20">
        <v>41776.970759999997</v>
      </c>
      <c r="E45" s="20">
        <f>IF(OR(42637.0646="",41776.97076=""),"-",41776.97076/42637.0646*100)</f>
        <v>97.982755501418822</v>
      </c>
      <c r="F45" s="20">
        <f>IF(42637.0646="","-",42637.0646/3985166.5274*100)</f>
        <v>1.0698941764879584</v>
      </c>
      <c r="G45" s="20">
        <f>IF(41776.97076="","-",41776.97076/3737310.64393*100)</f>
        <v>1.1178351156827864</v>
      </c>
      <c r="H45" s="20">
        <f>IF(OR(2819533.73145="",78063.78757="",42637.0646=""),"-",(42637.0646-78063.78757)/2819533.73145*100)</f>
        <v>-1.2564745218274487</v>
      </c>
      <c r="I45" s="20">
        <f>IF(OR(3985166.5274="",41776.97076="",42637.0646=""),"-",(41776.97076-42637.0646)/3985166.5274*100)</f>
        <v>-2.1582381415843701E-2</v>
      </c>
      <c r="J45" s="30"/>
      <c r="K45" s="15"/>
      <c r="L45" s="15"/>
    </row>
    <row r="46" spans="1:12" ht="28.5" customHeight="1" x14ac:dyDescent="0.25">
      <c r="A46" s="30" t="s">
        <v>214</v>
      </c>
      <c r="B46" s="31" t="s">
        <v>130</v>
      </c>
      <c r="C46" s="43">
        <v>17416.06971</v>
      </c>
      <c r="D46" s="20">
        <v>17028.514630000001</v>
      </c>
      <c r="E46" s="20">
        <f>IF(OR(17416.06971="",17028.51463=""),"-",17028.51463/17416.06971*100)</f>
        <v>97.774727097139078</v>
      </c>
      <c r="F46" s="20">
        <f>IF(17416.06971="","-",17416.06971/3985166.5274*100)</f>
        <v>0.4370223826345993</v>
      </c>
      <c r="G46" s="20">
        <f>IF(17028.51463="","-",17028.51463/3737310.64393*100)</f>
        <v>0.45563551581287676</v>
      </c>
      <c r="H46" s="20">
        <f>IF(OR(2819533.73145="",11932.12855="",17416.06971=""),"-",(17416.06971-11932.12855)/2819533.73145*100)</f>
        <v>0.19449815757940153</v>
      </c>
      <c r="I46" s="20">
        <f>IF(OR(3985166.5274="",17028.51463="",17416.06971=""),"-",(17028.51463-17416.06971)/3985166.5274*100)</f>
        <v>-9.7249406602049008E-3</v>
      </c>
      <c r="J46" s="30"/>
    </row>
    <row r="47" spans="1:12" ht="18" customHeight="1" x14ac:dyDescent="0.25">
      <c r="A47" s="30" t="s">
        <v>215</v>
      </c>
      <c r="B47" s="31" t="s">
        <v>131</v>
      </c>
      <c r="C47" s="43">
        <v>266.11606</v>
      </c>
      <c r="D47" s="20">
        <v>364.82477</v>
      </c>
      <c r="E47" s="20">
        <f>IF(OR(266.11606="",364.82477=""),"-",364.82477/266.11606*100)</f>
        <v>137.09235361443424</v>
      </c>
      <c r="F47" s="20">
        <f>IF(266.11606="","-",266.11606/3985166.5274*100)</f>
        <v>6.6776647392353594E-3</v>
      </c>
      <c r="G47" s="20">
        <f>IF(364.82477="","-",364.82477/3737310.64393*100)</f>
        <v>9.761692424271308E-3</v>
      </c>
      <c r="H47" s="20">
        <f>IF(OR(2819533.73145="",153.29059="",266.11606=""),"-",(266.11606-153.29059)/2819533.73145*100)</f>
        <v>4.0015648240525684E-3</v>
      </c>
      <c r="I47" s="20">
        <f>IF(OR(3985166.5274="",364.82477="",266.11606=""),"-",(364.82477-266.11606)/3985166.5274*100)</f>
        <v>2.4769030182635672E-3</v>
      </c>
      <c r="J47" s="30"/>
    </row>
    <row r="48" spans="1:12" x14ac:dyDescent="0.25">
      <c r="A48" s="30" t="s">
        <v>216</v>
      </c>
      <c r="B48" s="31" t="s">
        <v>21</v>
      </c>
      <c r="C48" s="43">
        <v>4715.28856</v>
      </c>
      <c r="D48" s="20">
        <v>15528.86119</v>
      </c>
      <c r="E48" s="20" t="s">
        <v>352</v>
      </c>
      <c r="F48" s="20">
        <f>IF(4715.28856="","-",4715.28856/3985166.5274*100)</f>
        <v>0.11832099179745811</v>
      </c>
      <c r="G48" s="20">
        <f>IF(15528.86119="","-",15528.86119/3737310.64393*100)</f>
        <v>0.41550897609277926</v>
      </c>
      <c r="H48" s="20">
        <f>IF(OR(2819533.73145="",2785.20555="",4715.28856=""),"-",(4715.28856-2785.20555)/2819533.73145*100)</f>
        <v>6.8453978346533814E-2</v>
      </c>
      <c r="I48" s="20">
        <f>IF(OR(3985166.5274="",15528.86119="",4715.28856=""),"-",(15528.86119-4715.28856)/3985166.5274*100)</f>
        <v>0.27134556500089302</v>
      </c>
      <c r="J48" s="30"/>
    </row>
    <row r="49" spans="1:10" x14ac:dyDescent="0.25">
      <c r="A49" s="30" t="s">
        <v>217</v>
      </c>
      <c r="B49" s="31" t="s">
        <v>22</v>
      </c>
      <c r="C49" s="43">
        <v>7280.2113600000002</v>
      </c>
      <c r="D49" s="20">
        <v>4499.9169199999997</v>
      </c>
      <c r="E49" s="20">
        <f>IF(OR(7280.21136="",4499.91692=""),"-",4499.91692/7280.21136*100)</f>
        <v>61.810251069414001</v>
      </c>
      <c r="F49" s="20">
        <f>IF(7280.21136="","-",7280.21136/3985166.5274*100)</f>
        <v>0.18268273885030725</v>
      </c>
      <c r="G49" s="20">
        <f>IF(4499.91692="","-",4499.91692/3737310.64393*100)</f>
        <v>0.12040521510591036</v>
      </c>
      <c r="H49" s="20">
        <f>IF(OR(2819533.73145="",3440.10287="",7280.21136=""),"-",(7280.21136-3440.10287)/2819533.73145*100)</f>
        <v>0.13619657914236585</v>
      </c>
      <c r="I49" s="20">
        <f>IF(OR(3985166.5274="",4499.91692="",7280.21136=""),"-",(4499.91692-7280.21136)/3985166.5274*100)</f>
        <v>-6.9766079306450429E-2</v>
      </c>
      <c r="J49" s="30"/>
    </row>
    <row r="50" spans="1:10" x14ac:dyDescent="0.25">
      <c r="A50" s="30" t="s">
        <v>218</v>
      </c>
      <c r="B50" s="31" t="s">
        <v>132</v>
      </c>
      <c r="C50" s="43">
        <v>5147.47865</v>
      </c>
      <c r="D50" s="20">
        <v>5997.5218100000002</v>
      </c>
      <c r="E50" s="20">
        <f>IF(OR(5147.47865="",5997.52181=""),"-",5997.52181/5147.47865*100)</f>
        <v>116.51377728395241</v>
      </c>
      <c r="F50" s="20">
        <f>IF(5147.47865="","-",5147.47865/3985166.5274*100)</f>
        <v>0.12916596118652826</v>
      </c>
      <c r="G50" s="20">
        <f>IF(5997.52181="","-",5997.52181/3737310.64393*100)</f>
        <v>0.16047694134660576</v>
      </c>
      <c r="H50" s="20">
        <f>IF(OR(2819533.73145="",4939.4945="",5147.47865=""),"-",(5147.47865-4939.4945)/2819533.73145*100)</f>
        <v>7.3765441313958079E-3</v>
      </c>
      <c r="I50" s="20">
        <f>IF(OR(3985166.5274="",5997.52181="",5147.47865=""),"-",(5997.52181-5147.47865)/3985166.5274*100)</f>
        <v>2.133017915701969E-2</v>
      </c>
      <c r="J50" s="28"/>
    </row>
    <row r="51" spans="1:10" ht="26.25" customHeight="1" x14ac:dyDescent="0.25">
      <c r="A51" s="28" t="s">
        <v>219</v>
      </c>
      <c r="B51" s="29" t="s">
        <v>322</v>
      </c>
      <c r="C51" s="44">
        <v>267105.78318000003</v>
      </c>
      <c r="D51" s="19">
        <v>257975.74909</v>
      </c>
      <c r="E51" s="19">
        <f>IF(267105.78318="","-",257975.74909/267105.78318*100)</f>
        <v>96.581865813123414</v>
      </c>
      <c r="F51" s="19">
        <f>IF(267105.78318="","-",267105.78318/3985166.5274*100)</f>
        <v>6.7024999167165298</v>
      </c>
      <c r="G51" s="19">
        <f>IF(257975.74909="","-",257975.74909/3737310.64393*100)</f>
        <v>6.9027108974469256</v>
      </c>
      <c r="H51" s="19">
        <f>IF(2819533.73145="","-",(267105.78318-224076.27371)/2819533.73145*100)</f>
        <v>1.5261214643412426</v>
      </c>
      <c r="I51" s="19">
        <f>IF(3985166.5274="","-",(257975.74909-267105.78318)/3985166.5274*100)</f>
        <v>-0.22910044102866239</v>
      </c>
      <c r="J51" s="30"/>
    </row>
    <row r="52" spans="1:10" x14ac:dyDescent="0.25">
      <c r="A52" s="30" t="s">
        <v>220</v>
      </c>
      <c r="B52" s="31" t="s">
        <v>133</v>
      </c>
      <c r="C52" s="43">
        <v>2947.35671</v>
      </c>
      <c r="D52" s="20">
        <v>1133.0292099999999</v>
      </c>
      <c r="E52" s="20">
        <f>IF(OR(2947.35671="",1133.02921=""),"-",1133.02921/2947.35671*100)</f>
        <v>38.442215228166255</v>
      </c>
      <c r="F52" s="20">
        <f>IF(2947.35671="","-",2947.35671/3985166.5274*100)</f>
        <v>7.3958181916250129E-2</v>
      </c>
      <c r="G52" s="20">
        <f>IF(1133.02921="","-",1133.02921/3737310.64393*100)</f>
        <v>3.0316698769480767E-2</v>
      </c>
      <c r="H52" s="20">
        <f>IF(OR(2819533.73145="",982.5417="",2947.35671=""),"-",(2947.35671-982.5417)/2819533.73145*100)</f>
        <v>6.9685813228045901E-2</v>
      </c>
      <c r="I52" s="20">
        <f>IF(OR(3985166.5274="",1133.02921="",2947.35671=""),"-",(1133.02921-2947.35671)/3985166.5274*100)</f>
        <v>-4.5527018445166524E-2</v>
      </c>
      <c r="J52" s="30"/>
    </row>
    <row r="53" spans="1:10" x14ac:dyDescent="0.25">
      <c r="A53" s="30" t="s">
        <v>221</v>
      </c>
      <c r="B53" s="31" t="s">
        <v>23</v>
      </c>
      <c r="C53" s="43">
        <v>1306.7919300000001</v>
      </c>
      <c r="D53" s="20">
        <v>2612.04655</v>
      </c>
      <c r="E53" s="20" t="s">
        <v>340</v>
      </c>
      <c r="F53" s="20">
        <f>IF(1306.79193="","-",1306.79193/3985166.5274*100)</f>
        <v>3.2791400836455799E-2</v>
      </c>
      <c r="G53" s="20">
        <f>IF(2612.04655="","-",2612.04655/3737310.64393*100)</f>
        <v>6.9891074059963101E-2</v>
      </c>
      <c r="H53" s="20">
        <f>IF(OR(2819533.73145="",1254.87349="",1306.79193=""),"-",(1306.79193-1254.87349)/2819533.73145*100)</f>
        <v>1.8413838934035409E-3</v>
      </c>
      <c r="I53" s="20">
        <f>IF(OR(3985166.5274="",2612.04655="",1306.79193=""),"-",(2612.04655-1306.79193)/3985166.5274*100)</f>
        <v>3.2752825033175552E-2</v>
      </c>
      <c r="J53" s="30"/>
    </row>
    <row r="54" spans="1:10" x14ac:dyDescent="0.25">
      <c r="A54" s="30" t="s">
        <v>222</v>
      </c>
      <c r="B54" s="31" t="s">
        <v>134</v>
      </c>
      <c r="C54" s="43">
        <v>24438.249749999999</v>
      </c>
      <c r="D54" s="20">
        <v>18981.818599999999</v>
      </c>
      <c r="E54" s="20">
        <f>IF(OR(24438.24975="",18981.8186=""),"-",18981.8186/24438.24975*100)</f>
        <v>77.672578004486596</v>
      </c>
      <c r="F54" s="20">
        <f>IF(24438.24975="","-",24438.24975/3985166.5274*100)</f>
        <v>0.61323032756535745</v>
      </c>
      <c r="G54" s="20">
        <f>IF(18981.8186="","-",18981.8186/3737310.64393*100)</f>
        <v>0.5079004773346727</v>
      </c>
      <c r="H54" s="20">
        <f>IF(OR(2819533.73145="",23684.31267="",24438.24975=""),"-",(24438.24975-23684.31267)/2819533.73145*100)</f>
        <v>2.6739778694269172E-2</v>
      </c>
      <c r="I54" s="20">
        <f>IF(OR(3985166.5274="",18981.8186="",24438.24975=""),"-",(18981.8186-24438.24975)/3985166.5274*100)</f>
        <v>-0.13691852303998653</v>
      </c>
      <c r="J54" s="30"/>
    </row>
    <row r="55" spans="1:10" ht="27" customHeight="1" x14ac:dyDescent="0.25">
      <c r="A55" s="30" t="s">
        <v>223</v>
      </c>
      <c r="B55" s="31" t="s">
        <v>135</v>
      </c>
      <c r="C55" s="43">
        <v>18047.855729999999</v>
      </c>
      <c r="D55" s="20">
        <v>19551.273140000001</v>
      </c>
      <c r="E55" s="20">
        <f>IF(OR(18047.85573="",19551.27314=""),"-",19551.27314/18047.85573*100)</f>
        <v>108.33017191898841</v>
      </c>
      <c r="F55" s="20">
        <f>IF(18047.85573="","-",18047.85573/3985166.5274*100)</f>
        <v>0.45287582352988326</v>
      </c>
      <c r="G55" s="20">
        <f>IF(19551.27314="","-",19551.27314/3737310.64393*100)</f>
        <v>0.52313749117308317</v>
      </c>
      <c r="H55" s="20">
        <f>IF(OR(2819533.73145="",10328.26308="",18047.85573=""),"-",(18047.85573-10328.26308)/2819533.73145*100)</f>
        <v>0.27378968954664884</v>
      </c>
      <c r="I55" s="20">
        <f>IF(OR(3985166.5274="",19551.27314="",18047.85573=""),"-",(19551.27314-18047.85573)/3985166.5274*100)</f>
        <v>3.7725334679573869E-2</v>
      </c>
      <c r="J55" s="30"/>
    </row>
    <row r="56" spans="1:10" ht="26.25" customHeight="1" x14ac:dyDescent="0.25">
      <c r="A56" s="30" t="s">
        <v>224</v>
      </c>
      <c r="B56" s="31" t="s">
        <v>136</v>
      </c>
      <c r="C56" s="43">
        <v>86126.476030000005</v>
      </c>
      <c r="D56" s="20">
        <v>75472.998070000001</v>
      </c>
      <c r="E56" s="20">
        <f>IF(OR(86126.47603="",75472.99807=""),"-",75472.99807/86126.47603*100)</f>
        <v>87.630426262547729</v>
      </c>
      <c r="F56" s="20">
        <f>IF(86126.47603="","-",86126.47603/3985166.5274*100)</f>
        <v>2.1611763382492972</v>
      </c>
      <c r="G56" s="20">
        <f>IF(75472.99807="","-",75472.99807/3737310.64393*100)</f>
        <v>2.0194467428759348</v>
      </c>
      <c r="H56" s="20">
        <f>IF(OR(2819533.73145="",74004.58263="",86126.47603=""),"-",(86126.47603-74004.58263)/2819533.73145*100)</f>
        <v>0.42992546124873221</v>
      </c>
      <c r="I56" s="20">
        <f>IF(OR(3985166.5274="",75472.99807="",86126.47603=""),"-",(75472.99807-86126.47603)/3985166.5274*100)</f>
        <v>-0.26732830075611774</v>
      </c>
      <c r="J56" s="30"/>
    </row>
    <row r="57" spans="1:10" x14ac:dyDescent="0.25">
      <c r="A57" s="30" t="s">
        <v>225</v>
      </c>
      <c r="B57" s="31" t="s">
        <v>24</v>
      </c>
      <c r="C57" s="43">
        <v>85723.925229999993</v>
      </c>
      <c r="D57" s="20">
        <v>98006.499330000006</v>
      </c>
      <c r="E57" s="20">
        <f>IF(OR(85723.92523="",98006.49933=""),"-",98006.49933/85723.92523*100)</f>
        <v>114.32805843531486</v>
      </c>
      <c r="F57" s="20">
        <f>IF(85723.92523="","-",85723.92523/3985166.5274*100)</f>
        <v>2.1510751091731151</v>
      </c>
      <c r="G57" s="20">
        <f>IF(98006.49933="","-",98006.49933/3737310.64393*100)</f>
        <v>2.6223803335475604</v>
      </c>
      <c r="H57" s="20">
        <f>IF(OR(2819533.73145="",61565.2208="",85723.92523=""),"-",(85723.92523-61565.2208)/2819533.73145*100)</f>
        <v>0.85683331823719344</v>
      </c>
      <c r="I57" s="20">
        <f>IF(OR(3985166.5274="",98006.49933="",85723.92523=""),"-",(98006.49933-85723.92523)/3985166.5274*100)</f>
        <v>0.30820729862983676</v>
      </c>
      <c r="J57" s="30"/>
    </row>
    <row r="58" spans="1:10" x14ac:dyDescent="0.25">
      <c r="A58" s="30" t="s">
        <v>226</v>
      </c>
      <c r="B58" s="31" t="s">
        <v>137</v>
      </c>
      <c r="C58" s="43">
        <v>9579.3398500000003</v>
      </c>
      <c r="D58" s="20">
        <v>9855.0349900000001</v>
      </c>
      <c r="E58" s="20">
        <f>IF(OR(9579.33985="",9855.03499=""),"-",9855.03499/9579.33985*100)</f>
        <v>102.87801815487316</v>
      </c>
      <c r="F58" s="20">
        <f>IF(9579.33985="","-",9579.33985/3985166.5274*100)</f>
        <v>0.24037489485413668</v>
      </c>
      <c r="G58" s="20">
        <f>IF(9855.03499="","-",9855.03499/3737310.64393*100)</f>
        <v>0.26369322566231362</v>
      </c>
      <c r="H58" s="20">
        <f>IF(OR(2819533.73145="",11228.90606="",9579.33985=""),"-",(9579.33985-11228.90606)/2819533.73145*100)</f>
        <v>-5.8504929081010772E-2</v>
      </c>
      <c r="I58" s="20">
        <f>IF(OR(3985166.5274="",9855.03499="",9579.33985=""),"-",(9855.03499-9579.33985)/3985166.5274*100)</f>
        <v>6.9180331136593351E-3</v>
      </c>
      <c r="J58" s="30"/>
    </row>
    <row r="59" spans="1:10" x14ac:dyDescent="0.25">
      <c r="A59" s="30" t="s">
        <v>227</v>
      </c>
      <c r="B59" s="31" t="s">
        <v>25</v>
      </c>
      <c r="C59" s="43">
        <v>1682.26485</v>
      </c>
      <c r="D59" s="20">
        <v>1155.04214</v>
      </c>
      <c r="E59" s="20">
        <f>IF(OR(1682.26485="",1155.04214=""),"-",1155.04214/1682.26485*100)</f>
        <v>68.659946143438717</v>
      </c>
      <c r="F59" s="20">
        <f>IF(1682.26485="","-",1682.26485/3985166.5274*100)</f>
        <v>4.2213163199921341E-2</v>
      </c>
      <c r="G59" s="20">
        <f>IF(1155.04214="","-",1155.04214/3737310.64393*100)</f>
        <v>3.0905703326427419E-2</v>
      </c>
      <c r="H59" s="20">
        <f>IF(OR(2819533.73145="",1819.96268="",1682.26485=""),"-",(1682.26485-1819.96268)/2819533.73145*100)</f>
        <v>-4.883709262424262E-3</v>
      </c>
      <c r="I59" s="20">
        <f>IF(OR(3985166.5274="",1155.04214="",1682.26485=""),"-",(1155.04214-1682.26485)/3985166.5274*100)</f>
        <v>-1.322962808141346E-2</v>
      </c>
      <c r="J59" s="30"/>
    </row>
    <row r="60" spans="1:10" x14ac:dyDescent="0.25">
      <c r="A60" s="30" t="s">
        <v>228</v>
      </c>
      <c r="B60" s="31" t="s">
        <v>26</v>
      </c>
      <c r="C60" s="43">
        <v>37253.523099999999</v>
      </c>
      <c r="D60" s="20">
        <v>31208.00706</v>
      </c>
      <c r="E60" s="20">
        <f>IF(OR(37253.5231="",31208.00706=""),"-",31208.00706/37253.5231*100)</f>
        <v>83.771961583950173</v>
      </c>
      <c r="F60" s="20">
        <f>IF(37253.5231="","-",37253.5231/3985166.5274*100)</f>
        <v>0.93480467739211182</v>
      </c>
      <c r="G60" s="20">
        <f>IF(31208.00706="","-",31208.00706/3737310.64393*100)</f>
        <v>0.83503915069749091</v>
      </c>
      <c r="H60" s="20">
        <f>IF(OR(2819533.73145="",39207.6106="",37253.5231=""),"-",(37253.5231-39207.6106)/2819533.73145*100)</f>
        <v>-6.9305342163616321E-2</v>
      </c>
      <c r="I60" s="20">
        <f>IF(OR(3985166.5274="",31208.00706="",37253.5231=""),"-",(31208.00706-37253.5231)/3985166.5274*100)</f>
        <v>-0.15170046216222263</v>
      </c>
      <c r="J60" s="28"/>
    </row>
    <row r="61" spans="1:10" x14ac:dyDescent="0.25">
      <c r="A61" s="28" t="s">
        <v>229</v>
      </c>
      <c r="B61" s="29" t="s">
        <v>138</v>
      </c>
      <c r="C61" s="44">
        <v>639400.74239999999</v>
      </c>
      <c r="D61" s="19">
        <v>740013.17934000003</v>
      </c>
      <c r="E61" s="19">
        <f>IF(639400.7424="","-",740013.17934/639400.7424*100)</f>
        <v>115.73542698157493</v>
      </c>
      <c r="F61" s="19">
        <f>IF(639400.7424="","-",639400.7424/3985166.5274*100)</f>
        <v>16.044517537819367</v>
      </c>
      <c r="G61" s="19">
        <f>IF(740013.17934="","-",740013.17934/3737310.64393*100)</f>
        <v>19.800686906824343</v>
      </c>
      <c r="H61" s="19">
        <f>IF(2819533.73145="","-",(639400.7424-583674.30348)/2819533.73145*100)</f>
        <v>1.9764416470145079</v>
      </c>
      <c r="I61" s="19">
        <f>IF(3985166.5274="","-",(740013.17934-639400.7424)/3985166.5274*100)</f>
        <v>2.5246733417095508</v>
      </c>
      <c r="J61" s="30"/>
    </row>
    <row r="62" spans="1:10" x14ac:dyDescent="0.25">
      <c r="A62" s="30" t="s">
        <v>230</v>
      </c>
      <c r="B62" s="31" t="s">
        <v>139</v>
      </c>
      <c r="C62" s="43">
        <v>4232.6058800000001</v>
      </c>
      <c r="D62" s="20">
        <v>5544.1714499999998</v>
      </c>
      <c r="E62" s="20">
        <f>IF(OR(4232.60588="",5544.17145=""),"-",5544.17145/4232.60588*100)</f>
        <v>130.98718867725051</v>
      </c>
      <c r="F62" s="20">
        <f>IF(4232.60588="","-",4232.60588/3985166.5274*100)</f>
        <v>0.10620900910661402</v>
      </c>
      <c r="G62" s="20">
        <f>IF(5544.17145="","-",5544.17145/3737310.64393*100)</f>
        <v>0.1483465512561723</v>
      </c>
      <c r="H62" s="20">
        <f>IF(OR(2819533.73145="",2064.28472="",4232.60588=""),"-",(4232.60588-2064.28472)/2819533.73145*100)</f>
        <v>7.6903536773255718E-2</v>
      </c>
      <c r="I62" s="20">
        <f>IF(OR(3985166.5274="",5544.17145="",4232.60588=""),"-",(5544.17145-4232.60588)/3985166.5274*100)</f>
        <v>3.2911186044104673E-2</v>
      </c>
      <c r="J62" s="30"/>
    </row>
    <row r="63" spans="1:10" ht="13.5" customHeight="1" x14ac:dyDescent="0.25">
      <c r="A63" s="30" t="s">
        <v>231</v>
      </c>
      <c r="B63" s="31" t="s">
        <v>140</v>
      </c>
      <c r="C63" s="43">
        <v>13401.98163</v>
      </c>
      <c r="D63" s="20">
        <v>32459.420119999999</v>
      </c>
      <c r="E63" s="20" t="s">
        <v>333</v>
      </c>
      <c r="F63" s="20">
        <f>IF(13401.98163="","-",13401.98163/3985166.5274*100)</f>
        <v>0.33629665254525043</v>
      </c>
      <c r="G63" s="20">
        <f>IF(32459.42012="","-",32459.42012/3737310.64393*100)</f>
        <v>0.86852347082037129</v>
      </c>
      <c r="H63" s="20">
        <f>IF(OR(2819533.73145="",12266.26731="",13401.98163=""),"-",(13401.98163-12266.26731)/2819533.73145*100)</f>
        <v>4.0280217517239557E-2</v>
      </c>
      <c r="I63" s="20">
        <f>IF(OR(3985166.5274="",32459.42012="",13401.98163=""),"-",(32459.42012-13401.98163)/3985166.5274*100)</f>
        <v>0.47820933853003733</v>
      </c>
      <c r="J63" s="30"/>
    </row>
    <row r="64" spans="1:10" ht="17.25" customHeight="1" x14ac:dyDescent="0.25">
      <c r="A64" s="30" t="s">
        <v>232</v>
      </c>
      <c r="B64" s="31" t="s">
        <v>141</v>
      </c>
      <c r="C64" s="43">
        <v>4435.5128599999998</v>
      </c>
      <c r="D64" s="20">
        <v>4085.9378700000002</v>
      </c>
      <c r="E64" s="20">
        <f>IF(OR(4435.51286="",4085.93787=""),"-",4085.93787/4435.51286*100)</f>
        <v>92.118724462451468</v>
      </c>
      <c r="F64" s="20">
        <f>IF(4435.51286="","-",4435.51286/3985166.5274*100)</f>
        <v>0.11130056497021254</v>
      </c>
      <c r="G64" s="20">
        <f>IF(4085.93787="","-",4085.93787/3737310.64393*100)</f>
        <v>0.10932829136470706</v>
      </c>
      <c r="H64" s="20">
        <f>IF(OR(2819533.73145="",3809.0114="",4435.51286=""),"-",(4435.51286-3809.0114)/2819533.73145*100)</f>
        <v>2.2220037767656336E-2</v>
      </c>
      <c r="I64" s="20">
        <f>IF(OR(3985166.5274="",4085.93787="",4435.51286=""),"-",(4085.93787-4435.51286)/3985166.5274*100)</f>
        <v>-8.7719042001506795E-3</v>
      </c>
      <c r="J64" s="30"/>
    </row>
    <row r="65" spans="1:10" ht="27.75" customHeight="1" x14ac:dyDescent="0.25">
      <c r="A65" s="30" t="s">
        <v>233</v>
      </c>
      <c r="B65" s="31" t="s">
        <v>142</v>
      </c>
      <c r="C65" s="43">
        <v>25889.360379999998</v>
      </c>
      <c r="D65" s="20">
        <v>37703.446179999999</v>
      </c>
      <c r="E65" s="20">
        <f>IF(OR(25889.36038="",37703.44618=""),"-",37703.44618/25889.36038*100)</f>
        <v>145.63297673868604</v>
      </c>
      <c r="F65" s="20">
        <f>IF(25889.36038="","-",25889.36038/3985166.5274*100)</f>
        <v>0.64964312537500712</v>
      </c>
      <c r="G65" s="20">
        <f>IF(37703.44618="","-",37703.44618/3737310.64393*100)</f>
        <v>1.0088389693063522</v>
      </c>
      <c r="H65" s="20">
        <f>IF(OR(2819533.73145="",23336.63111="",25889.36038=""),"-",(25889.36038-23336.63111)/2819533.73145*100)</f>
        <v>9.0537284286618877E-2</v>
      </c>
      <c r="I65" s="20">
        <f>IF(OR(3985166.5274="",37703.44618="",25889.36038=""),"-",(37703.44618-25889.36038)/3985166.5274*100)</f>
        <v>0.29645149628685002</v>
      </c>
      <c r="J65" s="30"/>
    </row>
    <row r="66" spans="1:10" ht="27" customHeight="1" x14ac:dyDescent="0.25">
      <c r="A66" s="30" t="s">
        <v>234</v>
      </c>
      <c r="B66" s="31" t="s">
        <v>143</v>
      </c>
      <c r="C66" s="43">
        <v>6800.9638400000003</v>
      </c>
      <c r="D66" s="20">
        <v>11032.8413</v>
      </c>
      <c r="E66" s="20" t="s">
        <v>342</v>
      </c>
      <c r="F66" s="20">
        <f>IF(6800.96384="","-",6800.96384/3985166.5274*100)</f>
        <v>0.17065695481581497</v>
      </c>
      <c r="G66" s="20">
        <f>IF(11032.8413="","-",11032.8413/3737310.64393*100)</f>
        <v>0.29520803463097534</v>
      </c>
      <c r="H66" s="20">
        <f>IF(OR(2819533.73145="",1791.88972="",6800.96384=""),"-",(6800.96384-1791.88972)/2819533.73145*100)</f>
        <v>0.17765611612044757</v>
      </c>
      <c r="I66" s="20">
        <f>IF(OR(3985166.5274="",11032.8413="",6800.96384=""),"-",(11032.8413-6800.96384)/3985166.5274*100)</f>
        <v>0.10619073082401298</v>
      </c>
      <c r="J66" s="30"/>
    </row>
    <row r="67" spans="1:10" ht="27" customHeight="1" x14ac:dyDescent="0.25">
      <c r="A67" s="30" t="s">
        <v>235</v>
      </c>
      <c r="B67" s="31" t="s">
        <v>144</v>
      </c>
      <c r="C67" s="43">
        <v>3096.5311799999999</v>
      </c>
      <c r="D67" s="20">
        <v>4834.2105499999998</v>
      </c>
      <c r="E67" s="20">
        <f>IF(OR(3096.53118="",4834.21055=""),"-",4834.21055/3096.53118*100)</f>
        <v>156.11696666332293</v>
      </c>
      <c r="F67" s="20">
        <f>IF(3096.53118="","-",3096.53118/3985166.5274*100)</f>
        <v>7.7701424989641193E-2</v>
      </c>
      <c r="G67" s="20">
        <f>IF(4834.21055="","-",4834.21055/3737310.64393*100)</f>
        <v>0.12934997945251203</v>
      </c>
      <c r="H67" s="20">
        <f>IF(OR(2819533.73145="",2446.20057="",3096.53118=""),"-",(3096.53118-2446.20057)/2819533.73145*100)</f>
        <v>2.3065182826011266E-2</v>
      </c>
      <c r="I67" s="20">
        <f>IF(OR(3985166.5274="",4834.21055="",3096.53118=""),"-",(4834.21055-3096.53118)/3985166.5274*100)</f>
        <v>4.3603682758363814E-2</v>
      </c>
      <c r="J67" s="30"/>
    </row>
    <row r="68" spans="1:10" ht="37.5" customHeight="1" x14ac:dyDescent="0.25">
      <c r="A68" s="30" t="s">
        <v>236</v>
      </c>
      <c r="B68" s="31" t="s">
        <v>145</v>
      </c>
      <c r="C68" s="43">
        <v>493035.99695</v>
      </c>
      <c r="D68" s="20">
        <v>579435.58981000003</v>
      </c>
      <c r="E68" s="20">
        <f>IF(OR(493035.99695="",579435.58981=""),"-",579435.58981/493035.99695*100)</f>
        <v>117.52399285132968</v>
      </c>
      <c r="F68" s="20">
        <f>IF(493035.99695="","-",493035.99695/3985166.5274*100)</f>
        <v>12.371779035082538</v>
      </c>
      <c r="G68" s="20">
        <f>IF(579435.58981="","-",579435.58981/3737310.64393*100)</f>
        <v>15.504078868881226</v>
      </c>
      <c r="H68" s="20">
        <f>IF(OR(2819533.73145="",481177.60549="",493035.99695=""),"-",(493035.99695-481177.60549)/2819533.73145*100)</f>
        <v>0.4205798755917563</v>
      </c>
      <c r="I68" s="20">
        <f>IF(OR(3985166.5274="",579435.58981="",493035.99695=""),"-",(579435.58981-493035.99695)/3985166.5274*100)</f>
        <v>2.1680296736901683</v>
      </c>
      <c r="J68" s="30"/>
    </row>
    <row r="69" spans="1:10" ht="15" customHeight="1" x14ac:dyDescent="0.25">
      <c r="A69" s="30" t="s">
        <v>237</v>
      </c>
      <c r="B69" s="31" t="s">
        <v>146</v>
      </c>
      <c r="C69" s="43">
        <v>85633.069650000005</v>
      </c>
      <c r="D69" s="20">
        <v>57908.678379999998</v>
      </c>
      <c r="E69" s="20">
        <f>IF(OR(85633.06965="",57908.67838=""),"-",57908.67838/85633.06965*100)</f>
        <v>67.624200109472525</v>
      </c>
      <c r="F69" s="20">
        <f>IF(85633.06965="","-",85633.06965/3985166.5274*100)</f>
        <v>2.148795265172236</v>
      </c>
      <c r="G69" s="20">
        <f>IF(57908.67838="","-",57908.67838/3737310.64393*100)</f>
        <v>1.5494745793757634</v>
      </c>
      <c r="H69" s="20">
        <f>IF(OR(2819533.73145="",55850.35438="",85633.06965=""),"-",(85633.06965-55850.35438)/2819533.73145*100)</f>
        <v>1.0562993071440812</v>
      </c>
      <c r="I69" s="20">
        <f>IF(OR(3985166.5274="",57908.67838="",85633.06965=""),"-",(57908.67838-85633.06965)/3985166.5274*100)</f>
        <v>-0.69568965510929193</v>
      </c>
      <c r="J69" s="30"/>
    </row>
    <row r="70" spans="1:10" x14ac:dyDescent="0.25">
      <c r="A70" s="30" t="s">
        <v>238</v>
      </c>
      <c r="B70" s="31" t="s">
        <v>27</v>
      </c>
      <c r="C70" s="43">
        <v>2874.72003</v>
      </c>
      <c r="D70" s="20">
        <v>7008.8836799999999</v>
      </c>
      <c r="E70" s="20" t="s">
        <v>333</v>
      </c>
      <c r="F70" s="20">
        <f>IF(2874.72003="","-",2874.72003/3985166.5274*100)</f>
        <v>7.2135505762052132E-2</v>
      </c>
      <c r="G70" s="20">
        <f>IF(7008.88368="","-",7008.88368/3737310.64393*100)</f>
        <v>0.18753816173626259</v>
      </c>
      <c r="H70" s="20">
        <f>IF(OR(2819533.73145="",932.05878="",2874.72003=""),"-",(2874.72003-932.05878)/2819533.73145*100)</f>
        <v>6.8900088987442223E-2</v>
      </c>
      <c r="I70" s="20">
        <f>IF(OR(3985166.5274="",7008.88368="",2874.72003=""),"-",(7008.88368-2874.72003)/3985166.5274*100)</f>
        <v>0.10373879288545589</v>
      </c>
      <c r="J70" s="28"/>
    </row>
    <row r="71" spans="1:10" ht="14.25" customHeight="1" x14ac:dyDescent="0.25">
      <c r="A71" s="28" t="s">
        <v>239</v>
      </c>
      <c r="B71" s="29" t="s">
        <v>28</v>
      </c>
      <c r="C71" s="44">
        <v>578406.99935000006</v>
      </c>
      <c r="D71" s="19">
        <v>563289.42391000001</v>
      </c>
      <c r="E71" s="19">
        <f>IF(578406.99935="","-",563289.42391/578406.99935*100)</f>
        <v>97.386342928597188</v>
      </c>
      <c r="F71" s="19">
        <f>IF(578406.99935="","-",578406.99935/3985166.5274*100)</f>
        <v>14.513998232524653</v>
      </c>
      <c r="G71" s="19">
        <f>IF(563289.42391="","-",563289.42391/3737310.64393*100)</f>
        <v>15.072052541976239</v>
      </c>
      <c r="H71" s="19">
        <f>IF(2819533.73145="","-",(578406.99935-541767.24782)/2819533.73145*100)</f>
        <v>1.2994968324481546</v>
      </c>
      <c r="I71" s="19">
        <f>IF(3985166.5274="","-",(563289.42391-578406.99935)/3985166.5274*100)</f>
        <v>-0.37934614114765847</v>
      </c>
      <c r="J71" s="30"/>
    </row>
    <row r="72" spans="1:10" ht="27.75" customHeight="1" x14ac:dyDescent="0.25">
      <c r="A72" s="30" t="s">
        <v>240</v>
      </c>
      <c r="B72" s="31" t="s">
        <v>172</v>
      </c>
      <c r="C72" s="43">
        <v>17785.962749999999</v>
      </c>
      <c r="D72" s="20">
        <v>12598.323350000001</v>
      </c>
      <c r="E72" s="20">
        <f>IF(OR(17785.96275="",12598.32335=""),"-",12598.32335/17785.96275*100)</f>
        <v>70.832957018309301</v>
      </c>
      <c r="F72" s="20">
        <f>IF(17785.96275="","-",17785.96275/3985166.5274*100)</f>
        <v>0.44630412876633058</v>
      </c>
      <c r="G72" s="20">
        <f>IF(12598.32335="","-",12598.32335/3737310.64393*100)</f>
        <v>0.33709596419183741</v>
      </c>
      <c r="H72" s="20">
        <f>IF(OR(2819533.73145="",13659.67813="",17785.96275=""),"-",(17785.96275-13659.67813)/2819533.73145*100)</f>
        <v>0.14634634705639704</v>
      </c>
      <c r="I72" s="20">
        <f>IF(OR(3985166.5274="",12598.32335="",17785.96275=""),"-",(12598.32335-17785.96275)/3985166.5274*100)</f>
        <v>-0.13017371706633588</v>
      </c>
      <c r="J72" s="30"/>
    </row>
    <row r="73" spans="1:10" ht="16.5" customHeight="1" x14ac:dyDescent="0.25">
      <c r="A73" s="30" t="s">
        <v>241</v>
      </c>
      <c r="B73" s="31" t="s">
        <v>147</v>
      </c>
      <c r="C73" s="43">
        <v>136898.49572000001</v>
      </c>
      <c r="D73" s="20">
        <v>134723.92202999999</v>
      </c>
      <c r="E73" s="20">
        <f>IF(OR(136898.49572="",134723.92203=""),"-",134723.92203/136898.49572*100)</f>
        <v>98.411543035178639</v>
      </c>
      <c r="F73" s="20">
        <f>IF(136898.49572="","-",136898.49572/3985166.5274*100)</f>
        <v>3.4352013844027551</v>
      </c>
      <c r="G73" s="20">
        <f>IF(134723.92203="","-",134723.92203/3737310.64393*100)</f>
        <v>3.6048360670476653</v>
      </c>
      <c r="H73" s="20">
        <f>IF(OR(2819533.73145="",147295.97256="",136898.49572=""),"-",(136898.49572-147295.97256)/2819533.73145*100)</f>
        <v>-0.36876582549884529</v>
      </c>
      <c r="I73" s="20">
        <f>IF(OR(3985166.5274="",134723.92203="",136898.49572=""),"-",(134723.92203-136898.49572)/3985166.5274*100)</f>
        <v>-5.4566695646185534E-2</v>
      </c>
      <c r="J73" s="30"/>
    </row>
    <row r="74" spans="1:10" x14ac:dyDescent="0.25">
      <c r="A74" s="30" t="s">
        <v>242</v>
      </c>
      <c r="B74" s="31" t="s">
        <v>148</v>
      </c>
      <c r="C74" s="43">
        <v>14323.739869999999</v>
      </c>
      <c r="D74" s="20">
        <v>12395.222030000001</v>
      </c>
      <c r="E74" s="20">
        <f>IF(OR(14323.73987="",12395.22203=""),"-",12395.22203/14323.73987*100)</f>
        <v>86.536212905966451</v>
      </c>
      <c r="F74" s="20">
        <f>IF(14323.73987="","-",14323.73987/3985166.5274*100)</f>
        <v>0.35942638209764061</v>
      </c>
      <c r="G74" s="20">
        <f>IF(12395.22203="","-",12395.22203/3737310.64393*100)</f>
        <v>0.33166153983297741</v>
      </c>
      <c r="H74" s="20">
        <f>IF(OR(2819533.73145="",13289.08164="",14323.73987=""),"-",(14323.73987-13289.08164)/2819533.73145*100)</f>
        <v>3.6696075612044764E-2</v>
      </c>
      <c r="I74" s="20">
        <f>IF(OR(3985166.5274="",12395.22203="",14323.73987=""),"-",(12395.22203-14323.73987)/3985166.5274*100)</f>
        <v>-4.8392402845413865E-2</v>
      </c>
      <c r="J74" s="30"/>
    </row>
    <row r="75" spans="1:10" ht="17.25" customHeight="1" x14ac:dyDescent="0.25">
      <c r="A75" s="30" t="s">
        <v>243</v>
      </c>
      <c r="B75" s="31" t="s">
        <v>149</v>
      </c>
      <c r="C75" s="43">
        <v>270507.62880000001</v>
      </c>
      <c r="D75" s="20">
        <v>262334.41618</v>
      </c>
      <c r="E75" s="20">
        <f>IF(OR(270507.6288="",262334.41618=""),"-",262334.41618/270507.6288*100)</f>
        <v>96.978564835211031</v>
      </c>
      <c r="F75" s="20">
        <f>IF(270507.6288="","-",270507.6288/3985166.5274*100)</f>
        <v>6.787862613522563</v>
      </c>
      <c r="G75" s="20">
        <f>IF(262334.41618="","-",262334.41618/3737310.64393*100)</f>
        <v>7.0193366614058093</v>
      </c>
      <c r="H75" s="20">
        <f>IF(OR(2819533.73145="",251873.82324="",270507.6288=""),"-",(270507.6288-251873.82324)/2819533.73145*100)</f>
        <v>0.66088251940923626</v>
      </c>
      <c r="I75" s="20">
        <f>IF(OR(3985166.5274="",262334.41618="",270507.6288=""),"-",(262334.41618-270507.6288)/3985166.5274*100)</f>
        <v>-0.20509086794253409</v>
      </c>
      <c r="J75" s="30"/>
    </row>
    <row r="76" spans="1:10" ht="16.5" customHeight="1" x14ac:dyDescent="0.25">
      <c r="A76" s="30" t="s">
        <v>244</v>
      </c>
      <c r="B76" s="31" t="s">
        <v>150</v>
      </c>
      <c r="C76" s="43">
        <v>36818.684000000001</v>
      </c>
      <c r="D76" s="20">
        <v>26064.48302</v>
      </c>
      <c r="E76" s="20">
        <f>IF(OR(36818.684="",26064.48302=""),"-",26064.48302/36818.684*100)</f>
        <v>70.791457456762984</v>
      </c>
      <c r="F76" s="20">
        <f>IF(36818.684="","-",36818.684/3985166.5274*100)</f>
        <v>0.92389323625131481</v>
      </c>
      <c r="G76" s="20">
        <f>IF(26064.48302="","-",26064.48302/3737310.64393*100)</f>
        <v>0.69741280571185482</v>
      </c>
      <c r="H76" s="20">
        <f>IF(OR(2819533.73145="",33772.10564="",36818.684=""),"-",(36818.684-33772.10564)/2819533.73145*100)</f>
        <v>0.10805255940077856</v>
      </c>
      <c r="I76" s="20">
        <f>IF(OR(3985166.5274="",26064.48302="",36818.684=""),"-",(26064.48302-36818.684)/3985166.5274*100)</f>
        <v>-0.26985574896455455</v>
      </c>
      <c r="J76" s="30"/>
    </row>
    <row r="77" spans="1:10" ht="15" customHeight="1" x14ac:dyDescent="0.25">
      <c r="A77" s="30" t="s">
        <v>245</v>
      </c>
      <c r="B77" s="31" t="s">
        <v>277</v>
      </c>
      <c r="C77" s="43">
        <v>21539.493719999999</v>
      </c>
      <c r="D77" s="20">
        <v>27318.388660000001</v>
      </c>
      <c r="E77" s="20">
        <f>IF(OR(21539.49372="",27318.38866=""),"-",27318.38866/21539.49372*100)</f>
        <v>126.82929791722144</v>
      </c>
      <c r="F77" s="20">
        <f>IF(21539.49372="","-",21539.49372/3985166.5274*100)</f>
        <v>0.54049168515055201</v>
      </c>
      <c r="G77" s="20">
        <f>IF(27318.38866="","-",27318.38866/3737310.64393*100)</f>
        <v>0.73096382031741214</v>
      </c>
      <c r="H77" s="20">
        <f>IF(OR(2819533.73145="",20865.10053="",21539.49372=""),"-",(21539.49372-20865.10053)/2819533.73145*100)</f>
        <v>2.3918606912823815E-2</v>
      </c>
      <c r="I77" s="20">
        <f>IF(OR(3985166.5274="",27318.38866="",21539.49372=""),"-",(27318.38866-21539.49372)/3985166.5274*100)</f>
        <v>0.14501012442685213</v>
      </c>
      <c r="J77" s="30"/>
    </row>
    <row r="78" spans="1:10" ht="27" customHeight="1" x14ac:dyDescent="0.25">
      <c r="A78" s="30" t="s">
        <v>246</v>
      </c>
      <c r="B78" s="31" t="s">
        <v>151</v>
      </c>
      <c r="C78" s="43">
        <v>5049.4876999999997</v>
      </c>
      <c r="D78" s="20">
        <v>6326.5976899999996</v>
      </c>
      <c r="E78" s="20">
        <f>IF(OR(5049.4877="",6326.59769=""),"-",6326.59769/5049.4877*100)</f>
        <v>125.29187248044984</v>
      </c>
      <c r="F78" s="20">
        <f>IF(5049.4877="","-",5049.4877/3985166.5274*100)</f>
        <v>0.12670706895890707</v>
      </c>
      <c r="G78" s="20">
        <f>IF(6326.59769="","-",6326.59769/3737310.64393*100)</f>
        <v>0.1692820932687365</v>
      </c>
      <c r="H78" s="20">
        <f>IF(OR(2819533.73145="",3469.11797="",5049.4877=""),"-",(5049.4877-3469.11797)/2819533.73145*100)</f>
        <v>5.6050747411603555E-2</v>
      </c>
      <c r="I78" s="20">
        <f>IF(OR(3985166.5274="",6326.59769="",5049.4877=""),"-",(6326.59769-5049.4877)/3985166.5274*100)</f>
        <v>3.2046590304802426E-2</v>
      </c>
      <c r="J78" s="30"/>
    </row>
    <row r="79" spans="1:10" x14ac:dyDescent="0.25">
      <c r="A79" s="30" t="s">
        <v>247</v>
      </c>
      <c r="B79" s="31" t="s">
        <v>29</v>
      </c>
      <c r="C79" s="43">
        <v>75483.506789999999</v>
      </c>
      <c r="D79" s="20">
        <v>81528.070949999994</v>
      </c>
      <c r="E79" s="20">
        <f>IF(OR(75483.50679="",81528.07095=""),"-",81528.07095/75483.50679*100)</f>
        <v>108.00779457268244</v>
      </c>
      <c r="F79" s="20">
        <f>IF(75483.50679="","-",75483.50679/3985166.5274*100)</f>
        <v>1.8941117333745876</v>
      </c>
      <c r="G79" s="20">
        <f>IF(81528.07095="","-",81528.07095/3737310.64393*100)</f>
        <v>2.1814635901999431</v>
      </c>
      <c r="H79" s="20">
        <f>IF(OR(2819533.73145="",57542.36811="",75483.50679=""),"-",(75483.50679-57542.36811)/2819533.73145*100)</f>
        <v>0.63631580214411609</v>
      </c>
      <c r="I79" s="20">
        <f>IF(OR(3985166.5274="",81528.07095="",75483.50679=""),"-",(81528.07095-75483.50679)/3985166.5274*100)</f>
        <v>0.15167657658571135</v>
      </c>
      <c r="J79" s="30"/>
    </row>
    <row r="80" spans="1:10" x14ac:dyDescent="0.25">
      <c r="A80" s="33" t="s">
        <v>250</v>
      </c>
      <c r="B80" s="34" t="s">
        <v>152</v>
      </c>
      <c r="C80" s="58">
        <v>3655.64716</v>
      </c>
      <c r="D80" s="38">
        <v>6833.7004100000004</v>
      </c>
      <c r="E80" s="38" t="s">
        <v>328</v>
      </c>
      <c r="F80" s="38">
        <f>IF(3655.64716="","-",3655.64716/3985166.5274*100)</f>
        <v>9.1731352626436294E-2</v>
      </c>
      <c r="G80" s="38">
        <f>IF(6833.70041="","-",6833.70041/3737310.64393*100)</f>
        <v>0.18285074646120308</v>
      </c>
      <c r="H80" s="38">
        <f>IF(2819533.73145="","-",(3655.64716-838.22921)/2819533.73145*100)</f>
        <v>9.992495988161447E-2</v>
      </c>
      <c r="I80" s="38">
        <f>IF(3985166.5274="","-",(6833.70041-3655.64716)/3985166.5274*100)</f>
        <v>7.9747062717437409E-2</v>
      </c>
      <c r="J80" s="30"/>
    </row>
    <row r="81" spans="1:12" s="18" customFormat="1" ht="15" customHeight="1" x14ac:dyDescent="0.2">
      <c r="A81" s="9" t="s">
        <v>253</v>
      </c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7"/>
    </row>
    <row r="82" spans="1:12" s="18" customFormat="1" ht="13.5" customHeight="1" x14ac:dyDescent="0.2">
      <c r="A82" s="10" t="s">
        <v>298</v>
      </c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7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82"/>
  <sheetViews>
    <sheetView zoomScaleNormal="100" workbookViewId="0">
      <selection activeCell="B1" sqref="B1:I1"/>
    </sheetView>
  </sheetViews>
  <sheetFormatPr defaultRowHeight="15.75" x14ac:dyDescent="0.25"/>
  <cols>
    <col min="1" max="1" width="7.125" style="22" customWidth="1"/>
    <col min="2" max="2" width="41.625" style="22" customWidth="1"/>
    <col min="3" max="3" width="13.125" style="22" customWidth="1"/>
    <col min="4" max="4" width="12.875" style="22" customWidth="1"/>
    <col min="5" max="5" width="11.625" style="22" customWidth="1"/>
    <col min="6" max="7" width="9.5" style="22" customWidth="1"/>
    <col min="8" max="8" width="10.875" style="22" customWidth="1"/>
    <col min="9" max="9" width="11" style="22" customWidth="1"/>
  </cols>
  <sheetData>
    <row r="1" spans="1:12" s="25" customFormat="1" ht="12.75" x14ac:dyDescent="0.2">
      <c r="A1" s="24"/>
      <c r="B1" s="85" t="s">
        <v>311</v>
      </c>
      <c r="C1" s="85"/>
      <c r="D1" s="85"/>
      <c r="E1" s="85"/>
      <c r="F1" s="85"/>
      <c r="G1" s="85"/>
      <c r="H1" s="85"/>
      <c r="I1" s="85"/>
    </row>
    <row r="2" spans="1:12" s="25" customFormat="1" ht="12.75" x14ac:dyDescent="0.2">
      <c r="A2" s="24"/>
      <c r="B2" s="85" t="s">
        <v>252</v>
      </c>
      <c r="C2" s="85"/>
      <c r="D2" s="85"/>
      <c r="E2" s="85"/>
      <c r="F2" s="85"/>
      <c r="G2" s="85"/>
      <c r="H2" s="85"/>
      <c r="I2" s="85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</row>
    <row r="4" spans="1:12" ht="48" customHeight="1" x14ac:dyDescent="0.25">
      <c r="A4" s="93" t="s">
        <v>178</v>
      </c>
      <c r="B4" s="75"/>
      <c r="C4" s="77" t="s">
        <v>349</v>
      </c>
      <c r="D4" s="84"/>
      <c r="E4" s="82" t="s">
        <v>363</v>
      </c>
      <c r="F4" s="77" t="s">
        <v>91</v>
      </c>
      <c r="G4" s="78"/>
      <c r="H4" s="87" t="s">
        <v>310</v>
      </c>
      <c r="I4" s="95"/>
    </row>
    <row r="5" spans="1:12" ht="48.75" customHeight="1" x14ac:dyDescent="0.25">
      <c r="A5" s="94"/>
      <c r="B5" s="76"/>
      <c r="C5" s="13" t="s">
        <v>361</v>
      </c>
      <c r="D5" s="13" t="s">
        <v>362</v>
      </c>
      <c r="E5" s="83"/>
      <c r="F5" s="13" t="s">
        <v>361</v>
      </c>
      <c r="G5" s="13" t="s">
        <v>362</v>
      </c>
      <c r="H5" s="13" t="s">
        <v>364</v>
      </c>
      <c r="I5" s="12" t="s">
        <v>365</v>
      </c>
    </row>
    <row r="6" spans="1:12" s="16" customFormat="1" ht="15" customHeight="1" x14ac:dyDescent="0.2">
      <c r="A6" s="35"/>
      <c r="B6" s="57" t="s">
        <v>99</v>
      </c>
      <c r="C6" s="52">
        <v>8345207.3449100005</v>
      </c>
      <c r="D6" s="53">
        <v>7858737.5873299995</v>
      </c>
      <c r="E6" s="53">
        <f>IF(8345207.34491="","-",7858737.58733/8345207.34491*100)</f>
        <v>94.170669014273031</v>
      </c>
      <c r="F6" s="53">
        <v>100</v>
      </c>
      <c r="G6" s="53">
        <v>100</v>
      </c>
      <c r="H6" s="53">
        <f>IF(6422564.27315="","-",(8345207.34491-6422564.27315)/6422564.27315*100)</f>
        <v>29.935754474233146</v>
      </c>
      <c r="I6" s="53">
        <f>IF(8345207.34491="","-",(7858737.58733-8345207.34491)/8345207.34491*100)</f>
        <v>-5.8293309857269611</v>
      </c>
      <c r="J6" s="21"/>
      <c r="K6" s="55"/>
      <c r="L6" s="55"/>
    </row>
    <row r="7" spans="1:12" s="16" customFormat="1" ht="12.75" x14ac:dyDescent="0.2">
      <c r="A7" s="36"/>
      <c r="B7" s="41" t="s">
        <v>323</v>
      </c>
      <c r="C7" s="44"/>
      <c r="D7" s="19"/>
      <c r="E7" s="19"/>
      <c r="F7" s="19"/>
      <c r="G7" s="19"/>
      <c r="H7" s="19"/>
      <c r="I7" s="19"/>
      <c r="J7" s="21"/>
    </row>
    <row r="8" spans="1:12" x14ac:dyDescent="0.25">
      <c r="A8" s="28" t="s">
        <v>179</v>
      </c>
      <c r="B8" s="29" t="s">
        <v>153</v>
      </c>
      <c r="C8" s="44">
        <v>829504.58898</v>
      </c>
      <c r="D8" s="19">
        <v>870153.58019999997</v>
      </c>
      <c r="E8" s="19">
        <f>IF(829504.58898="","-",870153.5802/829504.58898*100)</f>
        <v>104.90039377238215</v>
      </c>
      <c r="F8" s="19">
        <f>IF(829504.58898="","-",829504.58898/8345207.34491*100)</f>
        <v>9.9398919007799176</v>
      </c>
      <c r="G8" s="19">
        <f>IF(870153.5802="","-",870153.5802/7858737.58733*100)</f>
        <v>11.072434605818591</v>
      </c>
      <c r="H8" s="19">
        <f>IF(6422564.27315="","-",(829504.58898-685504.98739)/6422564.27315*100)</f>
        <v>2.2420889144231824</v>
      </c>
      <c r="I8" s="19">
        <f>IF(8345207.34491="","-",(870153.5802-829504.58898)/8345207.34491*100)</f>
        <v>0.4870938436873356</v>
      </c>
    </row>
    <row r="9" spans="1:12" x14ac:dyDescent="0.25">
      <c r="A9" s="30" t="s">
        <v>180</v>
      </c>
      <c r="B9" s="31" t="s">
        <v>17</v>
      </c>
      <c r="C9" s="43">
        <v>8131.3</v>
      </c>
      <c r="D9" s="20">
        <v>12187.59369</v>
      </c>
      <c r="E9" s="20">
        <f>IF(OR(8131.3="",12187.59369=""),"-",12187.59369/8131.3*100)</f>
        <v>149.88493463529818</v>
      </c>
      <c r="F9" s="20">
        <f>IF(8131.3="","-",8131.3/8345207.34491*100)</f>
        <v>9.7436764168112991E-2</v>
      </c>
      <c r="G9" s="20">
        <f>IF(12187.59369="","-",12187.59369/7858737.58733*100)</f>
        <v>0.15508335218685837</v>
      </c>
      <c r="H9" s="20">
        <f>IF(OR(6422564.27315="",5364.11596="",8131.3=""),"-",(8131.3-5364.11596)/6422564.27315*100)</f>
        <v>4.3085346013093488E-2</v>
      </c>
      <c r="I9" s="20">
        <f>IF(OR(8345207.34491="",12187.59369="",8131.3=""),"-",(12187.59369-8131.3)/8345207.34491*100)</f>
        <v>4.8606266116012785E-2</v>
      </c>
    </row>
    <row r="10" spans="1:12" x14ac:dyDescent="0.25">
      <c r="A10" s="30" t="s">
        <v>181</v>
      </c>
      <c r="B10" s="31" t="s">
        <v>154</v>
      </c>
      <c r="C10" s="43">
        <v>74174.052460000006</v>
      </c>
      <c r="D10" s="20">
        <v>71870.627139999997</v>
      </c>
      <c r="E10" s="20">
        <f>IF(OR(74174.05246="",71870.62714=""),"-",71870.62714/74174.05246*100)</f>
        <v>96.894567246083554</v>
      </c>
      <c r="F10" s="20">
        <f>IF(74174.05246="","-",74174.05246/8345207.34491*100)</f>
        <v>0.8888221633611183</v>
      </c>
      <c r="G10" s="20">
        <f>IF(71870.62714="","-",71870.62714/7858737.58733*100)</f>
        <v>0.91453145421054816</v>
      </c>
      <c r="H10" s="20">
        <f>IF(OR(6422564.27315="",58254.82188="",74174.05246=""),"-",(74174.05246-58254.82188)/6422564.27315*100)</f>
        <v>0.24786409139650828</v>
      </c>
      <c r="I10" s="20">
        <f>IF(OR(8345207.34491="",71870.62714="",74174.05246=""),"-",(71870.62714-74174.05246)/8345207.34491*100)</f>
        <v>-2.7601774585084934E-2</v>
      </c>
    </row>
    <row r="11" spans="1:12" s="2" customFormat="1" x14ac:dyDescent="0.25">
      <c r="A11" s="30" t="s">
        <v>182</v>
      </c>
      <c r="B11" s="31" t="s">
        <v>155</v>
      </c>
      <c r="C11" s="43">
        <v>105815.67922000001</v>
      </c>
      <c r="D11" s="20">
        <v>116560.47539000001</v>
      </c>
      <c r="E11" s="20">
        <f>IF(OR(105815.67922="",116560.47539=""),"-",116560.47539/105815.67922*100)</f>
        <v>110.15425714714794</v>
      </c>
      <c r="F11" s="20">
        <f>IF(105815.67922="","-",105815.67922/8345207.34491*100)</f>
        <v>1.2679814275021011</v>
      </c>
      <c r="G11" s="20">
        <f>IF(116560.47539="","-",116560.47539/7858737.58733*100)</f>
        <v>1.4831959216696704</v>
      </c>
      <c r="H11" s="20">
        <f>IF(OR(6422564.27315="",85154.75639="",105815.67922=""),"-",(105815.67922-85154.75639)/6422564.27315*100)</f>
        <v>0.32169273753124611</v>
      </c>
      <c r="I11" s="20">
        <f>IF(OR(8345207.34491="",116560.47539="",105815.67922=""),"-",(116560.47539-105815.67922)/8345207.34491*100)</f>
        <v>0.12875409472664073</v>
      </c>
    </row>
    <row r="12" spans="1:12" s="2" customFormat="1" x14ac:dyDescent="0.25">
      <c r="A12" s="30" t="s">
        <v>183</v>
      </c>
      <c r="B12" s="31" t="s">
        <v>156</v>
      </c>
      <c r="C12" s="43">
        <v>72397.519499999995</v>
      </c>
      <c r="D12" s="20">
        <v>81974.503299999997</v>
      </c>
      <c r="E12" s="20">
        <f>IF(OR(72397.5195="",81974.5033=""),"-",81974.5033/72397.5195*100)</f>
        <v>113.2283313933152</v>
      </c>
      <c r="F12" s="20">
        <f>IF(72397.5195="","-",72397.5195/8345207.34491*100)</f>
        <v>0.86753410080526605</v>
      </c>
      <c r="G12" s="20">
        <f>IF(81974.5033="","-",81974.5033/7858737.58733*100)</f>
        <v>1.0431001466719132</v>
      </c>
      <c r="H12" s="20">
        <f>IF(OR(6422564.27315="",67649.18292="",72397.5195=""),"-",(72397.5195-67649.18292)/6422564.27315*100)</f>
        <v>7.3932099050386418E-2</v>
      </c>
      <c r="I12" s="20">
        <f>IF(OR(8345207.34491="",81974.5033="",72397.5195=""),"-",(81974.5033-72397.5195)/8345207.34491*100)</f>
        <v>0.11476028580453786</v>
      </c>
    </row>
    <row r="13" spans="1:12" s="2" customFormat="1" x14ac:dyDescent="0.25">
      <c r="A13" s="30" t="s">
        <v>184</v>
      </c>
      <c r="B13" s="31" t="s">
        <v>157</v>
      </c>
      <c r="C13" s="43">
        <v>145376.01592000001</v>
      </c>
      <c r="D13" s="20">
        <v>125679.30735</v>
      </c>
      <c r="E13" s="20">
        <f>IF(OR(145376.01592="",125679.30735=""),"-",125679.30735/145376.01592*100)</f>
        <v>86.45119798795487</v>
      </c>
      <c r="F13" s="20">
        <f>IF(145376.01592="","-",145376.01592/8345207.34491*100)</f>
        <v>1.7420300049065807</v>
      </c>
      <c r="G13" s="20">
        <f>IF(125679.30735="","-",125679.30735/7858737.58733*100)</f>
        <v>1.5992302319983616</v>
      </c>
      <c r="H13" s="20">
        <f>IF(OR(6422564.27315="",93228.92699="",145376.01592=""),"-",(145376.01592-93228.92699)/6422564.27315*100)</f>
        <v>0.81193564925468675</v>
      </c>
      <c r="I13" s="20">
        <f>IF(OR(8345207.34491="",125679.30735="",145376.01592=""),"-",(125679.30735-145376.01592)/8345207.34491*100)</f>
        <v>-0.2360241963552126</v>
      </c>
    </row>
    <row r="14" spans="1:12" s="2" customFormat="1" x14ac:dyDescent="0.25">
      <c r="A14" s="30" t="s">
        <v>185</v>
      </c>
      <c r="B14" s="31" t="s">
        <v>158</v>
      </c>
      <c r="C14" s="43">
        <v>167700.52273999999</v>
      </c>
      <c r="D14" s="20">
        <v>200378.70374999999</v>
      </c>
      <c r="E14" s="20">
        <f>IF(OR(167700.52274="",200378.70375=""),"-",200378.70375/167700.52274*100)</f>
        <v>119.48603407794005</v>
      </c>
      <c r="F14" s="20">
        <f>IF(167700.52274="","-",167700.52274/8345207.34491*100)</f>
        <v>2.0095429125830613</v>
      </c>
      <c r="G14" s="20">
        <f>IF(200378.70375="","-",200378.70375/7858737.58733*100)</f>
        <v>2.5497568982714753</v>
      </c>
      <c r="H14" s="20">
        <f>IF(OR(6422564.27315="",154405.95412="",167700.52274=""),"-",(167700.52274-154405.95412)/6422564.27315*100)</f>
        <v>0.206997829131565</v>
      </c>
      <c r="I14" s="20">
        <f>IF(OR(8345207.34491="",200378.70375="",167700.52274=""),"-",(200378.70375-167700.52274)/8345207.34491*100)</f>
        <v>0.39158021675676435</v>
      </c>
    </row>
    <row r="15" spans="1:12" s="2" customFormat="1" x14ac:dyDescent="0.25">
      <c r="A15" s="30" t="s">
        <v>186</v>
      </c>
      <c r="B15" s="31" t="s">
        <v>116</v>
      </c>
      <c r="C15" s="43">
        <v>21164.591530000002</v>
      </c>
      <c r="D15" s="20">
        <v>23104.024700000002</v>
      </c>
      <c r="E15" s="20">
        <f>IF(OR(21164.59153="",23104.0247=""),"-",23104.0247/21164.59153*100)</f>
        <v>109.16357477181134</v>
      </c>
      <c r="F15" s="20">
        <f>IF(21164.59153="","-",21164.59153/8345207.34491*100)</f>
        <v>0.25361372887767658</v>
      </c>
      <c r="G15" s="20">
        <f>IF(23104.0247="","-",23104.0247/7858737.58733*100)</f>
        <v>0.29399155326484921</v>
      </c>
      <c r="H15" s="20">
        <f>IF(OR(6422564.27315="",16844.16351="",21164.59153=""),"-",(21164.59153-16844.16351)/6422564.27315*100)</f>
        <v>6.7269517847596619E-2</v>
      </c>
      <c r="I15" s="20">
        <f>IF(OR(8345207.34491="",23104.0247="",21164.59153=""),"-",(23104.0247-21164.59153)/8345207.34491*100)</f>
        <v>2.3240083677284789E-2</v>
      </c>
    </row>
    <row r="16" spans="1:12" s="2" customFormat="1" x14ac:dyDescent="0.25">
      <c r="A16" s="30" t="s">
        <v>187</v>
      </c>
      <c r="B16" s="31" t="s">
        <v>159</v>
      </c>
      <c r="C16" s="43">
        <v>67702.444810000001</v>
      </c>
      <c r="D16" s="20">
        <v>74978.69008</v>
      </c>
      <c r="E16" s="20">
        <f>IF(OR(67702.44481="",74978.69008=""),"-",74978.69008/67702.44481*100)</f>
        <v>110.74738924188046</v>
      </c>
      <c r="F16" s="20">
        <f>IF(67702.44481="","-",67702.44481/8345207.34491*100)</f>
        <v>0.81127336939439632</v>
      </c>
      <c r="G16" s="20">
        <f>IF(74978.69008="","-",74978.69008/7858737.58733*100)</f>
        <v>0.95408059178464011</v>
      </c>
      <c r="H16" s="20">
        <f>IF(OR(6422564.27315="",61550.33954="",67702.44481=""),"-",(67702.44481-61550.33954)/6422564.27315*100)</f>
        <v>9.5788924927062646E-2</v>
      </c>
      <c r="I16" s="20">
        <f>IF(OR(8345207.34491="",74978.69008="",67702.44481=""),"-",(74978.69008-67702.44481)/8345207.34491*100)</f>
        <v>8.7190706824534517E-2</v>
      </c>
    </row>
    <row r="17" spans="1:9" s="2" customFormat="1" x14ac:dyDescent="0.25">
      <c r="A17" s="30" t="s">
        <v>188</v>
      </c>
      <c r="B17" s="31" t="s">
        <v>117</v>
      </c>
      <c r="C17" s="43">
        <v>52833.463799999998</v>
      </c>
      <c r="D17" s="20">
        <v>53749.504099999998</v>
      </c>
      <c r="E17" s="20">
        <f>IF(OR(52833.4638="",53749.5041=""),"-",53749.5041/52833.4638*100)</f>
        <v>101.73382593930933</v>
      </c>
      <c r="F17" s="20">
        <f>IF(52833.4638="","-",52833.4638/8345207.34491*100)</f>
        <v>0.63309947394206756</v>
      </c>
      <c r="G17" s="20">
        <f>IF(53749.5041="","-",53749.5041/7858737.58733*100)</f>
        <v>0.68394578012957108</v>
      </c>
      <c r="H17" s="20">
        <f>IF(OR(6422564.27315="",43804.47536="",52833.4638=""),"-",(52833.4638-43804.47536)/6422564.27315*100)</f>
        <v>0.14058229791091931</v>
      </c>
      <c r="I17" s="20">
        <f>IF(OR(8345207.34491="",53749.5041="",52833.4638=""),"-",(53749.5041-52833.4638)/8345207.34491*100)</f>
        <v>1.0976842900838429E-2</v>
      </c>
    </row>
    <row r="18" spans="1:9" s="2" customFormat="1" x14ac:dyDescent="0.25">
      <c r="A18" s="30" t="s">
        <v>189</v>
      </c>
      <c r="B18" s="31" t="s">
        <v>160</v>
      </c>
      <c r="C18" s="43">
        <v>114208.999</v>
      </c>
      <c r="D18" s="20">
        <v>109670.1507</v>
      </c>
      <c r="E18" s="20">
        <f>IF(OR(114208.999="",109670.1507=""),"-",109670.1507/114208.999*100)</f>
        <v>96.025840047858225</v>
      </c>
      <c r="F18" s="20">
        <f>IF(114208.999="","-",114208.999/8345207.34491*100)</f>
        <v>1.3685579552395375</v>
      </c>
      <c r="G18" s="20">
        <f>IF(109670.1507="","-",109670.1507/7858737.58733*100)</f>
        <v>1.3955186756307045</v>
      </c>
      <c r="H18" s="20">
        <f>IF(OR(6422564.27315="",99248.25072="",114208.999=""),"-",(114208.999-99248.25072)/6422564.27315*100)</f>
        <v>0.23294042136011786</v>
      </c>
      <c r="I18" s="20">
        <f>IF(OR(8345207.34491="",109670.1507="",114208.999=""),"-",(109670.1507-114208.999)/8345207.34491*100)</f>
        <v>-5.4388682178980033E-2</v>
      </c>
    </row>
    <row r="19" spans="1:9" s="2" customFormat="1" x14ac:dyDescent="0.25">
      <c r="A19" s="28" t="s">
        <v>190</v>
      </c>
      <c r="B19" s="29" t="s">
        <v>161</v>
      </c>
      <c r="C19" s="44">
        <v>120039.85511999999</v>
      </c>
      <c r="D19" s="19">
        <v>130673.08127</v>
      </c>
      <c r="E19" s="19">
        <f>IF(120039.85512="","-",130673.08127/120039.85512*100)</f>
        <v>108.85807979305733</v>
      </c>
      <c r="F19" s="19">
        <f>IF(120039.85512="","-",120039.85512/8345207.34491*100)</f>
        <v>1.43842867119672</v>
      </c>
      <c r="G19" s="19">
        <f>IF(130673.08127="","-",130673.08127/7858737.58733*100)</f>
        <v>1.6627744573209</v>
      </c>
      <c r="H19" s="19">
        <f>IF(6422564.27315="","-",(120039.85512-118673.16097)/6422564.27315*100)</f>
        <v>2.1279571396639201E-2</v>
      </c>
      <c r="I19" s="19">
        <f>IF(8345207.34491="","-",(130673.08127-120039.85512)/8345207.34491*100)</f>
        <v>0.12741715946081958</v>
      </c>
    </row>
    <row r="20" spans="1:9" s="2" customFormat="1" x14ac:dyDescent="0.25">
      <c r="A20" s="30" t="s">
        <v>191</v>
      </c>
      <c r="B20" s="31" t="s">
        <v>162</v>
      </c>
      <c r="C20" s="43">
        <v>76118.529509999993</v>
      </c>
      <c r="D20" s="20">
        <v>88005.221049999993</v>
      </c>
      <c r="E20" s="20">
        <f>IF(OR(76118.52951="",88005.22105=""),"-",88005.22105/76118.52951*100)</f>
        <v>115.61602886513775</v>
      </c>
      <c r="F20" s="20">
        <f>IF(76118.52951="","-",76118.52951/8345207.34491*100)</f>
        <v>0.91212268747794556</v>
      </c>
      <c r="G20" s="20">
        <f>IF(88005.22105="","-",88005.22105/7858737.58733*100)</f>
        <v>1.119839160832697</v>
      </c>
      <c r="H20" s="20">
        <f>IF(OR(6422564.27315="",71023.84641="",76118.52951=""),"-",(76118.52951-71023.84641)/6422564.27315*100)</f>
        <v>7.932475072766014E-2</v>
      </c>
      <c r="I20" s="20">
        <f>IF(OR(8345207.34491="",88005.22105="",76118.52951=""),"-",(88005.22105-76118.52951)/8345207.34491*100)</f>
        <v>0.14243734216202619</v>
      </c>
    </row>
    <row r="21" spans="1:9" s="2" customFormat="1" x14ac:dyDescent="0.25">
      <c r="A21" s="30" t="s">
        <v>192</v>
      </c>
      <c r="B21" s="31" t="s">
        <v>163</v>
      </c>
      <c r="C21" s="43">
        <v>43921.32561</v>
      </c>
      <c r="D21" s="20">
        <v>42667.860220000002</v>
      </c>
      <c r="E21" s="20">
        <f>IF(OR(43921.32561="",42667.86022=""),"-",42667.86022/43921.32561*100)</f>
        <v>97.146112116173001</v>
      </c>
      <c r="F21" s="20">
        <f>IF(43921.32561="","-",43921.32561/8345207.34491*100)</f>
        <v>0.52630598371877446</v>
      </c>
      <c r="G21" s="20">
        <f>IF(42667.86022="","-",42667.86022/7858737.58733*100)</f>
        <v>0.54293529648820316</v>
      </c>
      <c r="H21" s="20">
        <f>IF(OR(6422564.27315="",47649.31456="",43921.32561=""),"-",(43921.32561-47649.31456)/6422564.27315*100)</f>
        <v>-5.8045179331020949E-2</v>
      </c>
      <c r="I21" s="20">
        <f>IF(OR(8345207.34491="",42667.86022="",43921.32561=""),"-",(42667.86022-43921.32561)/8345207.34491*100)</f>
        <v>-1.5020182701206636E-2</v>
      </c>
    </row>
    <row r="22" spans="1:9" s="2" customFormat="1" x14ac:dyDescent="0.25">
      <c r="A22" s="28" t="s">
        <v>193</v>
      </c>
      <c r="B22" s="29" t="s">
        <v>18</v>
      </c>
      <c r="C22" s="44">
        <v>254976.84908000001</v>
      </c>
      <c r="D22" s="19">
        <v>196558.64645999999</v>
      </c>
      <c r="E22" s="19">
        <f>IF(254976.84908="","-",196558.64646/254976.84908*100)</f>
        <v>77.088820874999868</v>
      </c>
      <c r="F22" s="19">
        <f>IF(254976.84908="","-",254976.84908/8345207.34491*100)</f>
        <v>3.0553686510319995</v>
      </c>
      <c r="G22" s="19">
        <f>IF(196558.64646="","-",196558.64646/7858737.58733*100)</f>
        <v>2.5011478532747478</v>
      </c>
      <c r="H22" s="19">
        <f>IF(6422564.27315="","-",(254976.84908-172185.39731)/6422564.27315*100)</f>
        <v>1.28907159584398</v>
      </c>
      <c r="I22" s="19">
        <f>IF(8345207.34491="","-",(196558.64646-254976.84908)/8345207.34491*100)</f>
        <v>-0.7000209845670412</v>
      </c>
    </row>
    <row r="23" spans="1:9" s="2" customFormat="1" x14ac:dyDescent="0.25">
      <c r="A23" s="30">
        <v>21</v>
      </c>
      <c r="B23" s="31" t="s">
        <v>360</v>
      </c>
      <c r="C23" s="43">
        <v>6.9120000000000001E-2</v>
      </c>
      <c r="D23" s="19" t="s">
        <v>272</v>
      </c>
      <c r="E23" s="20" t="str">
        <f>IF(OR(0.06912="",""=""),"-",""/0.06912*100)</f>
        <v>-</v>
      </c>
      <c r="F23" s="20">
        <f>IF(0.06912="","-",0.06912/8345207.34491*100)</f>
        <v>8.2825982798568116E-7</v>
      </c>
      <c r="G23" s="20" t="str">
        <f>IF(""="","-",""/7858737.58733*100)</f>
        <v>-</v>
      </c>
      <c r="H23" s="20">
        <f>IF(OR(6422564.27315="",15.41886="",0.06912=""),"-",(0.06912-15.41886)/6422564.27315*100)</f>
        <v>-2.3899706327845893E-4</v>
      </c>
      <c r="I23" s="20" t="str">
        <f>IF(OR(8345207.34491="",""="",0.06912=""),"-",(""-0.06912)/8345207.34491*100)</f>
        <v>-</v>
      </c>
    </row>
    <row r="24" spans="1:9" s="2" customFormat="1" x14ac:dyDescent="0.25">
      <c r="A24" s="30" t="s">
        <v>195</v>
      </c>
      <c r="B24" s="31" t="s">
        <v>164</v>
      </c>
      <c r="C24" s="43">
        <v>125779.39573</v>
      </c>
      <c r="D24" s="20">
        <v>74049.701539999995</v>
      </c>
      <c r="E24" s="20">
        <f>IF(OR(125779.39573="",74049.70154=""),"-",74049.70154/125779.39573*100)</f>
        <v>58.872680306841531</v>
      </c>
      <c r="F24" s="20">
        <f>IF(125779.39573="","-",125779.39573/8345207.34491*100)</f>
        <v>1.5072051601775569</v>
      </c>
      <c r="G24" s="20">
        <f>IF(74049.70154="","-",74049.70154/7858737.58733*100)</f>
        <v>0.94225950055113528</v>
      </c>
      <c r="H24" s="20">
        <f>IF(OR(6422564.27315="",45387.06436="",125779.39573=""),"-",(125779.39573-45387.06436)/6422564.27315*100)</f>
        <v>1.251717039346512</v>
      </c>
      <c r="I24" s="20">
        <f>IF(OR(8345207.34491="",74049.70154="",125779.39573=""),"-",(74049.70154-125779.39573)/8345207.34491*100)</f>
        <v>-0.61987308465800484</v>
      </c>
    </row>
    <row r="25" spans="1:9" s="2" customFormat="1" x14ac:dyDescent="0.25">
      <c r="A25" s="30" t="s">
        <v>248</v>
      </c>
      <c r="B25" s="31" t="s">
        <v>165</v>
      </c>
      <c r="C25" s="43">
        <v>4088.8945899999999</v>
      </c>
      <c r="D25" s="20">
        <v>3494.5883800000001</v>
      </c>
      <c r="E25" s="20">
        <f>IF(OR(4088.89459="",3494.58838=""),"-",3494.58838/4088.89459*100)</f>
        <v>85.465357520992001</v>
      </c>
      <c r="F25" s="20">
        <f>IF(4088.89459="","-",4088.89459/8345207.34491*100)</f>
        <v>4.8996920280164669E-2</v>
      </c>
      <c r="G25" s="20">
        <f>IF(3494.58838="","-",3494.58838/7858737.58733*100)</f>
        <v>4.4467553995364846E-2</v>
      </c>
      <c r="H25" s="20">
        <f>IF(OR(6422564.27315="",2588.29931="",4088.89459=""),"-",(4088.89459-2588.29931)/6422564.27315*100)</f>
        <v>2.3364426048227319E-2</v>
      </c>
      <c r="I25" s="20">
        <f>IF(OR(8345207.34491="",3494.58838="",4088.89459=""),"-",(3494.58838-4088.89459)/8345207.34491*100)</f>
        <v>-7.1215271884464979E-3</v>
      </c>
    </row>
    <row r="26" spans="1:9" s="2" customFormat="1" x14ac:dyDescent="0.25">
      <c r="A26" s="30" t="s">
        <v>196</v>
      </c>
      <c r="B26" s="31" t="s">
        <v>166</v>
      </c>
      <c r="C26" s="43">
        <v>52720.644650000002</v>
      </c>
      <c r="D26" s="20">
        <v>40713.609579999997</v>
      </c>
      <c r="E26" s="20">
        <f>IF(OR(52720.64465="",40713.60958=""),"-",40713.60958/52720.64465*100)</f>
        <v>77.225174028671503</v>
      </c>
      <c r="F26" s="20">
        <f>IF(52720.64465="","-",52720.64465/8345207.34491*100)</f>
        <v>0.63174757044420171</v>
      </c>
      <c r="G26" s="20">
        <f>IF(40713.60958="","-",40713.60958/7858737.58733*100)</f>
        <v>0.5180680628099763</v>
      </c>
      <c r="H26" s="20">
        <f>IF(OR(6422564.27315="",52509.65118="",52720.64465=""),"-",(52720.64465-52509.65118)/6422564.27315*100)</f>
        <v>3.2851904788570962E-3</v>
      </c>
      <c r="I26" s="20">
        <f>IF(OR(8345207.34491="",40713.60958="",52720.64465=""),"-",(40713.60958-52720.64465)/8345207.34491*100)</f>
        <v>-0.1438794097467628</v>
      </c>
    </row>
    <row r="27" spans="1:9" s="2" customFormat="1" x14ac:dyDescent="0.25">
      <c r="A27" s="30" t="s">
        <v>197</v>
      </c>
      <c r="B27" s="31" t="s">
        <v>118</v>
      </c>
      <c r="C27" s="43">
        <v>658.96601999999996</v>
      </c>
      <c r="D27" s="20">
        <v>324.26925</v>
      </c>
      <c r="E27" s="20">
        <f>IF(OR(658.96602="",324.26925=""),"-",324.26925/658.96602*100)</f>
        <v>49.208796835988601</v>
      </c>
      <c r="F27" s="20">
        <f>IF(658.96602="","-",658.96602/8345207.34491*100)</f>
        <v>7.8963408908218884E-3</v>
      </c>
      <c r="G27" s="20">
        <f>IF(324.26925="","-",324.26925/7858737.58733*100)</f>
        <v>4.1262256996949841E-3</v>
      </c>
      <c r="H27" s="20">
        <f>IF(OR(6422564.27315="",560.6359="",658.96602=""),"-",(658.96602-560.6359)/6422564.27315*100)</f>
        <v>1.5310102914979961E-3</v>
      </c>
      <c r="I27" s="20">
        <f>IF(OR(8345207.34491="",324.26925="",658.96602=""),"-",(324.26925-658.96602)/8345207.34491*100)</f>
        <v>-4.0106465443802523E-3</v>
      </c>
    </row>
    <row r="28" spans="1:9" s="2" customFormat="1" ht="27.75" customHeight="1" x14ac:dyDescent="0.25">
      <c r="A28" s="30" t="s">
        <v>198</v>
      </c>
      <c r="B28" s="31" t="s">
        <v>119</v>
      </c>
      <c r="C28" s="43">
        <v>7991.1708399999998</v>
      </c>
      <c r="D28" s="20">
        <v>7003.5562300000001</v>
      </c>
      <c r="E28" s="20">
        <f>IF(OR(7991.17084="",7003.55623=""),"-",7003.55623/7991.17084*100)</f>
        <v>87.641177622477159</v>
      </c>
      <c r="F28" s="20">
        <f>IF(7991.17084="","-",7991.17084/8345207.34491*100)</f>
        <v>9.5757606848127758E-2</v>
      </c>
      <c r="G28" s="20">
        <f>IF(7003.55623="","-",7003.55623/7858737.58733*100)</f>
        <v>8.9118082289593961E-2</v>
      </c>
      <c r="H28" s="20">
        <f>IF(OR(6422564.27315="",9625.86952="",7991.17084=""),"-",(7991.17084-9625.86952)/6422564.27315*100)</f>
        <v>-2.5452430064950501E-2</v>
      </c>
      <c r="I28" s="20">
        <f>IF(OR(8345207.34491="",7003.55623="",7991.17084=""),"-",(7003.55623-7991.17084)/8345207.34491*100)</f>
        <v>-1.1834512543326755E-2</v>
      </c>
    </row>
    <row r="29" spans="1:9" s="2" customFormat="1" ht="27" customHeight="1" x14ac:dyDescent="0.25">
      <c r="A29" s="30" t="s">
        <v>199</v>
      </c>
      <c r="B29" s="31" t="s">
        <v>120</v>
      </c>
      <c r="C29" s="43">
        <v>21037.86405</v>
      </c>
      <c r="D29" s="20">
        <v>21569.693589999999</v>
      </c>
      <c r="E29" s="20">
        <f>IF(OR(21037.86405="",21569.69359=""),"-",21569.69359/21037.86405*100)</f>
        <v>102.52796357432491</v>
      </c>
      <c r="F29" s="20">
        <f>IF(21037.86405="","-",21037.86405/8345207.34491*100)</f>
        <v>0.25209516289408485</v>
      </c>
      <c r="G29" s="20">
        <f>IF(21569.69359="","-",21569.69359/7858737.58733*100)</f>
        <v>0.27446766545271922</v>
      </c>
      <c r="H29" s="20">
        <f>IF(OR(6422564.27315="",18014.69506="",21037.86405=""),"-",(21037.86405-18014.69506)/6422564.27315*100)</f>
        <v>4.7071058558940095E-2</v>
      </c>
      <c r="I29" s="20">
        <f>IF(OR(8345207.34491="",21569.69359="",21037.86405=""),"-",(21569.69359-21037.86405)/8345207.34491*100)</f>
        <v>6.3728738905975543E-3</v>
      </c>
    </row>
    <row r="30" spans="1:9" s="2" customFormat="1" x14ac:dyDescent="0.25">
      <c r="A30" s="30" t="s">
        <v>200</v>
      </c>
      <c r="B30" s="31" t="s">
        <v>121</v>
      </c>
      <c r="C30" s="43">
        <v>2478.2460999999998</v>
      </c>
      <c r="D30" s="20">
        <v>2399.5855799999999</v>
      </c>
      <c r="E30" s="20">
        <f>IF(OR(2478.2461="",2399.58558=""),"-",2399.58558/2478.2461*100)</f>
        <v>96.825960101379778</v>
      </c>
      <c r="F30" s="20">
        <f>IF(2478.2461="","-",2478.2461/8345207.34491*100)</f>
        <v>2.9696639011750365E-2</v>
      </c>
      <c r="G30" s="20">
        <f>IF(2399.58558="","-",2399.58558/7858737.58733*100)</f>
        <v>3.0533982759122225E-2</v>
      </c>
      <c r="H30" s="20">
        <f>IF(OR(6422564.27315="",1214.34265="",2478.2461=""),"-",(2478.2461-1214.34265)/6422564.27315*100)</f>
        <v>1.9679109406251342E-2</v>
      </c>
      <c r="I30" s="20">
        <f>IF(OR(8345207.34491="",2399.58558="",2478.2461=""),"-",(2399.58558-2478.2461)/8345207.34491*100)</f>
        <v>-9.4258317078217821E-4</v>
      </c>
    </row>
    <row r="31" spans="1:9" s="2" customFormat="1" x14ac:dyDescent="0.25">
      <c r="A31" s="30" t="s">
        <v>201</v>
      </c>
      <c r="B31" s="31" t="s">
        <v>122</v>
      </c>
      <c r="C31" s="43">
        <v>40221.597979999999</v>
      </c>
      <c r="D31" s="20">
        <v>47003.642310000003</v>
      </c>
      <c r="E31" s="20">
        <f>IF(OR(40221.59798="",47003.64231=""),"-",47003.64231/40221.59798*100)</f>
        <v>116.86169787031422</v>
      </c>
      <c r="F31" s="20">
        <f>IF(40221.59798="","-",40221.59798/8345207.34491*100)</f>
        <v>0.48197242222546322</v>
      </c>
      <c r="G31" s="20">
        <f>IF(47003.64231="","-",47003.64231/7858737.58733*100)</f>
        <v>0.59810677971714099</v>
      </c>
      <c r="H31" s="20">
        <f>IF(OR(6422564.27315="",42269.42047="",40221.59798=""),"-",(40221.59798-42269.42047)/6422564.27315*100)</f>
        <v>-3.1884811158077009E-2</v>
      </c>
      <c r="I31" s="20">
        <f>IF(OR(8345207.34491="",47003.64231="",40221.59798=""),"-",(47003.64231-40221.59798)/8345207.34491*100)</f>
        <v>8.1268733653892769E-2</v>
      </c>
    </row>
    <row r="32" spans="1:9" s="2" customFormat="1" x14ac:dyDescent="0.25">
      <c r="A32" s="28" t="s">
        <v>202</v>
      </c>
      <c r="B32" s="29" t="s">
        <v>123</v>
      </c>
      <c r="C32" s="44">
        <v>2292322.7191699999</v>
      </c>
      <c r="D32" s="19">
        <v>1770749.7054999999</v>
      </c>
      <c r="E32" s="19">
        <f>IF(2292322.71917="","-",1770749.7055/2292322.71917*100)</f>
        <v>77.246963993845924</v>
      </c>
      <c r="F32" s="19">
        <f>IF(2292322.71917="","-",2292322.71917/8345207.34491*100)</f>
        <v>27.468732943683637</v>
      </c>
      <c r="G32" s="19">
        <f>IF(1770749.7055="","-",1770749.7055/7858737.58733*100)</f>
        <v>22.532241162433454</v>
      </c>
      <c r="H32" s="19">
        <f>IF(6422564.27315="","-",(2292322.71917-928958.3902)/6422564.27315*100)</f>
        <v>21.227725733623938</v>
      </c>
      <c r="I32" s="19">
        <f>IF(8345207.34491="","-",(1770749.7055-2292322.71917)/8345207.34491*100)</f>
        <v>-6.2499706971106415</v>
      </c>
    </row>
    <row r="33" spans="1:9" s="2" customFormat="1" x14ac:dyDescent="0.25">
      <c r="A33" s="30" t="s">
        <v>203</v>
      </c>
      <c r="B33" s="31" t="s">
        <v>167</v>
      </c>
      <c r="C33" s="43">
        <v>34772.160199999998</v>
      </c>
      <c r="D33" s="20">
        <v>19267.922610000001</v>
      </c>
      <c r="E33" s="20">
        <f>IF(OR(34772.1602="",19267.92261=""),"-",19267.92261/34772.1602*100)</f>
        <v>55.411922926778658</v>
      </c>
      <c r="F33" s="20">
        <f>IF(34772.1602="","-",34772.1602/8345207.34491*100)</f>
        <v>0.41667221391699283</v>
      </c>
      <c r="G33" s="20">
        <f>IF(19267.92261="","-",19267.92261/7858737.58733*100)</f>
        <v>0.2451783431611726</v>
      </c>
      <c r="H33" s="20">
        <f>IF(OR(6422564.27315="",17460.31753="",34772.1602=""),"-",(34772.1602-17460.31753)/6422564.27315*100)</f>
        <v>0.26954720783991876</v>
      </c>
      <c r="I33" s="20">
        <f>IF(OR(8345207.34491="",19267.92261="",34772.1602=""),"-",(19267.92261-34772.1602)/8345207.34491*100)</f>
        <v>-0.1857861278840065</v>
      </c>
    </row>
    <row r="34" spans="1:9" s="2" customFormat="1" x14ac:dyDescent="0.25">
      <c r="A34" s="30" t="s">
        <v>204</v>
      </c>
      <c r="B34" s="31" t="s">
        <v>124</v>
      </c>
      <c r="C34" s="43">
        <v>1383172.5852699999</v>
      </c>
      <c r="D34" s="20">
        <v>1215626.4341500001</v>
      </c>
      <c r="E34" s="20">
        <f>IF(OR(1383172.58527="",1215626.43415=""),"-",1215626.43415/1383172.58527*100)</f>
        <v>87.886822446868095</v>
      </c>
      <c r="F34" s="20">
        <f>IF(1383172.58527="","-",1383172.58527/8345207.34491*100)</f>
        <v>16.574454391641204</v>
      </c>
      <c r="G34" s="20">
        <f>IF(1215626.43415="","-",1215626.43415/7858737.58733*100)</f>
        <v>15.468469593765994</v>
      </c>
      <c r="H34" s="20">
        <f>IF(OR(6422564.27315="",577197.6305="",1383172.58527=""),"-",(1383172.58527-577197.6305)/6422564.27315*100)</f>
        <v>12.549114660314686</v>
      </c>
      <c r="I34" s="20">
        <f>IF(OR(8345207.34491="",1215626.43415="",1383172.58527=""),"-",(1215626.43415-1383172.58527)/8345207.34491*100)</f>
        <v>-2.0076930889223665</v>
      </c>
    </row>
    <row r="35" spans="1:9" s="2" customFormat="1" x14ac:dyDescent="0.25">
      <c r="A35" s="30" t="s">
        <v>249</v>
      </c>
      <c r="B35" s="31" t="s">
        <v>168</v>
      </c>
      <c r="C35" s="43">
        <v>744168.16942000005</v>
      </c>
      <c r="D35" s="20">
        <v>492446.84753000003</v>
      </c>
      <c r="E35" s="20">
        <f>IF(OR(744168.16942="",492446.84753=""),"-",492446.84753/744168.16942*100)</f>
        <v>66.174134794533074</v>
      </c>
      <c r="F35" s="20">
        <f>IF(744168.16942="","-",744168.16942/8345207.34491*100)</f>
        <v>8.9173119212417316</v>
      </c>
      <c r="G35" s="20">
        <f>IF(492446.84753="","-",492446.84753/7858737.58733*100)</f>
        <v>6.266233501980417</v>
      </c>
      <c r="H35" s="20">
        <f>IF(OR(6422564.27315="",326579.19044="",744168.16942=""),"-",(744168.16942-326579.19044)/6422564.27315*100)</f>
        <v>6.5019042429168268</v>
      </c>
      <c r="I35" s="20">
        <f>IF(OR(8345207.34491="",492446.84753="",744168.16942=""),"-",(492446.84753-744168.16942)/8345207.34491*100)</f>
        <v>-3.016357910430262</v>
      </c>
    </row>
    <row r="36" spans="1:9" s="2" customFormat="1" x14ac:dyDescent="0.25">
      <c r="A36" s="30" t="s">
        <v>254</v>
      </c>
      <c r="B36" s="31" t="s">
        <v>256</v>
      </c>
      <c r="C36" s="43">
        <v>130209.80428</v>
      </c>
      <c r="D36" s="20">
        <v>43408.501210000002</v>
      </c>
      <c r="E36" s="20">
        <f>IF(OR(130209.80428="",43408.50121=""),"-",43408.50121/130209.80428*100)</f>
        <v>33.337352321531348</v>
      </c>
      <c r="F36" s="20">
        <f>IF(130209.80428="","-",130209.80428/8345207.34491*100)</f>
        <v>1.5602944168837096</v>
      </c>
      <c r="G36" s="20">
        <f>IF(43408.50121="","-",43408.50121/7858737.58733*100)</f>
        <v>0.55235972352587503</v>
      </c>
      <c r="H36" s="20">
        <f>IF(OR(6422564.27315="",7721.25173="",130209.80428=""),"-",(130209.80428-7721.25173)/6422564.27315*100)</f>
        <v>1.9071596225525116</v>
      </c>
      <c r="I36" s="20">
        <f>IF(OR(8345207.34491="",43408.50121="",130209.80428=""),"-",(43408.50121-130209.80428)/8345207.34491*100)</f>
        <v>-1.0401335698740042</v>
      </c>
    </row>
    <row r="37" spans="1:9" s="2" customFormat="1" x14ac:dyDescent="0.25">
      <c r="A37" s="28" t="s">
        <v>205</v>
      </c>
      <c r="B37" s="29" t="s">
        <v>125</v>
      </c>
      <c r="C37" s="44">
        <v>60256.665950000002</v>
      </c>
      <c r="D37" s="19">
        <v>23398.827529999999</v>
      </c>
      <c r="E37" s="19">
        <f>IF(60256.66595="","-",23398.82753/60256.66595*100)</f>
        <v>38.831931971503309</v>
      </c>
      <c r="F37" s="19">
        <f>IF(60256.66595="","-",60256.66595/8345207.34491*100)</f>
        <v>0.72205115414840348</v>
      </c>
      <c r="G37" s="19">
        <f>IF(23398.82753="","-",23398.82753/7858737.58733*100)</f>
        <v>0.29774282790309753</v>
      </c>
      <c r="H37" s="19">
        <f>IF(6422564.27315="","-",(60256.66595-12938.08304)/6422564.27315*100)</f>
        <v>0.7367553036069846</v>
      </c>
      <c r="I37" s="19">
        <f>IF(8345207.34491="","-",(23398.82753-60256.66595)/8345207.34491*100)</f>
        <v>-0.4416647411700409</v>
      </c>
    </row>
    <row r="38" spans="1:9" s="2" customFormat="1" x14ac:dyDescent="0.25">
      <c r="A38" s="30" t="s">
        <v>206</v>
      </c>
      <c r="B38" s="31" t="s">
        <v>171</v>
      </c>
      <c r="C38" s="43">
        <v>2410.0877500000001</v>
      </c>
      <c r="D38" s="20">
        <v>3082.29898</v>
      </c>
      <c r="E38" s="20">
        <f>IF(OR(2410.08775="",3082.29898=""),"-",3082.29898/2410.08775*100)</f>
        <v>127.89156660374709</v>
      </c>
      <c r="F38" s="20">
        <f>IF(2410.08775="","-",2410.08775/8345207.34491*100)</f>
        <v>2.8879902564314198E-2</v>
      </c>
      <c r="G38" s="20">
        <f>IF(3082.29898="","-",3082.29898/7858737.58733*100)</f>
        <v>3.9221299168575613E-2</v>
      </c>
      <c r="H38" s="20">
        <f>IF(OR(6422564.27315="",1886.5325="",2410.08775=""),"-",(2410.08775-1886.5325)/6422564.27315*100)</f>
        <v>8.1518102074705761E-3</v>
      </c>
      <c r="I38" s="20">
        <f>IF(OR(8345207.34491="",3082.29898="",2410.08775=""),"-",(3082.29898-2410.08775)/8345207.34491*100)</f>
        <v>8.0550572588229605E-3</v>
      </c>
    </row>
    <row r="39" spans="1:9" s="2" customFormat="1" ht="24" x14ac:dyDescent="0.25">
      <c r="A39" s="30" t="s">
        <v>207</v>
      </c>
      <c r="B39" s="31" t="s">
        <v>126</v>
      </c>
      <c r="C39" s="43">
        <v>54595.267549999997</v>
      </c>
      <c r="D39" s="20">
        <v>16921.65324</v>
      </c>
      <c r="E39" s="20">
        <f>IF(OR(54595.26755="",16921.65324=""),"-",16921.65324/54595.26755*100)</f>
        <v>30.99472536608166</v>
      </c>
      <c r="F39" s="20">
        <f>IF(54595.26755="","-",54595.26755/8345207.34491*100)</f>
        <v>0.65421103746810239</v>
      </c>
      <c r="G39" s="20">
        <f>IF(16921.65324="","-",16921.65324/7858737.58733*100)</f>
        <v>0.21532279264905599</v>
      </c>
      <c r="H39" s="20">
        <f>IF(OR(6422564.27315="",9063.03097="",54595.26755=""),"-",(54595.26755-9063.03097)/6422564.27315*100)</f>
        <v>0.70894170371094367</v>
      </c>
      <c r="I39" s="20">
        <f>IF(OR(8345207.34491="",16921.65324="",54595.26755=""),"-",(16921.65324-54595.26755)/8345207.34491*100)</f>
        <v>-0.45144012309027043</v>
      </c>
    </row>
    <row r="40" spans="1:9" s="2" customFormat="1" ht="37.5" customHeight="1" x14ac:dyDescent="0.25">
      <c r="A40" s="30" t="s">
        <v>208</v>
      </c>
      <c r="B40" s="31" t="s">
        <v>169</v>
      </c>
      <c r="C40" s="43">
        <v>3251.3106499999999</v>
      </c>
      <c r="D40" s="20">
        <v>3394.8753099999999</v>
      </c>
      <c r="E40" s="20">
        <f>IF(OR(3251.31065="",3394.87531=""),"-",3394.87531/3251.31065*100)</f>
        <v>104.41559344690732</v>
      </c>
      <c r="F40" s="20">
        <f>IF(3251.31065="","-",3251.31065/8345207.34491*100)</f>
        <v>3.896021411598688E-2</v>
      </c>
      <c r="G40" s="20">
        <f>IF(3394.87531="","-",3394.87531/7858737.58733*100)</f>
        <v>4.3198736085465941E-2</v>
      </c>
      <c r="H40" s="20">
        <f>IF(OR(6422564.27315="",1988.51957="",3251.31065=""),"-",(3251.31065-1988.51957)/6422564.27315*100)</f>
        <v>1.9661789688570193E-2</v>
      </c>
      <c r="I40" s="20">
        <f>IF(OR(8345207.34491="",3394.87531="",3251.31065=""),"-",(3394.87531-3251.31065)/8345207.34491*100)</f>
        <v>1.72032466140658E-3</v>
      </c>
    </row>
    <row r="41" spans="1:9" s="2" customFormat="1" ht="24" x14ac:dyDescent="0.25">
      <c r="A41" s="28" t="s">
        <v>209</v>
      </c>
      <c r="B41" s="29" t="s">
        <v>127</v>
      </c>
      <c r="C41" s="44">
        <v>996958.36762000003</v>
      </c>
      <c r="D41" s="19">
        <v>999866.02008000005</v>
      </c>
      <c r="E41" s="19">
        <f>IF(996958.36762="","-",999866.02008/996958.36762*100)</f>
        <v>100.2916523452169</v>
      </c>
      <c r="F41" s="19">
        <f>IF(996958.36762="","-",996958.36762/8345207.34491*100)</f>
        <v>11.946478097132909</v>
      </c>
      <c r="G41" s="19">
        <f>IF(999866.02008="","-",999866.02008/7858737.58733*100)</f>
        <v>12.722985199200471</v>
      </c>
      <c r="H41" s="19">
        <f>IF(6422564.27315="","-",(996958.36762-935300.4437)/6422564.27315*100)</f>
        <v>0.96002034853532803</v>
      </c>
      <c r="I41" s="19">
        <f>IF(8345207.34491="","-",(999866.02008-996958.36762)/8345207.34491*100)</f>
        <v>3.484218354111332E-2</v>
      </c>
    </row>
    <row r="42" spans="1:9" s="2" customFormat="1" x14ac:dyDescent="0.25">
      <c r="A42" s="30" t="s">
        <v>210</v>
      </c>
      <c r="B42" s="31" t="s">
        <v>19</v>
      </c>
      <c r="C42" s="43">
        <v>17523.148789999999</v>
      </c>
      <c r="D42" s="20">
        <v>14819.127500000001</v>
      </c>
      <c r="E42" s="20">
        <f>IF(OR(17523.14879="",14819.1275=""),"-",14819.1275/17523.14879*100)</f>
        <v>84.568861895739232</v>
      </c>
      <c r="F42" s="20">
        <f>IF(17523.14879="","-",17523.14879/8345207.34491*100)</f>
        <v>0.2099785908937051</v>
      </c>
      <c r="G42" s="20">
        <f>IF(14819.1275="","-",14819.1275/7858737.58733*100)</f>
        <v>0.18856880428087675</v>
      </c>
      <c r="H42" s="20">
        <f>IF(OR(6422564.27315="",13711.61808="",17523.14879=""),"-",(17523.14879-13711.61808)/6422564.27315*100)</f>
        <v>5.9345933304776444E-2</v>
      </c>
      <c r="I42" s="20">
        <f>IF(OR(8345207.34491="",14819.1275="",17523.14879=""),"-",(14819.1275-17523.14879)/8345207.34491*100)</f>
        <v>-3.2402086350188347E-2</v>
      </c>
    </row>
    <row r="43" spans="1:9" s="2" customFormat="1" x14ac:dyDescent="0.25">
      <c r="A43" s="30" t="s">
        <v>211</v>
      </c>
      <c r="B43" s="31" t="s">
        <v>20</v>
      </c>
      <c r="C43" s="43">
        <v>30879.119009999999</v>
      </c>
      <c r="D43" s="20">
        <v>31413.113720000001</v>
      </c>
      <c r="E43" s="20">
        <f>IF(OR(30879.11901="",31413.11372=""),"-",31413.11372/30879.11901*100)</f>
        <v>101.72930681677504</v>
      </c>
      <c r="F43" s="20">
        <f>IF(30879.11901="","-",30879.11901/8345207.34491*100)</f>
        <v>0.37002219038732603</v>
      </c>
      <c r="G43" s="20">
        <f>IF(31413.11372="","-",31413.11372/7858737.58733*100)</f>
        <v>0.39972213566011927</v>
      </c>
      <c r="H43" s="20">
        <f>IF(OR(6422564.27315="",14801.35787="",30879.11901=""),"-",(30879.11901-14801.35787)/6422564.27315*100)</f>
        <v>0.25033242885889451</v>
      </c>
      <c r="I43" s="20">
        <f>IF(OR(8345207.34491="",31413.11372="",30879.11901=""),"-",(31413.11372-30879.11901)/8345207.34491*100)</f>
        <v>6.3988189619482915E-3</v>
      </c>
    </row>
    <row r="44" spans="1:9" s="2" customFormat="1" x14ac:dyDescent="0.25">
      <c r="A44" s="30" t="s">
        <v>212</v>
      </c>
      <c r="B44" s="31" t="s">
        <v>128</v>
      </c>
      <c r="C44" s="43">
        <v>47726.679929999998</v>
      </c>
      <c r="D44" s="20">
        <v>51008.789940000002</v>
      </c>
      <c r="E44" s="20">
        <f>IF(OR(47726.67993="",51008.78994=""),"-",51008.78994/47726.67993*100)</f>
        <v>106.87688734019174</v>
      </c>
      <c r="F44" s="20">
        <f>IF(47726.67993="","-",47726.67993/8345207.34491*100)</f>
        <v>0.57190526199579661</v>
      </c>
      <c r="G44" s="20">
        <f>IF(51008.78994="","-",51008.78994/7858737.58733*100)</f>
        <v>0.64907104192201692</v>
      </c>
      <c r="H44" s="20">
        <f>IF(OR(6422564.27315="",47630.88416="",47726.67993=""),"-",(47726.67993-47630.88416)/6422564.27315*100)</f>
        <v>1.4915501959315257E-3</v>
      </c>
      <c r="I44" s="20">
        <f>IF(OR(8345207.34491="",51008.78994="",47726.67993=""),"-",(51008.78994-47726.67993)/8345207.34491*100)</f>
        <v>3.9329280560079366E-2</v>
      </c>
    </row>
    <row r="45" spans="1:9" s="2" customFormat="1" x14ac:dyDescent="0.25">
      <c r="A45" s="30" t="s">
        <v>213</v>
      </c>
      <c r="B45" s="31" t="s">
        <v>129</v>
      </c>
      <c r="C45" s="43">
        <v>254519.61992</v>
      </c>
      <c r="D45" s="20">
        <v>273013.05226999999</v>
      </c>
      <c r="E45" s="20">
        <f>IF(OR(254519.61992="",273013.05227=""),"-",273013.05227/254519.61992*100)</f>
        <v>107.26601444549257</v>
      </c>
      <c r="F45" s="20">
        <f>IF(254519.61992="","-",254519.61992/8345207.34491*100)</f>
        <v>3.0498897079560208</v>
      </c>
      <c r="G45" s="20">
        <f>IF(273013.05227="","-",273013.05227/7858737.58733*100)</f>
        <v>3.4740064703287286</v>
      </c>
      <c r="H45" s="20">
        <f>IF(OR(6422564.27315="",294902.83286="",254519.61992=""),"-",(254519.61992-294902.83286)/6422564.27315*100)</f>
        <v>-0.62877086507059188</v>
      </c>
      <c r="I45" s="20">
        <f>IF(OR(8345207.34491="",273013.05227="",254519.61992=""),"-",(273013.05227-254519.61992)/8345207.34491*100)</f>
        <v>0.22160542675167563</v>
      </c>
    </row>
    <row r="46" spans="1:9" s="2" customFormat="1" ht="27" customHeight="1" x14ac:dyDescent="0.25">
      <c r="A46" s="30" t="s">
        <v>214</v>
      </c>
      <c r="B46" s="31" t="s">
        <v>130</v>
      </c>
      <c r="C46" s="43">
        <v>140681.25834999999</v>
      </c>
      <c r="D46" s="20">
        <v>161381.52725000001</v>
      </c>
      <c r="E46" s="20">
        <f>IF(OR(140681.25835="",161381.52725=""),"-",161381.52725/140681.25835*100)</f>
        <v>114.71430462222621</v>
      </c>
      <c r="F46" s="20">
        <f>IF(140681.25835="","-",140681.25835/8345207.34491*100)</f>
        <v>1.6857730735211252</v>
      </c>
      <c r="G46" s="20">
        <f>IF(161381.52725="","-",161381.52725/7858737.58733*100)</f>
        <v>2.0535299143997663</v>
      </c>
      <c r="H46" s="20">
        <f>IF(OR(6422564.27315="",126978.82972="",140681.25835=""),"-",(140681.25835-126978.82972)/6422564.27315*100)</f>
        <v>0.21334825230607657</v>
      </c>
      <c r="I46" s="20">
        <f>IF(OR(8345207.34491="",161381.52725="",140681.25835=""),"-",(161381.52725-140681.25835)/8345207.34491*100)</f>
        <v>0.24804978527736352</v>
      </c>
    </row>
    <row r="47" spans="1:9" s="2" customFormat="1" ht="18" customHeight="1" x14ac:dyDescent="0.25">
      <c r="A47" s="30" t="s">
        <v>215</v>
      </c>
      <c r="B47" s="31" t="s">
        <v>131</v>
      </c>
      <c r="C47" s="43">
        <v>127735.2144</v>
      </c>
      <c r="D47" s="20">
        <v>127906.8178</v>
      </c>
      <c r="E47" s="20">
        <f>IF(OR(127735.2144="",127906.8178=""),"-",127906.8178/127735.2144*100)</f>
        <v>100.13434306334872</v>
      </c>
      <c r="F47" s="20">
        <f>IF(127735.2144="","-",127735.2144/8345207.34491*100)</f>
        <v>1.5306415900847528</v>
      </c>
      <c r="G47" s="20">
        <f>IF(127906.8178="","-",127906.8178/7858737.58733*100)</f>
        <v>1.6275746120625496</v>
      </c>
      <c r="H47" s="20">
        <f>IF(OR(6422564.27315="",80274.05148="",127735.2144=""),"-",(127735.2144-80274.05148)/6422564.27315*100)</f>
        <v>0.73897528933131695</v>
      </c>
      <c r="I47" s="20">
        <f>IF(OR(8345207.34491="",127906.8178="",127735.2144=""),"-",(127906.8178-127735.2144)/8345207.34491*100)</f>
        <v>2.0563108010093175E-3</v>
      </c>
    </row>
    <row r="48" spans="1:9" s="2" customFormat="1" x14ac:dyDescent="0.25">
      <c r="A48" s="30" t="s">
        <v>216</v>
      </c>
      <c r="B48" s="31" t="s">
        <v>21</v>
      </c>
      <c r="C48" s="43">
        <v>74561.470289999997</v>
      </c>
      <c r="D48" s="20">
        <v>62603.015270000004</v>
      </c>
      <c r="E48" s="20">
        <f>IF(OR(74561.47029="",62603.01527=""),"-",62603.01527/74561.47029*100)</f>
        <v>83.961615867433039</v>
      </c>
      <c r="F48" s="20">
        <f>IF(74561.47029="","-",74561.47029/8345207.34491*100)</f>
        <v>0.89346456245305084</v>
      </c>
      <c r="G48" s="20">
        <f>IF(62603.01527="","-",62603.01527/7858737.58733*100)</f>
        <v>0.79660396564111935</v>
      </c>
      <c r="H48" s="20">
        <f>IF(OR(6422564.27315="",66363.79438="",74561.47029=""),"-",(74561.47029-66363.79438)/6422564.27315*100)</f>
        <v>0.12763867454423111</v>
      </c>
      <c r="I48" s="20">
        <f>IF(OR(8345207.34491="",62603.01527="",74561.47029=""),"-",(62603.01527-74561.47029)/8345207.34491*100)</f>
        <v>-0.143297278614579</v>
      </c>
    </row>
    <row r="49" spans="1:9" s="2" customFormat="1" x14ac:dyDescent="0.25">
      <c r="A49" s="30" t="s">
        <v>217</v>
      </c>
      <c r="B49" s="31" t="s">
        <v>22</v>
      </c>
      <c r="C49" s="43">
        <v>140096.52601999999</v>
      </c>
      <c r="D49" s="20">
        <v>129057.76224</v>
      </c>
      <c r="E49" s="20">
        <f>IF(OR(140096.52602="",129057.76224=""),"-",129057.76224/140096.52602*100)</f>
        <v>92.1206013499406</v>
      </c>
      <c r="F49" s="20">
        <f>IF(140096.52602="","-",140096.52602/8345207.34491*100)</f>
        <v>1.678766269425878</v>
      </c>
      <c r="G49" s="20">
        <f>IF(129057.76224="","-",129057.76224/7858737.58733*100)</f>
        <v>1.6422200233288011</v>
      </c>
      <c r="H49" s="20">
        <f>IF(OR(6422564.27315="",144958.82462="",140096.52602=""),"-",(140096.52602-144958.82462)/6422564.27315*100)</f>
        <v>-7.5706499665985513E-2</v>
      </c>
      <c r="I49" s="20">
        <f>IF(OR(8345207.34491="",129057.76224="",140096.52602=""),"-",(129057.76224-140096.52602)/8345207.34491*100)</f>
        <v>-0.13227668677079515</v>
      </c>
    </row>
    <row r="50" spans="1:9" s="2" customFormat="1" x14ac:dyDescent="0.25">
      <c r="A50" s="30" t="s">
        <v>218</v>
      </c>
      <c r="B50" s="31" t="s">
        <v>132</v>
      </c>
      <c r="C50" s="43">
        <v>163235.33090999999</v>
      </c>
      <c r="D50" s="20">
        <v>148662.81409</v>
      </c>
      <c r="E50" s="20">
        <f>IF(OR(163235.33091="",148662.81409=""),"-",148662.81409/163235.33091*100)</f>
        <v>91.072694410724992</v>
      </c>
      <c r="F50" s="20">
        <f>IF(163235.33091="","-",163235.33091/8345207.34491*100)</f>
        <v>1.9560368504152537</v>
      </c>
      <c r="G50" s="20">
        <f>IF(148662.81409="","-",148662.81409/7858737.58733*100)</f>
        <v>1.8916882315764927</v>
      </c>
      <c r="H50" s="20">
        <f>IF(OR(6422564.27315="",145678.25053="",163235.33091=""),"-",(163235.33091-145678.25053)/6422564.27315*100)</f>
        <v>0.27336558473067618</v>
      </c>
      <c r="I50" s="20">
        <f>IF(OR(8345207.34491="",148662.81409="",163235.33091=""),"-",(148662.81409-163235.33091)/8345207.34491*100)</f>
        <v>-0.17462138707539984</v>
      </c>
    </row>
    <row r="51" spans="1:9" s="2" customFormat="1" ht="24" x14ac:dyDescent="0.25">
      <c r="A51" s="28" t="s">
        <v>219</v>
      </c>
      <c r="B51" s="29" t="s">
        <v>322</v>
      </c>
      <c r="C51" s="44">
        <v>1198581.31329</v>
      </c>
      <c r="D51" s="19">
        <v>1126224.7286400001</v>
      </c>
      <c r="E51" s="19">
        <f>IF(1198581.31329="","-",1126224.72864/1198581.31329*100)</f>
        <v>93.963147610620808</v>
      </c>
      <c r="F51" s="19">
        <f>IF(1198581.31329="","-",1198581.31329/8345207.34491*100)</f>
        <v>14.362510885017754</v>
      </c>
      <c r="G51" s="19">
        <f>IF(1126224.72864="","-",1126224.72864/7858737.58733*100)</f>
        <v>14.330860601017143</v>
      </c>
      <c r="H51" s="19">
        <f>IF(6422564.27315="","-",(1198581.31329-1198067.74498)/6422564.27315*100)</f>
        <v>7.9963125032008215E-3</v>
      </c>
      <c r="I51" s="19">
        <f>IF(8345207.34491="","-",(1126224.72864-1198581.31329)/8345207.34491*100)</f>
        <v>-0.86704358153704086</v>
      </c>
    </row>
    <row r="52" spans="1:9" s="2" customFormat="1" x14ac:dyDescent="0.25">
      <c r="A52" s="30" t="s">
        <v>220</v>
      </c>
      <c r="B52" s="31" t="s">
        <v>133</v>
      </c>
      <c r="C52" s="43">
        <v>50613.625229999998</v>
      </c>
      <c r="D52" s="20">
        <v>39222.092839999998</v>
      </c>
      <c r="E52" s="20">
        <f>IF(OR(50613.62523="",39222.09284=""),"-",39222.09284/50613.62523*100)</f>
        <v>77.493150632395441</v>
      </c>
      <c r="F52" s="20">
        <f>IF(50613.62523="","-",50613.62523/8345207.34491*100)</f>
        <v>0.60649931317609274</v>
      </c>
      <c r="G52" s="20">
        <f>IF(39222.09284="","-",39222.09284/7858737.58733*100)</f>
        <v>0.49908897458587465</v>
      </c>
      <c r="H52" s="20">
        <f>IF(OR(6422564.27315="",50244.23736="",50613.62523=""),"-",(50613.62523-50244.23736)/6422564.27315*100)</f>
        <v>5.7514079157487252E-3</v>
      </c>
      <c r="I52" s="20">
        <f>IF(OR(8345207.34491="",39222.09284="",50613.62523=""),"-",(39222.09284-50613.62523)/8345207.34491*100)</f>
        <v>-0.13650388683209949</v>
      </c>
    </row>
    <row r="53" spans="1:9" s="2" customFormat="1" x14ac:dyDescent="0.25">
      <c r="A53" s="30" t="s">
        <v>221</v>
      </c>
      <c r="B53" s="31" t="s">
        <v>23</v>
      </c>
      <c r="C53" s="43">
        <v>78863.969530000002</v>
      </c>
      <c r="D53" s="20">
        <v>72702.153380000003</v>
      </c>
      <c r="E53" s="20">
        <f>IF(OR(78863.96953="",72702.15338=""),"-",72702.15338/78863.96953*100)</f>
        <v>92.186779099857461</v>
      </c>
      <c r="F53" s="20">
        <f>IF(78863.96953="","-",78863.96953/8345207.34491*100)</f>
        <v>0.94502109139447055</v>
      </c>
      <c r="G53" s="20">
        <f>IF(72702.15338="","-",72702.15338/7858737.58733*100)</f>
        <v>0.92511236788478268</v>
      </c>
      <c r="H53" s="20">
        <f>IF(OR(6422564.27315="",68162.23172="",78863.96953=""),"-",(78863.96953-68162.23172)/6422564.27315*100)</f>
        <v>0.16662718121388687</v>
      </c>
      <c r="I53" s="20">
        <f>IF(OR(8345207.34491="",72702.15338="",78863.96953=""),"-",(72702.15338-78863.96953)/8345207.34491*100)</f>
        <v>-7.3836585423587842E-2</v>
      </c>
    </row>
    <row r="54" spans="1:9" s="2" customFormat="1" x14ac:dyDescent="0.25">
      <c r="A54" s="30" t="s">
        <v>222</v>
      </c>
      <c r="B54" s="31" t="s">
        <v>134</v>
      </c>
      <c r="C54" s="43">
        <v>100418.88929000001</v>
      </c>
      <c r="D54" s="20">
        <v>99640.405979999996</v>
      </c>
      <c r="E54" s="20">
        <f>IF(OR(100418.88929="",99640.40598=""),"-",99640.40598/100418.88929*100)</f>
        <v>99.224764070281807</v>
      </c>
      <c r="F54" s="20">
        <f>IF(100418.88929="","-",100418.88929/8345207.34491*100)</f>
        <v>1.2033120944711888</v>
      </c>
      <c r="G54" s="20">
        <f>IF(99640.40598="","-",99640.40598/7858737.58733*100)</f>
        <v>1.2678932827664595</v>
      </c>
      <c r="H54" s="20">
        <f>IF(OR(6422564.27315="",105359.06868="",100418.88929=""),"-",(100418.88929-105359.06868)/6422564.27315*100)</f>
        <v>-7.6919111742528939E-2</v>
      </c>
      <c r="I54" s="20">
        <f>IF(OR(8345207.34491="",99640.40598="",100418.88929=""),"-",(99640.40598-100418.88929)/8345207.34491*100)</f>
        <v>-9.3285077029851334E-3</v>
      </c>
    </row>
    <row r="55" spans="1:9" s="2" customFormat="1" ht="25.5" customHeight="1" x14ac:dyDescent="0.25">
      <c r="A55" s="30" t="s">
        <v>223</v>
      </c>
      <c r="B55" s="31" t="s">
        <v>135</v>
      </c>
      <c r="C55" s="43">
        <v>130121.47977999999</v>
      </c>
      <c r="D55" s="20">
        <v>115333.78266</v>
      </c>
      <c r="E55" s="20">
        <f>IF(OR(130121.47978="",115333.78266=""),"-",115333.78266/130121.47978*100)</f>
        <v>88.635468067991567</v>
      </c>
      <c r="F55" s="20">
        <f>IF(130121.47978="","-",130121.47978/8345207.34491*100)</f>
        <v>1.5592360309581177</v>
      </c>
      <c r="G55" s="20">
        <f>IF(115333.78266="","-",115333.78266/7858737.58733*100)</f>
        <v>1.4675866368911876</v>
      </c>
      <c r="H55" s="20">
        <f>IF(OR(6422564.27315="",102314.80301="",130121.47978=""),"-",(130121.47978-102314.80301)/6422564.27315*100)</f>
        <v>0.43295287656750808</v>
      </c>
      <c r="I55" s="20">
        <f>IF(OR(8345207.34491="",115333.78266="",130121.47978=""),"-",(115333.78266-130121.47978)/8345207.34491*100)</f>
        <v>-0.17719987663361617</v>
      </c>
    </row>
    <row r="56" spans="1:9" s="2" customFormat="1" ht="24.75" customHeight="1" x14ac:dyDescent="0.25">
      <c r="A56" s="30" t="s">
        <v>224</v>
      </c>
      <c r="B56" s="31" t="s">
        <v>136</v>
      </c>
      <c r="C56" s="43">
        <v>296689.61875999998</v>
      </c>
      <c r="D56" s="20">
        <v>275626.76857000001</v>
      </c>
      <c r="E56" s="20">
        <f>IF(OR(296689.61876="",275626.76857=""),"-",275626.76857/296689.61876*100)</f>
        <v>92.900712105118089</v>
      </c>
      <c r="F56" s="20">
        <f>IF(296689.61876="","-",296689.61876/8345207.34491*100)</f>
        <v>3.555209673022206</v>
      </c>
      <c r="G56" s="20">
        <f>IF(275626.76857="","-",275626.76857/7858737.58733*100)</f>
        <v>3.507265200130496</v>
      </c>
      <c r="H56" s="20">
        <f>IF(OR(6422564.27315="",291368.55324="",296689.61876=""),"-",(296689.61876-291368.55324)/6422564.27315*100)</f>
        <v>8.2849548773612253E-2</v>
      </c>
      <c r="I56" s="20">
        <f>IF(OR(8345207.34491="",275626.76857="",296689.61876=""),"-",(275626.76857-296689.61876)/8345207.34491*100)</f>
        <v>-0.2523945699545363</v>
      </c>
    </row>
    <row r="57" spans="1:9" s="2" customFormat="1" x14ac:dyDescent="0.25">
      <c r="A57" s="30" t="s">
        <v>225</v>
      </c>
      <c r="B57" s="31" t="s">
        <v>24</v>
      </c>
      <c r="C57" s="43">
        <v>154523.84005999999</v>
      </c>
      <c r="D57" s="20">
        <v>167150.81224</v>
      </c>
      <c r="E57" s="20">
        <f>IF(OR(154523.84006="",167150.81224=""),"-",167150.81224/154523.84006*100)</f>
        <v>108.1715366218553</v>
      </c>
      <c r="F57" s="20">
        <f>IF(154523.84006="","-",154523.84006/8345207.34491*100)</f>
        <v>1.8516477023695386</v>
      </c>
      <c r="G57" s="20">
        <f>IF(167150.81224="","-",167150.81224/7858737.58733*100)</f>
        <v>2.1269422777200702</v>
      </c>
      <c r="H57" s="20">
        <f>IF(OR(6422564.27315="",150981.63281="",154523.84006=""),"-",(154523.84006-150981.63281)/6422564.27315*100)</f>
        <v>5.5152538757898224E-2</v>
      </c>
      <c r="I57" s="20">
        <f>IF(OR(8345207.34491="",167150.81224="",154523.84006=""),"-",(167150.81224-154523.84006)/8345207.34491*100)</f>
        <v>0.15130807010686909</v>
      </c>
    </row>
    <row r="58" spans="1:9" s="2" customFormat="1" x14ac:dyDescent="0.25">
      <c r="A58" s="30" t="s">
        <v>226</v>
      </c>
      <c r="B58" s="31" t="s">
        <v>137</v>
      </c>
      <c r="C58" s="43">
        <v>165464.12330000001</v>
      </c>
      <c r="D58" s="20">
        <v>141325.56740999999</v>
      </c>
      <c r="E58" s="20">
        <f>IF(OR(165464.1233="",141325.56741=""),"-",141325.56741/165464.1233*100)</f>
        <v>85.411607417618356</v>
      </c>
      <c r="F58" s="20">
        <f>IF(165464.1233="","-",165464.1233/8345207.34491*100)</f>
        <v>1.9827443041414865</v>
      </c>
      <c r="G58" s="20">
        <f>IF(141325.56741="","-",141325.56741/7858737.58733*100)</f>
        <v>1.7983240417372843</v>
      </c>
      <c r="H58" s="20">
        <f>IF(OR(6422564.27315="",163704.46289="",165464.1233=""),"-",(165464.1233-163704.46289)/6422564.27315*100)</f>
        <v>2.7398097320043967E-2</v>
      </c>
      <c r="I58" s="20">
        <f>IF(OR(8345207.34491="",141325.56741="",165464.1233=""),"-",(141325.56741-165464.1233)/8345207.34491*100)</f>
        <v>-0.28925052299297116</v>
      </c>
    </row>
    <row r="59" spans="1:9" s="2" customFormat="1" x14ac:dyDescent="0.25">
      <c r="A59" s="30" t="s">
        <v>227</v>
      </c>
      <c r="B59" s="31" t="s">
        <v>25</v>
      </c>
      <c r="C59" s="43">
        <v>32482.34345</v>
      </c>
      <c r="D59" s="20">
        <v>35179.451860000001</v>
      </c>
      <c r="E59" s="20">
        <f>IF(OR(32482.34345="",35179.45186=""),"-",35179.45186/32482.34345*100)</f>
        <v>108.30330611506417</v>
      </c>
      <c r="F59" s="20">
        <f>IF(32482.34345="","-",32482.34345/8345207.34491*100)</f>
        <v>0.38923350981581045</v>
      </c>
      <c r="G59" s="20">
        <f>IF(35179.45186="","-",35179.45186/7858737.58733*100)</f>
        <v>0.44764762112323175</v>
      </c>
      <c r="H59" s="20">
        <f>IF(OR(6422564.27315="",69255.58792="",32482.34345=""),"-",(32482.34345-69255.58792)/6422564.27315*100)</f>
        <v>-0.57256327700344312</v>
      </c>
      <c r="I59" s="20">
        <f>IF(OR(8345207.34491="",35179.45186="",32482.34345=""),"-",(35179.45186-32482.34345)/8345207.34491*100)</f>
        <v>3.2319249822415144E-2</v>
      </c>
    </row>
    <row r="60" spans="1:9" s="2" customFormat="1" x14ac:dyDescent="0.25">
      <c r="A60" s="30" t="s">
        <v>228</v>
      </c>
      <c r="B60" s="31" t="s">
        <v>26</v>
      </c>
      <c r="C60" s="43">
        <v>189403.42389000001</v>
      </c>
      <c r="D60" s="20">
        <v>180043.6937</v>
      </c>
      <c r="E60" s="20">
        <f>IF(OR(189403.42389="",180043.6937=""),"-",180043.6937/189403.42389*100)</f>
        <v>95.05830993032319</v>
      </c>
      <c r="F60" s="20">
        <f>IF(189403.42389="","-",189403.42389/8345207.34491*100)</f>
        <v>2.2696071656688432</v>
      </c>
      <c r="G60" s="20">
        <f>IF(180043.6937="","-",180043.6937/7858737.58733*100)</f>
        <v>2.2910001981777546</v>
      </c>
      <c r="H60" s="20">
        <f>IF(OR(6422564.27315="",196677.16735="",189403.42389=""),"-",(189403.42389-196677.16735)/6422564.27315*100)</f>
        <v>-0.11325294929952535</v>
      </c>
      <c r="I60" s="20">
        <f>IF(OR(8345207.34491="",180043.6937="",189403.42389=""),"-",(180043.6937-189403.42389)/8345207.34491*100)</f>
        <v>-0.1121569519265305</v>
      </c>
    </row>
    <row r="61" spans="1:9" s="2" customFormat="1" x14ac:dyDescent="0.25">
      <c r="A61" s="28" t="s">
        <v>229</v>
      </c>
      <c r="B61" s="29" t="s">
        <v>138</v>
      </c>
      <c r="C61" s="44">
        <v>1833646.1581900001</v>
      </c>
      <c r="D61" s="19">
        <v>1949810.11476</v>
      </c>
      <c r="E61" s="19">
        <f>IF(1833646.15819="","-",1949810.11476/1833646.15819*100)</f>
        <v>106.33513483782858</v>
      </c>
      <c r="F61" s="19">
        <f>IF(1833646.15819="","-",1833646.15819/8345207.34491*100)</f>
        <v>21.972445769228223</v>
      </c>
      <c r="G61" s="19">
        <f>IF(1949810.11476="","-",1949810.11476/7858737.58733*100)</f>
        <v>24.810729370879102</v>
      </c>
      <c r="H61" s="19">
        <f>IF(6422564.27315="","-",(1833646.15819-1624522.80207)/6422564.27315*100)</f>
        <v>3.2560726094132781</v>
      </c>
      <c r="I61" s="19">
        <f>IF(8345207.34491="","-",(1949810.11476-1833646.15819)/8345207.34491*100)</f>
        <v>1.3919840666493675</v>
      </c>
    </row>
    <row r="62" spans="1:9" s="2" customFormat="1" x14ac:dyDescent="0.25">
      <c r="A62" s="30" t="s">
        <v>230</v>
      </c>
      <c r="B62" s="31" t="s">
        <v>139</v>
      </c>
      <c r="C62" s="43">
        <v>29949.764179999998</v>
      </c>
      <c r="D62" s="20">
        <v>40570.784220000001</v>
      </c>
      <c r="E62" s="20">
        <f>IF(OR(29949.76418="",40570.78422=""),"-",40570.78422/29949.76418*100)</f>
        <v>135.46278353367657</v>
      </c>
      <c r="F62" s="20">
        <f>IF(29949.76418="","-",29949.76418/8345207.34491*100)</f>
        <v>0.35888580046207341</v>
      </c>
      <c r="G62" s="20">
        <f>IF(40570.78422="","-",40570.78422/7858737.58733*100)</f>
        <v>0.51625065437238882</v>
      </c>
      <c r="H62" s="20">
        <f>IF(OR(6422564.27315="",24816.99408="",29949.76418=""),"-",(29949.76418-24816.99408)/6422564.27315*100)</f>
        <v>7.9917769316189158E-2</v>
      </c>
      <c r="I62" s="20">
        <f>IF(OR(8345207.34491="",40570.78422="",29949.76418=""),"-",(40570.78422-29949.76418)/8345207.34491*100)</f>
        <v>0.12727089455096752</v>
      </c>
    </row>
    <row r="63" spans="1:9" s="2" customFormat="1" x14ac:dyDescent="0.25">
      <c r="A63" s="30" t="s">
        <v>231</v>
      </c>
      <c r="B63" s="31" t="s">
        <v>140</v>
      </c>
      <c r="C63" s="43">
        <v>271911.39844999998</v>
      </c>
      <c r="D63" s="20">
        <v>200581.72975999999</v>
      </c>
      <c r="E63" s="20">
        <f>IF(OR(271911.39845="",200581.72976=""),"-",200581.72976/271911.39845*100)</f>
        <v>73.767312037447979</v>
      </c>
      <c r="F63" s="20">
        <f>IF(271911.39845="","-",271911.39845/8345207.34491*100)</f>
        <v>3.2582940987781104</v>
      </c>
      <c r="G63" s="20">
        <f>IF(200581.72976="","-",200581.72976/7858737.58733*100)</f>
        <v>2.5523403413212513</v>
      </c>
      <c r="H63" s="20">
        <f>IF(OR(6422564.27315="",221291.12586="",271911.39845=""),"-",(271911.39845-221291.12586)/6422564.27315*100)</f>
        <v>0.78816295854946505</v>
      </c>
      <c r="I63" s="20">
        <f>IF(OR(8345207.34491="",200581.72976="",271911.39845=""),"-",(200581.72976-271911.39845)/8345207.34491*100)</f>
        <v>-0.85473812383470793</v>
      </c>
    </row>
    <row r="64" spans="1:9" s="2" customFormat="1" x14ac:dyDescent="0.25">
      <c r="A64" s="30" t="s">
        <v>232</v>
      </c>
      <c r="B64" s="31" t="s">
        <v>141</v>
      </c>
      <c r="C64" s="43">
        <v>12170.96328</v>
      </c>
      <c r="D64" s="20">
        <v>13873.6268</v>
      </c>
      <c r="E64" s="20">
        <f>IF(OR(12170.96328="",13873.6268=""),"-",13873.6268/12170.96328*100)</f>
        <v>113.98955432556362</v>
      </c>
      <c r="F64" s="20">
        <f>IF(12170.96328="","-",12170.96328/8345207.34491*100)</f>
        <v>0.14584374931586866</v>
      </c>
      <c r="G64" s="20">
        <f>IF(13873.6268="","-",13873.6268/7858737.58733*100)</f>
        <v>0.1765376009292805</v>
      </c>
      <c r="H64" s="20">
        <f>IF(OR(6422564.27315="",15953.52381="",12170.96328=""),"-",(12170.96328-15953.52381)/6422564.27315*100)</f>
        <v>-5.8894864560768541E-2</v>
      </c>
      <c r="I64" s="20">
        <f>IF(OR(8345207.34491="",13873.6268="",12170.96328=""),"-",(13873.6268-12170.96328)/8345207.34491*100)</f>
        <v>2.0402890540982269E-2</v>
      </c>
    </row>
    <row r="65" spans="1:9" s="2" customFormat="1" ht="27.75" customHeight="1" x14ac:dyDescent="0.25">
      <c r="A65" s="30" t="s">
        <v>233</v>
      </c>
      <c r="B65" s="31" t="s">
        <v>142</v>
      </c>
      <c r="C65" s="43">
        <v>227909.93070999999</v>
      </c>
      <c r="D65" s="20">
        <v>231170.50784000001</v>
      </c>
      <c r="E65" s="20">
        <f>IF(OR(227909.93071="",231170.50784=""),"-",231170.50784/227909.93071*100)</f>
        <v>101.430642850815</v>
      </c>
      <c r="F65" s="20">
        <f>IF(227909.93071="","-",227909.93071/8345207.34491*100)</f>
        <v>2.7310277778659304</v>
      </c>
      <c r="G65" s="20">
        <f>IF(231170.50784="","-",231170.50784/7858737.58733*100)</f>
        <v>2.9415730614634255</v>
      </c>
      <c r="H65" s="20">
        <f>IF(OR(6422564.27315="",225647.84369="",227909.93071=""),"-",(227909.93071-225647.84369)/6422564.27315*100)</f>
        <v>3.5220932384543005E-2</v>
      </c>
      <c r="I65" s="20">
        <f>IF(OR(8345207.34491="",231170.50784="",227909.93071=""),"-",(231170.50784-227909.93071)/8345207.34491*100)</f>
        <v>3.9071253657810508E-2</v>
      </c>
    </row>
    <row r="66" spans="1:9" s="2" customFormat="1" ht="24" customHeight="1" x14ac:dyDescent="0.25">
      <c r="A66" s="30" t="s">
        <v>234</v>
      </c>
      <c r="B66" s="31" t="s">
        <v>143</v>
      </c>
      <c r="C66" s="43">
        <v>84432.687760000001</v>
      </c>
      <c r="D66" s="20">
        <v>81980.013900000005</v>
      </c>
      <c r="E66" s="20">
        <f>IF(OR(84432.68776="",81980.0139=""),"-",81980.0139/84432.68776*100)</f>
        <v>97.095113367737724</v>
      </c>
      <c r="F66" s="20">
        <f>IF(84432.68776="","-",84432.68776/8345207.34491*100)</f>
        <v>1.0117506284789688</v>
      </c>
      <c r="G66" s="20">
        <f>IF(81980.0139="","-",81980.0139/7858737.58733*100)</f>
        <v>1.0431702673489147</v>
      </c>
      <c r="H66" s="20">
        <f>IF(OR(6422564.27315="",69102.19164="",84432.68776=""),"-",(84432.68776-69102.19164)/6422564.27315*100)</f>
        <v>0.23869743404655769</v>
      </c>
      <c r="I66" s="20">
        <f>IF(OR(8345207.34491="",81980.0139="",84432.68776=""),"-",(81980.0139-84432.68776)/8345207.34491*100)</f>
        <v>-2.9390208758515231E-2</v>
      </c>
    </row>
    <row r="67" spans="1:9" s="2" customFormat="1" ht="27.75" customHeight="1" x14ac:dyDescent="0.25">
      <c r="A67" s="30" t="s">
        <v>235</v>
      </c>
      <c r="B67" s="31" t="s">
        <v>144</v>
      </c>
      <c r="C67" s="43">
        <v>177572.37364999999</v>
      </c>
      <c r="D67" s="20">
        <v>207392.22158000001</v>
      </c>
      <c r="E67" s="20">
        <f>IF(OR(177572.37365="",207392.22158=""),"-",207392.22158/177572.37365*100)</f>
        <v>116.79306714048647</v>
      </c>
      <c r="F67" s="20">
        <f>IF(177572.37365="","-",177572.37365/8345207.34491*100)</f>
        <v>2.1278365690734677</v>
      </c>
      <c r="G67" s="20">
        <f>IF(207392.22158="","-",207392.22158/7858737.58733*100)</f>
        <v>2.6390017388334934</v>
      </c>
      <c r="H67" s="20">
        <f>IF(OR(6422564.27315="",172434.58838="",177572.37365=""),"-",(177572.37365-172434.58838)/6422564.27315*100)</f>
        <v>7.9995856039602145E-2</v>
      </c>
      <c r="I67" s="20">
        <f>IF(OR(8345207.34491="",207392.22158="",177572.37365=""),"-",(207392.22158-177572.37365)/8345207.34491*100)</f>
        <v>0.35732902368433139</v>
      </c>
    </row>
    <row r="68" spans="1:9" s="2" customFormat="1" ht="27" customHeight="1" x14ac:dyDescent="0.25">
      <c r="A68" s="30" t="s">
        <v>236</v>
      </c>
      <c r="B68" s="31" t="s">
        <v>145</v>
      </c>
      <c r="C68" s="43">
        <v>529761.78827999998</v>
      </c>
      <c r="D68" s="20">
        <v>606042.76291000005</v>
      </c>
      <c r="E68" s="20">
        <f>IF(OR(529761.78828="",606042.76291=""),"-",606042.76291/529761.78828*100)</f>
        <v>114.39910848943346</v>
      </c>
      <c r="F68" s="20">
        <f>IF(529761.78828="","-",529761.78828/8345207.34491*100)</f>
        <v>6.3480961752630156</v>
      </c>
      <c r="G68" s="20">
        <f>IF(606042.76291="","-",606042.76291/7858737.58733*100)</f>
        <v>7.7117063163818225</v>
      </c>
      <c r="H68" s="20">
        <f>IF(OR(6422564.27315="",484449.43827="",529761.78828=""),"-",(529761.78828-484449.43827)/6422564.27315*100)</f>
        <v>0.70551804673145257</v>
      </c>
      <c r="I68" s="20">
        <f>IF(OR(8345207.34491="",606042.76291="",529761.78828=""),"-",(606042.76291-529761.78828)/8345207.34491*100)</f>
        <v>0.91406925528969862</v>
      </c>
    </row>
    <row r="69" spans="1:9" s="2" customFormat="1" ht="16.5" customHeight="1" x14ac:dyDescent="0.25">
      <c r="A69" s="30" t="s">
        <v>237</v>
      </c>
      <c r="B69" s="31" t="s">
        <v>146</v>
      </c>
      <c r="C69" s="43">
        <v>491841.17001</v>
      </c>
      <c r="D69" s="20">
        <v>559327.95891000004</v>
      </c>
      <c r="E69" s="20">
        <f>IF(OR(491841.17001="",559327.95891=""),"-",559327.95891/491841.17001*100)</f>
        <v>113.72125657936034</v>
      </c>
      <c r="F69" s="20">
        <f>IF(491841.17001="","-",491841.17001/8345207.34491*100)</f>
        <v>5.8936962220595888</v>
      </c>
      <c r="G69" s="20">
        <f>IF(559327.95891="","-",559327.95891/7858737.58733*100)</f>
        <v>7.1172749146346206</v>
      </c>
      <c r="H69" s="20">
        <f>IF(OR(6422564.27315="",407412.08012="",491841.17001=""),"-",(491841.17001-407412.08012)/6422564.27315*100)</f>
        <v>1.3145697932983247</v>
      </c>
      <c r="I69" s="20">
        <f>IF(OR(8345207.34491="",559327.95891="",491841.17001=""),"-",(559327.95891-491841.17001)/8345207.34491*100)</f>
        <v>0.80868918063686357</v>
      </c>
    </row>
    <row r="70" spans="1:9" s="2" customFormat="1" x14ac:dyDescent="0.25">
      <c r="A70" s="30" t="s">
        <v>238</v>
      </c>
      <c r="B70" s="31" t="s">
        <v>27</v>
      </c>
      <c r="C70" s="43">
        <v>8096.08187</v>
      </c>
      <c r="D70" s="20">
        <v>8870.5088400000004</v>
      </c>
      <c r="E70" s="20">
        <f>IF(OR(8096.08187="",8870.50884=""),"-",8870.50884/8096.08187*100)</f>
        <v>109.56545378906848</v>
      </c>
      <c r="F70" s="20">
        <f>IF(8096.08187="","-",8096.08187/8345207.34491*100)</f>
        <v>9.7014747931194911E-2</v>
      </c>
      <c r="G70" s="20">
        <f>IF(8870.50884="","-",8870.50884/7858737.58733*100)</f>
        <v>0.11287447559390705</v>
      </c>
      <c r="H70" s="20">
        <f>IF(OR(6422564.27315="",3415.01622="",8096.08187=""),"-",(8096.08187-3415.01622)/6422564.27315*100)</f>
        <v>7.2884683607909354E-2</v>
      </c>
      <c r="I70" s="20">
        <f>IF(OR(8345207.34491="",8870.50884="",8096.08187=""),"-",(8870.50884-8096.08187)/8345207.34491*100)</f>
        <v>9.2799008819397077E-3</v>
      </c>
    </row>
    <row r="71" spans="1:9" s="2" customFormat="1" x14ac:dyDescent="0.25">
      <c r="A71" s="28" t="s">
        <v>239</v>
      </c>
      <c r="B71" s="29" t="s">
        <v>28</v>
      </c>
      <c r="C71" s="44">
        <v>741806.60829999996</v>
      </c>
      <c r="D71" s="19">
        <v>784709.63271999999</v>
      </c>
      <c r="E71" s="19">
        <f>IF(741806.6083="","-",784709.63272/741806.6083*100)</f>
        <v>105.7835861719163</v>
      </c>
      <c r="F71" s="19">
        <f>IF(741806.6083="","-",741806.6083/8345207.34491*100)</f>
        <v>8.8890135096817069</v>
      </c>
      <c r="G71" s="19">
        <f>IF(784709.63272="","-",784709.63272/7858737.58733*100)</f>
        <v>9.9851868573029225</v>
      </c>
      <c r="H71" s="19">
        <f>IF(6422564.27315="","-",(741806.6083-745944.66012)/6422564.27315*100)</f>
        <v>-6.4429901266998296E-2</v>
      </c>
      <c r="I71" s="19">
        <f>IF(8345207.34491="","-",(784709.63272-741806.6083)/8345207.34491*100)</f>
        <v>0.51410375616572201</v>
      </c>
    </row>
    <row r="72" spans="1:9" ht="25.5" customHeight="1" x14ac:dyDescent="0.25">
      <c r="A72" s="30" t="s">
        <v>240</v>
      </c>
      <c r="B72" s="31" t="s">
        <v>172</v>
      </c>
      <c r="C72" s="43">
        <v>61933.748800000001</v>
      </c>
      <c r="D72" s="20">
        <v>46532.364150000001</v>
      </c>
      <c r="E72" s="20">
        <f>IF(OR(61933.7488="",46532.36415=""),"-",46532.36415/61933.7488*100)</f>
        <v>75.132484391127321</v>
      </c>
      <c r="F72" s="20">
        <f>IF(61933.7488="","-",61933.7488/8345207.34491*100)</f>
        <v>0.74214751342008656</v>
      </c>
      <c r="G72" s="20">
        <f>IF(46532.36415="","-",46532.36415/7858737.58733*100)</f>
        <v>0.59210991120279077</v>
      </c>
      <c r="H72" s="20">
        <f>IF(OR(6422564.27315="",69420.51278="",61933.7488=""),"-",(61933.7488-69420.51278)/6422564.27315*100)</f>
        <v>-0.11656970115969051</v>
      </c>
      <c r="I72" s="20">
        <f>IF(OR(8345207.34491="",46532.36415="",61933.7488=""),"-",(46532.36415-61933.7488)/8345207.34491*100)</f>
        <v>-0.18455364874060057</v>
      </c>
    </row>
    <row r="73" spans="1:9" x14ac:dyDescent="0.25">
      <c r="A73" s="30" t="s">
        <v>241</v>
      </c>
      <c r="B73" s="31" t="s">
        <v>147</v>
      </c>
      <c r="C73" s="43">
        <v>66607.626380000002</v>
      </c>
      <c r="D73" s="20">
        <v>67083.033349999998</v>
      </c>
      <c r="E73" s="20">
        <f>IF(OR(66607.62638="",67083.03335=""),"-",67083.03335/66607.62638*100)</f>
        <v>100.71374254847001</v>
      </c>
      <c r="F73" s="20">
        <f>IF(66607.62638="","-",66607.62638/8345207.34491*100)</f>
        <v>0.79815424143566716</v>
      </c>
      <c r="G73" s="20">
        <f>IF(67083.03335="","-",67083.03335/7858737.58733*100)</f>
        <v>0.85361080713717286</v>
      </c>
      <c r="H73" s="20">
        <f>IF(OR(6422564.27315="",69118.59344="",66607.62638=""),"-",(66607.62638-69118.59344)/6422564.27315*100)</f>
        <v>-3.9096020735787371E-2</v>
      </c>
      <c r="I73" s="20">
        <f>IF(OR(8345207.34491="",67083.03335="",66607.62638=""),"-",(67083.03335-66607.62638)/8345207.34491*100)</f>
        <v>5.6967664235444285E-3</v>
      </c>
    </row>
    <row r="74" spans="1:9" x14ac:dyDescent="0.25">
      <c r="A74" s="30" t="s">
        <v>242</v>
      </c>
      <c r="B74" s="31" t="s">
        <v>148</v>
      </c>
      <c r="C74" s="43">
        <v>15839.92921</v>
      </c>
      <c r="D74" s="20">
        <v>15990.74834</v>
      </c>
      <c r="E74" s="20">
        <f>IF(OR(15839.92921="",15990.74834=""),"-",15990.74834/15839.92921*100)</f>
        <v>100.95214522742175</v>
      </c>
      <c r="F74" s="20">
        <f>IF(15839.92921="","-",15839.92921/8345207.34491*100)</f>
        <v>0.18980869564207128</v>
      </c>
      <c r="G74" s="20">
        <f>IF(15990.74834="","-",15990.74834/7858737.58733*100)</f>
        <v>0.20347731632852301</v>
      </c>
      <c r="H74" s="20">
        <f>IF(OR(6422564.27315="",11047.47879="",15839.92921=""),"-",(15839.92921-11047.47879)/6422564.27315*100)</f>
        <v>7.4618956170437886E-2</v>
      </c>
      <c r="I74" s="20">
        <f>IF(OR(8345207.34491="",15990.74834="",15839.92921=""),"-",(15990.74834-15839.92921)/8345207.34491*100)</f>
        <v>1.8072544367874707E-3</v>
      </c>
    </row>
    <row r="75" spans="1:9" x14ac:dyDescent="0.25">
      <c r="A75" s="30" t="s">
        <v>243</v>
      </c>
      <c r="B75" s="31" t="s">
        <v>149</v>
      </c>
      <c r="C75" s="43">
        <v>186288.73788999999</v>
      </c>
      <c r="D75" s="20">
        <v>190773.45645</v>
      </c>
      <c r="E75" s="20">
        <f>IF(OR(186288.73789="",190773.45645=""),"-",190773.45645/186288.73789*100)</f>
        <v>102.40740187023445</v>
      </c>
      <c r="F75" s="20">
        <f>IF(186288.73789="","-",186288.73789/8345207.34491*100)</f>
        <v>2.2322841145897141</v>
      </c>
      <c r="G75" s="20">
        <f>IF(190773.45645="","-",190773.45645/7858737.58733*100)</f>
        <v>2.4275331035046706</v>
      </c>
      <c r="H75" s="20">
        <f>IF(OR(6422564.27315="",183971.83933="",186288.73789=""),"-",(186288.73789-183971.83933)/6422564.27315*100)</f>
        <v>3.6074353816682933E-2</v>
      </c>
      <c r="I75" s="20">
        <f>IF(OR(8345207.34491="",190773.45645="",186288.73789=""),"-",(190773.45645-186288.73789)/8345207.34491*100)</f>
        <v>5.3740049523579261E-2</v>
      </c>
    </row>
    <row r="76" spans="1:9" x14ac:dyDescent="0.25">
      <c r="A76" s="30" t="s">
        <v>244</v>
      </c>
      <c r="B76" s="31" t="s">
        <v>150</v>
      </c>
      <c r="C76" s="43">
        <v>54743.49785</v>
      </c>
      <c r="D76" s="20">
        <v>58434.795270000002</v>
      </c>
      <c r="E76" s="20">
        <f>IF(OR(54743.49785="",58434.79527=""),"-",58434.79527/54743.49785*100)</f>
        <v>106.74289653561114</v>
      </c>
      <c r="F76" s="20">
        <f>IF(54743.49785="","-",54743.49785/8345207.34491*100)</f>
        <v>0.65598727014721503</v>
      </c>
      <c r="G76" s="20">
        <f>IF(58434.79527="","-",58434.79527/7858737.58733*100)</f>
        <v>0.74356465807192307</v>
      </c>
      <c r="H76" s="20">
        <f>IF(OR(6422564.27315="",47520.86014="",54743.49785=""),"-",(54743.49785-47520.86014)/6422564.27315*100)</f>
        <v>0.11245722740673486</v>
      </c>
      <c r="I76" s="20">
        <f>IF(OR(8345207.34491="",58434.79527="",54743.49785=""),"-",(58434.79527-54743.49785)/8345207.34491*100)</f>
        <v>4.423254291280658E-2</v>
      </c>
    </row>
    <row r="77" spans="1:9" ht="24" x14ac:dyDescent="0.25">
      <c r="A77" s="30" t="s">
        <v>245</v>
      </c>
      <c r="B77" s="31" t="s">
        <v>273</v>
      </c>
      <c r="C77" s="43">
        <v>67282.141069999998</v>
      </c>
      <c r="D77" s="20">
        <v>72504.008600000001</v>
      </c>
      <c r="E77" s="20">
        <f>IF(OR(67282.14107="",72504.0086=""),"-",72504.0086/67282.14107*100)</f>
        <v>107.76114946248099</v>
      </c>
      <c r="F77" s="20">
        <f>IF(67282.14107="","-",67282.14107/8345207.34491*100)</f>
        <v>0.80623690088464306</v>
      </c>
      <c r="G77" s="20">
        <f>IF(72504.0086="","-",72504.0086/7858737.58733*100)</f>
        <v>0.92259103697383016</v>
      </c>
      <c r="H77" s="20">
        <f>IF(OR(6422564.27315="",81950.00838="",67282.14107=""),"-",(67282.14107-81950.00838)/6422564.27315*100)</f>
        <v>-0.22838023390937628</v>
      </c>
      <c r="I77" s="20">
        <f>IF(OR(8345207.34491="",72504.0086="",67282.14107=""),"-",(72504.0086-67282.14107)/8345207.34491*100)</f>
        <v>6.2573250899331828E-2</v>
      </c>
    </row>
    <row r="78" spans="1:9" ht="26.25" customHeight="1" x14ac:dyDescent="0.25">
      <c r="A78" s="30" t="s">
        <v>246</v>
      </c>
      <c r="B78" s="31" t="s">
        <v>151</v>
      </c>
      <c r="C78" s="43">
        <v>13897.220789999999</v>
      </c>
      <c r="D78" s="20">
        <v>17084.346809999999</v>
      </c>
      <c r="E78" s="20">
        <f>IF(OR(13897.22079="",17084.34681=""),"-",17084.34681/13897.22079*100)</f>
        <v>122.93354957916014</v>
      </c>
      <c r="F78" s="20">
        <f>IF(13897.22079="","-",13897.22079/8345207.34491*100)</f>
        <v>0.1665293648872169</v>
      </c>
      <c r="G78" s="20">
        <f>IF(17084.34681="","-",17084.34681/7858737.58733*100)</f>
        <v>0.21739301790078469</v>
      </c>
      <c r="H78" s="20">
        <f>IF(OR(6422564.27315="",14958.64628="",13897.22079=""),"-",(13897.22079-14958.64628)/6422564.27315*100)</f>
        <v>-1.6526506312087345E-2</v>
      </c>
      <c r="I78" s="20">
        <f>IF(OR(8345207.34491="",17084.34681="",13897.22079=""),"-",(17084.34681-13897.22079)/8345207.34491*100)</f>
        <v>3.8191094460270372E-2</v>
      </c>
    </row>
    <row r="79" spans="1:9" x14ac:dyDescent="0.25">
      <c r="A79" s="30" t="s">
        <v>247</v>
      </c>
      <c r="B79" s="31" t="s">
        <v>29</v>
      </c>
      <c r="C79" s="43">
        <v>275213.70630999998</v>
      </c>
      <c r="D79" s="20">
        <v>316306.87975000002</v>
      </c>
      <c r="E79" s="20">
        <f>IF(OR(275213.70631="",316306.87975=""),"-",316306.87975/275213.70631*100)</f>
        <v>114.93136878644874</v>
      </c>
      <c r="F79" s="20">
        <f>IF(275213.70631="","-",275213.70631/8345207.34491*100)</f>
        <v>3.2978654086750923</v>
      </c>
      <c r="G79" s="20">
        <f>IF(316306.87975="","-",316306.87975/7858737.58733*100)</f>
        <v>4.0249070061832297</v>
      </c>
      <c r="H79" s="20">
        <f>IF(OR(6422564.27315="",267956.72098="",275213.70631=""),"-",(275213.70631-267956.72098)/6422564.27315*100)</f>
        <v>0.11299202345608833</v>
      </c>
      <c r="I79" s="20">
        <f>IF(OR(8345207.34491="",316306.87975="",275213.70631=""),"-",(316306.87975-275213.70631)/8345207.34491*100)</f>
        <v>0.49241644625000286</v>
      </c>
    </row>
    <row r="80" spans="1:9" x14ac:dyDescent="0.25">
      <c r="A80" s="33" t="s">
        <v>250</v>
      </c>
      <c r="B80" s="34" t="s">
        <v>152</v>
      </c>
      <c r="C80" s="58">
        <v>17114.219209999999</v>
      </c>
      <c r="D80" s="38">
        <v>6593.2501700000003</v>
      </c>
      <c r="E80" s="38">
        <f>IF(17114.21921="","-",6593.25017/17114.21921*100)</f>
        <v>38.524983752384692</v>
      </c>
      <c r="F80" s="38">
        <f>IF(17114.21921="","-",17114.21921/8345207.34491*100)</f>
        <v>0.20507841809872454</v>
      </c>
      <c r="G80" s="38">
        <f>IF(6593.25017="","-",6593.25017/7858737.58733*100)</f>
        <v>8.3897064849572767E-2</v>
      </c>
      <c r="H80" s="38">
        <f>IF(6422564.27315="","-",(17114.21921-468.60337)/6422564.27315*100)</f>
        <v>0.25917398615360243</v>
      </c>
      <c r="I80" s="38">
        <f>IF(8345207.34491="","-",(6593.25017-17114.21921)/8345207.34491*100)</f>
        <v>-0.12607199084654336</v>
      </c>
    </row>
    <row r="81" spans="1:3" x14ac:dyDescent="0.25">
      <c r="A81" s="9" t="s">
        <v>253</v>
      </c>
      <c r="B81" s="10"/>
    </row>
    <row r="82" spans="1:3" x14ac:dyDescent="0.25">
      <c r="A82" s="10" t="s">
        <v>298</v>
      </c>
      <c r="B82" s="10"/>
      <c r="C82" s="14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3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6.5" style="22" customWidth="1"/>
    <col min="2" max="2" width="42.875" style="22" customWidth="1"/>
    <col min="3" max="4" width="13.125" style="22" customWidth="1"/>
    <col min="5" max="5" width="11.375" style="22" customWidth="1"/>
  </cols>
  <sheetData>
    <row r="1" spans="1:5" s="25" customFormat="1" ht="12.75" x14ac:dyDescent="0.2">
      <c r="A1" s="24"/>
      <c r="B1" s="85" t="s">
        <v>312</v>
      </c>
      <c r="C1" s="85"/>
      <c r="D1" s="85"/>
      <c r="E1" s="85"/>
    </row>
    <row r="2" spans="1:5" s="25" customFormat="1" ht="12.75" x14ac:dyDescent="0.2">
      <c r="A2" s="24"/>
      <c r="B2" s="85" t="s">
        <v>252</v>
      </c>
      <c r="C2" s="85"/>
      <c r="D2" s="85"/>
      <c r="E2" s="85"/>
    </row>
    <row r="3" spans="1:5" x14ac:dyDescent="0.25">
      <c r="A3" s="96"/>
      <c r="B3" s="96"/>
      <c r="C3" s="96"/>
      <c r="D3" s="96"/>
      <c r="E3" s="96"/>
    </row>
    <row r="4" spans="1:5" ht="45" customHeight="1" x14ac:dyDescent="0.25">
      <c r="A4" s="89" t="s">
        <v>251</v>
      </c>
      <c r="B4" s="97"/>
      <c r="C4" s="77" t="s">
        <v>349</v>
      </c>
      <c r="D4" s="84"/>
      <c r="E4" s="87" t="s">
        <v>366</v>
      </c>
    </row>
    <row r="5" spans="1:5" ht="45" customHeight="1" x14ac:dyDescent="0.25">
      <c r="A5" s="90"/>
      <c r="B5" s="98"/>
      <c r="C5" s="13" t="s">
        <v>361</v>
      </c>
      <c r="D5" s="13" t="s">
        <v>362</v>
      </c>
      <c r="E5" s="88"/>
    </row>
    <row r="6" spans="1:5" s="25" customFormat="1" ht="15" customHeight="1" x14ac:dyDescent="0.2">
      <c r="A6" s="40"/>
      <c r="B6" s="57" t="s">
        <v>350</v>
      </c>
      <c r="C6" s="56">
        <v>-4360040.8175100004</v>
      </c>
      <c r="D6" s="53">
        <v>-4121426.9434000002</v>
      </c>
      <c r="E6" s="53">
        <f>IF(-4360040.81751="","-",-4121426.9434/-4360040.81751*100)</f>
        <v>94.527255957060703</v>
      </c>
    </row>
    <row r="7" spans="1:5" ht="12.75" customHeight="1" x14ac:dyDescent="0.25">
      <c r="A7" s="36"/>
      <c r="B7" s="37" t="s">
        <v>102</v>
      </c>
      <c r="C7" s="73"/>
      <c r="D7" s="73"/>
      <c r="E7" s="19"/>
    </row>
    <row r="8" spans="1:5" x14ac:dyDescent="0.25">
      <c r="A8" s="28" t="s">
        <v>179</v>
      </c>
      <c r="B8" s="29" t="s">
        <v>153</v>
      </c>
      <c r="C8" s="19">
        <v>33817.678650000002</v>
      </c>
      <c r="D8" s="19">
        <v>-14614.84072</v>
      </c>
      <c r="E8" s="19" t="s">
        <v>345</v>
      </c>
    </row>
    <row r="9" spans="1:5" x14ac:dyDescent="0.25">
      <c r="A9" s="30" t="s">
        <v>180</v>
      </c>
      <c r="B9" s="31" t="s">
        <v>17</v>
      </c>
      <c r="C9" s="20">
        <v>-3035.4549400000001</v>
      </c>
      <c r="D9" s="20">
        <v>-5873.2682500000001</v>
      </c>
      <c r="E9" s="20" t="s">
        <v>328</v>
      </c>
    </row>
    <row r="10" spans="1:5" x14ac:dyDescent="0.25">
      <c r="A10" s="30" t="s">
        <v>181</v>
      </c>
      <c r="B10" s="31" t="s">
        <v>154</v>
      </c>
      <c r="C10" s="20">
        <v>-69848.797340000005</v>
      </c>
      <c r="D10" s="20">
        <v>-67576.328590000005</v>
      </c>
      <c r="E10" s="20">
        <f>IF(OR(-69848.79734="",-67576.32859="",-69848.79734=0,-67576.32859=0),"-",-67576.32859/-69848.79734*100)</f>
        <v>96.746588579129849</v>
      </c>
    </row>
    <row r="11" spans="1:5" x14ac:dyDescent="0.25">
      <c r="A11" s="30" t="s">
        <v>182</v>
      </c>
      <c r="B11" s="31" t="s">
        <v>155</v>
      </c>
      <c r="C11" s="20">
        <v>-89745.926560000007</v>
      </c>
      <c r="D11" s="20">
        <v>-100860.92156</v>
      </c>
      <c r="E11" s="20">
        <f>IF(OR(-89745.92656="",-100860.92156="",-89745.92656=0,-100860.92156=0),"-",-100860.92156/-89745.92656*100)</f>
        <v>112.38495765328025</v>
      </c>
    </row>
    <row r="12" spans="1:5" x14ac:dyDescent="0.25">
      <c r="A12" s="30" t="s">
        <v>183</v>
      </c>
      <c r="B12" s="31" t="s">
        <v>156</v>
      </c>
      <c r="C12" s="20">
        <v>-72340.532160000002</v>
      </c>
      <c r="D12" s="20">
        <v>-81714.185219999999</v>
      </c>
      <c r="E12" s="20">
        <f>IF(OR(-72340.53216="",-81714.18522="",-72340.53216=0,-81714.18522=0),"-",-81714.18522/-72340.53216*100)</f>
        <v>112.95767777774665</v>
      </c>
    </row>
    <row r="13" spans="1:5" x14ac:dyDescent="0.25">
      <c r="A13" s="30" t="s">
        <v>184</v>
      </c>
      <c r="B13" s="31" t="s">
        <v>157</v>
      </c>
      <c r="C13" s="20">
        <v>270548.44559000002</v>
      </c>
      <c r="D13" s="20">
        <v>261042.07887</v>
      </c>
      <c r="E13" s="20">
        <f>IF(OR(270548.44559="",261042.07887="",270548.44559=0,261042.07887=0),"-",261042.07887/270548.44559*100)</f>
        <v>96.486260825018249</v>
      </c>
    </row>
    <row r="14" spans="1:5" x14ac:dyDescent="0.25">
      <c r="A14" s="30" t="s">
        <v>185</v>
      </c>
      <c r="B14" s="31" t="s">
        <v>158</v>
      </c>
      <c r="C14" s="20">
        <v>160308.14457999999</v>
      </c>
      <c r="D14" s="20">
        <v>141383.65163000001</v>
      </c>
      <c r="E14" s="20">
        <f>IF(OR(160308.14458="",141383.65163="",160308.14458=0,141383.65163=0),"-",141383.65163/160308.14458*100)</f>
        <v>88.194927338482216</v>
      </c>
    </row>
    <row r="15" spans="1:5" x14ac:dyDescent="0.25">
      <c r="A15" s="30" t="s">
        <v>186</v>
      </c>
      <c r="B15" s="31" t="s">
        <v>116</v>
      </c>
      <c r="C15" s="20">
        <v>2840.39201</v>
      </c>
      <c r="D15" s="20">
        <v>-5210.3923000000004</v>
      </c>
      <c r="E15" s="20" t="s">
        <v>345</v>
      </c>
    </row>
    <row r="16" spans="1:5" ht="17.25" customHeight="1" x14ac:dyDescent="0.25">
      <c r="A16" s="30" t="s">
        <v>187</v>
      </c>
      <c r="B16" s="31" t="s">
        <v>159</v>
      </c>
      <c r="C16" s="20">
        <v>-56510.592100000002</v>
      </c>
      <c r="D16" s="20">
        <v>-63279.775509999999</v>
      </c>
      <c r="E16" s="20">
        <f>IF(OR(-56510.5921="",-63279.77551="",-56510.5921=0,-63279.77551=0),"-",-63279.77551/-56510.5921*100)</f>
        <v>111.9786099533719</v>
      </c>
    </row>
    <row r="17" spans="1:5" ht="15.75" customHeight="1" x14ac:dyDescent="0.25">
      <c r="A17" s="30" t="s">
        <v>188</v>
      </c>
      <c r="B17" s="31" t="s">
        <v>117</v>
      </c>
      <c r="C17" s="20">
        <v>-2023.4931799999999</v>
      </c>
      <c r="D17" s="20">
        <v>6982.2422399999996</v>
      </c>
      <c r="E17" s="20" t="s">
        <v>345</v>
      </c>
    </row>
    <row r="18" spans="1:5" x14ac:dyDescent="0.25">
      <c r="A18" s="30" t="s">
        <v>189</v>
      </c>
      <c r="B18" s="31" t="s">
        <v>160</v>
      </c>
      <c r="C18" s="20">
        <v>-106374.50725</v>
      </c>
      <c r="D18" s="20">
        <v>-99507.942030000006</v>
      </c>
      <c r="E18" s="20">
        <f>IF(OR(-106374.50725="",-99507.94203="",-106374.50725=0,-99507.94203=0),"-",-99507.94203/-106374.50725*100)</f>
        <v>93.544914662812701</v>
      </c>
    </row>
    <row r="19" spans="1:5" x14ac:dyDescent="0.25">
      <c r="A19" s="28" t="s">
        <v>190</v>
      </c>
      <c r="B19" s="29" t="s">
        <v>161</v>
      </c>
      <c r="C19" s="19">
        <v>55166.698060000002</v>
      </c>
      <c r="D19" s="19">
        <v>66538.645820000005</v>
      </c>
      <c r="E19" s="19">
        <f>IF(55166.69806="","-",66538.64582/55166.69806*100)</f>
        <v>120.6137908555479</v>
      </c>
    </row>
    <row r="20" spans="1:5" x14ac:dyDescent="0.25">
      <c r="A20" s="30" t="s">
        <v>191</v>
      </c>
      <c r="B20" s="31" t="s">
        <v>162</v>
      </c>
      <c r="C20" s="20">
        <v>89173.556129999997</v>
      </c>
      <c r="D20" s="20">
        <v>100560.63166</v>
      </c>
      <c r="E20" s="20">
        <f>IF(OR(89173.55613="",100560.63166="",89173.55613=0,100560.63166=0),"-",100560.63166/89173.55613*100)</f>
        <v>112.76956535567513</v>
      </c>
    </row>
    <row r="21" spans="1:5" x14ac:dyDescent="0.25">
      <c r="A21" s="30" t="s">
        <v>192</v>
      </c>
      <c r="B21" s="31" t="s">
        <v>163</v>
      </c>
      <c r="C21" s="20">
        <v>-34006.858070000002</v>
      </c>
      <c r="D21" s="20">
        <v>-34021.985840000001</v>
      </c>
      <c r="E21" s="20">
        <f>IF(OR(-34006.85807="",-34021.98584="",-34006.85807=0,-34021.98584=0),"-",-34021.98584/-34006.85807*100)</f>
        <v>100.04448446830597</v>
      </c>
    </row>
    <row r="22" spans="1:5" ht="16.5" customHeight="1" x14ac:dyDescent="0.25">
      <c r="A22" s="28" t="s">
        <v>193</v>
      </c>
      <c r="B22" s="29" t="s">
        <v>18</v>
      </c>
      <c r="C22" s="19">
        <v>204704.82287999999</v>
      </c>
      <c r="D22" s="19">
        <v>127904.21704</v>
      </c>
      <c r="E22" s="19">
        <f>IF(204704.82288="","-",127904.21704/204704.82288*100)</f>
        <v>62.482268488114087</v>
      </c>
    </row>
    <row r="23" spans="1:5" x14ac:dyDescent="0.25">
      <c r="A23" s="30" t="s">
        <v>194</v>
      </c>
      <c r="B23" s="31" t="s">
        <v>170</v>
      </c>
      <c r="C23" s="20">
        <v>1019.54144</v>
      </c>
      <c r="D23" s="20">
        <v>1071.0586499999999</v>
      </c>
      <c r="E23" s="20">
        <f>IF(OR(1019.54144="",1071.05865="",1019.54144=0,1071.05865=0),"-",1071.05865/1019.54144*100)</f>
        <v>105.05297852336439</v>
      </c>
    </row>
    <row r="24" spans="1:5" x14ac:dyDescent="0.25">
      <c r="A24" s="30" t="s">
        <v>195</v>
      </c>
      <c r="B24" s="31" t="s">
        <v>164</v>
      </c>
      <c r="C24" s="20">
        <v>247505.14833</v>
      </c>
      <c r="D24" s="20">
        <v>186364.05071000001</v>
      </c>
      <c r="E24" s="20">
        <f>IF(OR(247505.14833="",186364.05071="",247505.14833=0,186364.05071=0),"-",186364.05071/247505.14833*100)</f>
        <v>75.297040068645273</v>
      </c>
    </row>
    <row r="25" spans="1:5" ht="17.25" customHeight="1" x14ac:dyDescent="0.25">
      <c r="A25" s="30" t="s">
        <v>248</v>
      </c>
      <c r="B25" s="31" t="s">
        <v>165</v>
      </c>
      <c r="C25" s="20">
        <v>-4005.1110600000002</v>
      </c>
      <c r="D25" s="20">
        <v>-3471.0013300000001</v>
      </c>
      <c r="E25" s="20">
        <f>IF(OR(-4005.11106="",-3471.00133="",-4005.11106=0,-3471.00133=0),"-",-3471.00133/-4005.11106*100)</f>
        <v>86.664296644997407</v>
      </c>
    </row>
    <row r="26" spans="1:5" x14ac:dyDescent="0.25">
      <c r="A26" s="30" t="s">
        <v>196</v>
      </c>
      <c r="B26" s="31" t="s">
        <v>166</v>
      </c>
      <c r="C26" s="20">
        <v>-49040.349540000003</v>
      </c>
      <c r="D26" s="20">
        <v>-38036.039019999997</v>
      </c>
      <c r="E26" s="20">
        <f>IF(OR(-49040.34954="",-38036.03902="",-49040.34954=0,-38036.03902=0),"-",-38036.03902/-49040.34954*100)</f>
        <v>77.560701293484286</v>
      </c>
    </row>
    <row r="27" spans="1:5" x14ac:dyDescent="0.25">
      <c r="A27" s="30" t="s">
        <v>197</v>
      </c>
      <c r="B27" s="31" t="s">
        <v>118</v>
      </c>
      <c r="C27" s="20">
        <v>3653.6005799999998</v>
      </c>
      <c r="D27" s="20">
        <v>2931.6068300000002</v>
      </c>
      <c r="E27" s="20">
        <f>IF(OR(3653.60058="",2931.60683="",3653.60058=0,2931.60683=0),"-",2931.60683/3653.60058*100)</f>
        <v>80.238842911504037</v>
      </c>
    </row>
    <row r="28" spans="1:5" ht="28.5" customHeight="1" x14ac:dyDescent="0.25">
      <c r="A28" s="30" t="s">
        <v>198</v>
      </c>
      <c r="B28" s="31" t="s">
        <v>119</v>
      </c>
      <c r="C28" s="20">
        <v>-7769.0191699999996</v>
      </c>
      <c r="D28" s="20">
        <v>-6789.0127599999996</v>
      </c>
      <c r="E28" s="20">
        <f>IF(OR(-7769.01917="",-6789.01276="",-7769.01917=0,-6789.01276=0),"-",-6789.01276/-7769.01917*100)</f>
        <v>87.385712551923078</v>
      </c>
    </row>
    <row r="29" spans="1:5" ht="29.25" customHeight="1" x14ac:dyDescent="0.25">
      <c r="A29" s="30" t="s">
        <v>199</v>
      </c>
      <c r="B29" s="31" t="s">
        <v>120</v>
      </c>
      <c r="C29" s="20">
        <v>-1192.27152</v>
      </c>
      <c r="D29" s="20">
        <v>-2696.5695500000002</v>
      </c>
      <c r="E29" s="20" t="s">
        <v>330</v>
      </c>
    </row>
    <row r="30" spans="1:5" x14ac:dyDescent="0.25">
      <c r="A30" s="30" t="s">
        <v>200</v>
      </c>
      <c r="B30" s="31" t="s">
        <v>121</v>
      </c>
      <c r="C30" s="20">
        <v>50437.535230000001</v>
      </c>
      <c r="D30" s="20">
        <v>30807.743450000002</v>
      </c>
      <c r="E30" s="20">
        <f>IF(OR(50437.53523="",30807.74345="",50437.53523=0,30807.74345=0),"-",30807.74345/50437.53523*100)</f>
        <v>61.080985241474892</v>
      </c>
    </row>
    <row r="31" spans="1:5" x14ac:dyDescent="0.25">
      <c r="A31" s="30" t="s">
        <v>201</v>
      </c>
      <c r="B31" s="31" t="s">
        <v>122</v>
      </c>
      <c r="C31" s="20">
        <v>-35904.251409999997</v>
      </c>
      <c r="D31" s="20">
        <v>-42277.619939999997</v>
      </c>
      <c r="E31" s="20">
        <f>IF(OR(-35904.25141="",-42277.61994="",-35904.25141=0,-42277.61994=0),"-",-42277.61994/-35904.25141*100)</f>
        <v>117.75101354215924</v>
      </c>
    </row>
    <row r="32" spans="1:5" ht="15.75" customHeight="1" x14ac:dyDescent="0.25">
      <c r="A32" s="28" t="s">
        <v>202</v>
      </c>
      <c r="B32" s="29" t="s">
        <v>123</v>
      </c>
      <c r="C32" s="19">
        <v>-1773963.65916</v>
      </c>
      <c r="D32" s="19">
        <v>-1332609.4453400001</v>
      </c>
      <c r="E32" s="19">
        <f>IF(-1773963.65916="","-",-1332609.44534/-1773963.65916*100)</f>
        <v>75.120447843391105</v>
      </c>
    </row>
    <row r="33" spans="1:5" x14ac:dyDescent="0.25">
      <c r="A33" s="30" t="s">
        <v>203</v>
      </c>
      <c r="B33" s="31" t="s">
        <v>167</v>
      </c>
      <c r="C33" s="20">
        <v>-33959.006569999998</v>
      </c>
      <c r="D33" s="20">
        <v>-19107.26037</v>
      </c>
      <c r="E33" s="20">
        <f>IF(OR(-33959.00657="",-19107.26037="",-33959.00657=0,-19107.26037=0),"-",-19107.26037/-33959.00657*100)</f>
        <v>56.265663515845311</v>
      </c>
    </row>
    <row r="34" spans="1:5" x14ac:dyDescent="0.25">
      <c r="A34" s="30" t="s">
        <v>204</v>
      </c>
      <c r="B34" s="31" t="s">
        <v>124</v>
      </c>
      <c r="C34" s="20">
        <v>-891392.63682999997</v>
      </c>
      <c r="D34" s="20">
        <v>-829773.51601999998</v>
      </c>
      <c r="E34" s="20">
        <f>IF(OR(-891392.63683="",-829773.51602="",-891392.63683=0,-829773.51602=0),"-",-829773.51602/-891392.63683*100)</f>
        <v>93.087319968321481</v>
      </c>
    </row>
    <row r="35" spans="1:5" x14ac:dyDescent="0.25">
      <c r="A35" s="30" t="s">
        <v>249</v>
      </c>
      <c r="B35" s="31" t="s">
        <v>168</v>
      </c>
      <c r="C35" s="20">
        <v>-737529.5527</v>
      </c>
      <c r="D35" s="20">
        <v>-483372.80789</v>
      </c>
      <c r="E35" s="20">
        <f>IF(OR(-737529.5527="",-483372.80789="",-737529.5527=0,-483372.80789=0),"-",-483372.80789/-737529.5527*100)</f>
        <v>65.539449384832764</v>
      </c>
    </row>
    <row r="36" spans="1:5" x14ac:dyDescent="0.25">
      <c r="A36" s="30" t="s">
        <v>254</v>
      </c>
      <c r="B36" s="31" t="s">
        <v>256</v>
      </c>
      <c r="C36" s="20">
        <v>-111082.46305999999</v>
      </c>
      <c r="D36" s="20">
        <v>-355.86106000000001</v>
      </c>
      <c r="E36" s="20">
        <f>IF(OR(-111082.46306="",-355.86106="",-111082.46306=0,-355.86106=0),"-",-355.86106/-111082.46306*100)</f>
        <v>0.32035755257586024</v>
      </c>
    </row>
    <row r="37" spans="1:5" x14ac:dyDescent="0.25">
      <c r="A37" s="28" t="s">
        <v>205</v>
      </c>
      <c r="B37" s="29" t="s">
        <v>125</v>
      </c>
      <c r="C37" s="19">
        <v>286238.98388999997</v>
      </c>
      <c r="D37" s="19">
        <v>204963.88402999999</v>
      </c>
      <c r="E37" s="19">
        <f>IF(286238.98389="","-",204963.88403/286238.98389*100)</f>
        <v>71.605859287415043</v>
      </c>
    </row>
    <row r="38" spans="1:5" x14ac:dyDescent="0.25">
      <c r="A38" s="30" t="s">
        <v>206</v>
      </c>
      <c r="B38" s="31" t="s">
        <v>171</v>
      </c>
      <c r="C38" s="20">
        <v>-2407.3087700000001</v>
      </c>
      <c r="D38" s="20">
        <v>-3080.3659699999998</v>
      </c>
      <c r="E38" s="20">
        <f>IF(OR(-2407.30877="",-3080.36597="",-2407.30877=0,-3080.36597=0),"-",-3080.36597/-2407.30877*100)</f>
        <v>127.95890616059194</v>
      </c>
    </row>
    <row r="39" spans="1:5" ht="24" x14ac:dyDescent="0.25">
      <c r="A39" s="30" t="s">
        <v>207</v>
      </c>
      <c r="B39" s="31" t="s">
        <v>126</v>
      </c>
      <c r="C39" s="20">
        <v>291885.48564000003</v>
      </c>
      <c r="D39" s="20">
        <v>211383.06823</v>
      </c>
      <c r="E39" s="20">
        <f>IF(OR(291885.48564="",211383.06823="",291885.48564=0,211383.06823=0),"-",211383.06823/291885.48564*100)</f>
        <v>72.419862798766061</v>
      </c>
    </row>
    <row r="40" spans="1:5" ht="40.5" customHeight="1" x14ac:dyDescent="0.25">
      <c r="A40" s="30" t="s">
        <v>208</v>
      </c>
      <c r="B40" s="31" t="s">
        <v>169</v>
      </c>
      <c r="C40" s="20">
        <v>-3239.1929799999998</v>
      </c>
      <c r="D40" s="20">
        <v>-3338.8182299999999</v>
      </c>
      <c r="E40" s="20">
        <f>IF(OR(-3239.19298="",-3338.81823="",-3239.19298=0,-3338.81823=0),"-",-3338.81823/-3239.19298*100)</f>
        <v>103.07561947111901</v>
      </c>
    </row>
    <row r="41" spans="1:5" ht="15" customHeight="1" x14ac:dyDescent="0.25">
      <c r="A41" s="28" t="s">
        <v>209</v>
      </c>
      <c r="B41" s="29" t="s">
        <v>127</v>
      </c>
      <c r="C41" s="19">
        <v>-863426.21493000002</v>
      </c>
      <c r="D41" s="19">
        <v>-874383.73069</v>
      </c>
      <c r="E41" s="19">
        <f>IF(-863426.21493="","-",-874383.73069/-863426.21493*100)</f>
        <v>101.26907378656418</v>
      </c>
    </row>
    <row r="42" spans="1:5" x14ac:dyDescent="0.25">
      <c r="A42" s="30" t="s">
        <v>210</v>
      </c>
      <c r="B42" s="31" t="s">
        <v>19</v>
      </c>
      <c r="C42" s="20">
        <v>28024.251219999998</v>
      </c>
      <c r="D42" s="20">
        <v>12639.689119999999</v>
      </c>
      <c r="E42" s="20">
        <f>IF(OR(28024.25122="",12639.68912="",28024.25122=0,12639.68912=0),"-",12639.68912/28024.25122*100)</f>
        <v>45.10268274707537</v>
      </c>
    </row>
    <row r="43" spans="1:5" x14ac:dyDescent="0.25">
      <c r="A43" s="30" t="s">
        <v>211</v>
      </c>
      <c r="B43" s="31" t="s">
        <v>20</v>
      </c>
      <c r="C43" s="20">
        <v>-23291.779549999999</v>
      </c>
      <c r="D43" s="20">
        <v>-22952.410039999999</v>
      </c>
      <c r="E43" s="20">
        <f>IF(OR(-23291.77955="",-22952.41004="",-23291.77955=0,-22952.41004=0),"-",-22952.41004/-23291.77955*100)</f>
        <v>98.542964442577343</v>
      </c>
    </row>
    <row r="44" spans="1:5" x14ac:dyDescent="0.25">
      <c r="A44" s="30" t="s">
        <v>212</v>
      </c>
      <c r="B44" s="31" t="s">
        <v>128</v>
      </c>
      <c r="C44" s="20">
        <v>-44791.495649999997</v>
      </c>
      <c r="D44" s="20">
        <v>-46642.630929999999</v>
      </c>
      <c r="E44" s="20">
        <f>IF(OR(-44791.49565="",-46642.63093="",-44791.49565=0,-46642.63093=0),"-",-46642.63093/-44791.49565*100)</f>
        <v>104.13278291590157</v>
      </c>
    </row>
    <row r="45" spans="1:5" x14ac:dyDescent="0.25">
      <c r="A45" s="30" t="s">
        <v>213</v>
      </c>
      <c r="B45" s="31" t="s">
        <v>129</v>
      </c>
      <c r="C45" s="20">
        <v>-211882.55532000001</v>
      </c>
      <c r="D45" s="20">
        <v>-231236.08150999999</v>
      </c>
      <c r="E45" s="20">
        <f>IF(OR(-211882.55532="",-231236.08151="",-211882.55532=0,-231236.08151=0),"-",-231236.08151/-211882.55532*100)</f>
        <v>109.13408192607972</v>
      </c>
    </row>
    <row r="46" spans="1:5" ht="28.5" customHeight="1" x14ac:dyDescent="0.25">
      <c r="A46" s="30" t="s">
        <v>214</v>
      </c>
      <c r="B46" s="31" t="s">
        <v>130</v>
      </c>
      <c r="C46" s="20">
        <v>-123265.18863999999</v>
      </c>
      <c r="D46" s="20">
        <v>-144353.01261999999</v>
      </c>
      <c r="E46" s="20">
        <f>IF(OR(-123265.18864="",-144353.01262="",-123265.18864=0,-144353.01262=0),"-",-144353.01262/-123265.18864*100)</f>
        <v>117.10768807695389</v>
      </c>
    </row>
    <row r="47" spans="1:5" x14ac:dyDescent="0.25">
      <c r="A47" s="30" t="s">
        <v>215</v>
      </c>
      <c r="B47" s="31" t="s">
        <v>131</v>
      </c>
      <c r="C47" s="20">
        <v>-127469.09834</v>
      </c>
      <c r="D47" s="20">
        <v>-127541.99303</v>
      </c>
      <c r="E47" s="20">
        <f>IF(OR(-127469.09834="",-127541.99303="",-127469.09834=0,-127541.99303=0),"-",-127541.99303/-127469.09834*100)</f>
        <v>100.05718616586239</v>
      </c>
    </row>
    <row r="48" spans="1:5" x14ac:dyDescent="0.25">
      <c r="A48" s="30" t="s">
        <v>216</v>
      </c>
      <c r="B48" s="31" t="s">
        <v>21</v>
      </c>
      <c r="C48" s="20">
        <v>-69846.181729999997</v>
      </c>
      <c r="D48" s="20">
        <v>-47074.15408</v>
      </c>
      <c r="E48" s="20">
        <f>IF(OR(-69846.18173="",-47074.15408="",-69846.18173=0,-47074.15408=0),"-",-47074.15408/-69846.18173*100)</f>
        <v>67.396889728305553</v>
      </c>
    </row>
    <row r="49" spans="1:5" x14ac:dyDescent="0.25">
      <c r="A49" s="30" t="s">
        <v>217</v>
      </c>
      <c r="B49" s="31" t="s">
        <v>22</v>
      </c>
      <c r="C49" s="20">
        <v>-132816.31466</v>
      </c>
      <c r="D49" s="20">
        <v>-124557.84531999999</v>
      </c>
      <c r="E49" s="20">
        <f>IF(OR(-132816.31466="",-124557.84532="",-132816.31466=0,-124557.84532=0),"-",-124557.84532/-132816.31466*100)</f>
        <v>93.78203697253528</v>
      </c>
    </row>
    <row r="50" spans="1:5" x14ac:dyDescent="0.25">
      <c r="A50" s="30" t="s">
        <v>218</v>
      </c>
      <c r="B50" s="31" t="s">
        <v>132</v>
      </c>
      <c r="C50" s="20">
        <v>-158087.85226000001</v>
      </c>
      <c r="D50" s="20">
        <v>-142665.29227999999</v>
      </c>
      <c r="E50" s="20">
        <f>IF(OR(-158087.85226="",-142665.29228="",-158087.85226=0,-142665.29228=0),"-",-142665.29228/-158087.85226*100)</f>
        <v>90.244310514994396</v>
      </c>
    </row>
    <row r="51" spans="1:5" ht="24" x14ac:dyDescent="0.25">
      <c r="A51" s="28" t="s">
        <v>219</v>
      </c>
      <c r="B51" s="29" t="s">
        <v>324</v>
      </c>
      <c r="C51" s="19">
        <v>-931475.53011000005</v>
      </c>
      <c r="D51" s="19">
        <v>-868248.97955000005</v>
      </c>
      <c r="E51" s="19">
        <f>IF(-931475.53011="","-",-868248.97955/-931475.53011*100)</f>
        <v>93.212215617458739</v>
      </c>
    </row>
    <row r="52" spans="1:5" x14ac:dyDescent="0.25">
      <c r="A52" s="30" t="s">
        <v>220</v>
      </c>
      <c r="B52" s="31" t="s">
        <v>133</v>
      </c>
      <c r="C52" s="20">
        <v>-47666.268519999998</v>
      </c>
      <c r="D52" s="20">
        <v>-38089.063629999997</v>
      </c>
      <c r="E52" s="20">
        <f>IF(OR(-47666.26852="",-38089.06363="",-47666.26852=0,-38089.06363=0),"-",-38089.06363/-47666.26852*100)</f>
        <v>79.907793944513273</v>
      </c>
    </row>
    <row r="53" spans="1:5" x14ac:dyDescent="0.25">
      <c r="A53" s="30" t="s">
        <v>221</v>
      </c>
      <c r="B53" s="31" t="s">
        <v>23</v>
      </c>
      <c r="C53" s="20">
        <v>-77557.177599999995</v>
      </c>
      <c r="D53" s="20">
        <v>-70090.106830000004</v>
      </c>
      <c r="E53" s="20">
        <f>IF(OR(-77557.1776="",-70090.10683="",-77557.1776=0,-70090.10683=0),"-",-70090.10683/-77557.1776*100)</f>
        <v>90.37217314880732</v>
      </c>
    </row>
    <row r="54" spans="1:5" x14ac:dyDescent="0.25">
      <c r="A54" s="30" t="s">
        <v>222</v>
      </c>
      <c r="B54" s="31" t="s">
        <v>134</v>
      </c>
      <c r="C54" s="20">
        <v>-75980.639540000004</v>
      </c>
      <c r="D54" s="20">
        <v>-80658.587379999997</v>
      </c>
      <c r="E54" s="20">
        <f>IF(OR(-75980.63954="",-80658.58738="",-75980.63954=0,-80658.58738=0),"-",-80658.58738/-75980.63954*100)</f>
        <v>106.15676291792371</v>
      </c>
    </row>
    <row r="55" spans="1:5" ht="24" x14ac:dyDescent="0.25">
      <c r="A55" s="30" t="s">
        <v>223</v>
      </c>
      <c r="B55" s="31" t="s">
        <v>135</v>
      </c>
      <c r="C55" s="20">
        <v>-112073.62405</v>
      </c>
      <c r="D55" s="20">
        <v>-95782.509520000007</v>
      </c>
      <c r="E55" s="20">
        <f>IF(OR(-112073.62405="",-95782.50952="",-112073.62405=0,-95782.50952=0),"-",-95782.50952/-112073.62405*100)</f>
        <v>85.463917430980956</v>
      </c>
    </row>
    <row r="56" spans="1:5" ht="24" x14ac:dyDescent="0.25">
      <c r="A56" s="30" t="s">
        <v>224</v>
      </c>
      <c r="B56" s="31" t="s">
        <v>136</v>
      </c>
      <c r="C56" s="20">
        <v>-210563.14272999999</v>
      </c>
      <c r="D56" s="20">
        <v>-200153.77050000001</v>
      </c>
      <c r="E56" s="20">
        <f>IF(OR(-210563.14273="",-200153.7705="",-210563.14273=0,-200153.7705=0),"-",-200153.7705/-210563.14273*100)</f>
        <v>95.056412962382666</v>
      </c>
    </row>
    <row r="57" spans="1:5" x14ac:dyDescent="0.25">
      <c r="A57" s="30" t="s">
        <v>225</v>
      </c>
      <c r="B57" s="31" t="s">
        <v>24</v>
      </c>
      <c r="C57" s="20">
        <v>-68799.914829999994</v>
      </c>
      <c r="D57" s="20">
        <v>-69144.312909999993</v>
      </c>
      <c r="E57" s="20">
        <f>IF(OR(-68799.91483="",-69144.31291="",-68799.91483=0,-69144.31291=0),"-",-69144.31291/-68799.91483*100)</f>
        <v>100.50057922433622</v>
      </c>
    </row>
    <row r="58" spans="1:5" x14ac:dyDescent="0.25">
      <c r="A58" s="30" t="s">
        <v>226</v>
      </c>
      <c r="B58" s="31" t="s">
        <v>137</v>
      </c>
      <c r="C58" s="20">
        <v>-155884.78344999999</v>
      </c>
      <c r="D58" s="20">
        <v>-131470.53242</v>
      </c>
      <c r="E58" s="20">
        <f>IF(OR(-155884.78345="",-131470.53242="",-155884.78345=0,-131470.53242=0),"-",-131470.53242/-155884.78345*100)</f>
        <v>84.338271837911066</v>
      </c>
    </row>
    <row r="59" spans="1:5" x14ac:dyDescent="0.25">
      <c r="A59" s="30" t="s">
        <v>227</v>
      </c>
      <c r="B59" s="31" t="s">
        <v>25</v>
      </c>
      <c r="C59" s="20">
        <v>-30800.078600000001</v>
      </c>
      <c r="D59" s="20">
        <v>-34024.409720000003</v>
      </c>
      <c r="E59" s="20">
        <f>IF(OR(-30800.0786="",-34024.40972="",-30800.0786=0,-34024.40972=0),"-",-34024.40972/-30800.0786*100)</f>
        <v>110.4685808171931</v>
      </c>
    </row>
    <row r="60" spans="1:5" x14ac:dyDescent="0.25">
      <c r="A60" s="30" t="s">
        <v>228</v>
      </c>
      <c r="B60" s="31" t="s">
        <v>26</v>
      </c>
      <c r="C60" s="20">
        <v>-152149.90079000001</v>
      </c>
      <c r="D60" s="20">
        <v>-148835.68664</v>
      </c>
      <c r="E60" s="20">
        <f>IF(OR(-152149.90079="",-148835.68664="",-152149.90079=0,-148835.68664=0),"-",-148835.68664/-152149.90079*100)</f>
        <v>97.82174412681718</v>
      </c>
    </row>
    <row r="61" spans="1:5" x14ac:dyDescent="0.25">
      <c r="A61" s="28" t="s">
        <v>229</v>
      </c>
      <c r="B61" s="29" t="s">
        <v>138</v>
      </c>
      <c r="C61" s="19">
        <v>-1194245.41579</v>
      </c>
      <c r="D61" s="19">
        <v>-1209796.93542</v>
      </c>
      <c r="E61" s="19">
        <f>IF(-1194245.41579="","-",-1209796.93542/-1194245.41579*100)</f>
        <v>101.30220467454862</v>
      </c>
    </row>
    <row r="62" spans="1:5" ht="16.5" customHeight="1" x14ac:dyDescent="0.25">
      <c r="A62" s="30" t="s">
        <v>230</v>
      </c>
      <c r="B62" s="31" t="s">
        <v>139</v>
      </c>
      <c r="C62" s="20">
        <v>-25717.158299999999</v>
      </c>
      <c r="D62" s="20">
        <v>-35026.61277</v>
      </c>
      <c r="E62" s="20">
        <f>IF(OR(-25717.1583="",-35026.61277="",-25717.1583=0,-35026.61277=0),"-",-35026.61277/-25717.1583*100)</f>
        <v>136.1993901557934</v>
      </c>
    </row>
    <row r="63" spans="1:5" ht="15" customHeight="1" x14ac:dyDescent="0.25">
      <c r="A63" s="30" t="s">
        <v>231</v>
      </c>
      <c r="B63" s="31" t="s">
        <v>140</v>
      </c>
      <c r="C63" s="20">
        <v>-258509.41682000001</v>
      </c>
      <c r="D63" s="20">
        <v>-168122.30963999999</v>
      </c>
      <c r="E63" s="20">
        <f>IF(OR(-258509.41682="",-168122.30964="",-258509.41682=0,-168122.30964=0),"-",-168122.30964/-258509.41682*100)</f>
        <v>65.035274810535611</v>
      </c>
    </row>
    <row r="64" spans="1:5" x14ac:dyDescent="0.25">
      <c r="A64" s="30" t="s">
        <v>232</v>
      </c>
      <c r="B64" s="31" t="s">
        <v>141</v>
      </c>
      <c r="C64" s="20">
        <v>-7735.4504200000001</v>
      </c>
      <c r="D64" s="20">
        <v>-9787.6889300000003</v>
      </c>
      <c r="E64" s="20">
        <f>IF(OR(-7735.45042="",-9787.68893="",-7735.45042=0,-9787.68893=0),"-",-9787.68893/-7735.45042*100)</f>
        <v>126.53030397162057</v>
      </c>
    </row>
    <row r="65" spans="1:5" ht="24" x14ac:dyDescent="0.25">
      <c r="A65" s="30" t="s">
        <v>233</v>
      </c>
      <c r="B65" s="31" t="s">
        <v>142</v>
      </c>
      <c r="C65" s="20">
        <v>-202020.57032999999</v>
      </c>
      <c r="D65" s="20">
        <v>-193467.06166000001</v>
      </c>
      <c r="E65" s="20">
        <f>IF(OR(-202020.57033="",-193467.06166="",-202020.57033=0,-193467.06166=0),"-",-193467.06166/-202020.57033*100)</f>
        <v>95.766020927459095</v>
      </c>
    </row>
    <row r="66" spans="1:5" ht="25.5" customHeight="1" x14ac:dyDescent="0.25">
      <c r="A66" s="30" t="s">
        <v>234</v>
      </c>
      <c r="B66" s="31" t="s">
        <v>143</v>
      </c>
      <c r="C66" s="20">
        <v>-77631.723920000004</v>
      </c>
      <c r="D66" s="20">
        <v>-70947.172600000005</v>
      </c>
      <c r="E66" s="20">
        <f>IF(OR(-77631.72392="",-70947.1726="",-77631.72392=0,-70947.1726=0),"-",-70947.1726/-77631.72392*100)</f>
        <v>91.389407599799696</v>
      </c>
    </row>
    <row r="67" spans="1:5" ht="27" customHeight="1" x14ac:dyDescent="0.25">
      <c r="A67" s="30" t="s">
        <v>235</v>
      </c>
      <c r="B67" s="31" t="s">
        <v>144</v>
      </c>
      <c r="C67" s="20">
        <v>-174475.84247</v>
      </c>
      <c r="D67" s="20">
        <v>-202558.01102999999</v>
      </c>
      <c r="E67" s="20">
        <f>IF(OR(-174475.84247="",-202558.01103="",-174475.84247=0,-202558.01103=0),"-",-202558.01103/-174475.84247*100)</f>
        <v>116.0951614633003</v>
      </c>
    </row>
    <row r="68" spans="1:5" ht="36" x14ac:dyDescent="0.25">
      <c r="A68" s="30" t="s">
        <v>236</v>
      </c>
      <c r="B68" s="31" t="s">
        <v>145</v>
      </c>
      <c r="C68" s="20">
        <v>-36725.79133</v>
      </c>
      <c r="D68" s="20">
        <v>-26607.1731</v>
      </c>
      <c r="E68" s="20">
        <f>IF(OR(-36725.79133="",-26607.1731="",-36725.79133=0,-26607.1731=0),"-",-26607.1731/-36725.79133*100)</f>
        <v>72.448195495424329</v>
      </c>
    </row>
    <row r="69" spans="1:5" x14ac:dyDescent="0.25">
      <c r="A69" s="30" t="s">
        <v>237</v>
      </c>
      <c r="B69" s="31" t="s">
        <v>146</v>
      </c>
      <c r="C69" s="20">
        <v>-406208.10035999998</v>
      </c>
      <c r="D69" s="20">
        <v>-501419.28052999999</v>
      </c>
      <c r="E69" s="20">
        <f>IF(OR(-406208.10036="",-501419.28053="",-406208.10036=0,-501419.28053=0),"-",-501419.28053/-406208.10036*100)</f>
        <v>123.43901563893471</v>
      </c>
    </row>
    <row r="70" spans="1:5" x14ac:dyDescent="0.25">
      <c r="A70" s="30" t="s">
        <v>238</v>
      </c>
      <c r="B70" s="31" t="s">
        <v>27</v>
      </c>
      <c r="C70" s="20">
        <v>-5221.3618399999996</v>
      </c>
      <c r="D70" s="20">
        <v>-1861.6251600000001</v>
      </c>
      <c r="E70" s="20">
        <f>IF(OR(-5221.36184="",-1861.62516="",-5221.36184=0,-1861.62516=0),"-",-1861.62516/-5221.36184*100)</f>
        <v>35.65401550488982</v>
      </c>
    </row>
    <row r="71" spans="1:5" x14ac:dyDescent="0.25">
      <c r="A71" s="28" t="s">
        <v>239</v>
      </c>
      <c r="B71" s="29" t="s">
        <v>28</v>
      </c>
      <c r="C71" s="19">
        <v>-163399.60894999999</v>
      </c>
      <c r="D71" s="19">
        <v>-221420.20881000001</v>
      </c>
      <c r="E71" s="19">
        <f>IF(-163399.60895="","-",-221420.20881/-163399.60895*100)</f>
        <v>135.50840802670109</v>
      </c>
    </row>
    <row r="72" spans="1:5" ht="26.25" customHeight="1" x14ac:dyDescent="0.25">
      <c r="A72" s="30" t="s">
        <v>240</v>
      </c>
      <c r="B72" s="31" t="s">
        <v>172</v>
      </c>
      <c r="C72" s="20">
        <v>-44147.786050000002</v>
      </c>
      <c r="D72" s="20">
        <v>-33934.040800000002</v>
      </c>
      <c r="E72" s="20">
        <f>IF(OR(-44147.78605="",-33934.0408="",-44147.78605=0,-33934.0408=0),"-",-33934.0408/-44147.78605*100)</f>
        <v>76.864649025814515</v>
      </c>
    </row>
    <row r="73" spans="1:5" x14ac:dyDescent="0.25">
      <c r="A73" s="30" t="s">
        <v>241</v>
      </c>
      <c r="B73" s="31" t="s">
        <v>147</v>
      </c>
      <c r="C73" s="20">
        <v>70290.869340000005</v>
      </c>
      <c r="D73" s="20">
        <v>67640.888680000004</v>
      </c>
      <c r="E73" s="20">
        <f>IF(OR(70290.86934="",67640.88868="",70290.86934=0,67640.88868=0),"-",67640.88868/70290.86934*100)</f>
        <v>96.22997882245285</v>
      </c>
    </row>
    <row r="74" spans="1:5" x14ac:dyDescent="0.25">
      <c r="A74" s="30" t="s">
        <v>242</v>
      </c>
      <c r="B74" s="31" t="s">
        <v>148</v>
      </c>
      <c r="C74" s="20">
        <v>-1516.1893399999999</v>
      </c>
      <c r="D74" s="20">
        <v>-3595.5263100000002</v>
      </c>
      <c r="E74" s="20" t="s">
        <v>333</v>
      </c>
    </row>
    <row r="75" spans="1:5" x14ac:dyDescent="0.25">
      <c r="A75" s="30" t="s">
        <v>243</v>
      </c>
      <c r="B75" s="31" t="s">
        <v>149</v>
      </c>
      <c r="C75" s="20">
        <v>84218.890910000002</v>
      </c>
      <c r="D75" s="20">
        <v>71560.959730000002</v>
      </c>
      <c r="E75" s="20">
        <f>IF(OR(84218.89091="",71560.95973="",84218.89091=0,71560.95973=0),"-",71560.95973/84218.89091*100)</f>
        <v>84.970199627151572</v>
      </c>
    </row>
    <row r="76" spans="1:5" x14ac:dyDescent="0.25">
      <c r="A76" s="30" t="s">
        <v>244</v>
      </c>
      <c r="B76" s="31" t="s">
        <v>150</v>
      </c>
      <c r="C76" s="20">
        <v>-17924.813849999999</v>
      </c>
      <c r="D76" s="20">
        <v>-32370.312249999999</v>
      </c>
      <c r="E76" s="20" t="s">
        <v>331</v>
      </c>
    </row>
    <row r="77" spans="1:5" x14ac:dyDescent="0.25">
      <c r="A77" s="30" t="s">
        <v>245</v>
      </c>
      <c r="B77" s="31" t="s">
        <v>273</v>
      </c>
      <c r="C77" s="20">
        <v>-45742.647349999999</v>
      </c>
      <c r="D77" s="20">
        <v>-45185.619939999997</v>
      </c>
      <c r="E77" s="20">
        <f>IF(OR(-45742.64735="",-45185.61994="",-45742.64735=0,-45185.61994=0),"-",-45185.61994/-45742.64735*100)</f>
        <v>98.78225804086523</v>
      </c>
    </row>
    <row r="78" spans="1:5" ht="24" x14ac:dyDescent="0.25">
      <c r="A78" s="30" t="s">
        <v>246</v>
      </c>
      <c r="B78" s="31" t="s">
        <v>151</v>
      </c>
      <c r="C78" s="20">
        <v>-8847.7330899999997</v>
      </c>
      <c r="D78" s="20">
        <v>-10757.74912</v>
      </c>
      <c r="E78" s="20">
        <f>IF(OR(-8847.73309="",-10757.74912="",-8847.73309=0,-10757.74912=0),"-",-10757.74912/-8847.73309*100)</f>
        <v>121.58763166306139</v>
      </c>
    </row>
    <row r="79" spans="1:5" x14ac:dyDescent="0.25">
      <c r="A79" s="30" t="s">
        <v>247</v>
      </c>
      <c r="B79" s="31" t="s">
        <v>29</v>
      </c>
      <c r="C79" s="20">
        <v>-199730.19951999999</v>
      </c>
      <c r="D79" s="20">
        <v>-234778.8088</v>
      </c>
      <c r="E79" s="20">
        <f>IF(OR(-199730.19952="",-234778.8088="",-199730.19952=0,-234778.8088=0),"-",-234778.8088/-199730.19952*100)</f>
        <v>117.54797690295725</v>
      </c>
    </row>
    <row r="80" spans="1:5" x14ac:dyDescent="0.25">
      <c r="A80" s="33" t="s">
        <v>250</v>
      </c>
      <c r="B80" s="34" t="s">
        <v>152</v>
      </c>
      <c r="C80" s="38">
        <v>-13458.572050000001</v>
      </c>
      <c r="D80" s="38">
        <v>240.45024000000001</v>
      </c>
      <c r="E80" s="38" t="s">
        <v>345</v>
      </c>
    </row>
    <row r="81" spans="1:5" s="18" customFormat="1" ht="11.25" x14ac:dyDescent="0.2">
      <c r="A81" s="9" t="s">
        <v>253</v>
      </c>
      <c r="B81" s="10"/>
      <c r="C81" s="27"/>
      <c r="D81" s="27"/>
      <c r="E81" s="27"/>
    </row>
    <row r="82" spans="1:5" x14ac:dyDescent="0.25">
      <c r="C82" s="20"/>
      <c r="D82" s="20"/>
      <c r="E82" s="39"/>
    </row>
    <row r="83" spans="1:5" x14ac:dyDescent="0.25">
      <c r="C83" s="20"/>
      <c r="D83" s="20"/>
      <c r="E83" s="39"/>
    </row>
  </sheetData>
  <mergeCells count="7">
    <mergeCell ref="B1:E1"/>
    <mergeCell ref="B2:E2"/>
    <mergeCell ref="A3:E3"/>
    <mergeCell ref="A4:A5"/>
    <mergeCell ref="B4:B5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Export_Tari</vt:lpstr>
      <vt:lpstr>2. Import_Tari</vt:lpstr>
      <vt:lpstr>3. Balanta Comerciala_Tari</vt:lpstr>
      <vt:lpstr>4. Export_Moduri_Transport</vt:lpstr>
      <vt:lpstr>5. Import_Moduri_Transport</vt:lpstr>
      <vt:lpstr>6. Export_Grupe_Marfuri_CSCI</vt:lpstr>
      <vt:lpstr>7. Import_Grupe_Marfuri_CSCI</vt:lpstr>
      <vt:lpstr>8. Balanta_Comerciala_CSCI</vt:lpstr>
      <vt:lpstr>'1. Export_Tari'!Print_Titles</vt:lpstr>
      <vt:lpstr>'2. Import_Tari'!Print_Titles</vt:lpstr>
      <vt:lpstr>'3. Balanta Comerciala_Tari'!Print_Titles</vt:lpstr>
      <vt:lpstr>'6. Export_Grupe_Marfuri_CSCI'!Print_Titles</vt:lpstr>
      <vt:lpstr>'7. Import_Grupe_Marfuri_CSCI'!Print_Titles</vt:lpstr>
      <vt:lpstr>'8. Balanta_Comerciala_CSCI'!Print_Titles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2024-01-12T14:25:36Z</cp:lastPrinted>
  <dcterms:created xsi:type="dcterms:W3CDTF">2016-09-01T07:59:47Z</dcterms:created>
  <dcterms:modified xsi:type="dcterms:W3CDTF">2024-01-15T11:33:36Z</dcterms:modified>
</cp:coreProperties>
</file>