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A8D17C4B-CB9E-42B0-B813-95BC3E40373D}" xr6:coauthVersionLast="37" xr6:coauthVersionMax="37" xr10:uidLastSave="{00000000-0000-0000-0000-000000000000}"/>
  <bookViews>
    <workbookView xWindow="0" yWindow="0" windowWidth="28800" windowHeight="11925" xr2:uid="{00000000-000D-0000-FFFF-FFFF00000000}"/>
  </bookViews>
  <sheets>
    <sheet name="Contravenții_categorii" sheetId="2" r:id="rId1"/>
    <sheet name="Contravenții_organe" sheetId="3" r:id="rId2"/>
  </sheets>
  <calcPr calcId="179021"/>
</workbook>
</file>

<file path=xl/calcChain.xml><?xml version="1.0" encoding="utf-8"?>
<calcChain xmlns="http://schemas.openxmlformats.org/spreadsheetml/2006/main">
  <c r="E48" i="3" l="1"/>
  <c r="D48" i="3"/>
  <c r="E44" i="3"/>
  <c r="D44" i="3"/>
  <c r="E42" i="3"/>
  <c r="D42" i="3"/>
  <c r="E41" i="3"/>
  <c r="D41" i="3"/>
  <c r="E36" i="3"/>
  <c r="D36" i="3"/>
  <c r="E37" i="3"/>
  <c r="D37" i="3"/>
  <c r="E51" i="3"/>
  <c r="D51" i="3"/>
  <c r="E50" i="3"/>
  <c r="D50" i="3"/>
  <c r="E31" i="3"/>
  <c r="D31" i="3"/>
  <c r="I19" i="2"/>
  <c r="H19" i="2"/>
  <c r="I7" i="2"/>
  <c r="H7" i="2"/>
  <c r="E49" i="3"/>
  <c r="D49" i="3"/>
  <c r="E47" i="3"/>
  <c r="D47" i="3"/>
  <c r="E46" i="3"/>
  <c r="D46" i="3"/>
  <c r="E45" i="3"/>
  <c r="D45" i="3"/>
  <c r="E43" i="3"/>
  <c r="D43" i="3"/>
  <c r="E40" i="3"/>
  <c r="D40" i="3"/>
  <c r="E39" i="3"/>
  <c r="D39" i="3"/>
  <c r="E38" i="3" l="1"/>
  <c r="D38" i="3"/>
  <c r="E35" i="3"/>
  <c r="D35" i="3"/>
  <c r="E34" i="3"/>
  <c r="D34" i="3"/>
  <c r="C20" i="3" l="1"/>
  <c r="C19" i="3"/>
  <c r="C18" i="3"/>
  <c r="C16" i="3"/>
  <c r="C12" i="3"/>
  <c r="E33" i="3" l="1"/>
  <c r="D33" i="3"/>
  <c r="I23" i="2"/>
  <c r="H23" i="2"/>
  <c r="I22" i="2"/>
  <c r="H22" i="2"/>
  <c r="I21" i="2"/>
  <c r="H21" i="2"/>
  <c r="I20" i="2"/>
  <c r="H20" i="2"/>
  <c r="I18" i="2"/>
  <c r="H18" i="2"/>
  <c r="I17" i="2"/>
  <c r="H17" i="2"/>
  <c r="I16" i="2"/>
  <c r="H16" i="2"/>
  <c r="I15" i="2"/>
  <c r="H15" i="2"/>
  <c r="I14" i="2"/>
  <c r="H14" i="2"/>
  <c r="I13" i="2"/>
  <c r="H13" i="2"/>
  <c r="I12" i="2"/>
  <c r="H12" i="2"/>
  <c r="I11" i="2"/>
  <c r="H11" i="2"/>
  <c r="I10" i="2"/>
  <c r="H10" i="2"/>
  <c r="I9" i="2"/>
  <c r="H9" i="2"/>
  <c r="C24" i="3" l="1"/>
  <c r="C9" i="3"/>
  <c r="C23" i="3"/>
  <c r="C22" i="3"/>
  <c r="C21" i="3"/>
  <c r="C17" i="3"/>
  <c r="C15" i="3"/>
  <c r="C14" i="3"/>
  <c r="C13" i="3"/>
  <c r="C11" i="3"/>
  <c r="C10" i="3"/>
  <c r="C7" i="3" l="1"/>
  <c r="D20" i="2" l="1"/>
  <c r="D9" i="2" l="1"/>
  <c r="D21" i="2" l="1"/>
  <c r="D23" i="2"/>
  <c r="D22" i="2"/>
  <c r="D19" i="2"/>
  <c r="D18" i="2"/>
  <c r="D17" i="2"/>
  <c r="D16" i="2"/>
  <c r="D15" i="2"/>
  <c r="D14" i="2"/>
  <c r="D13" i="2"/>
  <c r="D12" i="2"/>
  <c r="D11" i="2"/>
  <c r="D10" i="2"/>
</calcChain>
</file>

<file path=xl/sharedStrings.xml><?xml version="1.0" encoding="utf-8"?>
<sst xmlns="http://schemas.openxmlformats.org/spreadsheetml/2006/main" count="124" uniqueCount="70">
  <si>
    <t>Cazuri</t>
  </si>
  <si>
    <t>inclusiv:</t>
  </si>
  <si>
    <t>Suma amenzilor, mii lei</t>
  </si>
  <si>
    <t>amendă</t>
  </si>
  <si>
    <t>aplicate</t>
  </si>
  <si>
    <t>încasate</t>
  </si>
  <si>
    <t>Total</t>
  </si>
  <si>
    <t>ce atentează la drepturile politice, de muncă şi alte drepturi constituţionale ale persoanei fizice</t>
  </si>
  <si>
    <t>-</t>
  </si>
  <si>
    <t>ce atentează la sănătatea populaţiei, persoanei, la starea sanitar-epidemiologică</t>
  </si>
  <si>
    <t>ce atentează la drepturile reale</t>
  </si>
  <si>
    <t>în domeniul protecţiei mediului</t>
  </si>
  <si>
    <t>în domeniul agricol şi sanitar-veterinar</t>
  </si>
  <si>
    <t>ce atentează la regimul din transporturi</t>
  </si>
  <si>
    <t>în domeniul circulaţiei rutiere</t>
  </si>
  <si>
    <t>ce afectează activitatea de întreprinzător, fiscalitatea, activitatea vamală şi valorile mobiliare</t>
  </si>
  <si>
    <t>ce afectează activitatea autorităţilor publice</t>
  </si>
  <si>
    <t>ce atentează la regimul frontierei de stat şi regimul de şedere pe teritoriul Republicii Moldova</t>
  </si>
  <si>
    <t>ce atentează la modul de administrare şi în domeniul supravegherii pieţei, metrologiei, standardizării şi protecţiei consumatorilor</t>
  </si>
  <si>
    <t>ce atentează la ordinea publică şi securitatea publică</t>
  </si>
  <si>
    <t>în domeniul evidenţei militare</t>
  </si>
  <si>
    <t xml:space="preserve">Total </t>
  </si>
  <si>
    <t>Ministerul Afacerilor Interne</t>
  </si>
  <si>
    <t>Judecătoriile raionale şi municipale</t>
  </si>
  <si>
    <t>Organele de specialitate în domeniul transporturilor</t>
  </si>
  <si>
    <t xml:space="preserve">Comisiile administrative de pe lîngă organele administraţiei publice locale şi primării </t>
  </si>
  <si>
    <t>Compania Naţională de Asigurări în Medicină</t>
  </si>
  <si>
    <t>Comisia Naţională a Pieţei Financiare</t>
  </si>
  <si>
    <t>în % faţă de total</t>
  </si>
  <si>
    <t>Agenția  pentru Supraveghere Tehnică</t>
  </si>
  <si>
    <t>Autorități administrative din subordinea Ministerului Finanțelor</t>
  </si>
  <si>
    <t>Agenția Națională pentru Sănătate Publică</t>
  </si>
  <si>
    <t>Agenția Națională pentru Siguranța Alimentelor</t>
  </si>
  <si>
    <t>muncă neremunerată în folosul comunității</t>
  </si>
  <si>
    <t xml:space="preserve">Agenția Națională pentru Reglementare în Comunicații Electronice și Tehnologia  Informaţiei  </t>
  </si>
  <si>
    <t>Serviciul  Vamal</t>
  </si>
  <si>
    <t>Agenția pentru Protecția Consumatorilor și Supravegherea Pieței</t>
  </si>
  <si>
    <t>Inspectoratul pentru Protecția Mediului</t>
  </si>
  <si>
    <t>Ministerul Aparării</t>
  </si>
  <si>
    <t>în domeniul comunicaţiilor electronice, comunicațiilor poştale şi al tehnologiei informaţiei</t>
  </si>
  <si>
    <t>Procuraturile teritoriale și specializate</t>
  </si>
  <si>
    <t>Autoritatea Națională de Integritate</t>
  </si>
  <si>
    <t>avertisment</t>
  </si>
  <si>
    <t>Total contravenții constatate
(cazuri)</t>
  </si>
  <si>
    <t>Categorii de contravenții</t>
  </si>
  <si>
    <t>Total decizii de aplicare a sancțiunii</t>
  </si>
  <si>
    <t>Principalele sancțiuni aplicate, inclusiv (cazuri):</t>
  </si>
  <si>
    <t>Cancelaria de Stat</t>
  </si>
  <si>
    <t>Administrația publică locală</t>
  </si>
  <si>
    <t>În % față de total</t>
  </si>
  <si>
    <t>Organe cu drept de constatare a contravențiilor</t>
  </si>
  <si>
    <t>Organe cu drept de examinare a contravențiilor</t>
  </si>
  <si>
    <t>Simboluri folosite</t>
  </si>
  <si>
    <t>"-" evenimentul nu a existat.</t>
  </si>
  <si>
    <t>Ministerul Apărării</t>
  </si>
  <si>
    <t xml:space="preserve">"c" - date confidențiale. </t>
  </si>
  <si>
    <t xml:space="preserve">Principalele sancțiuni aplicate, inclusiv (cazuri):
</t>
  </si>
  <si>
    <r>
      <rPr>
        <i/>
        <vertAlign val="superscript"/>
        <sz val="9"/>
        <color theme="1"/>
        <rFont val="Arial"/>
        <family val="2"/>
        <charset val="204"/>
      </rPr>
      <t xml:space="preserve">1 </t>
    </r>
    <r>
      <rPr>
        <i/>
        <sz val="9"/>
        <color theme="1"/>
        <rFont val="Arial"/>
        <family val="2"/>
        <charset val="204"/>
      </rPr>
      <t>Divizarea este prezentată conform Codului Contravenţional al  Republicii Moldova.</t>
    </r>
  </si>
  <si>
    <r>
      <t xml:space="preserve">Alte organe </t>
    </r>
    <r>
      <rPr>
        <vertAlign val="superscript"/>
        <sz val="9"/>
        <color theme="1"/>
        <rFont val="Arial"/>
        <family val="2"/>
        <charset val="204"/>
      </rPr>
      <t>2</t>
    </r>
  </si>
  <si>
    <r>
      <rPr>
        <i/>
        <vertAlign val="superscript"/>
        <sz val="9"/>
        <color theme="1"/>
        <rFont val="Arial"/>
        <family val="2"/>
        <charset val="204"/>
      </rPr>
      <t>1</t>
    </r>
    <r>
      <rPr>
        <i/>
        <sz val="9"/>
        <color theme="1"/>
        <rFont val="Arial"/>
        <family val="2"/>
        <charset val="204"/>
      </rPr>
      <t xml:space="preserve"> Divizarea este prezentată conform Codului Contravenţional al Republicii Moldova, iar datele din tabel includ doar organele care au drept de constatare.</t>
    </r>
  </si>
  <si>
    <r>
      <rPr>
        <i/>
        <vertAlign val="superscript"/>
        <sz val="9"/>
        <rFont val="Arial"/>
        <family val="2"/>
        <charset val="204"/>
      </rPr>
      <t xml:space="preserve">3 </t>
    </r>
    <r>
      <rPr>
        <i/>
        <sz val="9"/>
        <rFont val="Arial"/>
        <family val="2"/>
        <charset val="204"/>
      </rPr>
      <t>Divizarea este prezentată conform Codului contravenţional al Republicii Moldova, iar datele din tabel includ doar organele care au drept de examinare și au aplicat sancțiuni în anul respectiv.</t>
    </r>
  </si>
  <si>
    <r>
      <rPr>
        <b/>
        <sz val="9"/>
        <rFont val="Arial"/>
        <family val="2"/>
        <charset val="204"/>
      </rPr>
      <t xml:space="preserve">Tabelul 1. </t>
    </r>
    <r>
      <rPr>
        <b/>
        <i/>
        <sz val="9"/>
        <rFont val="Arial"/>
        <family val="2"/>
        <charset val="204"/>
      </rPr>
      <t>Numărul total al contravenţiilor constatate, al deciziilor de aplicare a pedepsei și al principalelor sancțiuni aplicate, pe categorii de contravenții, în anul 2021</t>
    </r>
    <r>
      <rPr>
        <b/>
        <i/>
        <vertAlign val="superscript"/>
        <sz val="9"/>
        <rFont val="Arial"/>
        <family val="2"/>
        <charset val="204"/>
      </rPr>
      <t>1</t>
    </r>
  </si>
  <si>
    <r>
      <rPr>
        <b/>
        <sz val="9"/>
        <color theme="1"/>
        <rFont val="Arial"/>
        <family val="2"/>
        <charset val="204"/>
      </rPr>
      <t xml:space="preserve">Tabelul 3. </t>
    </r>
    <r>
      <rPr>
        <b/>
        <i/>
        <sz val="9"/>
        <color theme="1"/>
        <rFont val="Arial"/>
        <family val="2"/>
        <charset val="204"/>
      </rPr>
      <t>Numărul principalelor sancțiuni aplicate  în funcție de organele împuternicite să examineze contravenții, în anul 2021</t>
    </r>
    <r>
      <rPr>
        <b/>
        <i/>
        <vertAlign val="superscript"/>
        <sz val="9"/>
        <color theme="1"/>
        <rFont val="Arial"/>
        <family val="2"/>
        <charset val="204"/>
      </rPr>
      <t>3</t>
    </r>
  </si>
  <si>
    <r>
      <rPr>
        <b/>
        <sz val="9"/>
        <color theme="1"/>
        <rFont val="Arial"/>
        <family val="2"/>
        <charset val="204"/>
      </rPr>
      <t xml:space="preserve">Tabelul 2. </t>
    </r>
    <r>
      <rPr>
        <b/>
        <i/>
        <sz val="9"/>
        <color theme="1"/>
        <rFont val="Arial"/>
        <family val="2"/>
        <charset val="204"/>
      </rPr>
      <t>Numărul contravențiilor constatate în funcție de organele împuternicite să constate  contravenții, în anul 2021</t>
    </r>
    <r>
      <rPr>
        <b/>
        <i/>
        <vertAlign val="superscript"/>
        <sz val="9"/>
        <color theme="1"/>
        <rFont val="Arial"/>
        <family val="2"/>
        <charset val="204"/>
      </rPr>
      <t>1</t>
    </r>
  </si>
  <si>
    <t>Serviciile publice de gospodărie comunală</t>
  </si>
  <si>
    <t>Centrul Național Anticorupție</t>
  </si>
  <si>
    <t xml:space="preserve">în domeniul industriei, construcţiilor, energeticii, gospodăriei comunale, locuinţelor şi amenajării teritoriului </t>
  </si>
  <si>
    <r>
      <t xml:space="preserve">2 - </t>
    </r>
    <r>
      <rPr>
        <i/>
        <sz val="9"/>
        <rFont val="Arial"/>
        <family val="2"/>
        <charset val="204"/>
      </rPr>
      <t>Agenția Națională pentru Reglementare în Energetică, Agenția Națională pentru Reglementare în Comunicații Electronice și Tehnologia  Informaţiei, Centrul National Anticorupție, Consiliul Concurenţei, Comisia Electorală Centrală, Agentia Națională de Reglementare a Activităților Nucleare și Radiologice, Cancelaria de Stat, Consiliul pentru prevenirea și eliminarea discriminării și asigurarea egalităţii, Autoritatea Națională de Integritate, Centrul Național pentru Protecția Datelor cu Caracter Personal, Inspectoratul de Stat al Muncii, Organele de stat cu atribuții  în domeniul patrimoniului cultural, Inspectoratul Național de Probațiune, Comisia Naţională a Pieţei Financiare</t>
    </r>
  </si>
  <si>
    <t>c</t>
  </si>
  <si>
    <t>Executori Judecatorești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</si>
</sst>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0" x14ac:knownFonts="1">
    <font>
      <sz val="11"/>
      <color theme="1"/>
      <name val="Calibri"/>
      <family val="2"/>
      <scheme val="minor"/>
    </font>
    <font>
      <sz val="9"/>
      <name val="Calibri"/>
      <family val="2"/>
      <charset val="204"/>
    </font>
    <font>
      <sz val="9"/>
      <name val="Arial"/>
      <family val="2"/>
      <charset val="204"/>
    </font>
    <font>
      <b/>
      <i/>
      <sz val="9"/>
      <name val="Arial"/>
      <family val="2"/>
      <charset val="204"/>
    </font>
    <font>
      <b/>
      <i/>
      <vertAlign val="superscript"/>
      <sz val="9"/>
      <name val="Arial"/>
      <family val="2"/>
      <charset val="204"/>
    </font>
    <font>
      <b/>
      <i/>
      <sz val="9"/>
      <color theme="1"/>
      <name val="Arial"/>
      <family val="2"/>
      <charset val="204"/>
    </font>
    <font>
      <sz val="9"/>
      <color rgb="FFFF0000"/>
      <name val="Arial"/>
      <family val="2"/>
      <charset val="204"/>
    </font>
    <font>
      <sz val="9"/>
      <color theme="1"/>
      <name val="Arial"/>
      <family val="2"/>
      <charset val="204"/>
    </font>
    <font>
      <b/>
      <sz val="9"/>
      <name val="Arial"/>
      <family val="2"/>
      <charset val="204"/>
    </font>
    <font>
      <b/>
      <sz val="9"/>
      <color theme="1"/>
      <name val="Arial"/>
      <family val="2"/>
      <charset val="204"/>
    </font>
    <font>
      <i/>
      <sz val="9"/>
      <color theme="1"/>
      <name val="Arial"/>
      <family val="2"/>
      <charset val="204"/>
    </font>
    <font>
      <i/>
      <vertAlign val="superscript"/>
      <sz val="9"/>
      <color theme="1"/>
      <name val="Arial"/>
      <family val="2"/>
      <charset val="204"/>
    </font>
    <font>
      <b/>
      <i/>
      <vertAlign val="superscript"/>
      <sz val="9"/>
      <color theme="1"/>
      <name val="Arial"/>
      <family val="2"/>
      <charset val="204"/>
    </font>
    <font>
      <vertAlign val="superscript"/>
      <sz val="9"/>
      <color theme="1"/>
      <name val="Arial"/>
      <family val="2"/>
      <charset val="204"/>
    </font>
    <font>
      <b/>
      <i/>
      <sz val="9"/>
      <color rgb="FFFF0000"/>
      <name val="Arial"/>
      <family val="2"/>
      <charset val="204"/>
    </font>
    <font>
      <i/>
      <sz val="9"/>
      <name val="Arial"/>
      <family val="2"/>
      <charset val="204"/>
    </font>
    <font>
      <i/>
      <vertAlign val="superscript"/>
      <sz val="9"/>
      <name val="Arial"/>
      <family val="2"/>
      <charset val="204"/>
    </font>
    <font>
      <sz val="9"/>
      <color theme="1"/>
      <name val="Arial"/>
      <family val="2"/>
    </font>
    <font>
      <sz val="11"/>
      <color theme="1"/>
      <name val="Calibri"/>
      <family val="2"/>
      <scheme val="minor"/>
    </font>
    <font>
      <b/>
      <sz val="9"/>
      <color rgb="FFFF0000"/>
      <name val="Arial"/>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14"/>
    <xf numFmtId="9" fontId="18" fillId="0" borderId="0" applyFont="0" applyFill="0" applyBorder="0" applyAlignment="0" applyProtection="0"/>
  </cellStyleXfs>
  <cellXfs count="157">
    <xf numFmtId="0" fontId="0" fillId="0" borderId="0" xfId="0"/>
    <xf numFmtId="0" fontId="5" fillId="0" borderId="0" xfId="0" applyFont="1" applyAlignment="1" applyProtection="1"/>
    <xf numFmtId="0" fontId="6" fillId="0" borderId="0" xfId="0" applyFont="1" applyAlignment="1">
      <alignment vertical="center" wrapText="1"/>
    </xf>
    <xf numFmtId="0" fontId="7" fillId="0" borderId="0" xfId="0" applyFont="1" applyProtection="1"/>
    <xf numFmtId="0" fontId="6" fillId="0" borderId="0" xfId="0" applyFont="1" applyAlignment="1" applyProtection="1">
      <alignment wrapText="1"/>
    </xf>
    <xf numFmtId="0" fontId="7" fillId="0" borderId="0" xfId="0" applyFont="1" applyAlignment="1" applyProtection="1">
      <alignment wrapText="1"/>
    </xf>
    <xf numFmtId="0" fontId="9" fillId="0" borderId="3" xfId="0" applyFont="1" applyBorder="1" applyAlignment="1" applyProtection="1">
      <alignment vertical="center" wrapText="1"/>
      <protection locked="0"/>
    </xf>
    <xf numFmtId="3" fontId="8" fillId="0" borderId="13" xfId="0" applyNumberFormat="1" applyFont="1" applyFill="1" applyBorder="1" applyAlignment="1" applyProtection="1">
      <alignment wrapText="1"/>
      <protection locked="0"/>
    </xf>
    <xf numFmtId="165" fontId="7" fillId="0" borderId="0" xfId="0" applyNumberFormat="1" applyFont="1" applyProtection="1">
      <protection locked="0"/>
    </xf>
    <xf numFmtId="0" fontId="7" fillId="0" borderId="0" xfId="0" applyFont="1" applyProtection="1">
      <protection locked="0"/>
    </xf>
    <xf numFmtId="0" fontId="7" fillId="0" borderId="4" xfId="0" applyFont="1" applyBorder="1" applyAlignment="1">
      <alignment vertical="center" wrapText="1"/>
    </xf>
    <xf numFmtId="3" fontId="2" fillId="0" borderId="0" xfId="0" applyNumberFormat="1" applyFont="1" applyFill="1" applyBorder="1" applyAlignment="1">
      <alignment vertical="center" wrapText="1"/>
    </xf>
    <xf numFmtId="0" fontId="7" fillId="0" borderId="0" xfId="0" applyFont="1"/>
    <xf numFmtId="164" fontId="7" fillId="0" borderId="0" xfId="0" applyNumberFormat="1" applyFont="1"/>
    <xf numFmtId="0" fontId="7" fillId="0" borderId="4" xfId="0" applyFont="1" applyFill="1" applyBorder="1" applyAlignment="1">
      <alignment vertical="center" wrapText="1"/>
    </xf>
    <xf numFmtId="3" fontId="2" fillId="0" borderId="0" xfId="0" applyNumberFormat="1" applyFont="1" applyFill="1" applyBorder="1" applyAlignment="1">
      <alignment horizontal="right" vertical="center" wrapText="1"/>
    </xf>
    <xf numFmtId="164" fontId="2" fillId="0" borderId="0" xfId="0" applyNumberFormat="1" applyFont="1" applyFill="1" applyBorder="1" applyAlignment="1">
      <alignment vertical="center" wrapText="1"/>
    </xf>
    <xf numFmtId="3" fontId="2" fillId="0" borderId="0" xfId="1" applyNumberFormat="1" applyFont="1" applyFill="1" applyBorder="1" applyAlignment="1">
      <alignment horizontal="right" vertical="center"/>
    </xf>
    <xf numFmtId="164" fontId="7" fillId="0" borderId="0" xfId="0" applyNumberFormat="1" applyFont="1" applyAlignment="1">
      <alignment horizontal="right" wrapText="1"/>
    </xf>
    <xf numFmtId="0" fontId="2" fillId="0" borderId="0" xfId="0" applyFont="1" applyFill="1" applyBorder="1" applyAlignment="1">
      <alignment horizontal="right" vertical="center" wrapText="1"/>
    </xf>
    <xf numFmtId="164" fontId="7" fillId="0" borderId="0" xfId="0" applyNumberFormat="1" applyFont="1" applyFill="1"/>
    <xf numFmtId="0" fontId="7" fillId="0" borderId="0" xfId="0" applyFont="1" applyFill="1"/>
    <xf numFmtId="164" fontId="7" fillId="0" borderId="0" xfId="0" applyNumberFormat="1" applyFont="1" applyBorder="1"/>
    <xf numFmtId="0" fontId="7" fillId="0" borderId="5" xfId="0" applyFont="1" applyBorder="1" applyAlignment="1">
      <alignment vertical="center" wrapText="1"/>
    </xf>
    <xf numFmtId="3" fontId="2" fillId="0" borderId="9" xfId="0" applyNumberFormat="1" applyFont="1" applyFill="1" applyBorder="1" applyAlignment="1">
      <alignment horizontal="right" vertical="center" wrapText="1"/>
    </xf>
    <xf numFmtId="3" fontId="2"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165" fontId="2" fillId="0" borderId="1" xfId="0" applyNumberFormat="1" applyFont="1" applyFill="1" applyBorder="1" applyAlignment="1">
      <alignment vertical="center" wrapText="1"/>
    </xf>
    <xf numFmtId="3" fontId="7" fillId="0" borderId="0" xfId="0" applyNumberFormat="1" applyFont="1" applyFill="1"/>
    <xf numFmtId="165" fontId="7" fillId="0" borderId="0" xfId="0" applyNumberFormat="1" applyFont="1" applyFill="1"/>
    <xf numFmtId="49" fontId="7" fillId="0" borderId="0" xfId="0" applyNumberFormat="1" applyFont="1" applyAlignment="1">
      <alignment wrapText="1"/>
    </xf>
    <xf numFmtId="0" fontId="10" fillId="0" borderId="0" xfId="0" applyFont="1" applyAlignment="1"/>
    <xf numFmtId="0" fontId="5" fillId="0" borderId="0" xfId="0" applyFont="1" applyAlignment="1"/>
    <xf numFmtId="0" fontId="7" fillId="0" borderId="0" xfId="0" applyFont="1" applyAlignment="1">
      <alignment wrapText="1"/>
    </xf>
    <xf numFmtId="0" fontId="9" fillId="0" borderId="0" xfId="0" applyFont="1" applyAlignment="1"/>
    <xf numFmtId="0" fontId="10" fillId="0" borderId="0" xfId="0" applyFont="1" applyFill="1" applyBorder="1" applyAlignment="1">
      <alignment vertical="center" wrapText="1"/>
    </xf>
    <xf numFmtId="0" fontId="10" fillId="0" borderId="0" xfId="0" applyFont="1"/>
    <xf numFmtId="165" fontId="7" fillId="0" borderId="0" xfId="0" applyNumberFormat="1" applyFont="1"/>
    <xf numFmtId="0" fontId="3" fillId="0" borderId="0" xfId="0" applyFont="1" applyBorder="1" applyAlignment="1" applyProtection="1">
      <alignment horizontal="left" wrapText="1"/>
    </xf>
    <xf numFmtId="0" fontId="3" fillId="0" borderId="1" xfId="0" applyFont="1" applyBorder="1" applyAlignment="1" applyProtection="1">
      <alignment horizontal="left" wrapText="1"/>
    </xf>
    <xf numFmtId="0" fontId="5" fillId="0" borderId="0" xfId="0" applyFont="1" applyBorder="1" applyAlignment="1">
      <alignment vertical="center" wrapText="1"/>
    </xf>
    <xf numFmtId="0" fontId="9" fillId="0" borderId="0" xfId="0" applyFont="1" applyBorder="1" applyAlignment="1">
      <alignment vertical="center" wrapText="1"/>
    </xf>
    <xf numFmtId="3" fontId="9" fillId="0" borderId="10" xfId="0" applyNumberFormat="1" applyFont="1" applyFill="1" applyBorder="1" applyAlignment="1">
      <alignment vertical="center" wrapText="1"/>
    </xf>
    <xf numFmtId="0" fontId="7" fillId="0" borderId="0" xfId="0" applyFont="1" applyBorder="1" applyAlignment="1">
      <alignment vertical="center" wrapText="1"/>
    </xf>
    <xf numFmtId="3" fontId="7" fillId="0" borderId="12" xfId="0" applyNumberFormat="1" applyFont="1" applyFill="1" applyBorder="1" applyAlignment="1">
      <alignment vertical="center" wrapText="1"/>
    </xf>
    <xf numFmtId="0" fontId="7" fillId="0" borderId="0" xfId="0" applyFont="1" applyBorder="1"/>
    <xf numFmtId="0" fontId="7" fillId="0" borderId="0" xfId="0" applyFont="1" applyFill="1" applyBorder="1" applyAlignment="1">
      <alignment vertical="center" wrapText="1"/>
    </xf>
    <xf numFmtId="0" fontId="2" fillId="0" borderId="0" xfId="0" applyFont="1" applyBorder="1" applyAlignment="1">
      <alignment vertical="center" wrapText="1"/>
    </xf>
    <xf numFmtId="0" fontId="7" fillId="0" borderId="5" xfId="0" applyFont="1" applyFill="1" applyBorder="1" applyAlignment="1">
      <alignment vertical="center" wrapText="1"/>
    </xf>
    <xf numFmtId="3" fontId="7" fillId="0" borderId="11" xfId="0" applyNumberFormat="1" applyFont="1" applyFill="1" applyBorder="1" applyAlignment="1">
      <alignment vertical="center" wrapText="1"/>
    </xf>
    <xf numFmtId="0" fontId="9"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vertical="center" wrapText="1"/>
    </xf>
    <xf numFmtId="3" fontId="7" fillId="0"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0" fontId="2" fillId="0" borderId="4" xfId="0" applyFont="1" applyBorder="1" applyAlignment="1">
      <alignment vertical="center" wrapText="1"/>
    </xf>
    <xf numFmtId="0" fontId="7" fillId="0" borderId="0" xfId="0" applyFont="1" applyBorder="1" applyAlignment="1">
      <alignment wrapText="1"/>
    </xf>
    <xf numFmtId="0" fontId="7" fillId="0" borderId="4" xfId="0" applyFont="1" applyBorder="1" applyAlignment="1">
      <alignment wrapText="1"/>
    </xf>
    <xf numFmtId="3" fontId="7" fillId="0" borderId="0" xfId="0" applyNumberFormat="1" applyFont="1"/>
    <xf numFmtId="0" fontId="15" fillId="0" borderId="0" xfId="0" applyFont="1" applyAlignment="1">
      <alignment horizontal="left" vertical="top" wrapText="1"/>
    </xf>
    <xf numFmtId="3" fontId="2" fillId="0" borderId="0" xfId="0" applyNumberFormat="1" applyFont="1" applyFill="1" applyAlignment="1">
      <alignment horizontal="right" vertical="center"/>
    </xf>
    <xf numFmtId="164" fontId="8" fillId="0" borderId="0" xfId="0" applyNumberFormat="1" applyFont="1" applyFill="1" applyBorder="1" applyAlignment="1" applyProtection="1">
      <alignment vertical="center" wrapText="1"/>
      <protection locked="0"/>
    </xf>
    <xf numFmtId="0" fontId="2" fillId="0" borderId="0" xfId="0" applyFont="1" applyFill="1" applyBorder="1" applyAlignment="1">
      <alignment vertical="center" wrapText="1"/>
    </xf>
    <xf numFmtId="3" fontId="8" fillId="0" borderId="0" xfId="0" applyNumberFormat="1" applyFont="1" applyFill="1" applyAlignment="1" applyProtection="1">
      <protection locked="0"/>
    </xf>
    <xf numFmtId="165" fontId="8" fillId="0" borderId="0" xfId="0" applyNumberFormat="1" applyFont="1" applyFill="1" applyBorder="1" applyAlignment="1" applyProtection="1">
      <alignment vertical="center" wrapText="1"/>
      <protection locked="0"/>
    </xf>
    <xf numFmtId="165" fontId="2" fillId="0" borderId="0" xfId="0" applyNumberFormat="1" applyFont="1" applyFill="1" applyBorder="1" applyAlignment="1">
      <alignment vertical="center" wrapText="1"/>
    </xf>
    <xf numFmtId="2" fontId="2"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3" fontId="2" fillId="0" borderId="12" xfId="0" applyNumberFormat="1" applyFont="1" applyFill="1" applyBorder="1" applyAlignment="1">
      <alignment vertical="center" wrapText="1"/>
    </xf>
    <xf numFmtId="164" fontId="9" fillId="0" borderId="0" xfId="0" applyNumberFormat="1" applyFont="1" applyFill="1" applyBorder="1"/>
    <xf numFmtId="0" fontId="7" fillId="0" borderId="0" xfId="0" applyFont="1" applyFill="1" applyBorder="1"/>
    <xf numFmtId="164" fontId="7" fillId="0" borderId="0" xfId="0" applyNumberFormat="1" applyFont="1" applyFill="1" applyBorder="1" applyAlignment="1">
      <alignment vertical="center"/>
    </xf>
    <xf numFmtId="164" fontId="7" fillId="0" borderId="9" xfId="0" applyNumberFormat="1" applyFont="1" applyFill="1" applyBorder="1" applyAlignment="1">
      <alignment vertical="center"/>
    </xf>
    <xf numFmtId="3" fontId="7" fillId="0" borderId="0" xfId="0" applyNumberFormat="1" applyFont="1" applyFill="1" applyBorder="1" applyAlignment="1">
      <alignment horizontal="right" vertical="center" wrapText="1"/>
    </xf>
    <xf numFmtId="0" fontId="7" fillId="0" borderId="0" xfId="0" applyFont="1" applyFill="1" applyAlignment="1">
      <alignment horizontal="right" vertical="center" wrapText="1"/>
    </xf>
    <xf numFmtId="165" fontId="7" fillId="0" borderId="0"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17" fillId="0" borderId="5" xfId="0" applyFont="1" applyBorder="1" applyAlignment="1">
      <alignment wrapText="1"/>
    </xf>
    <xf numFmtId="165" fontId="7" fillId="0" borderId="0" xfId="0" applyNumberFormat="1" applyFont="1" applyBorder="1"/>
    <xf numFmtId="1" fontId="7" fillId="0" borderId="0" xfId="0" applyNumberFormat="1" applyFont="1" applyAlignment="1">
      <alignment horizontal="right" wrapText="1"/>
    </xf>
    <xf numFmtId="1" fontId="7" fillId="0" borderId="0" xfId="0" applyNumberFormat="1" applyFont="1" applyBorder="1" applyAlignment="1">
      <alignment horizontal="right" wrapText="1"/>
    </xf>
    <xf numFmtId="164" fontId="7" fillId="0" borderId="0" xfId="0" applyNumberFormat="1" applyFont="1" applyAlignment="1">
      <alignment horizontal="center"/>
    </xf>
    <xf numFmtId="1" fontId="2" fillId="0" borderId="0" xfId="0" applyNumberFormat="1" applyFont="1" applyAlignment="1">
      <alignment horizontal="center"/>
    </xf>
    <xf numFmtId="1" fontId="7" fillId="0" borderId="0" xfId="0" applyNumberFormat="1" applyFont="1" applyAlignment="1">
      <alignment horizontal="center" wrapText="1"/>
    </xf>
    <xf numFmtId="1" fontId="2" fillId="0" borderId="0" xfId="0" applyNumberFormat="1" applyFont="1" applyFill="1" applyAlignment="1">
      <alignment horizontal="center"/>
    </xf>
    <xf numFmtId="1" fontId="2" fillId="2" borderId="0" xfId="1" applyNumberFormat="1" applyFont="1" applyFill="1" applyBorder="1" applyAlignment="1">
      <alignment horizontal="center" wrapText="1"/>
    </xf>
    <xf numFmtId="0" fontId="2" fillId="2" borderId="0" xfId="1" applyNumberFormat="1" applyFont="1" applyFill="1" applyBorder="1" applyAlignment="1">
      <alignment horizontal="center"/>
    </xf>
    <xf numFmtId="0" fontId="10" fillId="0" borderId="0" xfId="0" applyFont="1" applyFill="1"/>
    <xf numFmtId="0" fontId="7" fillId="0" borderId="4" xfId="0" applyFont="1" applyBorder="1" applyAlignment="1">
      <alignment horizontal="left" vertical="center" wrapText="1" indent="2"/>
    </xf>
    <xf numFmtId="3" fontId="8" fillId="0" borderId="0" xfId="0" applyNumberFormat="1" applyFont="1" applyFill="1" applyAlignment="1" applyProtection="1">
      <alignment horizontal="right" vertical="center"/>
      <protection locked="0"/>
    </xf>
    <xf numFmtId="3" fontId="8" fillId="0" borderId="13" xfId="0" applyNumberFormat="1" applyFont="1" applyFill="1" applyBorder="1" applyAlignment="1" applyProtection="1">
      <alignment vertical="center" wrapText="1"/>
      <protection locked="0"/>
    </xf>
    <xf numFmtId="3" fontId="8" fillId="0" borderId="0" xfId="0" applyNumberFormat="1" applyFont="1" applyFill="1" applyBorder="1" applyAlignment="1" applyProtection="1">
      <alignment vertical="center" wrapText="1"/>
      <protection locked="0"/>
    </xf>
    <xf numFmtId="3" fontId="8" fillId="0" borderId="0" xfId="0" applyNumberFormat="1" applyFont="1" applyFill="1" applyAlignment="1" applyProtection="1">
      <alignment vertical="center"/>
      <protection locked="0"/>
    </xf>
    <xf numFmtId="3" fontId="2" fillId="0" borderId="0" xfId="1" applyNumberFormat="1" applyFont="1" applyFill="1" applyBorder="1" applyAlignment="1">
      <alignment vertical="center"/>
    </xf>
    <xf numFmtId="0" fontId="7" fillId="0" borderId="0" xfId="0" applyFont="1" applyFill="1" applyBorder="1" applyAlignment="1">
      <alignment horizontal="right" vertical="center" wrapText="1"/>
    </xf>
    <xf numFmtId="166" fontId="6" fillId="0" borderId="0" xfId="2" applyNumberFormat="1" applyFont="1" applyFill="1" applyAlignment="1">
      <alignment horizontal="center" wrapText="1"/>
    </xf>
    <xf numFmtId="0" fontId="7" fillId="0" borderId="0" xfId="0" applyFont="1" applyFill="1" applyAlignment="1" applyProtection="1">
      <alignment vertical="top"/>
      <protection locked="0"/>
    </xf>
    <xf numFmtId="0" fontId="5" fillId="0" borderId="0" xfId="0" applyFont="1" applyFill="1" applyBorder="1" applyAlignment="1">
      <alignment vertical="center" wrapText="1"/>
    </xf>
    <xf numFmtId="0" fontId="5" fillId="0" borderId="0" xfId="0" applyFont="1" applyFill="1" applyAlignment="1">
      <alignment vertical="center"/>
    </xf>
    <xf numFmtId="0" fontId="14"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65" fontId="19" fillId="0" borderId="0" xfId="0" applyNumberFormat="1" applyFont="1" applyFill="1" applyBorder="1" applyAlignment="1" applyProtection="1">
      <alignment vertical="center" wrapText="1"/>
      <protection locked="0"/>
    </xf>
    <xf numFmtId="2" fontId="7" fillId="0" borderId="0" xfId="0" applyNumberFormat="1" applyFont="1" applyFill="1"/>
    <xf numFmtId="0" fontId="6" fillId="0" borderId="0" xfId="0" applyFont="1" applyFill="1"/>
    <xf numFmtId="165" fontId="6" fillId="0" borderId="0" xfId="0" applyNumberFormat="1" applyFont="1" applyFill="1"/>
    <xf numFmtId="166" fontId="6" fillId="0" borderId="0" xfId="2" applyNumberFormat="1" applyFont="1" applyFill="1"/>
    <xf numFmtId="10" fontId="6" fillId="0" borderId="0" xfId="2" applyNumberFormat="1" applyFont="1" applyFill="1"/>
    <xf numFmtId="165" fontId="6" fillId="0" borderId="0" xfId="0" applyNumberFormat="1" applyFont="1" applyFill="1" applyProtection="1">
      <protection locked="0"/>
    </xf>
    <xf numFmtId="165" fontId="6" fillId="0" borderId="0" xfId="0" applyNumberFormat="1" applyFont="1" applyFill="1" applyAlignment="1">
      <alignment vertical="center" wrapText="1"/>
    </xf>
    <xf numFmtId="164" fontId="6" fillId="0" borderId="0" xfId="0" applyNumberFormat="1" applyFont="1" applyFill="1" applyProtection="1">
      <protection locked="0"/>
    </xf>
    <xf numFmtId="0" fontId="7" fillId="0" borderId="0" xfId="0" applyFont="1" applyFill="1" applyProtection="1">
      <protection locked="0"/>
    </xf>
    <xf numFmtId="165" fontId="7" fillId="0" borderId="0" xfId="0" applyNumberFormat="1" applyFont="1" applyFill="1" applyProtection="1">
      <protection locked="0"/>
    </xf>
    <xf numFmtId="0" fontId="6" fillId="0" borderId="0" xfId="0" applyFont="1" applyFill="1" applyAlignment="1">
      <alignment vertical="center" wrapText="1"/>
    </xf>
    <xf numFmtId="0" fontId="2" fillId="0" borderId="0" xfId="1" applyNumberFormat="1" applyFont="1" applyFill="1" applyBorder="1" applyAlignment="1">
      <alignment horizontal="center" wrapText="1"/>
    </xf>
    <xf numFmtId="164" fontId="7" fillId="0" borderId="0" xfId="0" applyNumberFormat="1" applyFont="1" applyFill="1" applyAlignment="1">
      <alignment horizontal="center"/>
    </xf>
    <xf numFmtId="1" fontId="6" fillId="0" borderId="0" xfId="0" applyNumberFormat="1" applyFont="1" applyFill="1" applyBorder="1" applyAlignment="1">
      <alignment horizontal="center" wrapText="1"/>
    </xf>
    <xf numFmtId="1" fontId="7" fillId="0" borderId="0" xfId="0" applyNumberFormat="1" applyFont="1" applyFill="1" applyAlignment="1">
      <alignment horizontal="center" wrapText="1"/>
    </xf>
    <xf numFmtId="166" fontId="6" fillId="0" borderId="0" xfId="2" applyNumberFormat="1" applyFont="1" applyFill="1" applyProtection="1">
      <protection locked="0"/>
    </xf>
    <xf numFmtId="0" fontId="7" fillId="0" borderId="0" xfId="0" applyFont="1" applyFill="1" applyAlignment="1" applyProtection="1">
      <alignment horizontal="left" vertical="top" wrapText="1"/>
      <protection locked="0"/>
    </xf>
    <xf numFmtId="0" fontId="7" fillId="0" borderId="0" xfId="0" applyFont="1" applyFill="1" applyAlignment="1">
      <alignment horizontal="center"/>
    </xf>
    <xf numFmtId="0" fontId="3" fillId="0" borderId="0" xfId="0" applyFont="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Border="1" applyAlignment="1" applyProtection="1">
      <alignment horizontal="justify" vertical="center" wrapText="1"/>
    </xf>
    <xf numFmtId="0" fontId="8" fillId="0" borderId="8" xfId="0" applyFont="1" applyBorder="1" applyAlignment="1" applyProtection="1">
      <alignment horizontal="justify" vertical="center" wrapText="1"/>
    </xf>
    <xf numFmtId="0" fontId="8" fillId="0" borderId="9" xfId="0" applyFont="1" applyBorder="1" applyAlignment="1" applyProtection="1">
      <alignment horizontal="justify" vertical="center" wrapText="1"/>
    </xf>
    <xf numFmtId="0" fontId="8" fillId="0" borderId="6"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14" xfId="0" applyFont="1" applyFill="1" applyBorder="1" applyAlignment="1" applyProtection="1">
      <alignment horizontal="justify" vertical="center" wrapText="1"/>
    </xf>
    <xf numFmtId="0" fontId="8" fillId="0" borderId="14"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7" fillId="0" borderId="0" xfId="0" applyFont="1" applyFill="1" applyAlignment="1" applyProtection="1">
      <alignment horizontal="center" vertical="top"/>
      <protection locked="0"/>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5" fillId="0" borderId="0" xfId="0" applyFont="1" applyAlignment="1">
      <alignment horizontal="left" vertical="top" wrapText="1"/>
    </xf>
    <xf numFmtId="0" fontId="8"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0" xfId="0" applyFont="1" applyBorder="1" applyAlignment="1">
      <alignment horizontal="left" vertical="top" wrapText="1"/>
    </xf>
    <xf numFmtId="0" fontId="10" fillId="0" borderId="0" xfId="0" applyFont="1" applyFill="1" applyBorder="1" applyAlignment="1">
      <alignment horizontal="left" vertical="center" wrapText="1"/>
    </xf>
  </cellXfs>
  <cellStyles count="3">
    <cellStyle name="Body" xfId="1" xr:uid="{00000000-0005-0000-0000-000000000000}"/>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56"/>
  <sheetViews>
    <sheetView tabSelected="1" zoomScaleNormal="100" workbookViewId="0">
      <selection activeCell="A2" sqref="A2:I2"/>
    </sheetView>
  </sheetViews>
  <sheetFormatPr defaultColWidth="9.140625" defaultRowHeight="12" x14ac:dyDescent="0.2"/>
  <cols>
    <col min="1" max="1" width="45" style="12" customWidth="1"/>
    <col min="2" max="2" width="12" style="12" customWidth="1"/>
    <col min="3" max="3" width="7.42578125" style="12" bestFit="1" customWidth="1"/>
    <col min="4" max="4" width="7.7109375" style="12" bestFit="1" customWidth="1"/>
    <col min="5" max="5" width="10.7109375" style="12" bestFit="1" customWidth="1"/>
    <col min="6" max="6" width="7.5703125" style="12" bestFit="1" customWidth="1"/>
    <col min="7" max="7" width="13.140625" style="12" customWidth="1"/>
    <col min="8" max="8" width="8.85546875" style="12" customWidth="1"/>
    <col min="9" max="9" width="8.85546875" style="12" bestFit="1" customWidth="1"/>
    <col min="10" max="10" width="12.140625" style="12" bestFit="1" customWidth="1"/>
    <col min="11" max="11" width="7.7109375" style="33" customWidth="1"/>
    <col min="12" max="12" width="9.85546875" style="12" customWidth="1"/>
    <col min="13" max="16384" width="9.140625" style="12"/>
  </cols>
  <sheetData>
    <row r="2" spans="1:20" s="3" customFormat="1" ht="23.45" customHeight="1" x14ac:dyDescent="0.2">
      <c r="A2" s="123" t="s">
        <v>61</v>
      </c>
      <c r="B2" s="123"/>
      <c r="C2" s="123"/>
      <c r="D2" s="123"/>
      <c r="E2" s="123"/>
      <c r="F2" s="123"/>
      <c r="G2" s="123"/>
      <c r="H2" s="123"/>
      <c r="I2" s="123"/>
      <c r="J2" s="1"/>
      <c r="K2" s="2"/>
      <c r="L2" s="1"/>
      <c r="M2" s="1"/>
    </row>
    <row r="3" spans="1:20" s="3" customFormat="1" x14ac:dyDescent="0.2">
      <c r="A3" s="38"/>
      <c r="B3" s="38"/>
      <c r="C3" s="39"/>
      <c r="D3" s="39"/>
      <c r="E3" s="38"/>
      <c r="F3" s="38"/>
      <c r="G3" s="38"/>
      <c r="H3" s="39"/>
      <c r="I3" s="39"/>
      <c r="J3" s="1"/>
      <c r="K3" s="2"/>
      <c r="L3" s="1"/>
      <c r="M3" s="1"/>
    </row>
    <row r="4" spans="1:20" s="3" customFormat="1" ht="40.15" customHeight="1" x14ac:dyDescent="0.2">
      <c r="A4" s="126" t="s">
        <v>44</v>
      </c>
      <c r="B4" s="136" t="s">
        <v>43</v>
      </c>
      <c r="C4" s="129" t="s">
        <v>45</v>
      </c>
      <c r="D4" s="130"/>
      <c r="E4" s="124" t="s">
        <v>56</v>
      </c>
      <c r="F4" s="131"/>
      <c r="G4" s="132"/>
      <c r="H4" s="129" t="s">
        <v>2</v>
      </c>
      <c r="I4" s="130"/>
      <c r="K4" s="4"/>
    </row>
    <row r="5" spans="1:20" s="3" customFormat="1" x14ac:dyDescent="0.2">
      <c r="A5" s="127"/>
      <c r="B5" s="137"/>
      <c r="C5" s="133" t="s">
        <v>0</v>
      </c>
      <c r="D5" s="124" t="s">
        <v>28</v>
      </c>
      <c r="E5" s="134" t="s">
        <v>42</v>
      </c>
      <c r="F5" s="135" t="s">
        <v>3</v>
      </c>
      <c r="G5" s="135" t="s">
        <v>33</v>
      </c>
      <c r="H5" s="124" t="s">
        <v>4</v>
      </c>
      <c r="I5" s="124" t="s">
        <v>5</v>
      </c>
      <c r="K5" s="2"/>
    </row>
    <row r="6" spans="1:20" s="3" customFormat="1" ht="36.6" customHeight="1" x14ac:dyDescent="0.2">
      <c r="A6" s="128"/>
      <c r="B6" s="138"/>
      <c r="C6" s="133"/>
      <c r="D6" s="125"/>
      <c r="E6" s="134"/>
      <c r="F6" s="135"/>
      <c r="G6" s="135"/>
      <c r="H6" s="125"/>
      <c r="I6" s="125"/>
      <c r="K6" s="5"/>
    </row>
    <row r="7" spans="1:20" s="9" customFormat="1" ht="16.899999999999999" customHeight="1" x14ac:dyDescent="0.2">
      <c r="A7" s="6" t="s">
        <v>6</v>
      </c>
      <c r="B7" s="91">
        <v>629244</v>
      </c>
      <c r="C7" s="92">
        <v>610571</v>
      </c>
      <c r="D7" s="62">
        <v>100</v>
      </c>
      <c r="E7" s="93">
        <v>7650</v>
      </c>
      <c r="F7" s="94">
        <v>600814</v>
      </c>
      <c r="G7" s="94">
        <v>1910</v>
      </c>
      <c r="H7" s="65">
        <f>540760661/1000</f>
        <v>540760.66099999996</v>
      </c>
      <c r="I7" s="65">
        <f>219269144/1000</f>
        <v>219269.144</v>
      </c>
      <c r="J7" s="110"/>
      <c r="K7" s="111"/>
      <c r="L7" s="112"/>
      <c r="M7" s="113"/>
      <c r="N7" s="113"/>
      <c r="O7" s="121"/>
      <c r="P7" s="121"/>
      <c r="Q7" s="121"/>
      <c r="R7" s="121"/>
      <c r="S7" s="121"/>
      <c r="T7" s="121"/>
    </row>
    <row r="8" spans="1:20" x14ac:dyDescent="0.2">
      <c r="A8" s="90" t="s">
        <v>1</v>
      </c>
      <c r="B8" s="19"/>
      <c r="C8" s="11"/>
      <c r="D8" s="63"/>
      <c r="E8" s="11"/>
      <c r="F8" s="11"/>
      <c r="G8" s="11"/>
      <c r="H8" s="66"/>
      <c r="I8" s="66"/>
      <c r="J8" s="114"/>
      <c r="K8" s="115"/>
      <c r="L8" s="21"/>
      <c r="M8" s="20"/>
      <c r="N8" s="21"/>
      <c r="O8" s="121"/>
      <c r="P8" s="121"/>
      <c r="Q8" s="121"/>
      <c r="R8" s="121"/>
      <c r="S8" s="121"/>
      <c r="T8" s="121"/>
    </row>
    <row r="9" spans="1:20" ht="24" x14ac:dyDescent="0.2">
      <c r="A9" s="10" t="s">
        <v>7</v>
      </c>
      <c r="B9" s="61">
        <v>26180</v>
      </c>
      <c r="C9" s="11">
        <v>23797</v>
      </c>
      <c r="D9" s="16">
        <f>C9/C7*100</f>
        <v>3.8974992261342254</v>
      </c>
      <c r="E9" s="15" t="s">
        <v>8</v>
      </c>
      <c r="F9" s="11">
        <v>23661</v>
      </c>
      <c r="G9" s="11">
        <v>135</v>
      </c>
      <c r="H9" s="66">
        <f>13584915/1000</f>
        <v>13584.915000000001</v>
      </c>
      <c r="I9" s="66">
        <f>4646493/1000</f>
        <v>4646.4930000000004</v>
      </c>
      <c r="J9" s="114"/>
      <c r="K9" s="116"/>
      <c r="L9" s="117"/>
      <c r="M9" s="21"/>
      <c r="N9" s="21"/>
      <c r="O9" s="121"/>
      <c r="P9" s="121"/>
      <c r="Q9" s="121"/>
      <c r="R9" s="121"/>
      <c r="S9" s="121"/>
      <c r="T9" s="121"/>
    </row>
    <row r="10" spans="1:20" ht="22.9" customHeight="1" x14ac:dyDescent="0.2">
      <c r="A10" s="14" t="s">
        <v>9</v>
      </c>
      <c r="B10" s="15">
        <v>64887</v>
      </c>
      <c r="C10" s="11">
        <v>63416</v>
      </c>
      <c r="D10" s="16">
        <f>C10/C7*100</f>
        <v>10.386343275393035</v>
      </c>
      <c r="E10" s="15">
        <v>190</v>
      </c>
      <c r="F10" s="11">
        <v>61999</v>
      </c>
      <c r="G10" s="11">
        <v>1191</v>
      </c>
      <c r="H10" s="66">
        <f>114191290/1000</f>
        <v>114191.29</v>
      </c>
      <c r="I10" s="66">
        <f>40229899/1000</f>
        <v>40229.898999999998</v>
      </c>
      <c r="J10" s="114"/>
      <c r="K10" s="116"/>
      <c r="L10" s="117"/>
      <c r="M10" s="21"/>
      <c r="N10" s="21"/>
      <c r="O10" s="21"/>
      <c r="P10" s="21"/>
      <c r="Q10" s="21"/>
      <c r="R10" s="21"/>
      <c r="S10" s="21"/>
      <c r="T10" s="21"/>
    </row>
    <row r="11" spans="1:20" x14ac:dyDescent="0.2">
      <c r="A11" s="10" t="s">
        <v>10</v>
      </c>
      <c r="B11" s="17">
        <v>10210</v>
      </c>
      <c r="C11" s="95">
        <v>9188</v>
      </c>
      <c r="D11" s="16">
        <f>C11/C7*100</f>
        <v>1.5048208971601993</v>
      </c>
      <c r="E11" s="15" t="s">
        <v>8</v>
      </c>
      <c r="F11" s="11">
        <v>9150</v>
      </c>
      <c r="G11" s="11">
        <v>38</v>
      </c>
      <c r="H11" s="66">
        <f>13219895/1000</f>
        <v>13219.895</v>
      </c>
      <c r="I11" s="66">
        <f>2512892/1000</f>
        <v>2512.8919999999998</v>
      </c>
      <c r="J11" s="114"/>
      <c r="K11" s="118"/>
      <c r="L11" s="86"/>
      <c r="M11" s="21"/>
      <c r="N11" s="21"/>
      <c r="O11" s="21"/>
      <c r="P11" s="21"/>
      <c r="Q11" s="21"/>
      <c r="R11" s="21"/>
      <c r="S11" s="21"/>
      <c r="T11" s="21"/>
    </row>
    <row r="12" spans="1:20" ht="14.45" customHeight="1" x14ac:dyDescent="0.2">
      <c r="A12" s="10" t="s">
        <v>11</v>
      </c>
      <c r="B12" s="15">
        <v>6682</v>
      </c>
      <c r="C12" s="11">
        <v>6387</v>
      </c>
      <c r="D12" s="16">
        <f>C12/C7*100</f>
        <v>1.0460699902222674</v>
      </c>
      <c r="E12" s="11">
        <v>132</v>
      </c>
      <c r="F12" s="11">
        <v>6256</v>
      </c>
      <c r="G12" s="15" t="s">
        <v>68</v>
      </c>
      <c r="H12" s="66">
        <f>6923095/1000</f>
        <v>6923.0950000000003</v>
      </c>
      <c r="I12" s="66">
        <f>3126670/1000</f>
        <v>3126.67</v>
      </c>
      <c r="J12" s="114"/>
      <c r="K12" s="119"/>
      <c r="L12" s="86"/>
      <c r="M12" s="21"/>
      <c r="N12" s="21"/>
      <c r="O12" s="21"/>
      <c r="P12" s="21"/>
      <c r="Q12" s="21"/>
      <c r="R12" s="21"/>
      <c r="S12" s="21"/>
      <c r="T12" s="21"/>
    </row>
    <row r="13" spans="1:20" ht="36" x14ac:dyDescent="0.2">
      <c r="A13" s="10" t="s">
        <v>66</v>
      </c>
      <c r="B13" s="15">
        <v>6824</v>
      </c>
      <c r="C13" s="11">
        <v>3111</v>
      </c>
      <c r="D13" s="16">
        <f>C13/C7*100</f>
        <v>0.50952305301103396</v>
      </c>
      <c r="E13" s="11">
        <v>9</v>
      </c>
      <c r="F13" s="11">
        <v>3102</v>
      </c>
      <c r="G13" s="15" t="s">
        <v>8</v>
      </c>
      <c r="H13" s="66">
        <f>5851150/1000</f>
        <v>5851.15</v>
      </c>
      <c r="I13" s="66">
        <f>1470420/1000</f>
        <v>1470.42</v>
      </c>
      <c r="J13" s="114"/>
      <c r="K13" s="119"/>
      <c r="L13" s="86"/>
      <c r="M13" s="21"/>
      <c r="N13" s="21"/>
      <c r="O13" s="21"/>
      <c r="P13" s="21"/>
      <c r="Q13" s="21"/>
      <c r="R13" s="21"/>
      <c r="S13" s="21"/>
      <c r="T13" s="21"/>
    </row>
    <row r="14" spans="1:20" x14ac:dyDescent="0.2">
      <c r="A14" s="10" t="s">
        <v>12</v>
      </c>
      <c r="B14" s="19">
        <v>625</v>
      </c>
      <c r="C14" s="11">
        <v>619</v>
      </c>
      <c r="D14" s="16">
        <f>C14/C7*100</f>
        <v>0.10138051102983928</v>
      </c>
      <c r="E14" s="15" t="s">
        <v>8</v>
      </c>
      <c r="F14" s="11">
        <v>619</v>
      </c>
      <c r="G14" s="15" t="s">
        <v>8</v>
      </c>
      <c r="H14" s="66">
        <f>840800/1000</f>
        <v>840.8</v>
      </c>
      <c r="I14" s="66">
        <f>424350/1000</f>
        <v>424.35</v>
      </c>
      <c r="J14" s="114"/>
      <c r="K14" s="119"/>
      <c r="L14" s="86"/>
      <c r="M14" s="21"/>
      <c r="N14" s="21"/>
      <c r="O14" s="21"/>
      <c r="P14" s="21"/>
      <c r="Q14" s="21"/>
      <c r="R14" s="21"/>
      <c r="S14" s="21"/>
      <c r="T14" s="21"/>
    </row>
    <row r="15" spans="1:20" x14ac:dyDescent="0.2">
      <c r="A15" s="10" t="s">
        <v>13</v>
      </c>
      <c r="B15" s="15">
        <v>6133</v>
      </c>
      <c r="C15" s="11">
        <v>6032</v>
      </c>
      <c r="D15" s="16">
        <f>C15/C7*100</f>
        <v>0.98792769391274726</v>
      </c>
      <c r="E15" s="15" t="s">
        <v>8</v>
      </c>
      <c r="F15" s="11">
        <v>6032</v>
      </c>
      <c r="G15" s="67" t="s">
        <v>8</v>
      </c>
      <c r="H15" s="66">
        <f>4437685/1000</f>
        <v>4437.6850000000004</v>
      </c>
      <c r="I15" s="66">
        <f>1935408/1000</f>
        <v>1935.4079999999999</v>
      </c>
      <c r="J15" s="114"/>
      <c r="K15" s="119"/>
      <c r="L15" s="86"/>
      <c r="M15" s="21"/>
      <c r="N15" s="21"/>
      <c r="O15" s="21"/>
      <c r="P15" s="21"/>
      <c r="Q15" s="21"/>
      <c r="R15" s="21"/>
      <c r="S15" s="21"/>
      <c r="T15" s="21"/>
    </row>
    <row r="16" spans="1:20" s="21" customFormat="1" x14ac:dyDescent="0.2">
      <c r="A16" s="14" t="s">
        <v>14</v>
      </c>
      <c r="B16" s="15">
        <v>397018</v>
      </c>
      <c r="C16" s="11">
        <v>391807</v>
      </c>
      <c r="D16" s="16">
        <f>C16/C7*100</f>
        <v>64.170587859560968</v>
      </c>
      <c r="E16" s="11">
        <v>7301</v>
      </c>
      <c r="F16" s="11">
        <v>384059</v>
      </c>
      <c r="G16" s="11">
        <v>324</v>
      </c>
      <c r="H16" s="66">
        <f>274864912/1000</f>
        <v>274864.91200000001</v>
      </c>
      <c r="I16" s="66">
        <f>122580120/1000</f>
        <v>122580.12</v>
      </c>
      <c r="J16" s="120"/>
      <c r="K16" s="97"/>
      <c r="L16" s="86"/>
      <c r="M16" s="122"/>
      <c r="N16" s="122"/>
    </row>
    <row r="17" spans="1:20" ht="26.45" customHeight="1" x14ac:dyDescent="0.2">
      <c r="A17" s="10" t="s">
        <v>39</v>
      </c>
      <c r="B17" s="19">
        <v>83</v>
      </c>
      <c r="C17" s="11">
        <v>77</v>
      </c>
      <c r="D17" s="16">
        <f>C17/C7*100</f>
        <v>1.2611145960093093E-2</v>
      </c>
      <c r="E17" s="15" t="s">
        <v>8</v>
      </c>
      <c r="F17" s="11">
        <v>77</v>
      </c>
      <c r="G17" s="15" t="s">
        <v>8</v>
      </c>
      <c r="H17" s="66">
        <f>389250/1000</f>
        <v>389.25</v>
      </c>
      <c r="I17" s="68">
        <f>41300/1000</f>
        <v>41.3</v>
      </c>
      <c r="J17" s="114"/>
      <c r="K17" s="119"/>
      <c r="L17" s="86"/>
      <c r="M17" s="21"/>
      <c r="N17" s="21"/>
      <c r="O17" s="21"/>
      <c r="P17" s="21"/>
      <c r="Q17" s="21"/>
      <c r="R17" s="21"/>
      <c r="S17" s="21"/>
      <c r="T17" s="21"/>
    </row>
    <row r="18" spans="1:20" ht="23.45" customHeight="1" x14ac:dyDescent="0.2">
      <c r="A18" s="14" t="s">
        <v>15</v>
      </c>
      <c r="B18" s="15">
        <v>31904</v>
      </c>
      <c r="C18" s="11">
        <v>31422</v>
      </c>
      <c r="D18" s="16">
        <f>C18/C7*100</f>
        <v>5.1463302384161711</v>
      </c>
      <c r="E18" s="15" t="s">
        <v>68</v>
      </c>
      <c r="F18" s="11">
        <v>31411</v>
      </c>
      <c r="G18" s="15" t="s">
        <v>68</v>
      </c>
      <c r="H18" s="66">
        <f>60353435/1000</f>
        <v>60353.434999999998</v>
      </c>
      <c r="I18" s="66">
        <f>27392795/1000</f>
        <v>27392.794999999998</v>
      </c>
      <c r="J18" s="8"/>
      <c r="K18" s="85"/>
      <c r="L18" s="84"/>
    </row>
    <row r="19" spans="1:20" x14ac:dyDescent="0.2">
      <c r="A19" s="14" t="s">
        <v>16</v>
      </c>
      <c r="B19" s="15">
        <v>3187</v>
      </c>
      <c r="C19" s="11">
        <v>1313</v>
      </c>
      <c r="D19" s="16">
        <f>C19/C7*100</f>
        <v>0.21504460578704196</v>
      </c>
      <c r="E19" s="15" t="s">
        <v>8</v>
      </c>
      <c r="F19" s="11">
        <v>1271</v>
      </c>
      <c r="G19" s="11">
        <v>11</v>
      </c>
      <c r="H19" s="66">
        <f>2948730/1000</f>
        <v>2948.73</v>
      </c>
      <c r="I19" s="66">
        <f>566745/1000</f>
        <v>566.745</v>
      </c>
      <c r="J19" s="8"/>
      <c r="K19" s="85"/>
      <c r="L19" s="83"/>
    </row>
    <row r="20" spans="1:20" ht="25.15" customHeight="1" x14ac:dyDescent="0.2">
      <c r="A20" s="14" t="s">
        <v>17</v>
      </c>
      <c r="B20" s="15">
        <v>6353</v>
      </c>
      <c r="C20" s="11">
        <v>6386</v>
      </c>
      <c r="D20" s="16">
        <f>C20/C7*100</f>
        <v>1.0459062091059024</v>
      </c>
      <c r="E20" s="15" t="s">
        <v>8</v>
      </c>
      <c r="F20" s="11">
        <v>6386</v>
      </c>
      <c r="G20" s="15" t="s">
        <v>8</v>
      </c>
      <c r="H20" s="66">
        <f>6823650/1000</f>
        <v>6823.65</v>
      </c>
      <c r="I20" s="66">
        <f>2826575/1000</f>
        <v>2826.5749999999998</v>
      </c>
      <c r="J20" s="8"/>
      <c r="K20" s="87"/>
      <c r="L20" s="88"/>
    </row>
    <row r="21" spans="1:20" ht="36" customHeight="1" x14ac:dyDescent="0.2">
      <c r="A21" s="14" t="s">
        <v>18</v>
      </c>
      <c r="B21" s="15">
        <v>3783</v>
      </c>
      <c r="C21" s="11">
        <v>2508</v>
      </c>
      <c r="D21" s="16">
        <f>C21/C7*100</f>
        <v>0.4107630398430322</v>
      </c>
      <c r="E21" s="15">
        <v>9</v>
      </c>
      <c r="F21" s="11">
        <v>2313</v>
      </c>
      <c r="G21" s="11">
        <v>180</v>
      </c>
      <c r="H21" s="66">
        <f>3733859/1000</f>
        <v>3733.8589999999999</v>
      </c>
      <c r="I21" s="66">
        <f>969289/1000</f>
        <v>969.28899999999999</v>
      </c>
      <c r="J21" s="8"/>
      <c r="K21" s="82"/>
      <c r="L21" s="22"/>
    </row>
    <row r="22" spans="1:20" x14ac:dyDescent="0.2">
      <c r="A22" s="14" t="s">
        <v>19</v>
      </c>
      <c r="B22" s="15">
        <v>60365</v>
      </c>
      <c r="C22" s="11">
        <v>59546</v>
      </c>
      <c r="D22" s="16">
        <f>C22/C7*100</f>
        <v>9.7525103550610819</v>
      </c>
      <c r="E22" s="15" t="s">
        <v>68</v>
      </c>
      <c r="F22" s="11">
        <v>59516</v>
      </c>
      <c r="G22" s="11">
        <v>26</v>
      </c>
      <c r="H22" s="66">
        <f>28079650/1000</f>
        <v>28079.65</v>
      </c>
      <c r="I22" s="66">
        <f>8745910/1000</f>
        <v>8745.91</v>
      </c>
      <c r="J22" s="8"/>
      <c r="K22" s="81"/>
      <c r="L22" s="13"/>
    </row>
    <row r="23" spans="1:20" x14ac:dyDescent="0.2">
      <c r="A23" s="23" t="s">
        <v>20</v>
      </c>
      <c r="B23" s="24">
        <v>5010</v>
      </c>
      <c r="C23" s="25">
        <v>4962</v>
      </c>
      <c r="D23" s="26">
        <f>C23/C7*100</f>
        <v>0.81268189940236268</v>
      </c>
      <c r="E23" s="69" t="s">
        <v>8</v>
      </c>
      <c r="F23" s="25">
        <v>4962</v>
      </c>
      <c r="G23" s="69" t="s">
        <v>8</v>
      </c>
      <c r="H23" s="27">
        <f>4518345/1000</f>
        <v>4518.3450000000003</v>
      </c>
      <c r="I23" s="27">
        <f>1800278/1000</f>
        <v>1800.278</v>
      </c>
      <c r="J23" s="8"/>
      <c r="K23" s="18"/>
      <c r="L23" s="13"/>
    </row>
    <row r="24" spans="1:20" x14ac:dyDescent="0.2">
      <c r="B24" s="21"/>
      <c r="C24" s="28"/>
      <c r="D24" s="28"/>
      <c r="E24" s="28"/>
      <c r="F24" s="28"/>
      <c r="G24" s="28"/>
      <c r="H24" s="29"/>
      <c r="I24" s="29"/>
      <c r="J24" s="8"/>
      <c r="K24" s="30"/>
    </row>
    <row r="25" spans="1:20" ht="13.5" x14ac:dyDescent="0.2">
      <c r="A25" s="31" t="s">
        <v>57</v>
      </c>
      <c r="B25" s="32"/>
      <c r="C25" s="32"/>
      <c r="D25" s="32"/>
      <c r="E25" s="32"/>
      <c r="F25" s="32"/>
      <c r="G25" s="32"/>
    </row>
    <row r="26" spans="1:20" x14ac:dyDescent="0.2">
      <c r="A26" s="34" t="s">
        <v>52</v>
      </c>
      <c r="B26" s="32"/>
      <c r="C26" s="32"/>
      <c r="D26" s="32"/>
      <c r="E26" s="32"/>
      <c r="F26" s="32"/>
      <c r="G26" s="32"/>
    </row>
    <row r="27" spans="1:20" x14ac:dyDescent="0.2">
      <c r="A27" s="35" t="s">
        <v>55</v>
      </c>
    </row>
    <row r="28" spans="1:20" x14ac:dyDescent="0.2">
      <c r="A28" s="36" t="s">
        <v>53</v>
      </c>
      <c r="H28" s="37"/>
    </row>
    <row r="29" spans="1:20" x14ac:dyDescent="0.2">
      <c r="A29" s="89"/>
      <c r="B29" s="21"/>
    </row>
    <row r="31" spans="1:20" x14ac:dyDescent="0.2">
      <c r="D31" s="21"/>
      <c r="E31" s="21"/>
      <c r="F31" s="21"/>
      <c r="G31" s="21"/>
      <c r="H31" s="21"/>
      <c r="I31" s="21"/>
      <c r="J31" s="21"/>
    </row>
    <row r="32" spans="1:20" x14ac:dyDescent="0.2">
      <c r="D32" s="21"/>
      <c r="E32" s="21"/>
      <c r="F32" s="21"/>
      <c r="G32" s="21"/>
      <c r="H32" s="21"/>
      <c r="I32" s="21"/>
      <c r="J32" s="21"/>
    </row>
    <row r="33" spans="4:10" x14ac:dyDescent="0.2">
      <c r="D33" s="21"/>
      <c r="E33" s="21"/>
      <c r="F33" s="21"/>
      <c r="G33" s="21"/>
      <c r="H33" s="21"/>
      <c r="I33" s="21"/>
      <c r="J33" s="21"/>
    </row>
    <row r="34" spans="4:10" x14ac:dyDescent="0.2">
      <c r="D34" s="21"/>
      <c r="E34" s="21"/>
      <c r="F34" s="21"/>
      <c r="G34" s="21"/>
      <c r="H34" s="21"/>
      <c r="I34" s="21"/>
      <c r="J34" s="21"/>
    </row>
    <row r="35" spans="4:10" x14ac:dyDescent="0.2">
      <c r="D35" s="21"/>
      <c r="E35" s="21"/>
      <c r="F35" s="21"/>
      <c r="G35" s="21"/>
      <c r="H35" s="21"/>
      <c r="I35" s="21"/>
      <c r="J35" s="21"/>
    </row>
    <row r="36" spans="4:10" x14ac:dyDescent="0.2">
      <c r="D36" s="21"/>
      <c r="E36" s="21"/>
      <c r="F36" s="21"/>
      <c r="G36" s="21"/>
      <c r="H36" s="21"/>
      <c r="I36" s="21"/>
      <c r="J36" s="21"/>
    </row>
    <row r="37" spans="4:10" x14ac:dyDescent="0.2">
      <c r="D37" s="21"/>
      <c r="E37" s="21"/>
      <c r="F37" s="21"/>
      <c r="G37" s="21"/>
      <c r="H37" s="21"/>
      <c r="I37" s="21"/>
      <c r="J37" s="21"/>
    </row>
    <row r="38" spans="4:10" x14ac:dyDescent="0.2">
      <c r="D38" s="21"/>
      <c r="E38" s="21"/>
      <c r="F38" s="21"/>
      <c r="G38" s="21"/>
      <c r="H38" s="21"/>
      <c r="I38" s="21"/>
      <c r="J38" s="21"/>
    </row>
    <row r="39" spans="4:10" x14ac:dyDescent="0.2">
      <c r="D39" s="21"/>
      <c r="E39" s="21"/>
      <c r="F39" s="21"/>
      <c r="G39" s="21"/>
      <c r="H39" s="21"/>
      <c r="I39" s="21"/>
      <c r="J39" s="21"/>
    </row>
    <row r="40" spans="4:10" x14ac:dyDescent="0.2">
      <c r="D40" s="21"/>
      <c r="E40" s="21"/>
      <c r="F40" s="21"/>
      <c r="G40" s="21"/>
      <c r="H40" s="21"/>
      <c r="I40" s="21"/>
      <c r="J40" s="21"/>
    </row>
    <row r="41" spans="4:10" x14ac:dyDescent="0.2">
      <c r="D41" s="21"/>
      <c r="E41" s="21"/>
      <c r="F41" s="21"/>
      <c r="G41" s="21"/>
      <c r="H41" s="21"/>
      <c r="I41" s="21"/>
      <c r="J41" s="21"/>
    </row>
    <row r="42" spans="4:10" x14ac:dyDescent="0.2">
      <c r="D42" s="21"/>
      <c r="E42" s="21"/>
      <c r="F42" s="21"/>
      <c r="G42" s="21"/>
      <c r="H42" s="21"/>
      <c r="I42" s="21"/>
      <c r="J42" s="20"/>
    </row>
    <row r="43" spans="4:10" x14ac:dyDescent="0.2">
      <c r="D43" s="21"/>
      <c r="E43" s="21"/>
      <c r="F43" s="21"/>
      <c r="G43" s="21"/>
      <c r="H43" s="21"/>
      <c r="I43" s="21"/>
      <c r="J43" s="21"/>
    </row>
    <row r="44" spans="4:10" x14ac:dyDescent="0.2">
      <c r="D44" s="21"/>
      <c r="E44" s="21"/>
      <c r="F44" s="21"/>
      <c r="G44" s="21"/>
      <c r="H44" s="21"/>
      <c r="I44" s="21"/>
      <c r="J44" s="21"/>
    </row>
    <row r="45" spans="4:10" x14ac:dyDescent="0.2">
      <c r="D45" s="21"/>
      <c r="E45" s="21"/>
      <c r="F45" s="21"/>
      <c r="G45" s="21"/>
      <c r="H45" s="21"/>
      <c r="I45" s="21"/>
      <c r="J45" s="21"/>
    </row>
    <row r="46" spans="4:10" x14ac:dyDescent="0.2">
      <c r="D46" s="21"/>
      <c r="E46" s="21"/>
      <c r="F46" s="21"/>
      <c r="G46" s="21"/>
      <c r="H46" s="21"/>
      <c r="I46" s="21"/>
      <c r="J46" s="21"/>
    </row>
    <row r="47" spans="4:10" x14ac:dyDescent="0.2">
      <c r="D47" s="21"/>
      <c r="E47" s="21"/>
      <c r="F47" s="21"/>
      <c r="G47" s="21"/>
      <c r="H47" s="21"/>
      <c r="I47" s="21"/>
      <c r="J47" s="21"/>
    </row>
    <row r="48" spans="4:10" x14ac:dyDescent="0.2">
      <c r="D48" s="21"/>
      <c r="E48" s="21"/>
      <c r="F48" s="21"/>
      <c r="G48" s="21"/>
      <c r="H48" s="21"/>
      <c r="I48" s="21"/>
      <c r="J48" s="21"/>
    </row>
    <row r="49" spans="4:10" x14ac:dyDescent="0.2">
      <c r="D49" s="21"/>
      <c r="E49" s="21"/>
      <c r="F49" s="21"/>
      <c r="G49" s="21"/>
      <c r="H49" s="21"/>
      <c r="I49" s="21"/>
      <c r="J49" s="21"/>
    </row>
    <row r="50" spans="4:10" x14ac:dyDescent="0.2">
      <c r="D50" s="21"/>
      <c r="E50" s="21"/>
      <c r="F50" s="21"/>
      <c r="G50" s="21"/>
      <c r="H50" s="21"/>
      <c r="I50" s="21"/>
      <c r="J50" s="21"/>
    </row>
    <row r="51" spans="4:10" x14ac:dyDescent="0.2">
      <c r="D51" s="21"/>
      <c r="E51" s="21"/>
      <c r="F51" s="21"/>
      <c r="G51" s="21"/>
      <c r="H51" s="21"/>
      <c r="I51" s="21"/>
      <c r="J51" s="21"/>
    </row>
    <row r="52" spans="4:10" x14ac:dyDescent="0.2">
      <c r="D52" s="21"/>
      <c r="E52" s="21"/>
      <c r="F52" s="21"/>
      <c r="G52" s="21"/>
      <c r="H52" s="21"/>
      <c r="I52" s="21"/>
      <c r="J52" s="21"/>
    </row>
    <row r="53" spans="4:10" x14ac:dyDescent="0.2">
      <c r="D53" s="21"/>
      <c r="E53" s="21"/>
      <c r="F53" s="21"/>
      <c r="G53" s="21"/>
      <c r="H53" s="21"/>
      <c r="I53" s="21"/>
      <c r="J53" s="21"/>
    </row>
    <row r="54" spans="4:10" x14ac:dyDescent="0.2">
      <c r="D54" s="21"/>
      <c r="E54" s="21"/>
      <c r="F54" s="21"/>
      <c r="G54" s="21"/>
      <c r="H54" s="21"/>
      <c r="I54" s="21"/>
      <c r="J54" s="21"/>
    </row>
    <row r="55" spans="4:10" x14ac:dyDescent="0.2">
      <c r="D55" s="21"/>
      <c r="E55" s="21"/>
      <c r="F55" s="21"/>
      <c r="G55" s="21"/>
      <c r="H55" s="21"/>
      <c r="I55" s="21"/>
      <c r="J55" s="21"/>
    </row>
    <row r="56" spans="4:10" x14ac:dyDescent="0.2">
      <c r="D56" s="21"/>
      <c r="E56" s="21"/>
      <c r="F56" s="21"/>
      <c r="G56" s="21"/>
      <c r="H56" s="21"/>
      <c r="I56" s="21"/>
      <c r="J56" s="21"/>
    </row>
  </sheetData>
  <mergeCells count="15">
    <mergeCell ref="O7:T9"/>
    <mergeCell ref="M16:N16"/>
    <mergeCell ref="A2:I2"/>
    <mergeCell ref="I5:I6"/>
    <mergeCell ref="D5:D6"/>
    <mergeCell ref="A4:A6"/>
    <mergeCell ref="C4:D4"/>
    <mergeCell ref="E4:G4"/>
    <mergeCell ref="H4:I4"/>
    <mergeCell ref="C5:C6"/>
    <mergeCell ref="E5:E6"/>
    <mergeCell ref="F5:F6"/>
    <mergeCell ref="G5:G6"/>
    <mergeCell ref="H5:H6"/>
    <mergeCell ref="B4:B6"/>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58"/>
  <sheetViews>
    <sheetView zoomScaleNormal="100" workbookViewId="0">
      <selection activeCell="A2" sqref="A2:C2"/>
    </sheetView>
  </sheetViews>
  <sheetFormatPr defaultColWidth="9.140625" defaultRowHeight="12" x14ac:dyDescent="0.2"/>
  <cols>
    <col min="1" max="1" width="33.28515625" style="12" customWidth="1"/>
    <col min="2" max="2" width="13.28515625" style="12" customWidth="1"/>
    <col min="3" max="3" width="13.7109375" style="12" customWidth="1"/>
    <col min="4" max="4" width="10.140625" style="12" customWidth="1"/>
    <col min="5" max="5" width="12.5703125" style="12" customWidth="1"/>
    <col min="6" max="6" width="13.85546875" style="12" bestFit="1" customWidth="1"/>
    <col min="7" max="7" width="12.85546875" style="12" customWidth="1"/>
    <col min="8" max="16384" width="9.140625" style="12"/>
  </cols>
  <sheetData>
    <row r="2" spans="1:6" ht="30.6" customHeight="1" x14ac:dyDescent="0.2">
      <c r="A2" s="141" t="s">
        <v>63</v>
      </c>
      <c r="B2" s="141"/>
      <c r="C2" s="141"/>
      <c r="D2" s="40"/>
      <c r="E2" s="40"/>
      <c r="F2" s="40"/>
    </row>
    <row r="4" spans="1:6" x14ac:dyDescent="0.2">
      <c r="A4" s="150" t="s">
        <v>50</v>
      </c>
      <c r="B4" s="151" t="s">
        <v>43</v>
      </c>
      <c r="C4" s="144" t="s">
        <v>49</v>
      </c>
    </row>
    <row r="5" spans="1:6" x14ac:dyDescent="0.2">
      <c r="A5" s="150"/>
      <c r="B5" s="152"/>
      <c r="C5" s="154"/>
    </row>
    <row r="6" spans="1:6" ht="25.9" customHeight="1" x14ac:dyDescent="0.2">
      <c r="A6" s="150"/>
      <c r="B6" s="153"/>
      <c r="C6" s="146"/>
    </row>
    <row r="7" spans="1:6" x14ac:dyDescent="0.2">
      <c r="A7" s="41" t="s">
        <v>21</v>
      </c>
      <c r="B7" s="42">
        <v>629244</v>
      </c>
      <c r="C7" s="71">
        <f>SUM(C9:C24)</f>
        <v>99.999999999999957</v>
      </c>
    </row>
    <row r="8" spans="1:6" x14ac:dyDescent="0.2">
      <c r="A8" s="43" t="s">
        <v>1</v>
      </c>
      <c r="B8" s="44"/>
      <c r="C8" s="72"/>
    </row>
    <row r="9" spans="1:6" x14ac:dyDescent="0.2">
      <c r="A9" s="43" t="s">
        <v>22</v>
      </c>
      <c r="B9" s="44">
        <v>585562</v>
      </c>
      <c r="C9" s="73">
        <f>B9/$B$7*100</f>
        <v>93.058018828943929</v>
      </c>
      <c r="D9" s="13"/>
    </row>
    <row r="10" spans="1:6" ht="24" x14ac:dyDescent="0.2">
      <c r="A10" s="43" t="s">
        <v>30</v>
      </c>
      <c r="B10" s="44">
        <v>10786</v>
      </c>
      <c r="C10" s="73">
        <f t="shared" ref="C10:C23" si="0">B10/$B$7*100</f>
        <v>1.714120436587397</v>
      </c>
      <c r="D10" s="13"/>
    </row>
    <row r="11" spans="1:6" x14ac:dyDescent="0.2">
      <c r="A11" s="43" t="s">
        <v>35</v>
      </c>
      <c r="B11" s="44">
        <v>7965</v>
      </c>
      <c r="C11" s="73">
        <f t="shared" si="0"/>
        <v>1.2658046799015963</v>
      </c>
      <c r="D11" s="13"/>
    </row>
    <row r="12" spans="1:6" x14ac:dyDescent="0.2">
      <c r="A12" s="43" t="s">
        <v>54</v>
      </c>
      <c r="B12" s="44">
        <v>5006</v>
      </c>
      <c r="C12" s="73">
        <f t="shared" ref="C12" si="1">B12/$B$7*100</f>
        <v>0.79555784401599372</v>
      </c>
      <c r="D12" s="13"/>
    </row>
    <row r="13" spans="1:6" x14ac:dyDescent="0.2">
      <c r="A13" s="43" t="s">
        <v>37</v>
      </c>
      <c r="B13" s="44">
        <v>4824</v>
      </c>
      <c r="C13" s="73">
        <f t="shared" si="0"/>
        <v>0.76663424681045822</v>
      </c>
      <c r="D13" s="13"/>
    </row>
    <row r="14" spans="1:6" x14ac:dyDescent="0.2">
      <c r="A14" s="46" t="s">
        <v>48</v>
      </c>
      <c r="B14" s="44">
        <v>4337</v>
      </c>
      <c r="C14" s="73">
        <f t="shared" si="0"/>
        <v>0.68923978615608572</v>
      </c>
      <c r="D14" s="13"/>
    </row>
    <row r="15" spans="1:6" ht="24" x14ac:dyDescent="0.2">
      <c r="A15" s="43" t="s">
        <v>32</v>
      </c>
      <c r="B15" s="44">
        <v>2693</v>
      </c>
      <c r="C15" s="73">
        <f t="shared" si="0"/>
        <v>0.42797388612366583</v>
      </c>
      <c r="D15" s="13"/>
    </row>
    <row r="16" spans="1:6" x14ac:dyDescent="0.2">
      <c r="A16" s="46" t="s">
        <v>69</v>
      </c>
      <c r="B16" s="70">
        <v>2138</v>
      </c>
      <c r="C16" s="73">
        <f t="shared" ref="C16" si="2">B16/$B$7*100</f>
        <v>0.33977280673315918</v>
      </c>
      <c r="D16" s="13"/>
    </row>
    <row r="17" spans="1:22" x14ac:dyDescent="0.2">
      <c r="A17" s="43" t="s">
        <v>40</v>
      </c>
      <c r="B17" s="44">
        <v>1369</v>
      </c>
      <c r="C17" s="73">
        <f t="shared" si="0"/>
        <v>0.21756266249658321</v>
      </c>
      <c r="D17" s="13"/>
    </row>
    <row r="18" spans="1:22" ht="24" x14ac:dyDescent="0.2">
      <c r="A18" s="43" t="s">
        <v>64</v>
      </c>
      <c r="B18" s="44">
        <v>1104</v>
      </c>
      <c r="C18" s="73">
        <f t="shared" ref="C18:C20" si="3">B18/$B$7*100</f>
        <v>0.17544863359841334</v>
      </c>
      <c r="D18" s="13"/>
    </row>
    <row r="19" spans="1:22" ht="24" x14ac:dyDescent="0.2">
      <c r="A19" s="43" t="s">
        <v>31</v>
      </c>
      <c r="B19" s="44">
        <v>879</v>
      </c>
      <c r="C19" s="73">
        <f t="shared" si="3"/>
        <v>0.13969143925091063</v>
      </c>
      <c r="D19" s="13"/>
    </row>
    <row r="20" spans="1:22" x14ac:dyDescent="0.2">
      <c r="A20" s="47" t="s">
        <v>29</v>
      </c>
      <c r="B20" s="44">
        <v>541</v>
      </c>
      <c r="C20" s="73">
        <f t="shared" si="3"/>
        <v>8.5976187297773204E-2</v>
      </c>
      <c r="D20" s="13"/>
    </row>
    <row r="21" spans="1:22" ht="24" x14ac:dyDescent="0.2">
      <c r="A21" s="43" t="s">
        <v>24</v>
      </c>
      <c r="B21" s="44">
        <v>528</v>
      </c>
      <c r="C21" s="73">
        <f t="shared" si="0"/>
        <v>8.3910216068806373E-2</v>
      </c>
      <c r="D21" s="13"/>
    </row>
    <row r="22" spans="1:22" ht="24" x14ac:dyDescent="0.2">
      <c r="A22" s="43" t="s">
        <v>26</v>
      </c>
      <c r="B22" s="44">
        <v>354</v>
      </c>
      <c r="C22" s="73">
        <f t="shared" si="0"/>
        <v>5.6257985773404275E-2</v>
      </c>
      <c r="D22" s="13"/>
    </row>
    <row r="23" spans="1:22" ht="24" x14ac:dyDescent="0.2">
      <c r="A23" s="46" t="s">
        <v>36</v>
      </c>
      <c r="B23" s="44">
        <v>329</v>
      </c>
      <c r="C23" s="73">
        <f t="shared" si="0"/>
        <v>5.2284964179237309E-2</v>
      </c>
      <c r="D23" s="13"/>
    </row>
    <row r="24" spans="1:22" ht="13.5" x14ac:dyDescent="0.2">
      <c r="A24" s="48" t="s">
        <v>58</v>
      </c>
      <c r="B24" s="49">
        <v>829</v>
      </c>
      <c r="C24" s="74">
        <f>B24/B7*100</f>
        <v>0.13174539606257668</v>
      </c>
      <c r="D24" s="13"/>
    </row>
    <row r="25" spans="1:22" ht="42.6" customHeight="1" x14ac:dyDescent="0.2">
      <c r="A25" s="156" t="s">
        <v>59</v>
      </c>
      <c r="B25" s="156"/>
      <c r="C25" s="156"/>
      <c r="D25" s="156"/>
      <c r="E25" s="156"/>
    </row>
    <row r="26" spans="1:22" ht="87" customHeight="1" x14ac:dyDescent="0.2">
      <c r="A26" s="155" t="s">
        <v>67</v>
      </c>
      <c r="B26" s="155"/>
      <c r="C26" s="155"/>
      <c r="D26" s="155"/>
      <c r="E26" s="155"/>
    </row>
    <row r="27" spans="1:22" ht="43.5" customHeight="1" x14ac:dyDescent="0.2">
      <c r="A27" s="140" t="s">
        <v>62</v>
      </c>
      <c r="B27" s="140"/>
      <c r="C27" s="140"/>
      <c r="D27" s="141"/>
      <c r="E27" s="141"/>
      <c r="F27" s="99"/>
      <c r="G27" s="100"/>
      <c r="H27" s="101"/>
      <c r="I27" s="100"/>
      <c r="J27" s="21"/>
      <c r="K27" s="21"/>
      <c r="L27" s="21"/>
      <c r="M27" s="21"/>
      <c r="N27" s="21"/>
      <c r="O27" s="21"/>
      <c r="P27" s="21"/>
      <c r="Q27" s="21"/>
      <c r="R27" s="21"/>
      <c r="S27" s="21"/>
      <c r="T27" s="21"/>
      <c r="U27" s="21"/>
      <c r="V27" s="21"/>
    </row>
    <row r="28" spans="1:22" ht="15" customHeight="1" x14ac:dyDescent="0.2">
      <c r="A28" s="143" t="s">
        <v>51</v>
      </c>
      <c r="B28" s="144" t="s">
        <v>46</v>
      </c>
      <c r="C28" s="145"/>
      <c r="D28" s="148" t="s">
        <v>2</v>
      </c>
      <c r="E28" s="148"/>
      <c r="F28" s="102"/>
      <c r="G28" s="21"/>
      <c r="H28" s="21"/>
      <c r="I28" s="21"/>
      <c r="J28" s="21"/>
      <c r="K28" s="21"/>
      <c r="L28" s="21"/>
      <c r="M28" s="21"/>
      <c r="N28" s="21"/>
      <c r="O28" s="21"/>
      <c r="P28" s="21"/>
      <c r="Q28" s="21"/>
      <c r="R28" s="21"/>
      <c r="S28" s="21"/>
      <c r="T28" s="21"/>
      <c r="U28" s="21"/>
      <c r="V28" s="21"/>
    </row>
    <row r="29" spans="1:22" ht="15" customHeight="1" x14ac:dyDescent="0.2">
      <c r="A29" s="143"/>
      <c r="B29" s="146"/>
      <c r="C29" s="147"/>
      <c r="D29" s="149"/>
      <c r="E29" s="149"/>
      <c r="F29" s="103"/>
      <c r="G29" s="21"/>
      <c r="H29" s="21"/>
      <c r="I29" s="21"/>
      <c r="J29" s="21"/>
      <c r="K29" s="21"/>
      <c r="L29" s="21"/>
      <c r="M29" s="21"/>
      <c r="N29" s="21"/>
      <c r="O29" s="21"/>
      <c r="P29" s="21"/>
      <c r="Q29" s="21"/>
      <c r="R29" s="21"/>
      <c r="S29" s="21"/>
      <c r="T29" s="21"/>
      <c r="U29" s="21"/>
      <c r="V29" s="21"/>
    </row>
    <row r="30" spans="1:22" ht="19.149999999999999" customHeight="1" x14ac:dyDescent="0.2">
      <c r="A30" s="143"/>
      <c r="B30" s="50" t="s">
        <v>42</v>
      </c>
      <c r="C30" s="50" t="s">
        <v>3</v>
      </c>
      <c r="D30" s="51" t="s">
        <v>4</v>
      </c>
      <c r="E30" s="52" t="s">
        <v>5</v>
      </c>
      <c r="F30" s="21"/>
      <c r="G30" s="21"/>
      <c r="H30" s="21"/>
      <c r="I30" s="21"/>
      <c r="J30" s="21"/>
      <c r="K30" s="21"/>
      <c r="L30" s="21"/>
      <c r="M30" s="21"/>
      <c r="N30" s="21"/>
      <c r="O30" s="21"/>
      <c r="P30" s="21"/>
      <c r="Q30" s="21"/>
      <c r="R30" s="21"/>
      <c r="S30" s="21"/>
      <c r="T30" s="21"/>
      <c r="U30" s="21"/>
      <c r="V30" s="21"/>
    </row>
    <row r="31" spans="1:22" ht="12" customHeight="1" x14ac:dyDescent="0.2">
      <c r="A31" s="53" t="s">
        <v>21</v>
      </c>
      <c r="B31" s="7">
        <v>7650</v>
      </c>
      <c r="C31" s="64">
        <v>600814</v>
      </c>
      <c r="D31" s="65">
        <f>540760661/1000</f>
        <v>540760.66099999996</v>
      </c>
      <c r="E31" s="65">
        <f>219269144/1000</f>
        <v>219269.144</v>
      </c>
      <c r="F31" s="104"/>
      <c r="G31" s="105"/>
      <c r="H31" s="21"/>
      <c r="I31" s="21"/>
      <c r="J31" s="21"/>
      <c r="K31" s="139"/>
      <c r="L31" s="139"/>
      <c r="M31" s="139"/>
      <c r="N31" s="139"/>
      <c r="O31" s="139"/>
      <c r="P31" s="139"/>
      <c r="Q31" s="139"/>
      <c r="R31" s="139"/>
      <c r="S31" s="139"/>
      <c r="T31" s="139"/>
      <c r="U31" s="139"/>
      <c r="V31" s="139"/>
    </row>
    <row r="32" spans="1:22" x14ac:dyDescent="0.2">
      <c r="A32" s="10" t="s">
        <v>1</v>
      </c>
      <c r="B32" s="54"/>
      <c r="C32" s="54"/>
      <c r="D32" s="55"/>
      <c r="E32" s="55"/>
      <c r="F32" s="106"/>
      <c r="G32" s="20"/>
      <c r="H32" s="21"/>
      <c r="I32" s="21"/>
      <c r="J32" s="21"/>
      <c r="K32" s="98"/>
      <c r="L32" s="98"/>
      <c r="M32" s="98"/>
      <c r="N32" s="98"/>
      <c r="O32" s="98"/>
      <c r="P32" s="98"/>
      <c r="Q32" s="21"/>
      <c r="R32" s="21"/>
      <c r="S32" s="21"/>
      <c r="T32" s="21"/>
      <c r="U32" s="21"/>
      <c r="V32" s="21"/>
    </row>
    <row r="33" spans="1:22" x14ac:dyDescent="0.2">
      <c r="A33" s="10" t="s">
        <v>22</v>
      </c>
      <c r="B33" s="54">
        <v>7366</v>
      </c>
      <c r="C33" s="54">
        <v>557521</v>
      </c>
      <c r="D33" s="55">
        <f>461346112/1000</f>
        <v>461346.11200000002</v>
      </c>
      <c r="E33" s="55">
        <f>188769228/1000</f>
        <v>188769.228</v>
      </c>
      <c r="F33" s="107"/>
      <c r="G33" s="108"/>
      <c r="H33" s="106"/>
      <c r="I33" s="21"/>
      <c r="J33" s="21"/>
      <c r="K33" s="98"/>
      <c r="L33" s="98"/>
      <c r="M33" s="98"/>
      <c r="N33" s="98"/>
      <c r="O33" s="98"/>
      <c r="P33" s="98"/>
      <c r="Q33" s="98"/>
      <c r="R33" s="98"/>
      <c r="S33" s="98"/>
      <c r="T33" s="98"/>
      <c r="U33" s="21"/>
      <c r="V33" s="21"/>
    </row>
    <row r="34" spans="1:22" ht="24" x14ac:dyDescent="0.2">
      <c r="A34" s="10" t="s">
        <v>30</v>
      </c>
      <c r="B34" s="75" t="s">
        <v>8</v>
      </c>
      <c r="C34" s="54">
        <v>10772</v>
      </c>
      <c r="D34" s="55">
        <f>11267955/1000</f>
        <v>11267.955</v>
      </c>
      <c r="E34" s="55">
        <f>5359945/1000</f>
        <v>5359.9449999999997</v>
      </c>
      <c r="F34" s="107"/>
      <c r="G34" s="108"/>
      <c r="H34" s="21"/>
      <c r="I34" s="21"/>
      <c r="J34" s="21"/>
      <c r="K34" s="21"/>
      <c r="L34" s="21"/>
      <c r="M34" s="21"/>
      <c r="N34" s="21"/>
      <c r="O34" s="21"/>
      <c r="P34" s="21"/>
      <c r="Q34" s="21"/>
      <c r="R34" s="21"/>
      <c r="S34" s="21"/>
      <c r="T34" s="21"/>
      <c r="U34" s="21"/>
      <c r="V34" s="21"/>
    </row>
    <row r="35" spans="1:22" x14ac:dyDescent="0.2">
      <c r="A35" s="10" t="s">
        <v>35</v>
      </c>
      <c r="B35" s="75" t="s">
        <v>8</v>
      </c>
      <c r="C35" s="54">
        <v>7578</v>
      </c>
      <c r="D35" s="55">
        <f>24169775/1000</f>
        <v>24169.775000000001</v>
      </c>
      <c r="E35" s="55">
        <f>10696770/1000</f>
        <v>10696.77</v>
      </c>
      <c r="F35" s="107"/>
      <c r="G35" s="108"/>
      <c r="H35" s="21"/>
      <c r="I35" s="21"/>
      <c r="J35" s="21"/>
      <c r="K35" s="21"/>
      <c r="L35" s="21"/>
      <c r="M35" s="21"/>
      <c r="N35" s="21"/>
      <c r="O35" s="21"/>
      <c r="P35" s="21"/>
      <c r="Q35" s="21"/>
      <c r="R35" s="21"/>
      <c r="S35" s="21"/>
      <c r="T35" s="21"/>
      <c r="U35" s="21"/>
      <c r="V35" s="21"/>
    </row>
    <row r="36" spans="1:22" x14ac:dyDescent="0.2">
      <c r="A36" s="10" t="s">
        <v>23</v>
      </c>
      <c r="B36" s="75">
        <v>10</v>
      </c>
      <c r="C36" s="54">
        <v>5836</v>
      </c>
      <c r="D36" s="55">
        <f>14184314/1000</f>
        <v>14184.314</v>
      </c>
      <c r="E36" s="55">
        <f>3072701/1000</f>
        <v>3072.701</v>
      </c>
      <c r="F36" s="107"/>
      <c r="G36" s="109"/>
      <c r="H36" s="106"/>
      <c r="I36" s="21"/>
      <c r="J36" s="21"/>
      <c r="K36" s="21"/>
      <c r="L36" s="21"/>
      <c r="M36" s="21"/>
      <c r="N36" s="21"/>
      <c r="O36" s="21"/>
      <c r="P36" s="21"/>
      <c r="Q36" s="21"/>
      <c r="R36" s="21"/>
      <c r="S36" s="21"/>
      <c r="T36" s="21"/>
      <c r="U36" s="21"/>
      <c r="V36" s="21"/>
    </row>
    <row r="37" spans="1:22" ht="17.25" customHeight="1" x14ac:dyDescent="0.2">
      <c r="A37" s="10" t="s">
        <v>38</v>
      </c>
      <c r="B37" s="75" t="s">
        <v>8</v>
      </c>
      <c r="C37" s="54">
        <v>4960</v>
      </c>
      <c r="D37" s="55">
        <f>4510845/1000</f>
        <v>4510.8450000000003</v>
      </c>
      <c r="E37" s="55">
        <f>1793528/1000</f>
        <v>1793.528</v>
      </c>
      <c r="F37" s="29"/>
      <c r="G37" s="21"/>
      <c r="H37" s="21"/>
      <c r="I37" s="21"/>
      <c r="J37" s="21"/>
      <c r="K37" s="21"/>
      <c r="L37" s="21"/>
      <c r="M37" s="21"/>
      <c r="N37" s="21"/>
      <c r="O37" s="21"/>
      <c r="P37" s="21"/>
      <c r="Q37" s="21"/>
      <c r="R37" s="21"/>
      <c r="S37" s="21"/>
      <c r="T37" s="21"/>
      <c r="U37" s="21"/>
      <c r="V37" s="21"/>
    </row>
    <row r="38" spans="1:22" x14ac:dyDescent="0.2">
      <c r="A38" s="10" t="s">
        <v>37</v>
      </c>
      <c r="B38" s="54">
        <v>6</v>
      </c>
      <c r="C38" s="54">
        <v>4767</v>
      </c>
      <c r="D38" s="55">
        <f>6218950/1000</f>
        <v>6218.95</v>
      </c>
      <c r="E38" s="55">
        <f>2850050/1000</f>
        <v>2850.05</v>
      </c>
      <c r="F38" s="107"/>
      <c r="G38" s="109"/>
      <c r="H38" s="21"/>
      <c r="I38" s="21"/>
      <c r="J38" s="21"/>
      <c r="K38" s="21"/>
      <c r="L38" s="21"/>
      <c r="M38" s="21"/>
      <c r="N38" s="21"/>
      <c r="O38" s="21"/>
      <c r="P38" s="21"/>
      <c r="Q38" s="21"/>
      <c r="R38" s="21"/>
      <c r="S38" s="21"/>
      <c r="T38" s="21"/>
      <c r="U38" s="21"/>
      <c r="V38" s="21"/>
    </row>
    <row r="39" spans="1:22" ht="36" x14ac:dyDescent="0.2">
      <c r="A39" s="10" t="s">
        <v>25</v>
      </c>
      <c r="B39" s="54">
        <v>21</v>
      </c>
      <c r="C39" s="54">
        <v>3637</v>
      </c>
      <c r="D39" s="55">
        <f>6345575/1000</f>
        <v>6345.5749999999998</v>
      </c>
      <c r="E39" s="55">
        <f>1319245/1000</f>
        <v>1319.2449999999999</v>
      </c>
      <c r="F39" s="29"/>
      <c r="G39" s="21"/>
      <c r="H39" s="21"/>
      <c r="I39" s="21"/>
      <c r="J39" s="21"/>
      <c r="K39" s="21"/>
      <c r="L39" s="21"/>
      <c r="M39" s="21"/>
      <c r="N39" s="21"/>
      <c r="O39" s="21"/>
      <c r="P39" s="21"/>
      <c r="Q39" s="21"/>
      <c r="R39" s="21"/>
      <c r="S39" s="21"/>
      <c r="T39" s="21"/>
      <c r="U39" s="21"/>
      <c r="V39" s="21"/>
    </row>
    <row r="40" spans="1:22" ht="24" x14ac:dyDescent="0.2">
      <c r="A40" s="10" t="s">
        <v>32</v>
      </c>
      <c r="B40" s="75">
        <v>50</v>
      </c>
      <c r="C40" s="54">
        <v>2586</v>
      </c>
      <c r="D40" s="55">
        <f>5688700/1000</f>
        <v>5688.7</v>
      </c>
      <c r="E40" s="55">
        <f>2747980/1000</f>
        <v>2747.98</v>
      </c>
      <c r="F40" s="29"/>
      <c r="G40" s="21"/>
      <c r="H40" s="21"/>
      <c r="I40" s="21"/>
      <c r="J40" s="21"/>
      <c r="K40" s="21"/>
      <c r="L40" s="21"/>
      <c r="M40" s="21"/>
      <c r="N40" s="21"/>
      <c r="O40" s="21"/>
      <c r="P40" s="21"/>
      <c r="Q40" s="21"/>
      <c r="R40" s="21"/>
      <c r="S40" s="21"/>
      <c r="T40" s="21"/>
      <c r="U40" s="21"/>
      <c r="V40" s="21"/>
    </row>
    <row r="41" spans="1:22" ht="24" x14ac:dyDescent="0.2">
      <c r="A41" s="10" t="s">
        <v>31</v>
      </c>
      <c r="B41" s="75">
        <v>197</v>
      </c>
      <c r="C41" s="54">
        <v>684</v>
      </c>
      <c r="D41" s="55">
        <f>1231660/1000</f>
        <v>1231.6600000000001</v>
      </c>
      <c r="E41" s="55">
        <f>584330/1000</f>
        <v>584.33000000000004</v>
      </c>
      <c r="F41" s="37"/>
    </row>
    <row r="42" spans="1:22" x14ac:dyDescent="0.2">
      <c r="A42" s="10" t="s">
        <v>40</v>
      </c>
      <c r="B42" s="75" t="s">
        <v>8</v>
      </c>
      <c r="C42" s="54">
        <v>588</v>
      </c>
      <c r="D42" s="55">
        <f>1189575/1000</f>
        <v>1189.575</v>
      </c>
      <c r="E42" s="55">
        <f>492622/1000</f>
        <v>492.62200000000001</v>
      </c>
      <c r="F42" s="37"/>
    </row>
    <row r="43" spans="1:22" ht="24" x14ac:dyDescent="0.2">
      <c r="A43" s="10" t="s">
        <v>24</v>
      </c>
      <c r="B43" s="75" t="s">
        <v>8</v>
      </c>
      <c r="C43" s="54">
        <v>528</v>
      </c>
      <c r="D43" s="55">
        <f>51650/1000</f>
        <v>51.65</v>
      </c>
      <c r="E43" s="55">
        <f>30725/1000</f>
        <v>30.725000000000001</v>
      </c>
      <c r="F43" s="37"/>
    </row>
    <row r="44" spans="1:22" x14ac:dyDescent="0.2">
      <c r="A44" s="56" t="s">
        <v>29</v>
      </c>
      <c r="B44" s="75" t="s">
        <v>8</v>
      </c>
      <c r="C44" s="54">
        <v>430</v>
      </c>
      <c r="D44" s="55">
        <f>1461650/1000</f>
        <v>1461.65</v>
      </c>
      <c r="E44" s="55">
        <f>587225/1000</f>
        <v>587.22500000000002</v>
      </c>
      <c r="F44" s="37"/>
    </row>
    <row r="45" spans="1:22" ht="24" x14ac:dyDescent="0.2">
      <c r="A45" s="10" t="s">
        <v>26</v>
      </c>
      <c r="B45" s="75" t="s">
        <v>8</v>
      </c>
      <c r="C45" s="54">
        <v>354</v>
      </c>
      <c r="D45" s="55">
        <f>260350/1000</f>
        <v>260.35000000000002</v>
      </c>
      <c r="E45" s="55">
        <f>130175/1000</f>
        <v>130.17500000000001</v>
      </c>
      <c r="F45" s="37"/>
    </row>
    <row r="46" spans="1:22" ht="24" x14ac:dyDescent="0.2">
      <c r="A46" s="14" t="s">
        <v>36</v>
      </c>
      <c r="B46" s="96" t="s">
        <v>8</v>
      </c>
      <c r="C46" s="54">
        <v>329</v>
      </c>
      <c r="D46" s="55">
        <f>1861700/1000</f>
        <v>1861.7</v>
      </c>
      <c r="E46" s="55">
        <f>561445/1000</f>
        <v>561.44500000000005</v>
      </c>
      <c r="F46" s="37"/>
    </row>
    <row r="47" spans="1:22" x14ac:dyDescent="0.2">
      <c r="A47" s="10" t="s">
        <v>41</v>
      </c>
      <c r="B47" s="75" t="s">
        <v>8</v>
      </c>
      <c r="C47" s="54">
        <v>81</v>
      </c>
      <c r="D47" s="55">
        <f>248250/1000</f>
        <v>248.25</v>
      </c>
      <c r="E47" s="55">
        <f>83375/1000</f>
        <v>83.375</v>
      </c>
      <c r="F47" s="37"/>
    </row>
    <row r="48" spans="1:22" ht="36" customHeight="1" x14ac:dyDescent="0.2">
      <c r="A48" s="58" t="s">
        <v>34</v>
      </c>
      <c r="B48" s="76" t="s">
        <v>8</v>
      </c>
      <c r="C48" s="76">
        <v>73</v>
      </c>
      <c r="D48" s="55">
        <f>382750/1000</f>
        <v>382.75</v>
      </c>
      <c r="E48" s="77">
        <f>37050/1000</f>
        <v>37.049999999999997</v>
      </c>
      <c r="F48" s="37"/>
      <c r="G48" s="33"/>
      <c r="H48" s="33"/>
      <c r="I48" s="33"/>
      <c r="J48" s="33"/>
      <c r="K48" s="33"/>
      <c r="L48" s="33"/>
    </row>
    <row r="49" spans="1:12" x14ac:dyDescent="0.2">
      <c r="A49" s="10" t="s">
        <v>27</v>
      </c>
      <c r="B49" s="75" t="s">
        <v>8</v>
      </c>
      <c r="C49" s="54">
        <v>71</v>
      </c>
      <c r="D49" s="55">
        <f>327400/1000</f>
        <v>327.39999999999998</v>
      </c>
      <c r="E49" s="55">
        <f>148200/1000</f>
        <v>148.19999999999999</v>
      </c>
      <c r="F49" s="37"/>
    </row>
    <row r="50" spans="1:12" x14ac:dyDescent="0.2">
      <c r="A50" s="58" t="s">
        <v>47</v>
      </c>
      <c r="B50" s="19" t="s">
        <v>8</v>
      </c>
      <c r="C50" s="19" t="s">
        <v>68</v>
      </c>
      <c r="D50" s="66">
        <f>5350/1000</f>
        <v>5.35</v>
      </c>
      <c r="E50" s="66">
        <f>500/1000</f>
        <v>0.5</v>
      </c>
      <c r="F50" s="37"/>
      <c r="G50" s="33"/>
      <c r="H50" s="33"/>
      <c r="I50" s="33"/>
      <c r="J50" s="33"/>
      <c r="K50" s="33"/>
      <c r="L50" s="33"/>
    </row>
    <row r="51" spans="1:12" s="45" customFormat="1" x14ac:dyDescent="0.2">
      <c r="A51" s="79" t="s">
        <v>65</v>
      </c>
      <c r="B51" s="78" t="s">
        <v>8</v>
      </c>
      <c r="C51" s="78" t="s">
        <v>68</v>
      </c>
      <c r="D51" s="27">
        <f>8100/1000</f>
        <v>8.1</v>
      </c>
      <c r="E51" s="27">
        <f>4050/1000</f>
        <v>4.05</v>
      </c>
      <c r="F51" s="80"/>
      <c r="G51" s="57"/>
      <c r="H51" s="57"/>
      <c r="I51" s="57"/>
      <c r="J51" s="57"/>
      <c r="K51" s="57"/>
      <c r="L51" s="57"/>
    </row>
    <row r="52" spans="1:12" x14ac:dyDescent="0.2">
      <c r="B52" s="59"/>
      <c r="C52" s="59"/>
      <c r="D52" s="59"/>
      <c r="E52" s="59"/>
      <c r="F52" s="59"/>
    </row>
    <row r="53" spans="1:12" ht="34.9" customHeight="1" x14ac:dyDescent="0.2">
      <c r="A53" s="142" t="s">
        <v>60</v>
      </c>
      <c r="B53" s="142"/>
      <c r="C53" s="142"/>
      <c r="D53" s="142"/>
      <c r="E53" s="142"/>
      <c r="F53" s="142"/>
    </row>
    <row r="54" spans="1:12" ht="20.45" customHeight="1" x14ac:dyDescent="0.2">
      <c r="A54" s="34" t="s">
        <v>52</v>
      </c>
      <c r="B54" s="60"/>
      <c r="C54" s="60"/>
      <c r="D54" s="60"/>
      <c r="E54" s="60"/>
      <c r="F54" s="60"/>
    </row>
    <row r="55" spans="1:12" x14ac:dyDescent="0.2">
      <c r="A55" s="35" t="s">
        <v>55</v>
      </c>
      <c r="B55" s="60"/>
      <c r="C55" s="60"/>
      <c r="D55" s="60"/>
      <c r="E55" s="60"/>
      <c r="F55" s="60"/>
    </row>
    <row r="56" spans="1:12" x14ac:dyDescent="0.2">
      <c r="A56" s="36" t="s">
        <v>53</v>
      </c>
      <c r="B56" s="36"/>
      <c r="C56" s="36"/>
      <c r="D56" s="36"/>
      <c r="E56" s="36"/>
      <c r="F56" s="36"/>
    </row>
    <row r="57" spans="1:12" x14ac:dyDescent="0.2">
      <c r="A57" s="89"/>
      <c r="B57" s="21"/>
    </row>
    <row r="58" spans="1:12" ht="18" customHeight="1" x14ac:dyDescent="0.2"/>
  </sheetData>
  <mergeCells count="12">
    <mergeCell ref="A4:A6"/>
    <mergeCell ref="B4:B6"/>
    <mergeCell ref="C4:C6"/>
    <mergeCell ref="A2:C2"/>
    <mergeCell ref="A26:E26"/>
    <mergeCell ref="A25:E25"/>
    <mergeCell ref="K31:V31"/>
    <mergeCell ref="A27:E27"/>
    <mergeCell ref="A53:F53"/>
    <mergeCell ref="A28:A30"/>
    <mergeCell ref="B28:C29"/>
    <mergeCell ref="D28:E29"/>
  </mergeCells>
  <pageMargins left="0.7" right="0.7" top="0.75" bottom="0.75" header="0.3" footer="0.3"/>
  <pageSetup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Contravenții_categorii</vt:lpstr>
      <vt:lpstr>Contravenții_organe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2022-04-29T10:40:12Z</dcterms:modified>
</cp:coreProperties>
</file>