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Computer\Tabele_01-08-2024\"/>
    </mc:Choice>
  </mc:AlternateContent>
  <xr:revisionPtr revIDLastSave="0" documentId="13_ncr:1_{A8BEA92F-B410-4D41-AB44-4F9F5A6F4F15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COM_EX_Luni" sheetId="1" r:id="rId1"/>
  </sheets>
  <definedNames>
    <definedName name="_xlnm._FilterDatabase" localSheetId="0" hidden="1">COM_EX_Luni!$HD$21:$HD$23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Q23" i="1" l="1"/>
  <c r="MQ22" i="1"/>
  <c r="MQ21" i="1"/>
  <c r="MQ19" i="1"/>
  <c r="MQ17" i="1"/>
  <c r="MQ16" i="1"/>
  <c r="MQ15" i="1"/>
  <c r="MQ13" i="1"/>
  <c r="MQ11" i="1"/>
  <c r="MQ10" i="1"/>
  <c r="MQ9" i="1"/>
  <c r="MQ7" i="1"/>
  <c r="MO23" i="1"/>
  <c r="MO22" i="1"/>
  <c r="MO21" i="1"/>
  <c r="MO19" i="1"/>
  <c r="MO17" i="1"/>
  <c r="MO16" i="1"/>
  <c r="MO15" i="1"/>
  <c r="MO13" i="1"/>
  <c r="MO11" i="1"/>
  <c r="MO10" i="1"/>
  <c r="MO9" i="1"/>
  <c r="MO7" i="1"/>
  <c r="MM23" i="1" l="1"/>
  <c r="MM22" i="1"/>
  <c r="MM19" i="1"/>
  <c r="MM17" i="1"/>
  <c r="MM16" i="1"/>
  <c r="MM15" i="1"/>
  <c r="MM13" i="1"/>
  <c r="MM11" i="1"/>
  <c r="MM10" i="1"/>
  <c r="MM9" i="1"/>
  <c r="MM7" i="1"/>
  <c r="MK23" i="1" l="1"/>
  <c r="MK22" i="1"/>
  <c r="MK19" i="1"/>
  <c r="MK17" i="1"/>
  <c r="MK16" i="1"/>
  <c r="MK15" i="1"/>
  <c r="MK13" i="1"/>
  <c r="MK11" i="1"/>
  <c r="MK10" i="1"/>
  <c r="MK9" i="1"/>
  <c r="MK7" i="1"/>
  <c r="MI23" i="1" l="1"/>
  <c r="MI22" i="1"/>
  <c r="MI21" i="1"/>
  <c r="MI19" i="1"/>
  <c r="MI17" i="1"/>
  <c r="MI16" i="1"/>
  <c r="MI15" i="1"/>
  <c r="MI13" i="1"/>
  <c r="MI11" i="1"/>
  <c r="MI10" i="1"/>
  <c r="MI9" i="1"/>
  <c r="MI7" i="1"/>
  <c r="MG23" i="1" l="1"/>
  <c r="MG22" i="1"/>
  <c r="MG21" i="1"/>
  <c r="MG19" i="1"/>
  <c r="MG17" i="1"/>
  <c r="MG16" i="1"/>
  <c r="MG15" i="1"/>
  <c r="MG13" i="1"/>
  <c r="MG11" i="1"/>
  <c r="MG10" i="1"/>
  <c r="MG9" i="1"/>
  <c r="MG7" i="1"/>
  <c r="ME23" i="1" l="1"/>
  <c r="ME22" i="1"/>
  <c r="ME21" i="1"/>
  <c r="ME19" i="1"/>
  <c r="ME17" i="1"/>
  <c r="ME16" i="1"/>
  <c r="ME15" i="1"/>
  <c r="ME13" i="1"/>
  <c r="ME11" i="1"/>
  <c r="ME10" i="1"/>
  <c r="ME9" i="1"/>
  <c r="ME7" i="1"/>
  <c r="MC23" i="1" l="1"/>
  <c r="MC22" i="1"/>
  <c r="MC21" i="1"/>
  <c r="MC19" i="1"/>
  <c r="MC17" i="1"/>
  <c r="MC16" i="1"/>
  <c r="MC15" i="1"/>
  <c r="MC13" i="1"/>
  <c r="MC11" i="1"/>
  <c r="MC10" i="1"/>
  <c r="MC9" i="1"/>
  <c r="MC7" i="1"/>
  <c r="MA23" i="1" l="1"/>
  <c r="LY23" i="1"/>
  <c r="LW23" i="1"/>
  <c r="LU23" i="1"/>
  <c r="LS23" i="1"/>
  <c r="MA22" i="1"/>
  <c r="LY22" i="1"/>
  <c r="LW22" i="1"/>
  <c r="LU22" i="1"/>
  <c r="LS22" i="1"/>
  <c r="MA21" i="1"/>
  <c r="LY21" i="1"/>
  <c r="LW21" i="1"/>
  <c r="LU21" i="1"/>
  <c r="LS21" i="1"/>
  <c r="MA19" i="1"/>
  <c r="LY19" i="1"/>
  <c r="LW19" i="1"/>
  <c r="LU19" i="1"/>
  <c r="LS19" i="1"/>
  <c r="MA17" i="1"/>
  <c r="LY17" i="1"/>
  <c r="LW17" i="1"/>
  <c r="LU17" i="1"/>
  <c r="LS17" i="1"/>
  <c r="MA16" i="1"/>
  <c r="LY16" i="1"/>
  <c r="LW16" i="1"/>
  <c r="LU16" i="1"/>
  <c r="LS16" i="1"/>
  <c r="MA15" i="1"/>
  <c r="LY15" i="1"/>
  <c r="LW15" i="1"/>
  <c r="LU15" i="1"/>
  <c r="LS15" i="1"/>
  <c r="MA13" i="1"/>
  <c r="LY13" i="1"/>
  <c r="LW13" i="1"/>
  <c r="LU13" i="1"/>
  <c r="LS13" i="1"/>
  <c r="MA11" i="1"/>
  <c r="LY11" i="1"/>
  <c r="LW11" i="1"/>
  <c r="LU11" i="1"/>
  <c r="LS11" i="1"/>
  <c r="MA10" i="1"/>
  <c r="LY10" i="1"/>
  <c r="LW10" i="1"/>
  <c r="LU10" i="1"/>
  <c r="LS10" i="1"/>
  <c r="MA9" i="1"/>
  <c r="LY9" i="1"/>
  <c r="LW9" i="1"/>
  <c r="LU9" i="1"/>
  <c r="LS9" i="1"/>
  <c r="MA7" i="1"/>
  <c r="LY7" i="1"/>
  <c r="LW7" i="1"/>
  <c r="LU7" i="1"/>
  <c r="LS7" i="1"/>
  <c r="LQ22" i="1" l="1"/>
  <c r="LQ19" i="1"/>
  <c r="LQ16" i="1"/>
  <c r="LQ13" i="1"/>
  <c r="LQ10" i="1"/>
  <c r="LQ7" i="1"/>
  <c r="LM22" i="1" l="1"/>
  <c r="LM21" i="1"/>
  <c r="LM19" i="1"/>
  <c r="LM15" i="1"/>
  <c r="LM13" i="1"/>
  <c r="LM10" i="1"/>
  <c r="LM7" i="1"/>
  <c r="LK22" i="1" l="1"/>
  <c r="LK21" i="1"/>
  <c r="LK19" i="1"/>
  <c r="LK15" i="1"/>
  <c r="LK13" i="1"/>
  <c r="LK10" i="1"/>
  <c r="LK7" i="1"/>
  <c r="LI22" i="1" l="1"/>
  <c r="LI21" i="1"/>
  <c r="LI19" i="1"/>
  <c r="LI15" i="1"/>
  <c r="LI13" i="1"/>
  <c r="LI10" i="1"/>
  <c r="LI7" i="1"/>
  <c r="LI23" i="1" l="1"/>
  <c r="LI11" i="1"/>
  <c r="LQ23" i="1" l="1"/>
  <c r="LQ21" i="1"/>
  <c r="LQ17" i="1"/>
  <c r="LQ15" i="1"/>
  <c r="LQ11" i="1"/>
  <c r="LQ9" i="1"/>
  <c r="LO23" i="1" l="1"/>
  <c r="LO22" i="1"/>
  <c r="LO21" i="1"/>
  <c r="LO19" i="1"/>
  <c r="LO17" i="1"/>
  <c r="LO16" i="1"/>
  <c r="LO15" i="1"/>
  <c r="LO13" i="1"/>
  <c r="LO11" i="1"/>
  <c r="LO10" i="1"/>
  <c r="LO9" i="1"/>
  <c r="LO7" i="1"/>
  <c r="LM23" i="1" l="1"/>
  <c r="LM17" i="1"/>
  <c r="LM16" i="1"/>
  <c r="LM11" i="1"/>
  <c r="LM9" i="1"/>
  <c r="LK23" i="1" l="1"/>
  <c r="LG23" i="1" l="1"/>
  <c r="LG22" i="1"/>
  <c r="LG21" i="1"/>
  <c r="LG19" i="1"/>
  <c r="LG17" i="1"/>
  <c r="LG16" i="1"/>
  <c r="LG15" i="1"/>
  <c r="LG13" i="1"/>
  <c r="LK17" i="1" l="1"/>
  <c r="LK16" i="1"/>
  <c r="LK11" i="1"/>
  <c r="LK9" i="1"/>
  <c r="LI17" i="1" l="1"/>
  <c r="LI16" i="1"/>
  <c r="LI9" i="1"/>
  <c r="LG11" i="1" l="1"/>
  <c r="LG10" i="1"/>
  <c r="LG9" i="1"/>
  <c r="LG7" i="1"/>
  <c r="LA23" i="1" l="1"/>
  <c r="LA22" i="1"/>
  <c r="LA21" i="1"/>
  <c r="LA19" i="1"/>
  <c r="LA17" i="1"/>
  <c r="LA16" i="1"/>
  <c r="LA15" i="1"/>
  <c r="LA13" i="1"/>
  <c r="LA11" i="1"/>
  <c r="LA10" i="1"/>
  <c r="LA9" i="1"/>
  <c r="LA7" i="1"/>
  <c r="KY23" i="1" l="1"/>
  <c r="KY22" i="1"/>
  <c r="KY21" i="1"/>
  <c r="KY19" i="1"/>
  <c r="KY17" i="1"/>
  <c r="KY16" i="1"/>
  <c r="KY15" i="1"/>
  <c r="KY13" i="1"/>
  <c r="KY11" i="1"/>
  <c r="KY10" i="1"/>
  <c r="KY9" i="1"/>
  <c r="KY7" i="1"/>
  <c r="KW23" i="1"/>
  <c r="KW22" i="1"/>
  <c r="KW21" i="1"/>
  <c r="KW19" i="1"/>
  <c r="KW17" i="1"/>
  <c r="KW16" i="1"/>
  <c r="KW15" i="1"/>
  <c r="KW13" i="1"/>
  <c r="KW11" i="1"/>
  <c r="KW10" i="1"/>
  <c r="KW9" i="1"/>
  <c r="KW7" i="1"/>
  <c r="KU23" i="1"/>
  <c r="KU22" i="1"/>
  <c r="KU21" i="1"/>
  <c r="KU19" i="1"/>
  <c r="KU17" i="1"/>
  <c r="KU16" i="1"/>
  <c r="KU15" i="1"/>
  <c r="KU13" i="1"/>
  <c r="KU11" i="1"/>
  <c r="KU10" i="1"/>
  <c r="KU9" i="1"/>
  <c r="KU7" i="1"/>
  <c r="LE23" i="1" l="1"/>
  <c r="LE22" i="1"/>
  <c r="LE21" i="1"/>
  <c r="LE19" i="1"/>
  <c r="LE17" i="1"/>
  <c r="LE16" i="1"/>
  <c r="LE15" i="1"/>
  <c r="LE13" i="1"/>
  <c r="LE11" i="1"/>
  <c r="LE10" i="1"/>
  <c r="LE9" i="1"/>
  <c r="LE7" i="1"/>
  <c r="LC23" i="1" l="1"/>
  <c r="LC22" i="1"/>
  <c r="LC21" i="1"/>
  <c r="LC19" i="1"/>
  <c r="LC17" i="1"/>
  <c r="LC16" i="1"/>
  <c r="LC15" i="1"/>
  <c r="LC13" i="1"/>
  <c r="LC11" i="1"/>
  <c r="LC10" i="1"/>
  <c r="LC9" i="1"/>
  <c r="LC7" i="1"/>
  <c r="KE13" i="1" l="1"/>
  <c r="KS23" i="1" l="1"/>
  <c r="KS22" i="1"/>
  <c r="KS21" i="1"/>
  <c r="KS19" i="1"/>
  <c r="KS17" i="1"/>
  <c r="KS16" i="1"/>
  <c r="KS15" i="1"/>
  <c r="KS11" i="1"/>
  <c r="KS10" i="1"/>
  <c r="KS13" i="1"/>
  <c r="KS9" i="1"/>
  <c r="KS7" i="1"/>
  <c r="KQ21" i="1" l="1"/>
  <c r="KQ19" i="1"/>
  <c r="KQ15" i="1"/>
  <c r="KQ13" i="1"/>
  <c r="KO21" i="1" l="1"/>
  <c r="KO19" i="1"/>
  <c r="KO15" i="1"/>
  <c r="KO13" i="1"/>
  <c r="KM21" i="1" l="1"/>
  <c r="KM19" i="1"/>
  <c r="KM15" i="1"/>
  <c r="KM13" i="1"/>
  <c r="KE21" i="1" l="1"/>
  <c r="KE19" i="1"/>
  <c r="KE15" i="1"/>
  <c r="KC21" i="1" l="1"/>
  <c r="KC19" i="1" l="1"/>
  <c r="KC15" i="1"/>
  <c r="KC13" i="1"/>
  <c r="KQ23" i="1" l="1"/>
  <c r="KQ22" i="1"/>
  <c r="KQ17" i="1"/>
  <c r="KQ16" i="1"/>
  <c r="KQ11" i="1"/>
  <c r="KQ10" i="1"/>
  <c r="KQ9" i="1"/>
  <c r="KQ7" i="1"/>
  <c r="KO23" i="1" l="1"/>
  <c r="KO22" i="1"/>
  <c r="KO17" i="1"/>
  <c r="KO16" i="1"/>
  <c r="KO11" i="1"/>
  <c r="KO10" i="1"/>
  <c r="KO9" i="1"/>
  <c r="KO7" i="1"/>
  <c r="KM23" i="1" l="1"/>
  <c r="KM22" i="1"/>
  <c r="KM17" i="1"/>
  <c r="KM16" i="1"/>
  <c r="KM11" i="1"/>
  <c r="KM10" i="1"/>
  <c r="KM9" i="1"/>
  <c r="KM7" i="1"/>
  <c r="KK23" i="1" l="1"/>
  <c r="KK22" i="1"/>
  <c r="KK21" i="1"/>
  <c r="KK19" i="1"/>
  <c r="KK17" i="1"/>
  <c r="KK16" i="1"/>
  <c r="KK15" i="1"/>
  <c r="KK13" i="1"/>
  <c r="KK11" i="1"/>
  <c r="KK10" i="1"/>
  <c r="KK9" i="1"/>
  <c r="KK7" i="1"/>
  <c r="KI23" i="1" l="1"/>
  <c r="KI22" i="1"/>
  <c r="KI21" i="1"/>
  <c r="KI19" i="1"/>
  <c r="KI17" i="1"/>
  <c r="KI16" i="1"/>
  <c r="KI15" i="1"/>
  <c r="KI13" i="1"/>
  <c r="KI11" i="1"/>
  <c r="KI10" i="1"/>
  <c r="KI9" i="1"/>
  <c r="KI7" i="1"/>
  <c r="KA23" i="1" l="1"/>
  <c r="KA22" i="1"/>
  <c r="KA21" i="1"/>
  <c r="KA19" i="1"/>
  <c r="KA17" i="1"/>
  <c r="KA16" i="1"/>
  <c r="KA15" i="1"/>
  <c r="KA13" i="1"/>
  <c r="JW23" i="1" l="1"/>
  <c r="JW19" i="1"/>
  <c r="JW17" i="1"/>
  <c r="JW13" i="1"/>
  <c r="KG23" i="1" l="1"/>
  <c r="KG22" i="1"/>
  <c r="KG21" i="1"/>
  <c r="KG19" i="1"/>
  <c r="KG17" i="1"/>
  <c r="KG16" i="1"/>
  <c r="KG15" i="1"/>
  <c r="KG13" i="1"/>
  <c r="KG11" i="1"/>
  <c r="KG10" i="1"/>
  <c r="KG9" i="1"/>
  <c r="KG7" i="1"/>
  <c r="KE23" i="1" l="1"/>
  <c r="KE22" i="1"/>
  <c r="KE17" i="1"/>
  <c r="KE16" i="1"/>
  <c r="KE11" i="1"/>
  <c r="KE10" i="1"/>
  <c r="KE9" i="1"/>
  <c r="KE7" i="1"/>
  <c r="KC23" i="1" l="1"/>
  <c r="KC22" i="1"/>
  <c r="KC17" i="1"/>
  <c r="KC16" i="1"/>
  <c r="KC11" i="1"/>
  <c r="KC10" i="1"/>
  <c r="KC9" i="1"/>
  <c r="KC7" i="1"/>
  <c r="KA9" i="1" l="1"/>
  <c r="KA10" i="1"/>
  <c r="KA11" i="1"/>
  <c r="JY23" i="1" l="1"/>
  <c r="JU23" i="1"/>
  <c r="JS23" i="1"/>
  <c r="JQ23" i="1"/>
  <c r="JO23" i="1"/>
  <c r="JM23" i="1"/>
  <c r="JK23" i="1"/>
  <c r="JI23" i="1"/>
  <c r="JG23" i="1"/>
  <c r="JE23" i="1"/>
  <c r="JC23" i="1"/>
  <c r="JY22" i="1"/>
  <c r="JW22" i="1"/>
  <c r="JU22" i="1"/>
  <c r="JS22" i="1"/>
  <c r="JQ22" i="1"/>
  <c r="JO22" i="1"/>
  <c r="JM22" i="1"/>
  <c r="JK22" i="1"/>
  <c r="JI22" i="1"/>
  <c r="JG22" i="1"/>
  <c r="JE22" i="1"/>
  <c r="JC22" i="1"/>
  <c r="JY21" i="1"/>
  <c r="JW21" i="1"/>
  <c r="JU21" i="1"/>
  <c r="JS21" i="1"/>
  <c r="JQ21" i="1"/>
  <c r="JO21" i="1"/>
  <c r="JM21" i="1"/>
  <c r="JK21" i="1"/>
  <c r="JI21" i="1"/>
  <c r="JG21" i="1"/>
  <c r="JE21" i="1"/>
  <c r="JC21" i="1"/>
  <c r="JY19" i="1"/>
  <c r="JU19" i="1"/>
  <c r="JS19" i="1"/>
  <c r="JQ19" i="1"/>
  <c r="JO19" i="1"/>
  <c r="JM19" i="1"/>
  <c r="JK19" i="1"/>
  <c r="JI19" i="1"/>
  <c r="JG19" i="1"/>
  <c r="JE19" i="1"/>
  <c r="JC19" i="1"/>
  <c r="JY17" i="1"/>
  <c r="JU17" i="1"/>
  <c r="JS17" i="1"/>
  <c r="JQ17" i="1"/>
  <c r="JO17" i="1"/>
  <c r="JM17" i="1"/>
  <c r="JK17" i="1"/>
  <c r="JI17" i="1"/>
  <c r="JG17" i="1"/>
  <c r="JE17" i="1"/>
  <c r="JC17" i="1"/>
  <c r="JY16" i="1"/>
  <c r="JW16" i="1"/>
  <c r="JU16" i="1"/>
  <c r="JS16" i="1"/>
  <c r="JQ16" i="1"/>
  <c r="JO16" i="1"/>
  <c r="JM16" i="1"/>
  <c r="JK16" i="1"/>
  <c r="JI16" i="1"/>
  <c r="JG16" i="1"/>
  <c r="JE16" i="1"/>
  <c r="JC16" i="1"/>
  <c r="JY15" i="1"/>
  <c r="JW15" i="1"/>
  <c r="JU15" i="1"/>
  <c r="JS15" i="1"/>
  <c r="JQ15" i="1"/>
  <c r="JO15" i="1"/>
  <c r="JM15" i="1"/>
  <c r="JK15" i="1"/>
  <c r="JI15" i="1"/>
  <c r="JG15" i="1"/>
  <c r="JE15" i="1"/>
  <c r="JC15" i="1"/>
  <c r="JY13" i="1"/>
  <c r="JU13" i="1"/>
  <c r="JS13" i="1"/>
  <c r="JQ13" i="1"/>
  <c r="JO13" i="1"/>
  <c r="JM13" i="1"/>
  <c r="JK13" i="1"/>
  <c r="JI13" i="1"/>
  <c r="JG13" i="1"/>
  <c r="JE13" i="1"/>
  <c r="JC13" i="1"/>
  <c r="JY11" i="1"/>
  <c r="JW11" i="1"/>
  <c r="JU11" i="1"/>
  <c r="JS11" i="1"/>
  <c r="JQ11" i="1"/>
  <c r="JO11" i="1"/>
  <c r="JM11" i="1"/>
  <c r="JK11" i="1"/>
  <c r="JI11" i="1"/>
  <c r="JG11" i="1"/>
  <c r="JE11" i="1"/>
  <c r="JC11" i="1"/>
  <c r="JY10" i="1"/>
  <c r="JW10" i="1"/>
  <c r="JU10" i="1"/>
  <c r="JS10" i="1"/>
  <c r="JQ10" i="1"/>
  <c r="JO10" i="1"/>
  <c r="JM10" i="1"/>
  <c r="JK10" i="1"/>
  <c r="JI10" i="1"/>
  <c r="JG10" i="1"/>
  <c r="JE10" i="1"/>
  <c r="JC10" i="1"/>
  <c r="JY9" i="1"/>
  <c r="JW9" i="1"/>
  <c r="JU9" i="1"/>
  <c r="JS9" i="1"/>
  <c r="JQ9" i="1"/>
  <c r="JO9" i="1"/>
  <c r="JM9" i="1"/>
  <c r="JK9" i="1"/>
  <c r="JI9" i="1"/>
  <c r="JG9" i="1"/>
  <c r="JE9" i="1"/>
  <c r="JC9" i="1"/>
  <c r="KA7" i="1"/>
  <c r="JY7" i="1"/>
  <c r="JW7" i="1"/>
  <c r="JU7" i="1"/>
  <c r="JS7" i="1"/>
  <c r="JQ7" i="1"/>
  <c r="JO7" i="1"/>
  <c r="JM7" i="1"/>
  <c r="JK7" i="1"/>
  <c r="JI7" i="1"/>
  <c r="JG7" i="1"/>
  <c r="JE7" i="1"/>
  <c r="JC7" i="1"/>
  <c r="JA10" i="1" l="1"/>
  <c r="IO22" i="1" l="1"/>
  <c r="IO19" i="1"/>
  <c r="IO10" i="1"/>
  <c r="IO7" i="1"/>
  <c r="JA22" i="1" l="1"/>
  <c r="JA19" i="1"/>
  <c r="JA7" i="1"/>
  <c r="JA23" i="1" l="1"/>
  <c r="JA21" i="1"/>
  <c r="JA17" i="1" l="1"/>
  <c r="JA16" i="1"/>
  <c r="JA15" i="1"/>
  <c r="JA13" i="1"/>
  <c r="JA11" i="1" l="1"/>
  <c r="JA9" i="1"/>
  <c r="IY23" i="1" l="1"/>
  <c r="IY22" i="1"/>
  <c r="IY21" i="1"/>
  <c r="IY19" i="1"/>
  <c r="IY17" i="1"/>
  <c r="IY16" i="1"/>
  <c r="IY15" i="1"/>
  <c r="IY13" i="1"/>
  <c r="IY11" i="1"/>
  <c r="IY10" i="1"/>
  <c r="IY9" i="1"/>
  <c r="IY7" i="1"/>
  <c r="IW23" i="1" l="1"/>
  <c r="IW22" i="1"/>
  <c r="IW21" i="1"/>
  <c r="IW19" i="1"/>
  <c r="IW17" i="1"/>
  <c r="IW16" i="1"/>
  <c r="IW15" i="1"/>
  <c r="IW13" i="1"/>
  <c r="IW11" i="1"/>
  <c r="IW10" i="1"/>
  <c r="IW9" i="1"/>
  <c r="IW7" i="1"/>
  <c r="IU23" i="1" l="1"/>
  <c r="IU22" i="1"/>
  <c r="IU21" i="1"/>
  <c r="IU19" i="1"/>
  <c r="IU17" i="1"/>
  <c r="IU16" i="1"/>
  <c r="IU15" i="1"/>
  <c r="IU13" i="1"/>
  <c r="IU11" i="1"/>
  <c r="IU10" i="1"/>
  <c r="IU9" i="1"/>
  <c r="IU7" i="1"/>
  <c r="IS23" i="1" l="1"/>
  <c r="IS22" i="1"/>
  <c r="IS21" i="1"/>
  <c r="IS19" i="1"/>
  <c r="IS17" i="1"/>
  <c r="IS16" i="1"/>
  <c r="IS15" i="1"/>
  <c r="IS13" i="1"/>
  <c r="IS11" i="1"/>
  <c r="IS10" i="1"/>
  <c r="IS9" i="1"/>
  <c r="IS7" i="1"/>
  <c r="IQ23" i="1" l="1"/>
  <c r="IQ22" i="1"/>
  <c r="IQ21" i="1"/>
  <c r="IQ19" i="1"/>
  <c r="IQ17" i="1"/>
  <c r="IQ16" i="1"/>
  <c r="IQ15" i="1"/>
  <c r="IQ13" i="1"/>
  <c r="IQ11" i="1"/>
  <c r="IQ10" i="1"/>
  <c r="IQ9" i="1"/>
  <c r="IQ7" i="1"/>
  <c r="IO23" i="1" l="1"/>
  <c r="IO21" i="1"/>
  <c r="IO17" i="1"/>
  <c r="IO16" i="1"/>
  <c r="IO15" i="1"/>
  <c r="IO13" i="1"/>
  <c r="IO11" i="1"/>
  <c r="IO9" i="1"/>
  <c r="IM23" i="1" l="1"/>
  <c r="IM22" i="1"/>
  <c r="IM21" i="1"/>
  <c r="IM19" i="1"/>
  <c r="IM17" i="1"/>
  <c r="IM16" i="1"/>
  <c r="IM15" i="1"/>
  <c r="IM13" i="1"/>
  <c r="IM11" i="1"/>
  <c r="IM10" i="1"/>
  <c r="IM9" i="1"/>
  <c r="IM7" i="1"/>
  <c r="IK23" i="1" l="1"/>
  <c r="IK22" i="1"/>
  <c r="IK21" i="1"/>
  <c r="IK19" i="1"/>
  <c r="IK17" i="1"/>
  <c r="IK16" i="1"/>
  <c r="IK15" i="1"/>
  <c r="IK13" i="1"/>
  <c r="IK11" i="1"/>
  <c r="IK10" i="1"/>
  <c r="IK9" i="1"/>
  <c r="IK7" i="1"/>
  <c r="II23" i="1" l="1"/>
  <c r="II22" i="1"/>
  <c r="II21" i="1"/>
  <c r="II19" i="1"/>
  <c r="II17" i="1"/>
  <c r="II16" i="1"/>
  <c r="II15" i="1"/>
  <c r="II13" i="1"/>
  <c r="II11" i="1"/>
  <c r="II10" i="1"/>
  <c r="II9" i="1"/>
  <c r="II7" i="1"/>
  <c r="IG23" i="1" l="1"/>
  <c r="IG22" i="1"/>
  <c r="IG21" i="1"/>
  <c r="IG19" i="1"/>
  <c r="IG17" i="1"/>
  <c r="IG16" i="1"/>
  <c r="IG15" i="1"/>
  <c r="IG13" i="1"/>
  <c r="IG11" i="1"/>
  <c r="IG10" i="1"/>
  <c r="IG9" i="1"/>
  <c r="IG7" i="1"/>
  <c r="IE23" i="1" l="1"/>
  <c r="IE22" i="1"/>
  <c r="IE21" i="1"/>
  <c r="IE19" i="1"/>
  <c r="IE17" i="1"/>
  <c r="IE16" i="1"/>
  <c r="IE15" i="1"/>
  <c r="IE13" i="1"/>
  <c r="IE11" i="1"/>
  <c r="IE10" i="1"/>
  <c r="IE9" i="1"/>
  <c r="IE7" i="1"/>
  <c r="IC23" i="1"/>
  <c r="IC22" i="1"/>
  <c r="IC21" i="1"/>
  <c r="IC19" i="1"/>
  <c r="IC17" i="1"/>
  <c r="IC16" i="1"/>
  <c r="IC15" i="1"/>
  <c r="IC13" i="1"/>
  <c r="IC11" i="1"/>
  <c r="IC10" i="1"/>
  <c r="IC9" i="1"/>
  <c r="IC7" i="1"/>
  <c r="HC7" i="1" l="1"/>
  <c r="HE7" i="1"/>
  <c r="HG7" i="1"/>
  <c r="HI7" i="1"/>
  <c r="HK7" i="1"/>
  <c r="HM7" i="1"/>
  <c r="HO7" i="1"/>
  <c r="HQ7" i="1"/>
  <c r="HS7" i="1"/>
  <c r="HU7" i="1"/>
  <c r="HW7" i="1"/>
  <c r="HY7" i="1"/>
  <c r="IA7" i="1"/>
  <c r="HC9" i="1"/>
  <c r="HE9" i="1"/>
  <c r="HG9" i="1"/>
  <c r="HI9" i="1"/>
  <c r="HK9" i="1"/>
  <c r="HM9" i="1"/>
  <c r="HO9" i="1"/>
  <c r="HQ9" i="1"/>
  <c r="HS9" i="1"/>
  <c r="HU9" i="1"/>
  <c r="HW9" i="1"/>
  <c r="HY9" i="1"/>
  <c r="IA9" i="1"/>
  <c r="HC10" i="1"/>
  <c r="HE10" i="1"/>
  <c r="HG10" i="1"/>
  <c r="HI10" i="1"/>
  <c r="HK10" i="1"/>
  <c r="HM10" i="1"/>
  <c r="HO10" i="1"/>
  <c r="HQ10" i="1"/>
  <c r="HS10" i="1"/>
  <c r="HU10" i="1"/>
  <c r="HW10" i="1"/>
  <c r="HY10" i="1"/>
  <c r="IA10" i="1"/>
  <c r="HC11" i="1"/>
  <c r="HE11" i="1"/>
  <c r="HG11" i="1"/>
  <c r="HI11" i="1"/>
  <c r="HK11" i="1"/>
  <c r="HM11" i="1"/>
  <c r="HO11" i="1"/>
  <c r="HQ11" i="1"/>
  <c r="HS11" i="1"/>
  <c r="HU11" i="1"/>
  <c r="HW11" i="1"/>
  <c r="HY11" i="1"/>
  <c r="IA11" i="1"/>
  <c r="HC13" i="1"/>
  <c r="HE13" i="1"/>
  <c r="HG13" i="1"/>
  <c r="HI13" i="1"/>
  <c r="HK13" i="1"/>
  <c r="HM13" i="1"/>
  <c r="HO13" i="1"/>
  <c r="HQ13" i="1"/>
  <c r="HS13" i="1"/>
  <c r="HU13" i="1"/>
  <c r="HW13" i="1"/>
  <c r="HY13" i="1"/>
  <c r="IA13" i="1"/>
  <c r="HC15" i="1"/>
  <c r="HE15" i="1"/>
  <c r="HG15" i="1"/>
  <c r="HI15" i="1"/>
  <c r="HK15" i="1"/>
  <c r="HM15" i="1"/>
  <c r="HO15" i="1"/>
  <c r="HQ15" i="1"/>
  <c r="HS15" i="1"/>
  <c r="HU15" i="1"/>
  <c r="HW15" i="1"/>
  <c r="HY15" i="1"/>
  <c r="IA15" i="1"/>
  <c r="HC16" i="1"/>
  <c r="HE16" i="1"/>
  <c r="HG16" i="1"/>
  <c r="HI16" i="1"/>
  <c r="HK16" i="1"/>
  <c r="HM16" i="1"/>
  <c r="HO16" i="1"/>
  <c r="HQ16" i="1"/>
  <c r="HS16" i="1"/>
  <c r="HU16" i="1"/>
  <c r="HW16" i="1"/>
  <c r="HY16" i="1"/>
  <c r="IA16" i="1"/>
  <c r="HC17" i="1"/>
  <c r="HE17" i="1"/>
  <c r="HG17" i="1"/>
  <c r="HI17" i="1"/>
  <c r="HK17" i="1"/>
  <c r="HM17" i="1"/>
  <c r="HO17" i="1"/>
  <c r="HQ17" i="1"/>
  <c r="HS17" i="1"/>
  <c r="HU17" i="1"/>
  <c r="HW17" i="1"/>
  <c r="HY17" i="1"/>
  <c r="IA17" i="1"/>
  <c r="HC19" i="1"/>
  <c r="HE19" i="1"/>
  <c r="HG19" i="1"/>
  <c r="HI19" i="1"/>
  <c r="HK19" i="1"/>
  <c r="HM19" i="1"/>
  <c r="HO19" i="1"/>
  <c r="HQ19" i="1"/>
  <c r="HS19" i="1"/>
  <c r="HU19" i="1"/>
  <c r="HW19" i="1"/>
  <c r="HY19" i="1"/>
  <c r="IA19" i="1"/>
  <c r="HC21" i="1"/>
  <c r="HE21" i="1"/>
  <c r="HG21" i="1"/>
  <c r="HI21" i="1"/>
  <c r="HK21" i="1"/>
  <c r="HM21" i="1"/>
  <c r="HO21" i="1"/>
  <c r="HQ21" i="1"/>
  <c r="HS21" i="1"/>
  <c r="HU21" i="1"/>
  <c r="HW21" i="1"/>
  <c r="HY21" i="1"/>
  <c r="IA21" i="1"/>
  <c r="HC22" i="1"/>
  <c r="HE22" i="1"/>
  <c r="HG22" i="1"/>
  <c r="HI22" i="1"/>
  <c r="HK22" i="1"/>
  <c r="HM22" i="1"/>
  <c r="HO22" i="1"/>
  <c r="HQ22" i="1"/>
  <c r="HS22" i="1"/>
  <c r="HU22" i="1"/>
  <c r="HW22" i="1"/>
  <c r="HY22" i="1"/>
  <c r="IA22" i="1"/>
  <c r="HC23" i="1"/>
  <c r="HE23" i="1"/>
  <c r="HG23" i="1"/>
  <c r="HI23" i="1"/>
  <c r="HK23" i="1"/>
  <c r="HM23" i="1"/>
  <c r="HO23" i="1"/>
  <c r="HQ23" i="1"/>
  <c r="HS23" i="1"/>
  <c r="HU23" i="1"/>
  <c r="HW23" i="1"/>
  <c r="HY23" i="1"/>
  <c r="IA23" i="1"/>
</calcChain>
</file>

<file path=xl/sharedStrings.xml><?xml version="1.0" encoding="utf-8"?>
<sst xmlns="http://schemas.openxmlformats.org/spreadsheetml/2006/main" count="572" uniqueCount="431">
  <si>
    <t>III</t>
  </si>
  <si>
    <t>VI</t>
  </si>
  <si>
    <t>VIII</t>
  </si>
  <si>
    <t>IX</t>
  </si>
  <si>
    <t>X</t>
  </si>
  <si>
    <t>XII</t>
  </si>
  <si>
    <t>I-XII</t>
  </si>
  <si>
    <t xml:space="preserve">II </t>
  </si>
  <si>
    <t xml:space="preserve">V </t>
  </si>
  <si>
    <t xml:space="preserve">VI </t>
  </si>
  <si>
    <t xml:space="preserve">VII </t>
  </si>
  <si>
    <t xml:space="preserve">VIII </t>
  </si>
  <si>
    <t xml:space="preserve">XI </t>
  </si>
  <si>
    <t xml:space="preserve">XII </t>
  </si>
  <si>
    <t xml:space="preserve">I-XII </t>
  </si>
  <si>
    <t xml:space="preserve">IV </t>
  </si>
  <si>
    <t xml:space="preserve">IX </t>
  </si>
  <si>
    <t xml:space="preserve">X </t>
  </si>
  <si>
    <t xml:space="preserve">I </t>
  </si>
  <si>
    <t>I. 11 /</t>
  </si>
  <si>
    <t>I. 10</t>
  </si>
  <si>
    <t>II. 11 /</t>
  </si>
  <si>
    <t>II. 10</t>
  </si>
  <si>
    <t>III. 11 /</t>
  </si>
  <si>
    <t>III. 10</t>
  </si>
  <si>
    <t>IV. 11 /</t>
  </si>
  <si>
    <t>IV. 10</t>
  </si>
  <si>
    <t>V. 11 /</t>
  </si>
  <si>
    <t>V. 10</t>
  </si>
  <si>
    <t>VI. 11 /</t>
  </si>
  <si>
    <t>VI. 10</t>
  </si>
  <si>
    <t>VII. 11 /</t>
  </si>
  <si>
    <t>VII. 10</t>
  </si>
  <si>
    <t>VIII. 11 /</t>
  </si>
  <si>
    <t>VIII. 10</t>
  </si>
  <si>
    <t>IX. 11 /</t>
  </si>
  <si>
    <t>IX. 10</t>
  </si>
  <si>
    <t>X. 11 /</t>
  </si>
  <si>
    <t>X. 10</t>
  </si>
  <si>
    <t>XI. 11 /</t>
  </si>
  <si>
    <t>XI. 10</t>
  </si>
  <si>
    <t>XII. 11 /</t>
  </si>
  <si>
    <t>XII. 10</t>
  </si>
  <si>
    <t>I-XII. 11 /</t>
  </si>
  <si>
    <t>I-XII. 10</t>
  </si>
  <si>
    <t>I. 12 /</t>
  </si>
  <si>
    <t>I. 11</t>
  </si>
  <si>
    <t>II. 12 /</t>
  </si>
  <si>
    <t>II. 11</t>
  </si>
  <si>
    <t>III. 12 /</t>
  </si>
  <si>
    <t>III. 11</t>
  </si>
  <si>
    <t>IV. 12 /</t>
  </si>
  <si>
    <t>IV. 11</t>
  </si>
  <si>
    <t>V. 12 /</t>
  </si>
  <si>
    <t>V. 11</t>
  </si>
  <si>
    <t>VI. 12 /</t>
  </si>
  <si>
    <t>VI. 11</t>
  </si>
  <si>
    <t>VII. 12 /</t>
  </si>
  <si>
    <t>VII. 11</t>
  </si>
  <si>
    <t>VIII. 12 /</t>
  </si>
  <si>
    <t>VIII. 11</t>
  </si>
  <si>
    <t>IX. 12 /</t>
  </si>
  <si>
    <t>IX. 11</t>
  </si>
  <si>
    <t>X. 12 /</t>
  </si>
  <si>
    <t>X. 11</t>
  </si>
  <si>
    <t>XI. 12 /</t>
  </si>
  <si>
    <t>XI. 11</t>
  </si>
  <si>
    <t>XII. 12 /</t>
  </si>
  <si>
    <t>XII. 11</t>
  </si>
  <si>
    <t>I-XII. 12 /</t>
  </si>
  <si>
    <t>I-XII. 11</t>
  </si>
  <si>
    <t>I. 13 /</t>
  </si>
  <si>
    <t>I. 12</t>
  </si>
  <si>
    <t>II. 13 /</t>
  </si>
  <si>
    <t>II. 12</t>
  </si>
  <si>
    <t>III. 13 /</t>
  </si>
  <si>
    <t>III. 12</t>
  </si>
  <si>
    <t>IV. 13 /</t>
  </si>
  <si>
    <t>IV. 12</t>
  </si>
  <si>
    <t>V. 13 /</t>
  </si>
  <si>
    <t>V. 12</t>
  </si>
  <si>
    <t>VI. 13 /</t>
  </si>
  <si>
    <t>VI. 12</t>
  </si>
  <si>
    <t>VII. 13 /</t>
  </si>
  <si>
    <t>VII. 12</t>
  </si>
  <si>
    <t>VIII. 13 /</t>
  </si>
  <si>
    <t>VIII. 12</t>
  </si>
  <si>
    <t>IX. 13 /</t>
  </si>
  <si>
    <t>IX. 12</t>
  </si>
  <si>
    <t>X. 13 /</t>
  </si>
  <si>
    <t>X. 12</t>
  </si>
  <si>
    <t>XI. 13 /</t>
  </si>
  <si>
    <t>XI. 12</t>
  </si>
  <si>
    <t>XII. 13 /</t>
  </si>
  <si>
    <t>XII. 12</t>
  </si>
  <si>
    <t>I-XII. 13 /</t>
  </si>
  <si>
    <t>I-XII. 12</t>
  </si>
  <si>
    <t>I. 14 /</t>
  </si>
  <si>
    <t>I. 13</t>
  </si>
  <si>
    <t>II. 14 /</t>
  </si>
  <si>
    <t>II. 13</t>
  </si>
  <si>
    <t>III. 14 /</t>
  </si>
  <si>
    <t>III. 13</t>
  </si>
  <si>
    <t>IV. 14 /</t>
  </si>
  <si>
    <t>IV. 13</t>
  </si>
  <si>
    <t>V. 14 /</t>
  </si>
  <si>
    <t>V. 13</t>
  </si>
  <si>
    <t>VI. 14 /</t>
  </si>
  <si>
    <t>VI. 13</t>
  </si>
  <si>
    <t>VII. 14 /</t>
  </si>
  <si>
    <t>VII. 13</t>
  </si>
  <si>
    <t>VIII. 14 /</t>
  </si>
  <si>
    <t>VIII. 13</t>
  </si>
  <si>
    <t>IX. 14 /</t>
  </si>
  <si>
    <t>IX. 13</t>
  </si>
  <si>
    <t>X. 14 /</t>
  </si>
  <si>
    <t>X. 13</t>
  </si>
  <si>
    <t>XI. 14 /</t>
  </si>
  <si>
    <t>XI. 13</t>
  </si>
  <si>
    <t>Exporturi - total, mil. dolari SUA</t>
  </si>
  <si>
    <r>
      <t xml:space="preserve">    </t>
    </r>
    <r>
      <rPr>
        <sz val="12"/>
        <rFont val="Times New Roman"/>
        <family val="1"/>
        <charset val="204"/>
      </rPr>
      <t>din care:</t>
    </r>
  </si>
  <si>
    <t>Importuri - total, mil. dolari SUA</t>
  </si>
  <si>
    <t>Balanţa Comercială - total, mil. dolari SUA</t>
  </si>
  <si>
    <t>Gradul de acoperire a importurilor  cu exporturi, % - total</t>
  </si>
  <si>
    <t>I</t>
  </si>
  <si>
    <t xml:space="preserve">II  </t>
  </si>
  <si>
    <t xml:space="preserve">III  </t>
  </si>
  <si>
    <t>VII</t>
  </si>
  <si>
    <r>
      <t>XII</t>
    </r>
    <r>
      <rPr>
        <b/>
        <vertAlign val="superscript"/>
        <sz val="12"/>
        <rFont val="Times New Roman"/>
        <family val="1"/>
        <charset val="204"/>
      </rPr>
      <t xml:space="preserve"> </t>
    </r>
  </si>
  <si>
    <r>
      <t>I-XII</t>
    </r>
    <r>
      <rPr>
        <b/>
        <vertAlign val="superscript"/>
        <sz val="12"/>
        <rFont val="Times New Roman"/>
        <family val="1"/>
        <charset val="204"/>
      </rPr>
      <t xml:space="preserve">  </t>
    </r>
  </si>
  <si>
    <t>XII. 14 /</t>
  </si>
  <si>
    <t>XII. 13</t>
  </si>
  <si>
    <t>I-XII. 14 /</t>
  </si>
  <si>
    <t>I-XII. 13</t>
  </si>
  <si>
    <t>I. 15 /</t>
  </si>
  <si>
    <t>I. 14</t>
  </si>
  <si>
    <t>II. 15 /</t>
  </si>
  <si>
    <t>II. 14</t>
  </si>
  <si>
    <t>III. 15 /</t>
  </si>
  <si>
    <t>III. 14</t>
  </si>
  <si>
    <t>IV. 15 /</t>
  </si>
  <si>
    <t>IV. 14</t>
  </si>
  <si>
    <t>V. 15 /</t>
  </si>
  <si>
    <t>V. 14</t>
  </si>
  <si>
    <t>VI. 15 /</t>
  </si>
  <si>
    <t>VI. 14</t>
  </si>
  <si>
    <t>VII. 15 /</t>
  </si>
  <si>
    <t>VII. 14</t>
  </si>
  <si>
    <t>VIII. 15 /</t>
  </si>
  <si>
    <t>VIII. 14</t>
  </si>
  <si>
    <t>IX. 15 /</t>
  </si>
  <si>
    <t>IX. 14</t>
  </si>
  <si>
    <t>X. 15 /</t>
  </si>
  <si>
    <t>X. 14</t>
  </si>
  <si>
    <t>XI. 15 /</t>
  </si>
  <si>
    <t>XI. 14</t>
  </si>
  <si>
    <t xml:space="preserve">III </t>
  </si>
  <si>
    <t>XI</t>
  </si>
  <si>
    <t>XII. 15 /</t>
  </si>
  <si>
    <t>XII. 14</t>
  </si>
  <si>
    <t>I-XII. 15 /</t>
  </si>
  <si>
    <t>I-XII. 14</t>
  </si>
  <si>
    <t>I. 16 /</t>
  </si>
  <si>
    <t>I. 15</t>
  </si>
  <si>
    <t>II. 16 /</t>
  </si>
  <si>
    <t>II. 15</t>
  </si>
  <si>
    <t>III. 16 /</t>
  </si>
  <si>
    <t>III. 15</t>
  </si>
  <si>
    <t>IV. 15</t>
  </si>
  <si>
    <t>IV. 16 /</t>
  </si>
  <si>
    <t>V. 16 /</t>
  </si>
  <si>
    <t>V. 15</t>
  </si>
  <si>
    <t>celelalte ţări ale lumii</t>
  </si>
  <si>
    <t>VI. 16 /</t>
  </si>
  <si>
    <t>VI. 15</t>
  </si>
  <si>
    <t>VII. 16 /</t>
  </si>
  <si>
    <t>VII. 15</t>
  </si>
  <si>
    <t>VIII. 16 /</t>
  </si>
  <si>
    <t>VIII. 15</t>
  </si>
  <si>
    <r>
      <t>IX</t>
    </r>
    <r>
      <rPr>
        <b/>
        <vertAlign val="superscript"/>
        <sz val="12"/>
        <rFont val="Times New Roman"/>
        <family val="1"/>
        <charset val="204"/>
      </rPr>
      <t xml:space="preserve"> </t>
    </r>
  </si>
  <si>
    <r>
      <t>V</t>
    </r>
    <r>
      <rPr>
        <b/>
        <vertAlign val="superscript"/>
        <sz val="12"/>
        <rFont val="Times New Roman"/>
        <family val="1"/>
        <charset val="204"/>
      </rPr>
      <t xml:space="preserve"> </t>
    </r>
  </si>
  <si>
    <r>
      <t>IV</t>
    </r>
    <r>
      <rPr>
        <b/>
        <vertAlign val="superscript"/>
        <sz val="12"/>
        <rFont val="Times New Roman"/>
        <family val="1"/>
        <charset val="204"/>
      </rPr>
      <t xml:space="preserve"> </t>
    </r>
  </si>
  <si>
    <t>IX. 16 /</t>
  </si>
  <si>
    <t>IX. 15</t>
  </si>
  <si>
    <t>X. 16 /</t>
  </si>
  <si>
    <t>X. 15</t>
  </si>
  <si>
    <t>XI. 16 /</t>
  </si>
  <si>
    <t>XI. 15</t>
  </si>
  <si>
    <t>XII. 16 /</t>
  </si>
  <si>
    <t>XII. 15</t>
  </si>
  <si>
    <t>I-XII. 16 /</t>
  </si>
  <si>
    <t>I-XII. 15</t>
  </si>
  <si>
    <t>I. 17 /</t>
  </si>
  <si>
    <t>I. 16</t>
  </si>
  <si>
    <t>II. 17 /</t>
  </si>
  <si>
    <t>II. 16</t>
  </si>
  <si>
    <t>III. 17 /</t>
  </si>
  <si>
    <t>III. 16</t>
  </si>
  <si>
    <t>II</t>
  </si>
  <si>
    <t>IV. 17 /</t>
  </si>
  <si>
    <t>IV. 16</t>
  </si>
  <si>
    <t>V. 17 /</t>
  </si>
  <si>
    <t>V. 16</t>
  </si>
  <si>
    <t>VI. 17 /</t>
  </si>
  <si>
    <t>VI. 16</t>
  </si>
  <si>
    <t>VII. 17 /</t>
  </si>
  <si>
    <t>VII. 16</t>
  </si>
  <si>
    <t>VIII. 17 /</t>
  </si>
  <si>
    <t>VIII. 16</t>
  </si>
  <si>
    <t>IX. 17 /</t>
  </si>
  <si>
    <t>IX. 16</t>
  </si>
  <si>
    <t>V</t>
  </si>
  <si>
    <t>X. 17 /</t>
  </si>
  <si>
    <t>X. 16</t>
  </si>
  <si>
    <t>XI. 17 /</t>
  </si>
  <si>
    <t>XI. 16</t>
  </si>
  <si>
    <t>XII. 17 /</t>
  </si>
  <si>
    <t>XII. 16</t>
  </si>
  <si>
    <t>I-XII. 17 /</t>
  </si>
  <si>
    <t>I-XII. 16</t>
  </si>
  <si>
    <t>I. 18 /</t>
  </si>
  <si>
    <t>I. 17</t>
  </si>
  <si>
    <t>II. 18 /</t>
  </si>
  <si>
    <t>II. 17</t>
  </si>
  <si>
    <t>III. 18 /</t>
  </si>
  <si>
    <t>III. 17</t>
  </si>
  <si>
    <t>IV. 18 /</t>
  </si>
  <si>
    <t>IV. 17</t>
  </si>
  <si>
    <t>V. 18 /</t>
  </si>
  <si>
    <t>V. 17</t>
  </si>
  <si>
    <t>VI. 18 /</t>
  </si>
  <si>
    <t>VI. 17</t>
  </si>
  <si>
    <t>VII. 18 /</t>
  </si>
  <si>
    <t>VII. 17</t>
  </si>
  <si>
    <t>VIII. 18 /</t>
  </si>
  <si>
    <t>VIII. 17</t>
  </si>
  <si>
    <t>IX. 18 /</t>
  </si>
  <si>
    <t>IX. 17</t>
  </si>
  <si>
    <t>X. 18 /</t>
  </si>
  <si>
    <t>X. 17</t>
  </si>
  <si>
    <t>XI. 18 /</t>
  </si>
  <si>
    <t>XI. 17</t>
  </si>
  <si>
    <t>XII. 18 /</t>
  </si>
  <si>
    <t>XII. 17</t>
  </si>
  <si>
    <t>I-XII. 18 /</t>
  </si>
  <si>
    <t>I-XII. 17</t>
  </si>
  <si>
    <t>I. 19 /</t>
  </si>
  <si>
    <t>I. 18</t>
  </si>
  <si>
    <t>II. 19 /</t>
  </si>
  <si>
    <t>II. 18</t>
  </si>
  <si>
    <t>III. 19 /</t>
  </si>
  <si>
    <t>III. 18</t>
  </si>
  <si>
    <t>IV. 18</t>
  </si>
  <si>
    <t>IV. 19 /</t>
  </si>
  <si>
    <t>V. 19 /</t>
  </si>
  <si>
    <t>V. 18</t>
  </si>
  <si>
    <t>VI. 19 /</t>
  </si>
  <si>
    <t>VI. 18</t>
  </si>
  <si>
    <r>
      <t>II</t>
    </r>
    <r>
      <rPr>
        <b/>
        <vertAlign val="superscript"/>
        <sz val="12"/>
        <rFont val="Times New Roman"/>
        <family val="1"/>
        <charset val="204"/>
      </rPr>
      <t xml:space="preserve"> </t>
    </r>
  </si>
  <si>
    <t>IV</t>
  </si>
  <si>
    <r>
      <t>VI</t>
    </r>
    <r>
      <rPr>
        <b/>
        <vertAlign val="superscript"/>
        <sz val="12"/>
        <rFont val="Times New Roman"/>
        <family val="1"/>
        <charset val="204"/>
      </rPr>
      <t/>
    </r>
  </si>
  <si>
    <r>
      <t xml:space="preserve">I-XII </t>
    </r>
    <r>
      <rPr>
        <b/>
        <sz val="12"/>
        <rFont val="Times New Roman"/>
        <family val="1"/>
        <charset val="204"/>
      </rPr>
      <t xml:space="preserve"> </t>
    </r>
  </si>
  <si>
    <t>VII. 19 /</t>
  </si>
  <si>
    <t>VII. 18</t>
  </si>
  <si>
    <t>VIII. 19 /</t>
  </si>
  <si>
    <t>VIII. 18</t>
  </si>
  <si>
    <t>IX. 18</t>
  </si>
  <si>
    <t>IX. 19 /</t>
  </si>
  <si>
    <t>X. 19 /</t>
  </si>
  <si>
    <t>X. 18</t>
  </si>
  <si>
    <t>XI. 19 /</t>
  </si>
  <si>
    <t>XI. 18</t>
  </si>
  <si>
    <t>XII. 19 /</t>
  </si>
  <si>
    <t>XII. 18</t>
  </si>
  <si>
    <t>I-XII. 19 /</t>
  </si>
  <si>
    <t>I-XII. 18</t>
  </si>
  <si>
    <t>I. 20 /</t>
  </si>
  <si>
    <t>I. 19</t>
  </si>
  <si>
    <t>II. 20 /</t>
  </si>
  <si>
    <t>II. 19</t>
  </si>
  <si>
    <t>III. 20 /</t>
  </si>
  <si>
    <t>III. 19</t>
  </si>
  <si>
    <t>IV. 20 /</t>
  </si>
  <si>
    <t>IV. 19</t>
  </si>
  <si>
    <t>V. 20 /</t>
  </si>
  <si>
    <t>V. 19</t>
  </si>
  <si>
    <t>VI. 20 /</t>
  </si>
  <si>
    <t>VI. 19</t>
  </si>
  <si>
    <r>
      <t>I-XII</t>
    </r>
    <r>
      <rPr>
        <b/>
        <sz val="12"/>
        <rFont val="Times New Roman"/>
        <family val="1"/>
        <charset val="204"/>
      </rPr>
      <t xml:space="preserve"> </t>
    </r>
  </si>
  <si>
    <r>
      <t>I</t>
    </r>
    <r>
      <rPr>
        <b/>
        <sz val="12"/>
        <rFont val="Times New Roman"/>
        <family val="1"/>
        <charset val="204"/>
      </rPr>
      <t xml:space="preserve"> </t>
    </r>
  </si>
  <si>
    <t>VII. 20 /</t>
  </si>
  <si>
    <t>VII. 19</t>
  </si>
  <si>
    <t>VIII. 20 /</t>
  </si>
  <si>
    <t>VIII. 19</t>
  </si>
  <si>
    <t>IX. 20 /</t>
  </si>
  <si>
    <t>IX. 19</t>
  </si>
  <si>
    <t>X. 20 /</t>
  </si>
  <si>
    <t>X. 19</t>
  </si>
  <si>
    <t>XI. 20 /</t>
  </si>
  <si>
    <t>XI. 19</t>
  </si>
  <si>
    <t>XII. 20 /</t>
  </si>
  <si>
    <t>XII. 19</t>
  </si>
  <si>
    <t>I-XII. 20 /</t>
  </si>
  <si>
    <t>I-XII. 19</t>
  </si>
  <si>
    <t>I. 21 /</t>
  </si>
  <si>
    <t>I. 20</t>
  </si>
  <si>
    <t>II. 21 /</t>
  </si>
  <si>
    <t>II. 20</t>
  </si>
  <si>
    <t>III. 21 /</t>
  </si>
  <si>
    <t>III. 20</t>
  </si>
  <si>
    <t>IV. 21 /</t>
  </si>
  <si>
    <t>IV. 20</t>
  </si>
  <si>
    <r>
      <t>V</t>
    </r>
    <r>
      <rPr>
        <b/>
        <vertAlign val="superscript"/>
        <sz val="12"/>
        <rFont val="Times New Roman"/>
        <family val="1"/>
        <charset val="204"/>
      </rPr>
      <t xml:space="preserve">  </t>
    </r>
  </si>
  <si>
    <t>V. 20</t>
  </si>
  <si>
    <t>V. 21 /</t>
  </si>
  <si>
    <r>
      <t xml:space="preserve">ţările Uniunii Europene </t>
    </r>
    <r>
      <rPr>
        <vertAlign val="superscript"/>
        <sz val="12"/>
        <rFont val="Times New Roman"/>
        <family val="1"/>
        <charset val="204"/>
      </rPr>
      <t xml:space="preserve">3),4) </t>
    </r>
  </si>
  <si>
    <r>
      <t>1. EXPORTURILE,  IMPORTURILE  ŞI BALANŢA COMERCIALĂ</t>
    </r>
    <r>
      <rPr>
        <b/>
        <sz val="14"/>
        <rFont val="Times New Roman"/>
        <family val="1"/>
        <charset val="204"/>
      </rPr>
      <t xml:space="preserve"> - SERIE LUNARĂ </t>
    </r>
  </si>
  <si>
    <t xml:space="preserve">  Note:</t>
  </si>
  <si>
    <r>
      <t xml:space="preserve">  Sursa datelor:</t>
    </r>
    <r>
      <rPr>
        <sz val="10"/>
        <rFont val="Times New Roman"/>
        <family val="1"/>
        <charset val="204"/>
      </rPr>
      <t xml:space="preserve"> Serviciul Vamal (declaraţiile vamale de export şi import ale persoanelor juridice)</t>
    </r>
  </si>
  <si>
    <r>
      <t xml:space="preserve">   </t>
    </r>
    <r>
      <rPr>
        <b/>
        <vertAlign val="superscript"/>
        <sz val="10"/>
        <rFont val="Times New Roman"/>
        <family val="1"/>
        <charset val="204"/>
      </rPr>
      <t xml:space="preserve"> r)</t>
    </r>
    <r>
      <rPr>
        <b/>
        <sz val="10"/>
        <rFont val="Times New Roman"/>
        <family val="1"/>
        <charset val="204"/>
      </rPr>
      <t xml:space="preserve"> Date revizuite</t>
    </r>
  </si>
  <si>
    <r>
      <t xml:space="preserve">      p) </t>
    </r>
    <r>
      <rPr>
        <b/>
        <sz val="10"/>
        <rFont val="Times New Roman"/>
        <family val="1"/>
        <charset val="204"/>
      </rPr>
      <t>Date provizorii</t>
    </r>
  </si>
  <si>
    <t>VI. 21 /</t>
  </si>
  <si>
    <t>VI. 20</t>
  </si>
  <si>
    <t>VII. 21 /</t>
  </si>
  <si>
    <t>VII. 20</t>
  </si>
  <si>
    <t>VIII. 21 /</t>
  </si>
  <si>
    <t>VIII. 20</t>
  </si>
  <si>
    <t>IX. 21 /</t>
  </si>
  <si>
    <t>IX. 20</t>
  </si>
  <si>
    <t>X. 21 /</t>
  </si>
  <si>
    <t>X. 20</t>
  </si>
  <si>
    <t>XI. 21 /</t>
  </si>
  <si>
    <t>XI. 20</t>
  </si>
  <si>
    <t>XII. 21 /</t>
  </si>
  <si>
    <t>XII. 20</t>
  </si>
  <si>
    <r>
      <t>I-XII</t>
    </r>
    <r>
      <rPr>
        <b/>
        <vertAlign val="superscript"/>
        <sz val="12"/>
        <rFont val="Times New Roman"/>
        <family val="1"/>
        <charset val="204"/>
      </rPr>
      <t>r</t>
    </r>
  </si>
  <si>
    <r>
      <t>III</t>
    </r>
    <r>
      <rPr>
        <b/>
        <vertAlign val="superscript"/>
        <sz val="12"/>
        <rFont val="Times New Roman"/>
        <family val="1"/>
        <charset val="204"/>
      </rPr>
      <t xml:space="preserve"> </t>
    </r>
  </si>
  <si>
    <t>I-XII. 21 /</t>
  </si>
  <si>
    <t>I-XII. 20</t>
  </si>
  <si>
    <t>I. 22 /</t>
  </si>
  <si>
    <t>I. 21</t>
  </si>
  <si>
    <t>II. 22 /</t>
  </si>
  <si>
    <t>II. 21</t>
  </si>
  <si>
    <t>III. 22 /</t>
  </si>
  <si>
    <t>III. 21</t>
  </si>
  <si>
    <t>IV. 22 /</t>
  </si>
  <si>
    <t>IV. 21</t>
  </si>
  <si>
    <t>V. 22 /</t>
  </si>
  <si>
    <t>V. 21</t>
  </si>
  <si>
    <t xml:space="preserve"> </t>
  </si>
  <si>
    <t>VI. 22 /</t>
  </si>
  <si>
    <t>VI. 21</t>
  </si>
  <si>
    <t>VII. 22 /</t>
  </si>
  <si>
    <t>VII. 21</t>
  </si>
  <si>
    <t>VIII. 22 /</t>
  </si>
  <si>
    <t>VIII. 21</t>
  </si>
  <si>
    <t>IX. 22 /</t>
  </si>
  <si>
    <t>IX. 21</t>
  </si>
  <si>
    <t>X. 22 /</t>
  </si>
  <si>
    <t>X. 21</t>
  </si>
  <si>
    <t>XI. 22 /</t>
  </si>
  <si>
    <t>XI. 21</t>
  </si>
  <si>
    <t>XII. 22 /</t>
  </si>
  <si>
    <t>XII. 21</t>
  </si>
  <si>
    <t>I-XII. 22 /</t>
  </si>
  <si>
    <t>I-XII. 21</t>
  </si>
  <si>
    <r>
      <t xml:space="preserve">   </t>
    </r>
    <r>
      <rPr>
        <vertAlign val="superscript"/>
        <sz val="10"/>
        <rFont val="Times New Roman"/>
        <family val="1"/>
        <charset val="204"/>
      </rPr>
      <t>1)</t>
    </r>
    <r>
      <rPr>
        <sz val="10"/>
        <rFont val="Times New Roman"/>
        <family val="1"/>
        <charset val="204"/>
      </rPr>
      <t xml:space="preserve"> Informaţia nu include operaţiunile de export-import a întreprinderilor şi organizaţiilor  din partea stîngă a Nistrului şi municipiul Bender</t>
    </r>
    <r>
      <rPr>
        <b/>
        <sz val="10"/>
        <rFont val="Times New Roman"/>
        <family val="1"/>
        <charset val="204"/>
      </rPr>
      <t>.</t>
    </r>
  </si>
  <si>
    <r>
      <t xml:space="preserve">    2) </t>
    </r>
    <r>
      <rPr>
        <sz val="10"/>
        <rFont val="Times New Roman"/>
        <family val="1"/>
        <charset val="204"/>
      </rPr>
      <t xml:space="preserve"> Începând cu anul 2009 Georgia nu mai face parte din Comunitatea Statelor Independente</t>
    </r>
    <r>
      <rPr>
        <vertAlign val="superscript"/>
        <sz val="10"/>
        <rFont val="Times New Roman"/>
        <family val="1"/>
        <charset val="204"/>
      </rPr>
      <t>.</t>
    </r>
  </si>
  <si>
    <r>
      <t xml:space="preserve">    3)  </t>
    </r>
    <r>
      <rPr>
        <sz val="10"/>
        <rFont val="Times New Roman"/>
        <family val="1"/>
        <charset val="204"/>
      </rPr>
      <t>Începând cu anul 2013, după aderarea la UE a Croaţiei, Uniunea Europeană numără 28 de state membre</t>
    </r>
    <r>
      <rPr>
        <vertAlign val="superscript"/>
        <sz val="10"/>
        <rFont val="Times New Roman"/>
        <family val="1"/>
        <charset val="204"/>
      </rPr>
      <t>.</t>
    </r>
  </si>
  <si>
    <r>
      <t xml:space="preserve">   </t>
    </r>
    <r>
      <rPr>
        <vertAlign val="superscript"/>
        <sz val="10"/>
        <rFont val="Times New Roman"/>
        <family val="1"/>
        <charset val="204"/>
      </rPr>
      <t xml:space="preserve">4)  </t>
    </r>
    <r>
      <rPr>
        <sz val="10"/>
        <rFont val="Times New Roman"/>
        <family val="1"/>
        <charset val="204"/>
      </rPr>
      <t>Începând cu anul 2020, după ieşirea din UE a Regatului Unit al Marii Britanii şi Irlandei de Nord, Uniunea Europeană numără 27 de state membre.</t>
    </r>
  </si>
  <si>
    <t>I. 23 /</t>
  </si>
  <si>
    <t>I. 22</t>
  </si>
  <si>
    <t>II. 23 /</t>
  </si>
  <si>
    <t>II. 22</t>
  </si>
  <si>
    <t>III. 23 /</t>
  </si>
  <si>
    <t>III. 22</t>
  </si>
  <si>
    <t>IV. 23 /</t>
  </si>
  <si>
    <t>IV. 22</t>
  </si>
  <si>
    <t>V. 23 /</t>
  </si>
  <si>
    <t>V. 22</t>
  </si>
  <si>
    <t>VI. 23 /</t>
  </si>
  <si>
    <t>VI. 22</t>
  </si>
  <si>
    <t>VII. 23 /</t>
  </si>
  <si>
    <t>VII. 22</t>
  </si>
  <si>
    <t>VIII. 23 /</t>
  </si>
  <si>
    <t>VIII. 22</t>
  </si>
  <si>
    <t>IX. 23 /</t>
  </si>
  <si>
    <t>IX. 22</t>
  </si>
  <si>
    <t>X. 23 /</t>
  </si>
  <si>
    <t>X. 22</t>
  </si>
  <si>
    <t xml:space="preserve">III   </t>
  </si>
  <si>
    <t>XI. 23 /</t>
  </si>
  <si>
    <t>XI. 22</t>
  </si>
  <si>
    <t>XII. 23 /</t>
  </si>
  <si>
    <t>XII. 22</t>
  </si>
  <si>
    <t>I-XII. 23 /</t>
  </si>
  <si>
    <t>I-XII. 22</t>
  </si>
  <si>
    <t>I. 24 /</t>
  </si>
  <si>
    <t>I. 23</t>
  </si>
  <si>
    <t>II. 24 /</t>
  </si>
  <si>
    <t>II. 23</t>
  </si>
  <si>
    <r>
      <t xml:space="preserve">în anii 2011-2024 </t>
    </r>
    <r>
      <rPr>
        <b/>
        <vertAlign val="superscript"/>
        <sz val="14"/>
        <rFont val="Times New Roman"/>
        <family val="1"/>
        <charset val="204"/>
      </rPr>
      <t>1)</t>
    </r>
  </si>
  <si>
    <r>
      <rPr>
        <vertAlign val="superscript"/>
        <sz val="10"/>
        <rFont val="Times New Roman"/>
        <family val="1"/>
        <charset val="204"/>
      </rPr>
      <t xml:space="preserve">    5)</t>
    </r>
    <r>
      <rPr>
        <sz val="10"/>
        <rFont val="Times New Roman"/>
        <family val="1"/>
        <charset val="204"/>
      </rPr>
      <t xml:space="preserve"> Începând cu anul 2024 Ucraina nu mai face parte din Comunitatea Statelor Independente.</t>
    </r>
  </si>
  <si>
    <r>
      <t xml:space="preserve">    6)  </t>
    </r>
    <r>
      <rPr>
        <sz val="10"/>
        <rFont val="Times New Roman"/>
        <family val="1"/>
        <charset val="204"/>
      </rPr>
      <t>Diferențele între datele pe total și valorile obținute din însumarea diverselor structuri utilizate sunt datorate rotunjirilor.</t>
    </r>
  </si>
  <si>
    <r>
      <t xml:space="preserve">ţările CSI </t>
    </r>
    <r>
      <rPr>
        <vertAlign val="superscript"/>
        <sz val="12"/>
        <rFont val="Times New Roman"/>
        <family val="1"/>
        <charset val="204"/>
      </rPr>
      <t>2),5)</t>
    </r>
  </si>
  <si>
    <t>III. 24 /</t>
  </si>
  <si>
    <t>III. 23</t>
  </si>
  <si>
    <t>IV. 24 /</t>
  </si>
  <si>
    <t>IV. 23</t>
  </si>
  <si>
    <t>V. 24 /</t>
  </si>
  <si>
    <t>V. 23</t>
  </si>
  <si>
    <t>x</t>
  </si>
  <si>
    <r>
      <t xml:space="preserve">IX </t>
    </r>
    <r>
      <rPr>
        <b/>
        <vertAlign val="superscript"/>
        <sz val="12"/>
        <rFont val="Times New Roman"/>
        <family val="1"/>
        <charset val="204"/>
      </rPr>
      <t>r)</t>
    </r>
    <r>
      <rPr>
        <b/>
        <sz val="12"/>
        <rFont val="Times New Roman"/>
        <family val="1"/>
        <charset val="204"/>
      </rPr>
      <t xml:space="preserve"> </t>
    </r>
  </si>
  <si>
    <r>
      <t>X</t>
    </r>
    <r>
      <rPr>
        <b/>
        <vertAlign val="superscript"/>
        <sz val="12"/>
        <rFont val="Times New Roman"/>
        <family val="1"/>
        <charset val="204"/>
      </rPr>
      <t xml:space="preserve"> r)</t>
    </r>
  </si>
  <si>
    <r>
      <t xml:space="preserve">XI </t>
    </r>
    <r>
      <rPr>
        <b/>
        <vertAlign val="superscript"/>
        <sz val="12"/>
        <rFont val="Times New Roman"/>
        <family val="1"/>
        <charset val="204"/>
      </rPr>
      <t xml:space="preserve">r) </t>
    </r>
  </si>
  <si>
    <r>
      <t xml:space="preserve">XII </t>
    </r>
    <r>
      <rPr>
        <b/>
        <vertAlign val="superscript"/>
        <sz val="12"/>
        <rFont val="Times New Roman"/>
        <family val="1"/>
        <charset val="204"/>
      </rPr>
      <t>r)</t>
    </r>
  </si>
  <si>
    <r>
      <t xml:space="preserve">I-XII </t>
    </r>
    <r>
      <rPr>
        <b/>
        <vertAlign val="superscript"/>
        <sz val="12"/>
        <rFont val="Times New Roman"/>
        <family val="1"/>
        <charset val="204"/>
      </rPr>
      <t>r)</t>
    </r>
  </si>
  <si>
    <r>
      <t xml:space="preserve">I </t>
    </r>
    <r>
      <rPr>
        <b/>
        <vertAlign val="superscript"/>
        <sz val="12"/>
        <rFont val="Times New Roman"/>
        <family val="1"/>
        <charset val="204"/>
      </rPr>
      <t xml:space="preserve">r) </t>
    </r>
  </si>
  <si>
    <r>
      <t xml:space="preserve">II </t>
    </r>
    <r>
      <rPr>
        <b/>
        <vertAlign val="superscript"/>
        <sz val="12"/>
        <rFont val="Times New Roman"/>
        <family val="1"/>
        <charset val="204"/>
      </rPr>
      <t>r)</t>
    </r>
  </si>
  <si>
    <r>
      <t xml:space="preserve">III </t>
    </r>
    <r>
      <rPr>
        <b/>
        <vertAlign val="superscript"/>
        <sz val="12"/>
        <rFont val="Times New Roman"/>
        <family val="1"/>
        <charset val="204"/>
      </rPr>
      <t>r)</t>
    </r>
    <r>
      <rPr>
        <b/>
        <sz val="12"/>
        <rFont val="Times New Roman"/>
        <family val="1"/>
        <charset val="204"/>
      </rPr>
      <t xml:space="preserve"> </t>
    </r>
  </si>
  <si>
    <r>
      <t xml:space="preserve">IV </t>
    </r>
    <r>
      <rPr>
        <b/>
        <vertAlign val="superscript"/>
        <sz val="12"/>
        <rFont val="Times New Roman"/>
        <family val="1"/>
        <charset val="204"/>
      </rPr>
      <t>r)</t>
    </r>
    <r>
      <rPr>
        <b/>
        <sz val="12"/>
        <rFont val="Times New Roman"/>
        <family val="1"/>
        <charset val="204"/>
      </rPr>
      <t xml:space="preserve"> </t>
    </r>
  </si>
  <si>
    <r>
      <t xml:space="preserve">V </t>
    </r>
    <r>
      <rPr>
        <b/>
        <vertAlign val="superscript"/>
        <sz val="12"/>
        <rFont val="Times New Roman"/>
        <family val="1"/>
        <charset val="204"/>
      </rPr>
      <t>r)</t>
    </r>
    <r>
      <rPr>
        <b/>
        <sz val="12"/>
        <rFont val="Times New Roman"/>
        <family val="1"/>
        <charset val="204"/>
      </rPr>
      <t xml:space="preserve"> </t>
    </r>
  </si>
  <si>
    <r>
      <t xml:space="preserve">VI </t>
    </r>
    <r>
      <rPr>
        <b/>
        <vertAlign val="superscript"/>
        <sz val="12"/>
        <rFont val="Times New Roman"/>
        <family val="1"/>
        <charset val="204"/>
      </rPr>
      <t xml:space="preserve">p) </t>
    </r>
  </si>
  <si>
    <t>VI. 24 /</t>
  </si>
  <si>
    <t>VI. 23</t>
  </si>
  <si>
    <r>
      <t xml:space="preserve">VII </t>
    </r>
    <r>
      <rPr>
        <b/>
        <vertAlign val="superscript"/>
        <sz val="12"/>
        <rFont val="Times New Roman"/>
        <family val="1"/>
        <charset val="204"/>
      </rPr>
      <t xml:space="preserve">p) </t>
    </r>
  </si>
  <si>
    <t>VII. 24 /</t>
  </si>
  <si>
    <t>VII. 23</t>
  </si>
  <si>
    <r>
      <t xml:space="preserve">VIII </t>
    </r>
    <r>
      <rPr>
        <b/>
        <vertAlign val="superscript"/>
        <sz val="12"/>
        <rFont val="Times New Roman"/>
        <family val="1"/>
        <charset val="204"/>
      </rPr>
      <t xml:space="preserve">p) </t>
    </r>
  </si>
  <si>
    <t>VIII. 24 /</t>
  </si>
  <si>
    <t>VIII.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</si>
</sst>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 CC"/>
      <family val="1"/>
      <charset val="238"/>
    </font>
    <font>
      <sz val="12"/>
      <color indexed="8"/>
      <name val="Times New Roman CC"/>
      <family val="1"/>
      <charset val="238"/>
    </font>
    <font>
      <b/>
      <sz val="12"/>
      <color indexed="8"/>
      <name val="Times New Roman CC"/>
      <family val="1"/>
      <charset val="238"/>
    </font>
    <font>
      <sz val="12"/>
      <color indexed="8"/>
      <name val="Times New Roman CC"/>
      <family val="1"/>
      <charset val="238"/>
    </font>
    <font>
      <sz val="12"/>
      <color indexed="8"/>
      <name val="Times New Roman CC"/>
      <family val="1"/>
      <charset val="238"/>
    </font>
    <font>
      <sz val="11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0"/>
      <name val="Times New Roman CC"/>
      <family val="1"/>
      <charset val="238"/>
    </font>
    <font>
      <b/>
      <sz val="10"/>
      <color indexed="8"/>
      <name val="Times New Roman CC"/>
      <family val="1"/>
      <charset val="238"/>
    </font>
    <font>
      <sz val="12"/>
      <color indexed="8"/>
      <name val="Times New Roman CC"/>
      <family val="1"/>
      <charset val="238"/>
    </font>
    <font>
      <b/>
      <sz val="12"/>
      <name val="Times New Roman CC"/>
      <family val="1"/>
      <charset val="238"/>
    </font>
    <font>
      <sz val="12"/>
      <name val="Times New Roman CC"/>
      <family val="1"/>
      <charset val="238"/>
    </font>
    <font>
      <sz val="10"/>
      <name val="Arial"/>
      <family val="2"/>
      <charset val="204"/>
    </font>
    <font>
      <sz val="12"/>
      <color rgb="FF0000FF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color rgb="FF0000FF"/>
      <name val="Arial Cyr"/>
      <charset val="204"/>
    </font>
    <font>
      <b/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4" fillId="0" borderId="0"/>
    <xf numFmtId="0" fontId="1" fillId="0" borderId="0"/>
    <xf numFmtId="0" fontId="34" fillId="0" borderId="0"/>
  </cellStyleXfs>
  <cellXfs count="230">
    <xf numFmtId="0" fontId="0" fillId="0" borderId="0" xfId="0"/>
    <xf numFmtId="0" fontId="3" fillId="0" borderId="0" xfId="0" applyFont="1"/>
    <xf numFmtId="0" fontId="8" fillId="0" borderId="1" xfId="0" applyFont="1" applyBorder="1"/>
    <xf numFmtId="0" fontId="8" fillId="0" borderId="2" xfId="0" applyFont="1" applyBorder="1"/>
    <xf numFmtId="0" fontId="10" fillId="0" borderId="3" xfId="0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/>
    <xf numFmtId="164" fontId="8" fillId="0" borderId="4" xfId="0" applyNumberFormat="1" applyFont="1" applyBorder="1" applyAlignment="1">
      <alignment horizontal="center"/>
    </xf>
    <xf numFmtId="0" fontId="7" fillId="0" borderId="0" xfId="0" applyFont="1" applyAlignment="1">
      <alignment vertical="top"/>
    </xf>
    <xf numFmtId="0" fontId="11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4" fontId="8" fillId="0" borderId="4" xfId="0" applyNumberFormat="1" applyFont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5" fillId="0" borderId="0" xfId="0" applyFont="1"/>
    <xf numFmtId="0" fontId="10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9" fillId="0" borderId="0" xfId="0" applyNumberFormat="1" applyFont="1" applyAlignment="1">
      <alignment vertical="top"/>
    </xf>
    <xf numFmtId="0" fontId="3" fillId="0" borderId="4" xfId="0" applyFont="1" applyBorder="1"/>
    <xf numFmtId="164" fontId="11" fillId="0" borderId="0" xfId="0" applyNumberFormat="1" applyFont="1" applyAlignment="1">
      <alignment horizontal="center"/>
    </xf>
    <xf numFmtId="164" fontId="11" fillId="0" borderId="0" xfId="0" applyNumberFormat="1" applyFont="1"/>
    <xf numFmtId="164" fontId="30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6" fillId="3" borderId="6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164" fontId="6" fillId="2" borderId="0" xfId="0" applyNumberFormat="1" applyFont="1" applyFill="1" applyAlignment="1">
      <alignment horizontal="center" vertical="top" wrapText="1"/>
    </xf>
    <xf numFmtId="164" fontId="14" fillId="0" borderId="0" xfId="0" applyNumberFormat="1" applyFont="1" applyAlignment="1">
      <alignment horizontal="center" vertical="top" wrapText="1"/>
    </xf>
    <xf numFmtId="164" fontId="16" fillId="0" borderId="0" xfId="0" applyNumberFormat="1" applyFont="1" applyAlignment="1">
      <alignment horizontal="center" vertical="top" wrapText="1"/>
    </xf>
    <xf numFmtId="164" fontId="12" fillId="0" borderId="0" xfId="0" applyNumberFormat="1" applyFont="1" applyAlignment="1">
      <alignment horizontal="center" vertical="top" wrapText="1"/>
    </xf>
    <xf numFmtId="164" fontId="12" fillId="2" borderId="0" xfId="0" applyNumberFormat="1" applyFont="1" applyFill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164" fontId="6" fillId="3" borderId="0" xfId="0" applyNumberFormat="1" applyFont="1" applyFill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164" fontId="0" fillId="0" borderId="0" xfId="0" applyNumberForma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64" fontId="8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164" fontId="19" fillId="0" borderId="0" xfId="0" applyNumberFormat="1" applyFont="1" applyAlignment="1">
      <alignment horizontal="center" vertical="top" wrapText="1"/>
    </xf>
    <xf numFmtId="165" fontId="8" fillId="0" borderId="0" xfId="0" applyNumberFormat="1" applyFont="1" applyAlignment="1">
      <alignment horizontal="center" vertical="top" wrapText="1"/>
    </xf>
    <xf numFmtId="164" fontId="15" fillId="0" borderId="0" xfId="0" applyNumberFormat="1" applyFont="1" applyAlignment="1">
      <alignment horizontal="center" vertical="top" wrapText="1"/>
    </xf>
    <xf numFmtId="164" fontId="17" fillId="0" borderId="0" xfId="0" applyNumberFormat="1" applyFont="1" applyAlignment="1">
      <alignment horizontal="center" vertical="top" wrapText="1"/>
    </xf>
    <xf numFmtId="164" fontId="8" fillId="3" borderId="0" xfId="0" applyNumberFormat="1" applyFont="1" applyFill="1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164" fontId="32" fillId="0" borderId="0" xfId="0" applyNumberFormat="1" applyFont="1" applyAlignment="1">
      <alignment horizontal="center" vertical="top" wrapText="1"/>
    </xf>
    <xf numFmtId="164" fontId="33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164" fontId="20" fillId="0" borderId="0" xfId="0" applyNumberFormat="1" applyFont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164" fontId="22" fillId="0" borderId="0" xfId="0" applyNumberFormat="1" applyFont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164" fontId="18" fillId="0" borderId="0" xfId="0" applyNumberFormat="1" applyFont="1" applyAlignment="1">
      <alignment horizontal="center" vertical="top" wrapText="1"/>
    </xf>
    <xf numFmtId="164" fontId="13" fillId="0" borderId="0" xfId="0" applyNumberFormat="1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164" fontId="21" fillId="0" borderId="0" xfId="0" applyNumberFormat="1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164" fontId="23" fillId="0" borderId="0" xfId="0" applyNumberFormat="1" applyFont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164" fontId="31" fillId="0" borderId="0" xfId="0" applyNumberFormat="1" applyFont="1" applyAlignment="1">
      <alignment horizontal="center" vertical="top" wrapText="1"/>
    </xf>
    <xf numFmtId="164" fontId="8" fillId="0" borderId="4" xfId="0" applyNumberFormat="1" applyFont="1" applyBorder="1" applyAlignment="1">
      <alignment horizontal="center" vertical="top" wrapText="1"/>
    </xf>
    <xf numFmtId="164" fontId="13" fillId="0" borderId="4" xfId="0" applyNumberFormat="1" applyFont="1" applyBorder="1" applyAlignment="1">
      <alignment horizontal="center" vertical="top" wrapText="1"/>
    </xf>
    <xf numFmtId="164" fontId="18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64" fontId="31" fillId="0" borderId="4" xfId="0" applyNumberFormat="1" applyFont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165" fontId="6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165" fontId="8" fillId="0" borderId="0" xfId="0" applyNumberFormat="1" applyFont="1" applyAlignment="1">
      <alignment horizontal="center" vertical="top"/>
    </xf>
    <xf numFmtId="164" fontId="8" fillId="0" borderId="0" xfId="0" applyNumberFormat="1" applyFont="1" applyAlignment="1">
      <alignment horizontal="center" vertical="top"/>
    </xf>
    <xf numFmtId="165" fontId="6" fillId="3" borderId="0" xfId="0" applyNumberFormat="1" applyFont="1" applyFill="1" applyAlignment="1">
      <alignment horizontal="center" vertical="top" wrapText="1"/>
    </xf>
    <xf numFmtId="165" fontId="8" fillId="3" borderId="0" xfId="0" applyNumberFormat="1" applyFont="1" applyFill="1" applyAlignment="1">
      <alignment horizontal="center" vertical="top" wrapText="1"/>
    </xf>
    <xf numFmtId="165" fontId="6" fillId="3" borderId="0" xfId="0" applyNumberFormat="1" applyFont="1" applyFill="1" applyAlignment="1">
      <alignment horizontal="center" vertical="top"/>
    </xf>
    <xf numFmtId="165" fontId="8" fillId="3" borderId="0" xfId="0" applyNumberFormat="1" applyFont="1" applyFill="1" applyAlignment="1">
      <alignment horizontal="center" vertical="top"/>
    </xf>
    <xf numFmtId="164" fontId="8" fillId="3" borderId="4" xfId="0" applyNumberFormat="1" applyFont="1" applyFill="1" applyBorder="1" applyAlignment="1">
      <alignment horizontal="center" vertical="top" wrapText="1"/>
    </xf>
    <xf numFmtId="165" fontId="6" fillId="0" borderId="13" xfId="2" applyNumberFormat="1" applyFont="1" applyBorder="1" applyAlignment="1">
      <alignment horizontal="center" vertical="top"/>
    </xf>
    <xf numFmtId="165" fontId="8" fillId="0" borderId="0" xfId="2" applyNumberFormat="1" applyFont="1" applyAlignment="1">
      <alignment horizontal="center" vertical="top"/>
    </xf>
    <xf numFmtId="164" fontId="6" fillId="0" borderId="0" xfId="2" applyNumberFormat="1" applyFont="1" applyAlignment="1">
      <alignment horizontal="center" vertical="top"/>
    </xf>
    <xf numFmtId="164" fontId="8" fillId="0" borderId="0" xfId="2" applyNumberFormat="1" applyFont="1" applyAlignment="1">
      <alignment horizontal="center" vertical="top"/>
    </xf>
    <xf numFmtId="164" fontId="19" fillId="3" borderId="0" xfId="0" applyNumberFormat="1" applyFont="1" applyFill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164" fontId="12" fillId="3" borderId="0" xfId="0" applyNumberFormat="1" applyFont="1" applyFill="1" applyAlignment="1">
      <alignment horizontal="center" vertical="top" wrapText="1"/>
    </xf>
    <xf numFmtId="164" fontId="15" fillId="3" borderId="0" xfId="0" applyNumberFormat="1" applyFont="1" applyFill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33" fillId="3" borderId="0" xfId="0" applyNumberFormat="1" applyFont="1" applyFill="1" applyAlignment="1">
      <alignment horizontal="center" vertical="top" wrapText="1"/>
    </xf>
    <xf numFmtId="165" fontId="6" fillId="0" borderId="13" xfId="0" applyNumberFormat="1" applyFont="1" applyBorder="1" applyAlignment="1">
      <alignment horizontal="center" vertical="top"/>
    </xf>
    <xf numFmtId="165" fontId="6" fillId="3" borderId="13" xfId="0" applyNumberFormat="1" applyFont="1" applyFill="1" applyBorder="1" applyAlignment="1">
      <alignment horizontal="center" vertical="top"/>
    </xf>
    <xf numFmtId="165" fontId="19" fillId="0" borderId="0" xfId="0" applyNumberFormat="1" applyFont="1" applyAlignment="1">
      <alignment horizontal="center" vertical="top"/>
    </xf>
    <xf numFmtId="165" fontId="19" fillId="3" borderId="0" xfId="0" applyNumberFormat="1" applyFont="1" applyFill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165" fontId="36" fillId="0" borderId="0" xfId="0" applyNumberFormat="1" applyFont="1" applyAlignment="1">
      <alignment horizontal="center" vertical="top" wrapText="1"/>
    </xf>
    <xf numFmtId="165" fontId="19" fillId="0" borderId="0" xfId="0" applyNumberFormat="1" applyFont="1" applyAlignment="1">
      <alignment horizontal="center" vertical="top" wrapText="1"/>
    </xf>
    <xf numFmtId="165" fontId="19" fillId="3" borderId="0" xfId="0" applyNumberFormat="1" applyFont="1" applyFill="1" applyAlignment="1">
      <alignment horizontal="center" vertical="top" wrapText="1"/>
    </xf>
    <xf numFmtId="165" fontId="3" fillId="3" borderId="0" xfId="0" applyNumberFormat="1" applyFont="1" applyFill="1" applyAlignment="1">
      <alignment horizontal="center" vertical="top"/>
    </xf>
    <xf numFmtId="165" fontId="0" fillId="0" borderId="0" xfId="0" applyNumberFormat="1" applyAlignment="1">
      <alignment horizontal="center" vertical="top"/>
    </xf>
    <xf numFmtId="165" fontId="0" fillId="3" borderId="0" xfId="0" applyNumberFormat="1" applyFill="1" applyAlignment="1">
      <alignment horizontal="center" vertical="top"/>
    </xf>
    <xf numFmtId="165" fontId="8" fillId="0" borderId="4" xfId="0" applyNumberFormat="1" applyFont="1" applyBorder="1" applyAlignment="1">
      <alignment horizontal="center" vertical="top" wrapText="1"/>
    </xf>
    <xf numFmtId="165" fontId="0" fillId="0" borderId="4" xfId="0" applyNumberFormat="1" applyBorder="1" applyAlignment="1">
      <alignment horizontal="center" vertical="top"/>
    </xf>
    <xf numFmtId="165" fontId="8" fillId="0" borderId="4" xfId="0" applyNumberFormat="1" applyFont="1" applyBorder="1" applyAlignment="1">
      <alignment horizontal="center" vertical="top"/>
    </xf>
    <xf numFmtId="165" fontId="8" fillId="3" borderId="4" xfId="0" applyNumberFormat="1" applyFont="1" applyFill="1" applyBorder="1" applyAlignment="1">
      <alignment horizontal="center" vertical="top" wrapText="1"/>
    </xf>
    <xf numFmtId="165" fontId="8" fillId="3" borderId="4" xfId="0" applyNumberFormat="1" applyFont="1" applyFill="1" applyBorder="1" applyAlignment="1">
      <alignment horizontal="center" vertical="top"/>
    </xf>
    <xf numFmtId="165" fontId="35" fillId="0" borderId="4" xfId="0" applyNumberFormat="1" applyFont="1" applyBorder="1" applyAlignment="1">
      <alignment horizontal="center" vertical="top" wrapText="1"/>
    </xf>
    <xf numFmtId="164" fontId="19" fillId="0" borderId="0" xfId="0" applyNumberFormat="1" applyFont="1" applyAlignment="1">
      <alignment vertical="top" wrapText="1"/>
    </xf>
    <xf numFmtId="164" fontId="8" fillId="0" borderId="0" xfId="0" applyNumberFormat="1" applyFont="1" applyAlignment="1">
      <alignment horizontal="center" vertical="center" wrapText="1"/>
    </xf>
    <xf numFmtId="164" fontId="19" fillId="0" borderId="4" xfId="0" applyNumberFormat="1" applyFont="1" applyBorder="1" applyAlignment="1">
      <alignment vertical="top" wrapText="1"/>
    </xf>
    <xf numFmtId="165" fontId="19" fillId="0" borderId="4" xfId="0" applyNumberFormat="1" applyFont="1" applyBorder="1" applyAlignment="1">
      <alignment horizontal="center" vertical="top" wrapText="1"/>
    </xf>
    <xf numFmtId="165" fontId="10" fillId="0" borderId="0" xfId="0" applyNumberFormat="1" applyFont="1" applyAlignment="1">
      <alignment horizontal="center" vertical="top"/>
    </xf>
    <xf numFmtId="165" fontId="10" fillId="3" borderId="0" xfId="0" applyNumberFormat="1" applyFont="1" applyFill="1" applyAlignment="1">
      <alignment horizontal="center" vertical="top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 vertical="top"/>
    </xf>
    <xf numFmtId="0" fontId="40" fillId="0" borderId="0" xfId="0" applyFont="1"/>
    <xf numFmtId="164" fontId="6" fillId="0" borderId="13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8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4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/>
    </xf>
    <xf numFmtId="165" fontId="43" fillId="0" borderId="0" xfId="0" applyNumberFormat="1" applyFont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5" fontId="6" fillId="3" borderId="0" xfId="0" applyNumberFormat="1" applyFont="1" applyFill="1" applyAlignment="1">
      <alignment horizontal="center" vertical="center" wrapText="1"/>
    </xf>
    <xf numFmtId="165" fontId="8" fillId="3" borderId="0" xfId="0" applyNumberFormat="1" applyFont="1" applyFill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30" fillId="4" borderId="0" xfId="0" applyNumberFormat="1" applyFont="1" applyFill="1" applyAlignment="1">
      <alignment vertical="top"/>
    </xf>
    <xf numFmtId="0" fontId="8" fillId="4" borderId="0" xfId="0" applyFont="1" applyFill="1"/>
    <xf numFmtId="0" fontId="3" fillId="4" borderId="0" xfId="0" applyFont="1" applyFill="1"/>
    <xf numFmtId="0" fontId="44" fillId="0" borderId="0" xfId="0" applyFont="1" applyAlignment="1">
      <alignment horizontal="center" vertical="top"/>
    </xf>
    <xf numFmtId="165" fontId="43" fillId="3" borderId="0" xfId="0" applyNumberFormat="1" applyFont="1" applyFill="1" applyAlignment="1">
      <alignment horizontal="center" vertical="top" wrapText="1"/>
    </xf>
    <xf numFmtId="164" fontId="8" fillId="3" borderId="0" xfId="0" applyNumberFormat="1" applyFont="1" applyFill="1" applyAlignment="1">
      <alignment horizontal="center" vertical="top"/>
    </xf>
    <xf numFmtId="164" fontId="6" fillId="3" borderId="0" xfId="0" applyNumberFormat="1" applyFont="1" applyFill="1" applyAlignment="1">
      <alignment horizontal="center" vertical="top"/>
    </xf>
    <xf numFmtId="0" fontId="6" fillId="0" borderId="12" xfId="0" applyFont="1" applyBorder="1" applyAlignment="1">
      <alignment horizontal="center"/>
    </xf>
    <xf numFmtId="165" fontId="44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4" fontId="6" fillId="3" borderId="13" xfId="0" applyNumberFormat="1" applyFont="1" applyFill="1" applyBorder="1" applyAlignment="1">
      <alignment horizontal="center" vertical="top"/>
    </xf>
    <xf numFmtId="165" fontId="44" fillId="3" borderId="0" xfId="0" applyNumberFormat="1" applyFont="1" applyFill="1" applyAlignment="1">
      <alignment horizontal="center" vertical="top"/>
    </xf>
    <xf numFmtId="165" fontId="45" fillId="0" borderId="4" xfId="0" applyNumberFormat="1" applyFont="1" applyBorder="1" applyAlignment="1">
      <alignment horizontal="center" vertical="top"/>
    </xf>
    <xf numFmtId="0" fontId="45" fillId="0" borderId="0" xfId="0" applyFont="1" applyAlignment="1">
      <alignment horizontal="center" vertical="center"/>
    </xf>
    <xf numFmtId="165" fontId="45" fillId="0" borderId="0" xfId="0" applyNumberFormat="1" applyFont="1" applyAlignment="1">
      <alignment horizontal="center" vertical="top"/>
    </xf>
    <xf numFmtId="165" fontId="35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165" fontId="0" fillId="3" borderId="4" xfId="0" applyNumberFormat="1" applyFill="1" applyBorder="1" applyAlignment="1">
      <alignment horizontal="center" vertical="top"/>
    </xf>
    <xf numFmtId="2" fontId="8" fillId="0" borderId="0" xfId="0" applyNumberFormat="1" applyFont="1" applyAlignment="1">
      <alignment horizontal="center" vertical="top" wrapText="1"/>
    </xf>
    <xf numFmtId="164" fontId="6" fillId="0" borderId="13" xfId="0" applyNumberFormat="1" applyFont="1" applyBorder="1" applyAlignment="1">
      <alignment horizontal="center" vertical="top"/>
    </xf>
    <xf numFmtId="165" fontId="36" fillId="3" borderId="0" xfId="0" applyNumberFormat="1" applyFont="1" applyFill="1" applyAlignment="1">
      <alignment horizontal="center" vertical="top" wrapText="1"/>
    </xf>
    <xf numFmtId="164" fontId="8" fillId="0" borderId="4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/>
    </xf>
    <xf numFmtId="164" fontId="46" fillId="0" borderId="13" xfId="0" applyNumberFormat="1" applyFont="1" applyBorder="1" applyAlignment="1">
      <alignment horizontal="center"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vertical="top"/>
    </xf>
    <xf numFmtId="0" fontId="5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4" borderId="1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5">
    <cellStyle name="Normal" xfId="0" builtinId="0"/>
    <cellStyle name="Normal 2" xfId="3" xr:uid="{50E4F1DF-88E2-4314-97D0-D7980C40EF5C}"/>
    <cellStyle name="Обычный 2" xfId="2" xr:uid="{00000000-0005-0000-0000-000001000000}"/>
    <cellStyle name="Обычный 3" xfId="4" xr:uid="{8220AE4A-AAEF-4C82-91B2-AC70939E0B67}"/>
    <cellStyle name="Обычный_Лист1" xfId="1" xr:uid="{00000000-0005-0000-0000-000002000000}"/>
  </cellStyles>
  <dxfs count="0"/>
  <tableStyles count="0" defaultTableStyle="TableStyleMedium9" defaultPivotStyle="PivotStyleLight16"/>
  <colors>
    <mruColors>
      <color rgb="FFFF0000"/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T40"/>
  <sheetViews>
    <sheetView tabSelected="1" zoomScaleNormal="100" workbookViewId="0">
      <pane xSplit="1" topLeftCell="MJ1" activePane="topRight" state="frozen"/>
      <selection pane="topRight" activeCell="MP5" sqref="MP5:MQ29"/>
    </sheetView>
  </sheetViews>
  <sheetFormatPr defaultColWidth="11.42578125" defaultRowHeight="15.75"/>
  <cols>
    <col min="1" max="1" width="55.7109375" style="1" customWidth="1"/>
    <col min="2" max="12" width="10.85546875" style="6" customWidth="1"/>
    <col min="13" max="39" width="10.5703125" style="6" customWidth="1"/>
    <col min="40" max="40" width="10.28515625" style="6" customWidth="1"/>
    <col min="41" max="42" width="10.5703125" style="6" customWidth="1"/>
    <col min="43" max="43" width="10.7109375" style="6" customWidth="1"/>
    <col min="44" max="44" width="10.5703125" style="6" customWidth="1"/>
    <col min="45" max="47" width="11.140625" style="6" customWidth="1"/>
    <col min="48" max="48" width="11" style="6" customWidth="1"/>
    <col min="49" max="62" width="11.140625" style="6" customWidth="1"/>
    <col min="63" max="63" width="10" style="6" customWidth="1"/>
    <col min="64" max="69" width="11.140625" style="6" customWidth="1"/>
    <col min="70" max="70" width="10.42578125" style="6" customWidth="1"/>
    <col min="71" max="78" width="10.7109375" style="6" customWidth="1"/>
    <col min="79" max="79" width="11.28515625" style="6" customWidth="1"/>
    <col min="80" max="80" width="11" style="6" customWidth="1"/>
    <col min="81" max="81" width="11.42578125" style="6"/>
    <col min="82" max="93" width="10.7109375" style="6" customWidth="1"/>
    <col min="94" max="94" width="10.28515625" style="6" customWidth="1"/>
    <col min="95" max="103" width="10.7109375" style="6" customWidth="1"/>
    <col min="104" max="104" width="11.85546875" style="1" customWidth="1"/>
    <col min="105" max="105" width="11.42578125" style="1"/>
    <col min="106" max="107" width="12" style="1" customWidth="1"/>
    <col min="108" max="109" width="11.42578125" style="1"/>
    <col min="110" max="110" width="11.28515625" style="1" customWidth="1"/>
    <col min="111" max="111" width="11.42578125" style="1"/>
    <col min="112" max="112" width="11.28515625" style="6" customWidth="1"/>
    <col min="113" max="113" width="11.42578125" style="23"/>
    <col min="114" max="114" width="11.7109375" style="1" customWidth="1"/>
    <col min="115" max="115" width="11.42578125" style="6"/>
    <col min="116" max="119" width="12" style="1" customWidth="1"/>
    <col min="120" max="120" width="12.42578125" style="1" customWidth="1"/>
    <col min="121" max="121" width="11.42578125" style="1"/>
    <col min="122" max="122" width="10.42578125" style="1" customWidth="1"/>
    <col min="123" max="123" width="11.42578125" style="1"/>
    <col min="124" max="124" width="9.140625" customWidth="1"/>
    <col min="125" max="125" width="11.42578125" style="1"/>
    <col min="126" max="126" width="11.42578125" style="23"/>
    <col min="127" max="127" width="11.42578125" style="5"/>
    <col min="128" max="128" width="11.28515625" style="1" customWidth="1"/>
    <col min="129" max="129" width="11.42578125" style="1"/>
    <col min="130" max="130" width="9.140625" customWidth="1"/>
    <col min="131" max="131" width="10.140625" customWidth="1"/>
    <col min="132" max="132" width="9.85546875" customWidth="1"/>
    <col min="133" max="133" width="10.140625" style="1" customWidth="1"/>
    <col min="134" max="134" width="9.28515625" style="5" customWidth="1"/>
    <col min="135" max="135" width="10.28515625" style="6" customWidth="1"/>
    <col min="136" max="136" width="9.5703125" customWidth="1"/>
    <col min="137" max="157" width="10" style="1" customWidth="1"/>
    <col min="158" max="181" width="10.140625" style="1" customWidth="1"/>
    <col min="182" max="182" width="10.7109375" style="1" customWidth="1"/>
    <col min="183" max="245" width="10.85546875" style="1" customWidth="1"/>
    <col min="246" max="249" width="11.5703125" style="1" customWidth="1"/>
    <col min="250" max="250" width="11.85546875" style="1" customWidth="1"/>
    <col min="251" max="287" width="12.140625" style="1" customWidth="1"/>
    <col min="288" max="337" width="12.140625" style="176" customWidth="1"/>
    <col min="338" max="349" width="11.42578125" style="1"/>
    <col min="350" max="350" width="10.85546875" style="1" customWidth="1"/>
    <col min="351" max="16384" width="11.42578125" style="1"/>
  </cols>
  <sheetData>
    <row r="1" spans="1:1814" s="21" customFormat="1" ht="18.75" customHeight="1">
      <c r="A1" s="204" t="s">
        <v>316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204"/>
      <c r="BG1" s="204"/>
      <c r="BH1" s="204"/>
      <c r="BI1" s="204"/>
      <c r="BJ1" s="204"/>
      <c r="BK1" s="204"/>
      <c r="BL1" s="204"/>
      <c r="BM1" s="204"/>
      <c r="BN1" s="204"/>
      <c r="BO1" s="204"/>
      <c r="BP1" s="204"/>
      <c r="BQ1" s="204"/>
      <c r="BR1" s="204"/>
      <c r="BS1" s="204"/>
      <c r="BT1" s="204"/>
      <c r="BU1" s="204"/>
      <c r="BV1" s="204"/>
      <c r="BW1" s="204"/>
      <c r="BX1" s="204"/>
      <c r="BY1" s="204"/>
      <c r="BZ1" s="204"/>
      <c r="CA1" s="204"/>
      <c r="CB1" s="204"/>
      <c r="CC1" s="204"/>
      <c r="CD1" s="204"/>
      <c r="CE1" s="204"/>
      <c r="CF1" s="204"/>
      <c r="CG1" s="204"/>
      <c r="CH1" s="204"/>
      <c r="CI1" s="204"/>
      <c r="CJ1" s="204"/>
      <c r="CK1" s="204"/>
      <c r="CL1" s="204"/>
      <c r="CM1" s="204"/>
      <c r="CN1" s="204"/>
      <c r="CO1" s="204"/>
      <c r="CP1" s="204"/>
      <c r="CQ1" s="204"/>
      <c r="CR1" s="204"/>
      <c r="CS1" s="204"/>
      <c r="CT1" s="204"/>
      <c r="CU1" s="204"/>
      <c r="CV1" s="204"/>
      <c r="CW1" s="204"/>
      <c r="CX1" s="204"/>
      <c r="CY1" s="204"/>
      <c r="CZ1" s="204"/>
      <c r="DA1" s="204"/>
      <c r="DB1" s="204"/>
      <c r="DC1" s="204"/>
      <c r="DD1" s="204"/>
      <c r="DE1" s="204"/>
      <c r="DF1" s="204"/>
      <c r="DG1" s="204"/>
      <c r="DH1" s="204"/>
      <c r="DI1" s="204"/>
      <c r="DJ1" s="204"/>
      <c r="DK1" s="204"/>
      <c r="DL1" s="204"/>
      <c r="DM1" s="204"/>
      <c r="DN1" s="204"/>
      <c r="DO1" s="204"/>
      <c r="DP1" s="204"/>
      <c r="DQ1" s="204"/>
      <c r="DR1" s="204"/>
      <c r="DS1" s="204"/>
      <c r="DT1" s="204"/>
      <c r="DU1" s="204"/>
      <c r="DV1" s="204"/>
      <c r="DW1" s="204"/>
      <c r="DX1" s="204"/>
      <c r="DY1" s="204"/>
      <c r="DZ1" s="204"/>
      <c r="EA1" s="204"/>
      <c r="EB1" s="204"/>
      <c r="EC1" s="204"/>
      <c r="ED1" s="204"/>
      <c r="EE1" s="204"/>
      <c r="EF1" s="204"/>
      <c r="EG1" s="204"/>
      <c r="EH1" s="204"/>
      <c r="EI1" s="204"/>
      <c r="EJ1" s="204"/>
      <c r="EK1" s="204"/>
      <c r="EL1" s="204"/>
      <c r="EM1" s="204"/>
      <c r="EN1" s="204"/>
      <c r="EO1" s="204"/>
      <c r="EP1" s="204"/>
      <c r="EQ1" s="204"/>
      <c r="ER1" s="204"/>
      <c r="ES1" s="204"/>
      <c r="ET1" s="204"/>
      <c r="EU1" s="204"/>
      <c r="EV1" s="204"/>
      <c r="EW1" s="204"/>
      <c r="EX1" s="204"/>
      <c r="EY1" s="204"/>
      <c r="EZ1" s="204"/>
      <c r="FA1" s="204"/>
      <c r="FB1" s="204"/>
      <c r="FC1" s="204"/>
      <c r="FD1" s="204"/>
      <c r="FE1" s="204"/>
      <c r="FF1" s="204"/>
      <c r="FG1" s="204"/>
      <c r="FH1" s="204"/>
      <c r="FI1" s="204"/>
      <c r="FJ1" s="204"/>
      <c r="FK1" s="204"/>
      <c r="FL1" s="204"/>
      <c r="FM1" s="204"/>
      <c r="FN1" s="204"/>
      <c r="FO1" s="204"/>
      <c r="FP1" s="204"/>
      <c r="FQ1" s="204"/>
      <c r="FR1" s="204"/>
      <c r="FS1" s="204"/>
      <c r="FT1" s="204"/>
      <c r="FU1" s="204"/>
      <c r="FV1" s="204"/>
      <c r="FW1" s="204"/>
      <c r="FX1" s="204"/>
      <c r="FY1" s="204"/>
      <c r="FZ1" s="204"/>
      <c r="GA1" s="204"/>
      <c r="GB1" s="204"/>
      <c r="GC1" s="204"/>
      <c r="GD1" s="204"/>
      <c r="GE1" s="204"/>
      <c r="GF1" s="204"/>
      <c r="GG1" s="204"/>
      <c r="GH1" s="204"/>
      <c r="GI1" s="204"/>
      <c r="GJ1" s="204"/>
      <c r="GK1" s="204"/>
      <c r="GL1" s="204"/>
      <c r="GM1" s="204"/>
      <c r="GN1" s="204"/>
      <c r="GO1" s="204"/>
      <c r="GP1" s="204"/>
      <c r="GQ1" s="204"/>
      <c r="GR1" s="204"/>
      <c r="GS1" s="204"/>
      <c r="GT1" s="204"/>
      <c r="GU1" s="204"/>
      <c r="GV1" s="204"/>
      <c r="GW1" s="204"/>
      <c r="GX1" s="204"/>
      <c r="GY1" s="204"/>
      <c r="GZ1" s="204"/>
      <c r="HA1" s="204"/>
      <c r="HB1" s="204"/>
      <c r="HC1" s="204"/>
      <c r="HD1" s="204"/>
      <c r="HE1" s="204"/>
      <c r="HF1" s="204"/>
      <c r="HG1" s="204"/>
      <c r="HH1" s="204"/>
      <c r="HI1" s="204"/>
      <c r="HJ1" s="204"/>
      <c r="HK1" s="204"/>
      <c r="HL1" s="204"/>
      <c r="HM1" s="204"/>
      <c r="HN1" s="204"/>
      <c r="HO1" s="204"/>
      <c r="HP1" s="204"/>
      <c r="HQ1" s="204"/>
      <c r="HR1" s="204"/>
      <c r="HS1" s="204"/>
      <c r="HT1" s="204"/>
      <c r="HU1" s="204"/>
      <c r="HV1" s="204"/>
      <c r="HW1" s="204"/>
      <c r="HX1" s="204"/>
      <c r="HY1" s="204"/>
      <c r="HZ1" s="204"/>
      <c r="IA1" s="204"/>
      <c r="IB1" s="204"/>
      <c r="IC1" s="204"/>
      <c r="ID1" s="204"/>
      <c r="IE1" s="204"/>
      <c r="IF1" s="204"/>
      <c r="IG1" s="204"/>
      <c r="IH1" s="204"/>
      <c r="II1" s="204"/>
      <c r="IJ1" s="204"/>
      <c r="IK1" s="204"/>
      <c r="IL1" s="204"/>
      <c r="IM1" s="204"/>
      <c r="IN1" s="204"/>
      <c r="IO1" s="204"/>
      <c r="IP1" s="204"/>
      <c r="IQ1" s="204"/>
      <c r="IR1" s="204"/>
      <c r="IS1" s="204"/>
      <c r="IT1" s="204"/>
      <c r="IU1" s="204"/>
      <c r="IV1" s="204"/>
      <c r="IW1" s="204"/>
      <c r="IX1" s="204"/>
      <c r="IY1" s="204"/>
      <c r="IZ1" s="204"/>
      <c r="JA1" s="204"/>
      <c r="JB1" s="204"/>
      <c r="JC1" s="204"/>
      <c r="JD1" s="204"/>
      <c r="JE1" s="204"/>
      <c r="JF1" s="204"/>
      <c r="JG1" s="204"/>
      <c r="JH1" s="204"/>
      <c r="JI1" s="204"/>
      <c r="JJ1" s="204"/>
      <c r="JK1" s="204"/>
      <c r="JL1" s="204"/>
      <c r="JM1" s="204"/>
      <c r="JN1" s="204"/>
      <c r="JO1" s="204"/>
      <c r="JP1" s="204"/>
      <c r="JQ1" s="204"/>
      <c r="JR1" s="204"/>
      <c r="JS1" s="204"/>
      <c r="JT1" s="204"/>
      <c r="JU1" s="204"/>
      <c r="JV1" s="204"/>
      <c r="JW1" s="204"/>
      <c r="JX1" s="204"/>
      <c r="JY1" s="204"/>
      <c r="JZ1" s="204"/>
      <c r="KA1" s="204"/>
      <c r="KB1" s="204"/>
      <c r="KC1" s="204"/>
      <c r="KD1" s="204"/>
      <c r="KE1" s="204"/>
      <c r="KF1" s="204"/>
      <c r="KG1" s="204"/>
      <c r="KH1" s="204"/>
      <c r="KI1" s="204"/>
      <c r="KJ1" s="204"/>
      <c r="KK1" s="204"/>
      <c r="KL1" s="204"/>
      <c r="KM1" s="204"/>
      <c r="KN1" s="204"/>
      <c r="KO1" s="204"/>
      <c r="KP1" s="204"/>
      <c r="KQ1" s="204"/>
      <c r="KR1" s="204"/>
      <c r="KS1" s="204"/>
      <c r="KT1" s="204"/>
      <c r="KU1" s="204"/>
      <c r="KV1" s="204"/>
      <c r="KW1" s="204"/>
      <c r="KX1" s="204"/>
      <c r="KY1" s="204"/>
      <c r="KZ1" s="204"/>
      <c r="LA1" s="204"/>
      <c r="LB1" s="204"/>
      <c r="LC1" s="204"/>
      <c r="LD1" s="204"/>
      <c r="LE1" s="204"/>
      <c r="LF1" s="204"/>
      <c r="LG1" s="204"/>
      <c r="LH1" s="204"/>
      <c r="LI1" s="204"/>
      <c r="LJ1" s="204"/>
      <c r="LK1" s="204"/>
      <c r="LL1" s="204"/>
      <c r="LM1" s="204"/>
      <c r="LN1" s="204"/>
      <c r="LO1" s="204"/>
      <c r="LP1" s="204"/>
      <c r="LQ1" s="204"/>
      <c r="LR1" s="204"/>
      <c r="LS1" s="204"/>
      <c r="LT1" s="204"/>
      <c r="LU1" s="204"/>
      <c r="LV1" s="204"/>
      <c r="LW1" s="204"/>
      <c r="LX1" s="204"/>
      <c r="LY1" s="204"/>
      <c r="LZ1" s="204"/>
      <c r="MA1" s="204"/>
      <c r="MB1" s="204"/>
      <c r="MC1" s="204"/>
      <c r="MD1" s="204"/>
      <c r="ME1" s="204"/>
      <c r="MF1" s="204"/>
      <c r="MG1" s="204"/>
      <c r="MH1" s="204"/>
      <c r="MI1" s="204"/>
      <c r="MJ1" s="204"/>
      <c r="MK1" s="204"/>
      <c r="ML1" s="204"/>
      <c r="MM1" s="204"/>
      <c r="MN1" s="204"/>
      <c r="MO1" s="204"/>
      <c r="MP1" s="22"/>
      <c r="MQ1" s="22"/>
      <c r="MR1" s="22"/>
      <c r="MS1" s="22"/>
      <c r="MT1" s="22"/>
      <c r="MU1" s="22"/>
      <c r="MV1" s="22"/>
      <c r="MW1" s="22"/>
      <c r="MX1" s="22"/>
      <c r="MY1" s="22"/>
      <c r="MZ1" s="22"/>
      <c r="NA1" s="22"/>
      <c r="NB1" s="22"/>
      <c r="NC1" s="22"/>
      <c r="ND1" s="22"/>
      <c r="NE1" s="22"/>
      <c r="NF1" s="22"/>
      <c r="NG1" s="22"/>
      <c r="NH1" s="22"/>
      <c r="NI1" s="22"/>
      <c r="NJ1" s="22"/>
      <c r="NK1" s="22"/>
      <c r="NL1" s="22"/>
      <c r="NM1" s="22"/>
      <c r="NN1" s="22"/>
      <c r="NO1" s="22"/>
      <c r="NP1" s="22"/>
      <c r="NQ1" s="22"/>
      <c r="NR1" s="22"/>
      <c r="NS1" s="22"/>
      <c r="NT1" s="22"/>
      <c r="NU1" s="22"/>
      <c r="NV1" s="22"/>
      <c r="NW1" s="22"/>
      <c r="NX1" s="22"/>
      <c r="NY1" s="22"/>
      <c r="NZ1" s="22"/>
      <c r="OA1" s="22"/>
      <c r="OB1" s="22"/>
      <c r="OC1" s="22"/>
      <c r="OD1" s="22"/>
      <c r="OE1" s="22"/>
      <c r="OF1" s="22"/>
      <c r="OG1" s="22"/>
      <c r="OH1" s="22"/>
      <c r="OI1" s="22"/>
      <c r="OJ1" s="22"/>
      <c r="OK1" s="22"/>
      <c r="OL1" s="22"/>
      <c r="OM1" s="22"/>
      <c r="ON1" s="22"/>
      <c r="OO1" s="22"/>
      <c r="OP1" s="22"/>
      <c r="OQ1" s="22"/>
      <c r="OR1" s="22"/>
      <c r="OS1" s="22"/>
      <c r="OT1" s="22"/>
      <c r="OU1" s="22"/>
      <c r="OV1" s="22"/>
      <c r="OW1" s="22"/>
      <c r="OX1" s="22"/>
      <c r="OY1" s="22"/>
      <c r="OZ1" s="22"/>
      <c r="PA1" s="22"/>
      <c r="PB1" s="22"/>
      <c r="PC1" s="22"/>
      <c r="PD1" s="22"/>
    </row>
    <row r="2" spans="1:1814" s="20" customFormat="1" ht="21.75">
      <c r="A2" s="205" t="s">
        <v>401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5"/>
      <c r="CB2" s="205"/>
      <c r="CC2" s="205"/>
      <c r="CD2" s="205"/>
      <c r="CE2" s="205"/>
      <c r="CF2" s="205"/>
      <c r="CG2" s="205"/>
      <c r="CH2" s="205"/>
      <c r="CI2" s="205"/>
      <c r="CJ2" s="205"/>
      <c r="CK2" s="205"/>
      <c r="CL2" s="205"/>
      <c r="CM2" s="205"/>
      <c r="CN2" s="205"/>
      <c r="CO2" s="205"/>
      <c r="CP2" s="205"/>
      <c r="CQ2" s="205"/>
      <c r="CR2" s="205"/>
      <c r="CS2" s="205"/>
      <c r="CT2" s="205"/>
      <c r="CU2" s="205"/>
      <c r="CV2" s="205"/>
      <c r="CW2" s="205"/>
      <c r="CX2" s="205"/>
      <c r="CY2" s="205"/>
      <c r="CZ2" s="205"/>
      <c r="DA2" s="205"/>
      <c r="DB2" s="205"/>
      <c r="DC2" s="205"/>
      <c r="DD2" s="205"/>
      <c r="DE2" s="205"/>
      <c r="DF2" s="205"/>
      <c r="DG2" s="205"/>
      <c r="DH2" s="205"/>
      <c r="DI2" s="205"/>
      <c r="DJ2" s="205"/>
      <c r="DK2" s="205"/>
      <c r="DL2" s="205"/>
      <c r="DM2" s="205"/>
      <c r="DN2" s="205"/>
      <c r="DO2" s="205"/>
      <c r="DP2" s="205"/>
      <c r="DQ2" s="205"/>
      <c r="DR2" s="205"/>
      <c r="DS2" s="205"/>
      <c r="DT2" s="205"/>
      <c r="DU2" s="205"/>
      <c r="DV2" s="205"/>
      <c r="DW2" s="205"/>
      <c r="DX2" s="205"/>
      <c r="DY2" s="205"/>
      <c r="DZ2" s="205"/>
      <c r="EA2" s="205"/>
      <c r="EB2" s="205"/>
      <c r="EC2" s="205"/>
      <c r="ED2" s="205"/>
      <c r="EE2" s="205"/>
      <c r="EF2" s="205"/>
      <c r="EG2" s="205"/>
      <c r="EH2" s="205"/>
      <c r="EI2" s="205"/>
      <c r="EJ2" s="205"/>
      <c r="EK2" s="205"/>
      <c r="EL2" s="205"/>
      <c r="EM2" s="205"/>
      <c r="EN2" s="205"/>
      <c r="EO2" s="205"/>
      <c r="EP2" s="205"/>
      <c r="EQ2" s="205"/>
      <c r="ER2" s="205"/>
      <c r="ES2" s="205"/>
      <c r="ET2" s="205"/>
      <c r="EU2" s="205"/>
      <c r="EV2" s="205"/>
      <c r="EW2" s="205"/>
      <c r="EX2" s="205"/>
      <c r="EY2" s="205"/>
      <c r="EZ2" s="205"/>
      <c r="FA2" s="205"/>
      <c r="FB2" s="205"/>
      <c r="FC2" s="205"/>
      <c r="FD2" s="205"/>
      <c r="FE2" s="205"/>
      <c r="FF2" s="205"/>
      <c r="FG2" s="205"/>
      <c r="FH2" s="205"/>
      <c r="FI2" s="205"/>
      <c r="FJ2" s="205"/>
      <c r="FK2" s="205"/>
      <c r="FL2" s="205"/>
      <c r="FM2" s="205"/>
      <c r="FN2" s="205"/>
      <c r="FO2" s="205"/>
      <c r="FP2" s="205"/>
      <c r="FQ2" s="205"/>
      <c r="FR2" s="205"/>
      <c r="FS2" s="205"/>
      <c r="FT2" s="205"/>
      <c r="FU2" s="205"/>
      <c r="FV2" s="205"/>
      <c r="FW2" s="205"/>
      <c r="FX2" s="205"/>
      <c r="FY2" s="205"/>
      <c r="FZ2" s="205"/>
      <c r="GA2" s="205"/>
      <c r="GB2" s="205"/>
      <c r="GC2" s="205"/>
      <c r="GD2" s="205"/>
      <c r="GE2" s="205"/>
      <c r="GF2" s="205"/>
      <c r="GG2" s="205"/>
      <c r="GH2" s="205"/>
      <c r="GI2" s="205"/>
      <c r="GJ2" s="205"/>
      <c r="GK2" s="205"/>
      <c r="GL2" s="205"/>
      <c r="GM2" s="205"/>
      <c r="GN2" s="205"/>
      <c r="GO2" s="205"/>
      <c r="GP2" s="205"/>
      <c r="GQ2" s="205"/>
      <c r="GR2" s="205"/>
      <c r="GS2" s="205"/>
      <c r="GT2" s="205"/>
      <c r="GU2" s="205"/>
      <c r="GV2" s="205"/>
      <c r="GW2" s="205"/>
      <c r="GX2" s="205"/>
      <c r="GY2" s="205"/>
      <c r="GZ2" s="205"/>
      <c r="HA2" s="205"/>
      <c r="HB2" s="205"/>
      <c r="HC2" s="205"/>
      <c r="HD2" s="205"/>
      <c r="HE2" s="205"/>
      <c r="HF2" s="205"/>
      <c r="HG2" s="205"/>
      <c r="HH2" s="205"/>
      <c r="HI2" s="205"/>
      <c r="HJ2" s="205"/>
      <c r="HK2" s="205"/>
      <c r="HL2" s="205"/>
      <c r="HM2" s="205"/>
      <c r="HN2" s="205"/>
      <c r="HO2" s="205"/>
      <c r="HP2" s="205"/>
      <c r="HQ2" s="205"/>
      <c r="HR2" s="205"/>
      <c r="HS2" s="205"/>
      <c r="HT2" s="205"/>
      <c r="HU2" s="205"/>
      <c r="HV2" s="205"/>
      <c r="HW2" s="205"/>
      <c r="HX2" s="205"/>
      <c r="HY2" s="205"/>
      <c r="HZ2" s="205"/>
      <c r="IA2" s="205"/>
      <c r="IB2" s="205"/>
      <c r="IC2" s="205"/>
      <c r="ID2" s="205"/>
      <c r="IE2" s="205"/>
      <c r="IF2" s="205"/>
      <c r="IG2" s="205"/>
      <c r="IH2" s="205"/>
      <c r="II2" s="205"/>
      <c r="IJ2" s="205"/>
      <c r="IK2" s="205"/>
      <c r="IL2" s="205"/>
      <c r="IM2" s="205"/>
      <c r="IN2" s="205"/>
      <c r="IO2" s="205"/>
      <c r="IP2" s="205"/>
      <c r="IQ2" s="205"/>
      <c r="IR2" s="205"/>
      <c r="IS2" s="205"/>
      <c r="IT2" s="205"/>
      <c r="IU2" s="205"/>
      <c r="IV2" s="205"/>
      <c r="IW2" s="205"/>
      <c r="IX2" s="205"/>
      <c r="IY2" s="205"/>
      <c r="IZ2" s="205"/>
      <c r="JA2" s="205"/>
      <c r="JB2" s="205"/>
      <c r="JC2" s="205"/>
      <c r="JD2" s="205"/>
      <c r="JE2" s="205"/>
      <c r="JF2" s="205"/>
      <c r="JG2" s="205"/>
      <c r="JH2" s="205"/>
      <c r="JI2" s="205"/>
      <c r="JJ2" s="205"/>
      <c r="JK2" s="205"/>
      <c r="JL2" s="205"/>
      <c r="JM2" s="205"/>
      <c r="JN2" s="205"/>
      <c r="JO2" s="205"/>
      <c r="JP2" s="205"/>
      <c r="JQ2" s="205"/>
      <c r="JR2" s="205"/>
      <c r="JS2" s="205"/>
      <c r="JT2" s="205"/>
      <c r="JU2" s="205"/>
      <c r="JV2" s="205"/>
      <c r="JW2" s="205"/>
      <c r="JX2" s="205"/>
      <c r="JY2" s="205"/>
      <c r="JZ2" s="205"/>
      <c r="KA2" s="205"/>
      <c r="KB2" s="205"/>
      <c r="KC2" s="205"/>
      <c r="KD2" s="205"/>
      <c r="KE2" s="205"/>
      <c r="KF2" s="205"/>
      <c r="KG2" s="205"/>
      <c r="KH2" s="205"/>
      <c r="KI2" s="205"/>
      <c r="KJ2" s="205"/>
      <c r="KK2" s="205"/>
      <c r="KL2" s="205"/>
      <c r="KM2" s="205"/>
      <c r="KN2" s="205"/>
      <c r="KO2" s="205"/>
      <c r="KP2" s="205"/>
      <c r="KQ2" s="205"/>
      <c r="KR2" s="205"/>
      <c r="KS2" s="205"/>
      <c r="KT2" s="205"/>
      <c r="KU2" s="205"/>
      <c r="KV2" s="205"/>
      <c r="KW2" s="205"/>
      <c r="KX2" s="205"/>
      <c r="KY2" s="205"/>
      <c r="KZ2" s="205"/>
      <c r="LA2" s="205"/>
      <c r="LB2" s="205"/>
      <c r="LC2" s="205"/>
      <c r="LD2" s="205"/>
      <c r="LE2" s="205"/>
      <c r="LF2" s="205"/>
      <c r="LG2" s="205"/>
      <c r="LH2" s="205"/>
      <c r="LI2" s="205"/>
      <c r="LJ2" s="205"/>
      <c r="LK2" s="205"/>
      <c r="LL2" s="205"/>
      <c r="LM2" s="205"/>
      <c r="LN2" s="205"/>
      <c r="LO2" s="205"/>
      <c r="LP2" s="205"/>
      <c r="LQ2" s="205"/>
      <c r="LR2" s="205"/>
      <c r="LS2" s="205"/>
      <c r="LT2" s="205"/>
      <c r="LU2" s="205"/>
      <c r="LV2" s="205"/>
      <c r="LW2" s="205"/>
      <c r="LX2" s="205"/>
      <c r="LY2" s="205"/>
      <c r="LZ2" s="205"/>
      <c r="MA2" s="205"/>
      <c r="MB2" s="205"/>
      <c r="MC2" s="205"/>
      <c r="MD2" s="205"/>
      <c r="ME2" s="205"/>
      <c r="MF2" s="205"/>
      <c r="MG2" s="205"/>
      <c r="MH2" s="205"/>
      <c r="MI2" s="205"/>
      <c r="MJ2" s="205"/>
      <c r="MK2" s="205"/>
      <c r="ML2" s="205"/>
      <c r="MM2" s="205"/>
      <c r="MN2" s="205"/>
      <c r="MO2" s="205"/>
    </row>
    <row r="3" spans="1:1814">
      <c r="A3" s="13"/>
      <c r="CZ3" s="14"/>
      <c r="JB3" s="142"/>
      <c r="JC3" s="142"/>
      <c r="JD3" s="142"/>
      <c r="JE3" s="142"/>
      <c r="JF3" s="142"/>
      <c r="JG3" s="142"/>
      <c r="JH3" s="142"/>
      <c r="JI3" s="7"/>
      <c r="JJ3" s="149"/>
      <c r="JK3" s="142"/>
      <c r="JL3" s="153"/>
      <c r="JM3" s="142"/>
      <c r="JN3" s="142"/>
      <c r="JO3" s="7"/>
      <c r="JP3" s="142"/>
      <c r="JQ3" s="142"/>
      <c r="JR3" s="142"/>
      <c r="JS3" s="142"/>
      <c r="JT3" s="142"/>
      <c r="JU3" s="142"/>
      <c r="JV3" s="142"/>
      <c r="JW3" s="142"/>
      <c r="JX3" s="142"/>
      <c r="JY3" s="142"/>
      <c r="JZ3" s="152"/>
      <c r="KA3" s="142"/>
      <c r="KB3" s="152"/>
      <c r="KC3" s="152"/>
      <c r="KD3" s="152"/>
      <c r="KE3" s="152"/>
      <c r="KF3" s="152"/>
      <c r="KG3" s="152"/>
      <c r="KH3" s="152"/>
      <c r="KI3" s="152"/>
      <c r="KJ3" s="152"/>
      <c r="KK3" s="152"/>
      <c r="KL3" s="152"/>
      <c r="KM3" s="152"/>
      <c r="KN3" s="152"/>
      <c r="KO3" s="152"/>
      <c r="KP3" s="152"/>
      <c r="KQ3" s="152"/>
      <c r="KR3" s="152"/>
      <c r="KS3" s="152"/>
      <c r="KT3" s="152"/>
      <c r="KU3" s="152"/>
      <c r="KV3" s="152"/>
      <c r="KW3" s="152"/>
      <c r="KX3" s="152"/>
      <c r="KY3" s="152"/>
      <c r="KZ3" s="152"/>
      <c r="LA3" s="142"/>
      <c r="LB3" s="142"/>
      <c r="LC3" s="142"/>
      <c r="LD3" s="142"/>
      <c r="LE3" s="142"/>
      <c r="LF3" s="142"/>
      <c r="LG3" s="142"/>
      <c r="LH3" s="142"/>
      <c r="LI3" s="142"/>
      <c r="LJ3" s="142"/>
      <c r="LK3" s="142"/>
      <c r="LL3" s="142"/>
      <c r="LM3" s="142"/>
      <c r="LN3" s="142"/>
      <c r="LO3" s="142"/>
      <c r="LP3" s="142"/>
      <c r="LQ3" s="142"/>
      <c r="LR3" s="142"/>
      <c r="LS3" s="142"/>
      <c r="LT3" s="142"/>
      <c r="LU3" s="142"/>
      <c r="LV3" s="142"/>
      <c r="LW3" s="142"/>
      <c r="LX3" s="142"/>
      <c r="LY3" s="142"/>
    </row>
    <row r="4" spans="1:1814" ht="16.5" customHeight="1">
      <c r="A4" s="2"/>
      <c r="B4" s="208">
        <v>2011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26"/>
      <c r="AB4" s="208">
        <v>2012</v>
      </c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26"/>
      <c r="BB4" s="223">
        <v>2013</v>
      </c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5"/>
      <c r="CB4" s="223">
        <v>2014</v>
      </c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5"/>
      <c r="DB4" s="223">
        <v>2015</v>
      </c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5"/>
      <c r="EB4" s="208">
        <v>2016</v>
      </c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26"/>
      <c r="FB4" s="208">
        <v>2017</v>
      </c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26"/>
      <c r="GB4" s="208">
        <v>2018</v>
      </c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26"/>
      <c r="HB4" s="208">
        <v>2019</v>
      </c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26"/>
      <c r="IB4" s="208">
        <v>2020</v>
      </c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  <c r="IW4" s="209"/>
      <c r="IX4" s="209"/>
      <c r="IY4" s="209"/>
      <c r="IZ4" s="209"/>
      <c r="JA4" s="209"/>
      <c r="JB4" s="214">
        <v>2021</v>
      </c>
      <c r="JC4" s="215"/>
      <c r="JD4" s="215"/>
      <c r="JE4" s="215"/>
      <c r="JF4" s="215"/>
      <c r="JG4" s="215"/>
      <c r="JH4" s="215"/>
      <c r="JI4" s="215"/>
      <c r="JJ4" s="215"/>
      <c r="JK4" s="215"/>
      <c r="JL4" s="215"/>
      <c r="JM4" s="215"/>
      <c r="JN4" s="215"/>
      <c r="JO4" s="215"/>
      <c r="JP4" s="215"/>
      <c r="JQ4" s="215"/>
      <c r="JR4" s="215"/>
      <c r="JS4" s="215"/>
      <c r="JT4" s="215"/>
      <c r="JU4" s="215"/>
      <c r="JV4" s="215"/>
      <c r="JW4" s="215"/>
      <c r="JX4" s="215"/>
      <c r="JY4" s="215"/>
      <c r="JZ4" s="215"/>
      <c r="KA4" s="216"/>
      <c r="KB4" s="211">
        <v>2022</v>
      </c>
      <c r="KC4" s="212"/>
      <c r="KD4" s="212"/>
      <c r="KE4" s="212"/>
      <c r="KF4" s="212"/>
      <c r="KG4" s="212"/>
      <c r="KH4" s="212"/>
      <c r="KI4" s="212"/>
      <c r="KJ4" s="212"/>
      <c r="KK4" s="212"/>
      <c r="KL4" s="212"/>
      <c r="KM4" s="212"/>
      <c r="KN4" s="212"/>
      <c r="KO4" s="212"/>
      <c r="KP4" s="212"/>
      <c r="KQ4" s="212"/>
      <c r="KR4" s="212"/>
      <c r="KS4" s="212"/>
      <c r="KT4" s="212"/>
      <c r="KU4" s="212"/>
      <c r="KV4" s="212"/>
      <c r="KW4" s="212"/>
      <c r="KX4" s="212"/>
      <c r="KY4" s="212"/>
      <c r="KZ4" s="212"/>
      <c r="LA4" s="213"/>
      <c r="LB4" s="211">
        <v>2023</v>
      </c>
      <c r="LC4" s="212"/>
      <c r="LD4" s="212"/>
      <c r="LE4" s="212"/>
      <c r="LF4" s="212"/>
      <c r="LG4" s="212"/>
      <c r="LH4" s="212"/>
      <c r="LI4" s="212"/>
      <c r="LJ4" s="212"/>
      <c r="LK4" s="212"/>
      <c r="LL4" s="212"/>
      <c r="LM4" s="212"/>
      <c r="LN4" s="212"/>
      <c r="LO4" s="212"/>
      <c r="LP4" s="212"/>
      <c r="LQ4" s="212"/>
      <c r="LR4" s="212"/>
      <c r="LS4" s="212"/>
      <c r="LT4" s="212"/>
      <c r="LU4" s="212"/>
      <c r="LV4" s="212"/>
      <c r="LW4" s="212"/>
      <c r="LX4" s="212"/>
      <c r="LY4" s="212"/>
      <c r="LZ4" s="212"/>
      <c r="MA4" s="213"/>
      <c r="MB4" s="208">
        <v>2024</v>
      </c>
      <c r="MC4" s="209"/>
      <c r="MD4" s="209"/>
      <c r="ME4" s="209"/>
      <c r="MF4" s="209"/>
      <c r="MG4" s="209"/>
      <c r="MH4" s="209"/>
      <c r="MI4" s="209"/>
      <c r="MJ4" s="209"/>
      <c r="MK4" s="209"/>
      <c r="ML4" s="209"/>
      <c r="MM4" s="209"/>
      <c r="MN4" s="209"/>
      <c r="MO4" s="209"/>
      <c r="MP4" s="209"/>
      <c r="MQ4" s="209"/>
    </row>
    <row r="5" spans="1:1814" ht="13.5" customHeight="1">
      <c r="A5" s="3"/>
      <c r="B5" s="219" t="s">
        <v>18</v>
      </c>
      <c r="C5" s="16" t="s">
        <v>19</v>
      </c>
      <c r="D5" s="219" t="s">
        <v>7</v>
      </c>
      <c r="E5" s="16" t="s">
        <v>21</v>
      </c>
      <c r="F5" s="219" t="s">
        <v>0</v>
      </c>
      <c r="G5" s="16" t="s">
        <v>23</v>
      </c>
      <c r="H5" s="219" t="s">
        <v>15</v>
      </c>
      <c r="I5" s="16" t="s">
        <v>25</v>
      </c>
      <c r="J5" s="219" t="s">
        <v>8</v>
      </c>
      <c r="K5" s="16" t="s">
        <v>27</v>
      </c>
      <c r="L5" s="219" t="s">
        <v>9</v>
      </c>
      <c r="M5" s="16" t="s">
        <v>29</v>
      </c>
      <c r="N5" s="219" t="s">
        <v>10</v>
      </c>
      <c r="O5" s="16" t="s">
        <v>31</v>
      </c>
      <c r="P5" s="219" t="s">
        <v>2</v>
      </c>
      <c r="Q5" s="16" t="s">
        <v>33</v>
      </c>
      <c r="R5" s="219" t="s">
        <v>3</v>
      </c>
      <c r="S5" s="16" t="s">
        <v>35</v>
      </c>
      <c r="T5" s="219" t="s">
        <v>17</v>
      </c>
      <c r="U5" s="16" t="s">
        <v>37</v>
      </c>
      <c r="V5" s="219" t="s">
        <v>12</v>
      </c>
      <c r="W5" s="16" t="s">
        <v>39</v>
      </c>
      <c r="X5" s="219" t="s">
        <v>5</v>
      </c>
      <c r="Y5" s="16" t="s">
        <v>41</v>
      </c>
      <c r="Z5" s="221" t="s">
        <v>6</v>
      </c>
      <c r="AA5" s="19" t="s">
        <v>43</v>
      </c>
      <c r="AB5" s="219" t="s">
        <v>18</v>
      </c>
      <c r="AC5" s="16" t="s">
        <v>45</v>
      </c>
      <c r="AD5" s="219" t="s">
        <v>7</v>
      </c>
      <c r="AE5" s="16" t="s">
        <v>47</v>
      </c>
      <c r="AF5" s="219" t="s">
        <v>0</v>
      </c>
      <c r="AG5" s="16" t="s">
        <v>49</v>
      </c>
      <c r="AH5" s="219" t="s">
        <v>15</v>
      </c>
      <c r="AI5" s="16" t="s">
        <v>51</v>
      </c>
      <c r="AJ5" s="219" t="s">
        <v>8</v>
      </c>
      <c r="AK5" s="16" t="s">
        <v>53</v>
      </c>
      <c r="AL5" s="219" t="s">
        <v>1</v>
      </c>
      <c r="AM5" s="16" t="s">
        <v>55</v>
      </c>
      <c r="AN5" s="219" t="s">
        <v>10</v>
      </c>
      <c r="AO5" s="16" t="s">
        <v>57</v>
      </c>
      <c r="AP5" s="219" t="s">
        <v>11</v>
      </c>
      <c r="AQ5" s="16" t="s">
        <v>59</v>
      </c>
      <c r="AR5" s="219" t="s">
        <v>16</v>
      </c>
      <c r="AS5" s="16" t="s">
        <v>61</v>
      </c>
      <c r="AT5" s="219" t="s">
        <v>4</v>
      </c>
      <c r="AU5" s="16" t="s">
        <v>63</v>
      </c>
      <c r="AV5" s="219" t="s">
        <v>12</v>
      </c>
      <c r="AW5" s="16" t="s">
        <v>65</v>
      </c>
      <c r="AX5" s="219" t="s">
        <v>13</v>
      </c>
      <c r="AY5" s="16" t="s">
        <v>67</v>
      </c>
      <c r="AZ5" s="221" t="s">
        <v>14</v>
      </c>
      <c r="BA5" s="19" t="s">
        <v>69</v>
      </c>
      <c r="BB5" s="219" t="s">
        <v>124</v>
      </c>
      <c r="BC5" s="16" t="s">
        <v>71</v>
      </c>
      <c r="BD5" s="219" t="s">
        <v>125</v>
      </c>
      <c r="BE5" s="16" t="s">
        <v>73</v>
      </c>
      <c r="BF5" s="219" t="s">
        <v>126</v>
      </c>
      <c r="BG5" s="16" t="s">
        <v>75</v>
      </c>
      <c r="BH5" s="219" t="s">
        <v>15</v>
      </c>
      <c r="BI5" s="16" t="s">
        <v>77</v>
      </c>
      <c r="BJ5" s="219" t="s">
        <v>8</v>
      </c>
      <c r="BK5" s="16" t="s">
        <v>79</v>
      </c>
      <c r="BL5" s="219" t="s">
        <v>9</v>
      </c>
      <c r="BM5" s="16" t="s">
        <v>81</v>
      </c>
      <c r="BN5" s="219" t="s">
        <v>127</v>
      </c>
      <c r="BO5" s="16" t="s">
        <v>83</v>
      </c>
      <c r="BP5" s="219" t="s">
        <v>11</v>
      </c>
      <c r="BQ5" s="16" t="s">
        <v>85</v>
      </c>
      <c r="BR5" s="219" t="s">
        <v>3</v>
      </c>
      <c r="BS5" s="16" t="s">
        <v>87</v>
      </c>
      <c r="BT5" s="219" t="s">
        <v>4</v>
      </c>
      <c r="BU5" s="16" t="s">
        <v>89</v>
      </c>
      <c r="BV5" s="219" t="s">
        <v>12</v>
      </c>
      <c r="BW5" s="16" t="s">
        <v>91</v>
      </c>
      <c r="BX5" s="219" t="s">
        <v>128</v>
      </c>
      <c r="BY5" s="16" t="s">
        <v>93</v>
      </c>
      <c r="BZ5" s="221" t="s">
        <v>129</v>
      </c>
      <c r="CA5" s="19" t="s">
        <v>95</v>
      </c>
      <c r="CB5" s="219" t="s">
        <v>18</v>
      </c>
      <c r="CC5" s="16" t="s">
        <v>97</v>
      </c>
      <c r="CD5" s="219" t="s">
        <v>7</v>
      </c>
      <c r="CE5" s="16" t="s">
        <v>99</v>
      </c>
      <c r="CF5" s="219" t="s">
        <v>0</v>
      </c>
      <c r="CG5" s="16" t="s">
        <v>101</v>
      </c>
      <c r="CH5" s="219" t="s">
        <v>181</v>
      </c>
      <c r="CI5" s="16" t="s">
        <v>103</v>
      </c>
      <c r="CJ5" s="219" t="s">
        <v>180</v>
      </c>
      <c r="CK5" s="16" t="s">
        <v>105</v>
      </c>
      <c r="CL5" s="219" t="s">
        <v>1</v>
      </c>
      <c r="CM5" s="16" t="s">
        <v>107</v>
      </c>
      <c r="CN5" s="219" t="s">
        <v>10</v>
      </c>
      <c r="CO5" s="16" t="s">
        <v>109</v>
      </c>
      <c r="CP5" s="219" t="s">
        <v>2</v>
      </c>
      <c r="CQ5" s="16" t="s">
        <v>111</v>
      </c>
      <c r="CR5" s="219" t="s">
        <v>16</v>
      </c>
      <c r="CS5" s="16" t="s">
        <v>113</v>
      </c>
      <c r="CT5" s="219" t="s">
        <v>17</v>
      </c>
      <c r="CU5" s="16" t="s">
        <v>115</v>
      </c>
      <c r="CV5" s="219" t="s">
        <v>12</v>
      </c>
      <c r="CW5" s="16" t="s">
        <v>117</v>
      </c>
      <c r="CX5" s="219" t="s">
        <v>13</v>
      </c>
      <c r="CY5" s="16" t="s">
        <v>130</v>
      </c>
      <c r="CZ5" s="221" t="s">
        <v>14</v>
      </c>
      <c r="DA5" s="19" t="s">
        <v>132</v>
      </c>
      <c r="DB5" s="219" t="s">
        <v>124</v>
      </c>
      <c r="DC5" s="16" t="s">
        <v>134</v>
      </c>
      <c r="DD5" s="219" t="s">
        <v>7</v>
      </c>
      <c r="DE5" s="16" t="s">
        <v>136</v>
      </c>
      <c r="DF5" s="219" t="s">
        <v>156</v>
      </c>
      <c r="DG5" s="16" t="s">
        <v>138</v>
      </c>
      <c r="DH5" s="219" t="s">
        <v>15</v>
      </c>
      <c r="DI5" s="16" t="s">
        <v>140</v>
      </c>
      <c r="DJ5" s="219" t="s">
        <v>8</v>
      </c>
      <c r="DK5" s="16" t="s">
        <v>142</v>
      </c>
      <c r="DL5" s="219" t="s">
        <v>1</v>
      </c>
      <c r="DM5" s="16" t="s">
        <v>144</v>
      </c>
      <c r="DN5" s="219" t="s">
        <v>127</v>
      </c>
      <c r="DO5" s="16" t="s">
        <v>146</v>
      </c>
      <c r="DP5" s="219" t="s">
        <v>11</v>
      </c>
      <c r="DQ5" s="16" t="s">
        <v>148</v>
      </c>
      <c r="DR5" s="219" t="s">
        <v>179</v>
      </c>
      <c r="DS5" s="16" t="s">
        <v>150</v>
      </c>
      <c r="DT5" s="219" t="s">
        <v>17</v>
      </c>
      <c r="DU5" s="16" t="s">
        <v>152</v>
      </c>
      <c r="DV5" s="219" t="s">
        <v>157</v>
      </c>
      <c r="DW5" s="16" t="s">
        <v>154</v>
      </c>
      <c r="DX5" s="219" t="s">
        <v>13</v>
      </c>
      <c r="DY5" s="16" t="s">
        <v>158</v>
      </c>
      <c r="DZ5" s="221" t="s">
        <v>14</v>
      </c>
      <c r="EA5" s="19" t="s">
        <v>160</v>
      </c>
      <c r="EB5" s="219" t="s">
        <v>124</v>
      </c>
      <c r="EC5" s="16" t="s">
        <v>162</v>
      </c>
      <c r="ED5" s="219" t="s">
        <v>198</v>
      </c>
      <c r="EE5" s="16" t="s">
        <v>164</v>
      </c>
      <c r="EF5" s="219" t="s">
        <v>0</v>
      </c>
      <c r="EG5" s="16" t="s">
        <v>166</v>
      </c>
      <c r="EH5" s="219" t="s">
        <v>15</v>
      </c>
      <c r="EI5" s="16" t="s">
        <v>169</v>
      </c>
      <c r="EJ5" s="219" t="s">
        <v>8</v>
      </c>
      <c r="EK5" s="16" t="s">
        <v>170</v>
      </c>
      <c r="EL5" s="219" t="s">
        <v>9</v>
      </c>
      <c r="EM5" s="16" t="s">
        <v>173</v>
      </c>
      <c r="EN5" s="219" t="s">
        <v>10</v>
      </c>
      <c r="EO5" s="16" t="s">
        <v>175</v>
      </c>
      <c r="EP5" s="219" t="s">
        <v>11</v>
      </c>
      <c r="EQ5" s="16" t="s">
        <v>177</v>
      </c>
      <c r="ER5" s="219" t="s">
        <v>16</v>
      </c>
      <c r="ES5" s="16" t="s">
        <v>182</v>
      </c>
      <c r="ET5" s="219" t="s">
        <v>17</v>
      </c>
      <c r="EU5" s="16" t="s">
        <v>184</v>
      </c>
      <c r="EV5" s="219" t="s">
        <v>12</v>
      </c>
      <c r="EW5" s="16" t="s">
        <v>186</v>
      </c>
      <c r="EX5" s="219" t="s">
        <v>13</v>
      </c>
      <c r="EY5" s="16" t="s">
        <v>188</v>
      </c>
      <c r="EZ5" s="217" t="s">
        <v>335</v>
      </c>
      <c r="FA5" s="34" t="s">
        <v>190</v>
      </c>
      <c r="FB5" s="219" t="s">
        <v>18</v>
      </c>
      <c r="FC5" s="16" t="s">
        <v>192</v>
      </c>
      <c r="FD5" s="219" t="s">
        <v>7</v>
      </c>
      <c r="FE5" s="16" t="s">
        <v>194</v>
      </c>
      <c r="FF5" s="219" t="s">
        <v>156</v>
      </c>
      <c r="FG5" s="16" t="s">
        <v>196</v>
      </c>
      <c r="FH5" s="219" t="s">
        <v>15</v>
      </c>
      <c r="FI5" s="16" t="s">
        <v>199</v>
      </c>
      <c r="FJ5" s="219" t="s">
        <v>211</v>
      </c>
      <c r="FK5" s="16" t="s">
        <v>201</v>
      </c>
      <c r="FL5" s="219" t="s">
        <v>9</v>
      </c>
      <c r="FM5" s="16" t="s">
        <v>203</v>
      </c>
      <c r="FN5" s="219" t="s">
        <v>127</v>
      </c>
      <c r="FO5" s="16" t="s">
        <v>205</v>
      </c>
      <c r="FP5" s="219" t="s">
        <v>2</v>
      </c>
      <c r="FQ5" s="16" t="s">
        <v>207</v>
      </c>
      <c r="FR5" s="219" t="s">
        <v>16</v>
      </c>
      <c r="FS5" s="16" t="s">
        <v>209</v>
      </c>
      <c r="FT5" s="219" t="s">
        <v>17</v>
      </c>
      <c r="FU5" s="16" t="s">
        <v>212</v>
      </c>
      <c r="FV5" s="219" t="s">
        <v>12</v>
      </c>
      <c r="FW5" s="16" t="s">
        <v>214</v>
      </c>
      <c r="FX5" s="210" t="s">
        <v>13</v>
      </c>
      <c r="FY5" s="16" t="s">
        <v>216</v>
      </c>
      <c r="FZ5" s="217" t="s">
        <v>6</v>
      </c>
      <c r="GA5" s="34" t="s">
        <v>218</v>
      </c>
      <c r="GB5" s="210" t="s">
        <v>18</v>
      </c>
      <c r="GC5" s="16" t="s">
        <v>220</v>
      </c>
      <c r="GD5" s="210" t="s">
        <v>258</v>
      </c>
      <c r="GE5" s="16" t="s">
        <v>222</v>
      </c>
      <c r="GF5" s="210" t="s">
        <v>0</v>
      </c>
      <c r="GG5" s="16" t="s">
        <v>224</v>
      </c>
      <c r="GH5" s="210" t="s">
        <v>259</v>
      </c>
      <c r="GI5" s="16" t="s">
        <v>226</v>
      </c>
      <c r="GJ5" s="210" t="s">
        <v>211</v>
      </c>
      <c r="GK5" s="16" t="s">
        <v>228</v>
      </c>
      <c r="GL5" s="210" t="s">
        <v>260</v>
      </c>
      <c r="GM5" s="16" t="s">
        <v>230</v>
      </c>
      <c r="GN5" s="210" t="s">
        <v>127</v>
      </c>
      <c r="GO5" s="16" t="s">
        <v>232</v>
      </c>
      <c r="GP5" s="210" t="s">
        <v>2</v>
      </c>
      <c r="GQ5" s="16" t="s">
        <v>234</v>
      </c>
      <c r="GR5" s="210" t="s">
        <v>3</v>
      </c>
      <c r="GS5" s="16" t="s">
        <v>236</v>
      </c>
      <c r="GT5" s="210" t="s">
        <v>4</v>
      </c>
      <c r="GU5" s="16" t="s">
        <v>238</v>
      </c>
      <c r="GV5" s="210" t="s">
        <v>157</v>
      </c>
      <c r="GW5" s="16" t="s">
        <v>240</v>
      </c>
      <c r="GX5" s="210" t="s">
        <v>5</v>
      </c>
      <c r="GY5" s="16" t="s">
        <v>242</v>
      </c>
      <c r="GZ5" s="221" t="s">
        <v>261</v>
      </c>
      <c r="HA5" s="19" t="s">
        <v>244</v>
      </c>
      <c r="HB5" s="210" t="s">
        <v>289</v>
      </c>
      <c r="HC5" s="16" t="s">
        <v>246</v>
      </c>
      <c r="HD5" s="210" t="s">
        <v>198</v>
      </c>
      <c r="HE5" s="16" t="s">
        <v>248</v>
      </c>
      <c r="HF5" s="210" t="s">
        <v>0</v>
      </c>
      <c r="HG5" s="16" t="s">
        <v>250</v>
      </c>
      <c r="HH5" s="210" t="s">
        <v>259</v>
      </c>
      <c r="HI5" s="16" t="s">
        <v>253</v>
      </c>
      <c r="HJ5" s="210" t="s">
        <v>211</v>
      </c>
      <c r="HK5" s="16" t="s">
        <v>254</v>
      </c>
      <c r="HL5" s="210" t="s">
        <v>1</v>
      </c>
      <c r="HM5" s="16" t="s">
        <v>256</v>
      </c>
      <c r="HN5" s="210" t="s">
        <v>127</v>
      </c>
      <c r="HO5" s="16" t="s">
        <v>262</v>
      </c>
      <c r="HP5" s="210" t="s">
        <v>2</v>
      </c>
      <c r="HQ5" s="16" t="s">
        <v>264</v>
      </c>
      <c r="HR5" s="210" t="s">
        <v>3</v>
      </c>
      <c r="HS5" s="16" t="s">
        <v>267</v>
      </c>
      <c r="HT5" s="210" t="s">
        <v>4</v>
      </c>
      <c r="HU5" s="16" t="s">
        <v>268</v>
      </c>
      <c r="HV5" s="210" t="s">
        <v>157</v>
      </c>
      <c r="HW5" s="16" t="s">
        <v>270</v>
      </c>
      <c r="HX5" s="210" t="s">
        <v>5</v>
      </c>
      <c r="HY5" s="16" t="s">
        <v>272</v>
      </c>
      <c r="HZ5" s="217" t="s">
        <v>288</v>
      </c>
      <c r="IA5" s="34" t="s">
        <v>274</v>
      </c>
      <c r="IB5" s="210" t="s">
        <v>18</v>
      </c>
      <c r="IC5" s="16" t="s">
        <v>276</v>
      </c>
      <c r="ID5" s="210" t="s">
        <v>258</v>
      </c>
      <c r="IE5" s="16" t="s">
        <v>278</v>
      </c>
      <c r="IF5" s="210" t="s">
        <v>156</v>
      </c>
      <c r="IG5" s="16" t="s">
        <v>280</v>
      </c>
      <c r="IH5" s="210" t="s">
        <v>15</v>
      </c>
      <c r="II5" s="16" t="s">
        <v>282</v>
      </c>
      <c r="IJ5" s="210" t="s">
        <v>312</v>
      </c>
      <c r="IK5" s="16" t="s">
        <v>284</v>
      </c>
      <c r="IL5" s="210" t="s">
        <v>1</v>
      </c>
      <c r="IM5" s="16" t="s">
        <v>286</v>
      </c>
      <c r="IN5" s="210" t="s">
        <v>127</v>
      </c>
      <c r="IO5" s="16" t="s">
        <v>290</v>
      </c>
      <c r="IP5" s="210" t="s">
        <v>11</v>
      </c>
      <c r="IQ5" s="16" t="s">
        <v>292</v>
      </c>
      <c r="IR5" s="210" t="s">
        <v>16</v>
      </c>
      <c r="IS5" s="16" t="s">
        <v>294</v>
      </c>
      <c r="IT5" s="210" t="s">
        <v>17</v>
      </c>
      <c r="IU5" s="181" t="s">
        <v>296</v>
      </c>
      <c r="IV5" s="210" t="s">
        <v>12</v>
      </c>
      <c r="IW5" s="16" t="s">
        <v>298</v>
      </c>
      <c r="IX5" s="210" t="s">
        <v>128</v>
      </c>
      <c r="IY5" s="16" t="s">
        <v>300</v>
      </c>
      <c r="IZ5" s="217" t="s">
        <v>261</v>
      </c>
      <c r="JA5" s="133" t="s">
        <v>302</v>
      </c>
      <c r="JB5" s="210" t="s">
        <v>124</v>
      </c>
      <c r="JC5" s="135" t="s">
        <v>304</v>
      </c>
      <c r="JD5" s="210" t="s">
        <v>258</v>
      </c>
      <c r="JE5" s="135" t="s">
        <v>306</v>
      </c>
      <c r="JF5" s="210" t="s">
        <v>336</v>
      </c>
      <c r="JG5" s="135" t="s">
        <v>308</v>
      </c>
      <c r="JH5" s="210" t="s">
        <v>15</v>
      </c>
      <c r="JI5" s="135" t="s">
        <v>310</v>
      </c>
      <c r="JJ5" s="210" t="s">
        <v>8</v>
      </c>
      <c r="JK5" s="135" t="s">
        <v>314</v>
      </c>
      <c r="JL5" s="210" t="s">
        <v>9</v>
      </c>
      <c r="JM5" s="135" t="s">
        <v>321</v>
      </c>
      <c r="JN5" s="210" t="s">
        <v>10</v>
      </c>
      <c r="JO5" s="135" t="s">
        <v>323</v>
      </c>
      <c r="JP5" s="210" t="s">
        <v>11</v>
      </c>
      <c r="JQ5" s="135" t="s">
        <v>325</v>
      </c>
      <c r="JR5" s="210" t="s">
        <v>16</v>
      </c>
      <c r="JS5" s="135" t="s">
        <v>327</v>
      </c>
      <c r="JT5" s="210" t="s">
        <v>17</v>
      </c>
      <c r="JU5" s="135" t="s">
        <v>329</v>
      </c>
      <c r="JV5" s="210" t="s">
        <v>157</v>
      </c>
      <c r="JW5" s="135" t="s">
        <v>331</v>
      </c>
      <c r="JX5" s="210" t="s">
        <v>13</v>
      </c>
      <c r="JY5" s="135" t="s">
        <v>333</v>
      </c>
      <c r="JZ5" s="217" t="s">
        <v>14</v>
      </c>
      <c r="KA5" s="133" t="s">
        <v>337</v>
      </c>
      <c r="KB5" s="210" t="s">
        <v>18</v>
      </c>
      <c r="KC5" s="135" t="s">
        <v>339</v>
      </c>
      <c r="KD5" s="210" t="s">
        <v>7</v>
      </c>
      <c r="KE5" s="135" t="s">
        <v>341</v>
      </c>
      <c r="KF5" s="210" t="s">
        <v>156</v>
      </c>
      <c r="KG5" s="135" t="s">
        <v>343</v>
      </c>
      <c r="KH5" s="210" t="s">
        <v>15</v>
      </c>
      <c r="KI5" s="135" t="s">
        <v>345</v>
      </c>
      <c r="KJ5" s="210" t="s">
        <v>8</v>
      </c>
      <c r="KK5" s="135" t="s">
        <v>347</v>
      </c>
      <c r="KL5" s="210" t="s">
        <v>9</v>
      </c>
      <c r="KM5" s="135" t="s">
        <v>350</v>
      </c>
      <c r="KN5" s="210" t="s">
        <v>10</v>
      </c>
      <c r="KO5" s="135" t="s">
        <v>352</v>
      </c>
      <c r="KP5" s="210" t="s">
        <v>11</v>
      </c>
      <c r="KQ5" s="135" t="s">
        <v>354</v>
      </c>
      <c r="KR5" s="210" t="s">
        <v>16</v>
      </c>
      <c r="KS5" s="135" t="s">
        <v>356</v>
      </c>
      <c r="KT5" s="210" t="s">
        <v>17</v>
      </c>
      <c r="KU5" s="135" t="s">
        <v>358</v>
      </c>
      <c r="KV5" s="210" t="s">
        <v>12</v>
      </c>
      <c r="KW5" s="135" t="s">
        <v>360</v>
      </c>
      <c r="KX5" s="210" t="s">
        <v>13</v>
      </c>
      <c r="KY5" s="135" t="s">
        <v>362</v>
      </c>
      <c r="KZ5" s="217" t="s">
        <v>14</v>
      </c>
      <c r="LA5" s="192" t="s">
        <v>364</v>
      </c>
      <c r="LB5" s="210" t="s">
        <v>124</v>
      </c>
      <c r="LC5" s="135" t="s">
        <v>370</v>
      </c>
      <c r="LD5" s="210" t="s">
        <v>7</v>
      </c>
      <c r="LE5" s="135" t="s">
        <v>372</v>
      </c>
      <c r="LF5" s="210" t="s">
        <v>390</v>
      </c>
      <c r="LG5" s="135" t="s">
        <v>374</v>
      </c>
      <c r="LH5" s="210" t="s">
        <v>181</v>
      </c>
      <c r="LI5" s="135" t="s">
        <v>376</v>
      </c>
      <c r="LJ5" s="210" t="s">
        <v>8</v>
      </c>
      <c r="LK5" s="135" t="s">
        <v>378</v>
      </c>
      <c r="LL5" s="210" t="s">
        <v>9</v>
      </c>
      <c r="LM5" s="135" t="s">
        <v>380</v>
      </c>
      <c r="LN5" s="210" t="s">
        <v>10</v>
      </c>
      <c r="LO5" s="181" t="s">
        <v>382</v>
      </c>
      <c r="LP5" s="210" t="s">
        <v>11</v>
      </c>
      <c r="LQ5" s="181" t="s">
        <v>384</v>
      </c>
      <c r="LR5" s="210" t="s">
        <v>412</v>
      </c>
      <c r="LS5" s="181" t="s">
        <v>386</v>
      </c>
      <c r="LT5" s="210" t="s">
        <v>413</v>
      </c>
      <c r="LU5" s="181" t="s">
        <v>388</v>
      </c>
      <c r="LV5" s="210" t="s">
        <v>414</v>
      </c>
      <c r="LW5" s="181" t="s">
        <v>391</v>
      </c>
      <c r="LX5" s="210" t="s">
        <v>415</v>
      </c>
      <c r="LY5" s="181" t="s">
        <v>393</v>
      </c>
      <c r="LZ5" s="217" t="s">
        <v>416</v>
      </c>
      <c r="MA5" s="193" t="s">
        <v>395</v>
      </c>
      <c r="MB5" s="206" t="s">
        <v>417</v>
      </c>
      <c r="MC5" s="16" t="s">
        <v>397</v>
      </c>
      <c r="MD5" s="206" t="s">
        <v>418</v>
      </c>
      <c r="ME5" s="199" t="s">
        <v>399</v>
      </c>
      <c r="MF5" s="206" t="s">
        <v>419</v>
      </c>
      <c r="MG5" s="199" t="s">
        <v>405</v>
      </c>
      <c r="MH5" s="206" t="s">
        <v>420</v>
      </c>
      <c r="MI5" s="199" t="s">
        <v>407</v>
      </c>
      <c r="MJ5" s="206" t="s">
        <v>421</v>
      </c>
      <c r="MK5" s="199" t="s">
        <v>409</v>
      </c>
      <c r="ML5" s="206" t="s">
        <v>422</v>
      </c>
      <c r="MM5" s="199" t="s">
        <v>423</v>
      </c>
      <c r="MN5" s="206" t="s">
        <v>425</v>
      </c>
      <c r="MO5" s="199" t="s">
        <v>426</v>
      </c>
      <c r="MP5" s="206" t="s">
        <v>428</v>
      </c>
      <c r="MQ5" s="199" t="s">
        <v>429</v>
      </c>
    </row>
    <row r="6" spans="1:1814" s="29" customFormat="1">
      <c r="A6" s="4"/>
      <c r="B6" s="220"/>
      <c r="C6" s="15" t="s">
        <v>20</v>
      </c>
      <c r="D6" s="220"/>
      <c r="E6" s="15" t="s">
        <v>22</v>
      </c>
      <c r="F6" s="220"/>
      <c r="G6" s="15" t="s">
        <v>24</v>
      </c>
      <c r="H6" s="220"/>
      <c r="I6" s="15" t="s">
        <v>26</v>
      </c>
      <c r="J6" s="220"/>
      <c r="K6" s="15" t="s">
        <v>28</v>
      </c>
      <c r="L6" s="220"/>
      <c r="M6" s="15" t="s">
        <v>30</v>
      </c>
      <c r="N6" s="220"/>
      <c r="O6" s="15" t="s">
        <v>32</v>
      </c>
      <c r="P6" s="220"/>
      <c r="Q6" s="15" t="s">
        <v>34</v>
      </c>
      <c r="R6" s="220"/>
      <c r="S6" s="15" t="s">
        <v>36</v>
      </c>
      <c r="T6" s="220"/>
      <c r="U6" s="15" t="s">
        <v>38</v>
      </c>
      <c r="V6" s="220"/>
      <c r="W6" s="15" t="s">
        <v>40</v>
      </c>
      <c r="X6" s="220"/>
      <c r="Y6" s="15" t="s">
        <v>42</v>
      </c>
      <c r="Z6" s="222"/>
      <c r="AA6" s="18" t="s">
        <v>44</v>
      </c>
      <c r="AB6" s="220"/>
      <c r="AC6" s="15" t="s">
        <v>46</v>
      </c>
      <c r="AD6" s="220"/>
      <c r="AE6" s="15" t="s">
        <v>48</v>
      </c>
      <c r="AF6" s="220"/>
      <c r="AG6" s="15" t="s">
        <v>50</v>
      </c>
      <c r="AH6" s="220"/>
      <c r="AI6" s="15" t="s">
        <v>52</v>
      </c>
      <c r="AJ6" s="220"/>
      <c r="AK6" s="15" t="s">
        <v>54</v>
      </c>
      <c r="AL6" s="220"/>
      <c r="AM6" s="15" t="s">
        <v>56</v>
      </c>
      <c r="AN6" s="220"/>
      <c r="AO6" s="15" t="s">
        <v>58</v>
      </c>
      <c r="AP6" s="220"/>
      <c r="AQ6" s="15" t="s">
        <v>60</v>
      </c>
      <c r="AR6" s="220"/>
      <c r="AS6" s="15" t="s">
        <v>62</v>
      </c>
      <c r="AT6" s="220"/>
      <c r="AU6" s="15" t="s">
        <v>64</v>
      </c>
      <c r="AV6" s="220"/>
      <c r="AW6" s="15" t="s">
        <v>66</v>
      </c>
      <c r="AX6" s="220"/>
      <c r="AY6" s="15" t="s">
        <v>68</v>
      </c>
      <c r="AZ6" s="222"/>
      <c r="BA6" s="18" t="s">
        <v>70</v>
      </c>
      <c r="BB6" s="220"/>
      <c r="BC6" s="15" t="s">
        <v>72</v>
      </c>
      <c r="BD6" s="220"/>
      <c r="BE6" s="15" t="s">
        <v>74</v>
      </c>
      <c r="BF6" s="220"/>
      <c r="BG6" s="15" t="s">
        <v>76</v>
      </c>
      <c r="BH6" s="220"/>
      <c r="BI6" s="15" t="s">
        <v>78</v>
      </c>
      <c r="BJ6" s="220"/>
      <c r="BK6" s="15" t="s">
        <v>80</v>
      </c>
      <c r="BL6" s="220"/>
      <c r="BM6" s="15" t="s">
        <v>82</v>
      </c>
      <c r="BN6" s="220"/>
      <c r="BO6" s="15" t="s">
        <v>84</v>
      </c>
      <c r="BP6" s="220"/>
      <c r="BQ6" s="15" t="s">
        <v>86</v>
      </c>
      <c r="BR6" s="220"/>
      <c r="BS6" s="15" t="s">
        <v>88</v>
      </c>
      <c r="BT6" s="220"/>
      <c r="BU6" s="15" t="s">
        <v>90</v>
      </c>
      <c r="BV6" s="220"/>
      <c r="BW6" s="15" t="s">
        <v>92</v>
      </c>
      <c r="BX6" s="220"/>
      <c r="BY6" s="15" t="s">
        <v>94</v>
      </c>
      <c r="BZ6" s="222"/>
      <c r="CA6" s="18" t="s">
        <v>96</v>
      </c>
      <c r="CB6" s="220"/>
      <c r="CC6" s="15" t="s">
        <v>98</v>
      </c>
      <c r="CD6" s="220"/>
      <c r="CE6" s="15" t="s">
        <v>100</v>
      </c>
      <c r="CF6" s="220"/>
      <c r="CG6" s="15" t="s">
        <v>102</v>
      </c>
      <c r="CH6" s="220"/>
      <c r="CI6" s="15" t="s">
        <v>104</v>
      </c>
      <c r="CJ6" s="220"/>
      <c r="CK6" s="15" t="s">
        <v>106</v>
      </c>
      <c r="CL6" s="220"/>
      <c r="CM6" s="15" t="s">
        <v>108</v>
      </c>
      <c r="CN6" s="220"/>
      <c r="CO6" s="15" t="s">
        <v>110</v>
      </c>
      <c r="CP6" s="220"/>
      <c r="CQ6" s="15" t="s">
        <v>112</v>
      </c>
      <c r="CR6" s="220"/>
      <c r="CS6" s="15" t="s">
        <v>114</v>
      </c>
      <c r="CT6" s="220"/>
      <c r="CU6" s="15" t="s">
        <v>116</v>
      </c>
      <c r="CV6" s="220"/>
      <c r="CW6" s="15" t="s">
        <v>118</v>
      </c>
      <c r="CX6" s="220"/>
      <c r="CY6" s="15" t="s">
        <v>131</v>
      </c>
      <c r="CZ6" s="222"/>
      <c r="DA6" s="18" t="s">
        <v>133</v>
      </c>
      <c r="DB6" s="220"/>
      <c r="DC6" s="15" t="s">
        <v>135</v>
      </c>
      <c r="DD6" s="220"/>
      <c r="DE6" s="15" t="s">
        <v>137</v>
      </c>
      <c r="DF6" s="220"/>
      <c r="DG6" s="15" t="s">
        <v>139</v>
      </c>
      <c r="DH6" s="220"/>
      <c r="DI6" s="15" t="s">
        <v>141</v>
      </c>
      <c r="DJ6" s="220"/>
      <c r="DK6" s="15" t="s">
        <v>143</v>
      </c>
      <c r="DL6" s="220"/>
      <c r="DM6" s="15" t="s">
        <v>145</v>
      </c>
      <c r="DN6" s="220"/>
      <c r="DO6" s="15" t="s">
        <v>147</v>
      </c>
      <c r="DP6" s="220"/>
      <c r="DQ6" s="15" t="s">
        <v>149</v>
      </c>
      <c r="DR6" s="220"/>
      <c r="DS6" s="15" t="s">
        <v>151</v>
      </c>
      <c r="DT6" s="220"/>
      <c r="DU6" s="15" t="s">
        <v>153</v>
      </c>
      <c r="DV6" s="220"/>
      <c r="DW6" s="15" t="s">
        <v>155</v>
      </c>
      <c r="DX6" s="220"/>
      <c r="DY6" s="15" t="s">
        <v>159</v>
      </c>
      <c r="DZ6" s="222"/>
      <c r="EA6" s="18" t="s">
        <v>161</v>
      </c>
      <c r="EB6" s="220"/>
      <c r="EC6" s="15" t="s">
        <v>163</v>
      </c>
      <c r="ED6" s="220"/>
      <c r="EE6" s="15" t="s">
        <v>165</v>
      </c>
      <c r="EF6" s="220"/>
      <c r="EG6" s="15" t="s">
        <v>167</v>
      </c>
      <c r="EH6" s="220"/>
      <c r="EI6" s="15" t="s">
        <v>168</v>
      </c>
      <c r="EJ6" s="220"/>
      <c r="EK6" s="15" t="s">
        <v>171</v>
      </c>
      <c r="EL6" s="220"/>
      <c r="EM6" s="15" t="s">
        <v>174</v>
      </c>
      <c r="EN6" s="220"/>
      <c r="EO6" s="15" t="s">
        <v>176</v>
      </c>
      <c r="EP6" s="220"/>
      <c r="EQ6" s="15" t="s">
        <v>178</v>
      </c>
      <c r="ER6" s="220"/>
      <c r="ES6" s="15" t="s">
        <v>183</v>
      </c>
      <c r="ET6" s="220"/>
      <c r="EU6" s="15" t="s">
        <v>185</v>
      </c>
      <c r="EV6" s="220"/>
      <c r="EW6" s="15" t="s">
        <v>187</v>
      </c>
      <c r="EX6" s="220"/>
      <c r="EY6" s="15" t="s">
        <v>189</v>
      </c>
      <c r="EZ6" s="218"/>
      <c r="FA6" s="35" t="s">
        <v>191</v>
      </c>
      <c r="FB6" s="220"/>
      <c r="FC6" s="15" t="s">
        <v>193</v>
      </c>
      <c r="FD6" s="220"/>
      <c r="FE6" s="15" t="s">
        <v>195</v>
      </c>
      <c r="FF6" s="220"/>
      <c r="FG6" s="15" t="s">
        <v>197</v>
      </c>
      <c r="FH6" s="220"/>
      <c r="FI6" s="15" t="s">
        <v>200</v>
      </c>
      <c r="FJ6" s="220"/>
      <c r="FK6" s="15" t="s">
        <v>202</v>
      </c>
      <c r="FL6" s="220"/>
      <c r="FM6" s="15" t="s">
        <v>204</v>
      </c>
      <c r="FN6" s="220"/>
      <c r="FO6" s="15" t="s">
        <v>206</v>
      </c>
      <c r="FP6" s="220"/>
      <c r="FQ6" s="15" t="s">
        <v>208</v>
      </c>
      <c r="FR6" s="220"/>
      <c r="FS6" s="15" t="s">
        <v>210</v>
      </c>
      <c r="FT6" s="220"/>
      <c r="FU6" s="15" t="s">
        <v>213</v>
      </c>
      <c r="FV6" s="220"/>
      <c r="FW6" s="15" t="s">
        <v>215</v>
      </c>
      <c r="FX6" s="207"/>
      <c r="FY6" s="15" t="s">
        <v>217</v>
      </c>
      <c r="FZ6" s="218"/>
      <c r="GA6" s="35" t="s">
        <v>219</v>
      </c>
      <c r="GB6" s="207"/>
      <c r="GC6" s="15" t="s">
        <v>221</v>
      </c>
      <c r="GD6" s="207"/>
      <c r="GE6" s="15" t="s">
        <v>223</v>
      </c>
      <c r="GF6" s="207"/>
      <c r="GG6" s="15" t="s">
        <v>225</v>
      </c>
      <c r="GH6" s="207"/>
      <c r="GI6" s="15" t="s">
        <v>227</v>
      </c>
      <c r="GJ6" s="207"/>
      <c r="GK6" s="15" t="s">
        <v>229</v>
      </c>
      <c r="GL6" s="207"/>
      <c r="GM6" s="15" t="s">
        <v>231</v>
      </c>
      <c r="GN6" s="207"/>
      <c r="GO6" s="15" t="s">
        <v>233</v>
      </c>
      <c r="GP6" s="207"/>
      <c r="GQ6" s="15" t="s">
        <v>235</v>
      </c>
      <c r="GR6" s="207"/>
      <c r="GS6" s="15" t="s">
        <v>237</v>
      </c>
      <c r="GT6" s="207"/>
      <c r="GU6" s="15" t="s">
        <v>239</v>
      </c>
      <c r="GV6" s="207"/>
      <c r="GW6" s="15" t="s">
        <v>241</v>
      </c>
      <c r="GX6" s="207"/>
      <c r="GY6" s="15" t="s">
        <v>243</v>
      </c>
      <c r="GZ6" s="222"/>
      <c r="HA6" s="18" t="s">
        <v>245</v>
      </c>
      <c r="HB6" s="207"/>
      <c r="HC6" s="15" t="s">
        <v>247</v>
      </c>
      <c r="HD6" s="207"/>
      <c r="HE6" s="15" t="s">
        <v>249</v>
      </c>
      <c r="HF6" s="207"/>
      <c r="HG6" s="15" t="s">
        <v>251</v>
      </c>
      <c r="HH6" s="207"/>
      <c r="HI6" s="15" t="s">
        <v>252</v>
      </c>
      <c r="HJ6" s="207"/>
      <c r="HK6" s="15" t="s">
        <v>255</v>
      </c>
      <c r="HL6" s="207"/>
      <c r="HM6" s="15" t="s">
        <v>257</v>
      </c>
      <c r="HN6" s="207"/>
      <c r="HO6" s="15" t="s">
        <v>263</v>
      </c>
      <c r="HP6" s="207"/>
      <c r="HQ6" s="15" t="s">
        <v>265</v>
      </c>
      <c r="HR6" s="207"/>
      <c r="HS6" s="15" t="s">
        <v>266</v>
      </c>
      <c r="HT6" s="207"/>
      <c r="HU6" s="15" t="s">
        <v>269</v>
      </c>
      <c r="HV6" s="207"/>
      <c r="HW6" s="15" t="s">
        <v>271</v>
      </c>
      <c r="HX6" s="207"/>
      <c r="HY6" s="15" t="s">
        <v>273</v>
      </c>
      <c r="HZ6" s="218"/>
      <c r="IA6" s="35" t="s">
        <v>275</v>
      </c>
      <c r="IB6" s="207"/>
      <c r="IC6" s="15" t="s">
        <v>277</v>
      </c>
      <c r="ID6" s="207"/>
      <c r="IE6" s="15" t="s">
        <v>279</v>
      </c>
      <c r="IF6" s="207"/>
      <c r="IG6" s="15" t="s">
        <v>281</v>
      </c>
      <c r="IH6" s="207"/>
      <c r="II6" s="16" t="s">
        <v>283</v>
      </c>
      <c r="IJ6" s="207"/>
      <c r="IK6" s="16" t="s">
        <v>285</v>
      </c>
      <c r="IL6" s="207"/>
      <c r="IM6" s="16" t="s">
        <v>287</v>
      </c>
      <c r="IN6" s="207"/>
      <c r="IO6" s="16" t="s">
        <v>291</v>
      </c>
      <c r="IP6" s="207"/>
      <c r="IQ6" s="16" t="s">
        <v>293</v>
      </c>
      <c r="IR6" s="207"/>
      <c r="IS6" s="16" t="s">
        <v>295</v>
      </c>
      <c r="IT6" s="207"/>
      <c r="IU6" s="15" t="s">
        <v>297</v>
      </c>
      <c r="IV6" s="207"/>
      <c r="IW6" s="15" t="s">
        <v>299</v>
      </c>
      <c r="IX6" s="207"/>
      <c r="IY6" s="15" t="s">
        <v>301</v>
      </c>
      <c r="IZ6" s="218"/>
      <c r="JA6" s="134" t="s">
        <v>303</v>
      </c>
      <c r="JB6" s="207"/>
      <c r="JC6" s="136" t="s">
        <v>305</v>
      </c>
      <c r="JD6" s="207"/>
      <c r="JE6" s="136" t="s">
        <v>307</v>
      </c>
      <c r="JF6" s="207"/>
      <c r="JG6" s="136" t="s">
        <v>309</v>
      </c>
      <c r="JH6" s="207"/>
      <c r="JI6" s="136" t="s">
        <v>311</v>
      </c>
      <c r="JJ6" s="207"/>
      <c r="JK6" s="136" t="s">
        <v>313</v>
      </c>
      <c r="JL6" s="207"/>
      <c r="JM6" s="136" t="s">
        <v>322</v>
      </c>
      <c r="JN6" s="207"/>
      <c r="JO6" s="136" t="s">
        <v>324</v>
      </c>
      <c r="JP6" s="207"/>
      <c r="JQ6" s="136" t="s">
        <v>326</v>
      </c>
      <c r="JR6" s="207"/>
      <c r="JS6" s="136" t="s">
        <v>328</v>
      </c>
      <c r="JT6" s="207"/>
      <c r="JU6" s="136" t="s">
        <v>330</v>
      </c>
      <c r="JV6" s="207"/>
      <c r="JW6" s="136" t="s">
        <v>332</v>
      </c>
      <c r="JX6" s="207"/>
      <c r="JY6" s="136" t="s">
        <v>334</v>
      </c>
      <c r="JZ6" s="218"/>
      <c r="KA6" s="134" t="s">
        <v>338</v>
      </c>
      <c r="KB6" s="207"/>
      <c r="KC6" s="136" t="s">
        <v>340</v>
      </c>
      <c r="KD6" s="207"/>
      <c r="KE6" s="136" t="s">
        <v>342</v>
      </c>
      <c r="KF6" s="207"/>
      <c r="KG6" s="136" t="s">
        <v>344</v>
      </c>
      <c r="KH6" s="207"/>
      <c r="KI6" s="136" t="s">
        <v>346</v>
      </c>
      <c r="KJ6" s="207"/>
      <c r="KK6" s="136" t="s">
        <v>348</v>
      </c>
      <c r="KL6" s="207"/>
      <c r="KM6" s="136" t="s">
        <v>351</v>
      </c>
      <c r="KN6" s="207"/>
      <c r="KO6" s="136" t="s">
        <v>353</v>
      </c>
      <c r="KP6" s="207"/>
      <c r="KQ6" s="136" t="s">
        <v>355</v>
      </c>
      <c r="KR6" s="207"/>
      <c r="KS6" s="136" t="s">
        <v>357</v>
      </c>
      <c r="KT6" s="207"/>
      <c r="KU6" s="136" t="s">
        <v>359</v>
      </c>
      <c r="KV6" s="207"/>
      <c r="KW6" s="136" t="s">
        <v>361</v>
      </c>
      <c r="KX6" s="207"/>
      <c r="KY6" s="136" t="s">
        <v>363</v>
      </c>
      <c r="KZ6" s="218"/>
      <c r="LA6" s="134" t="s">
        <v>365</v>
      </c>
      <c r="LB6" s="207"/>
      <c r="LC6" s="136" t="s">
        <v>371</v>
      </c>
      <c r="LD6" s="207"/>
      <c r="LE6" s="136" t="s">
        <v>373</v>
      </c>
      <c r="LF6" s="207"/>
      <c r="LG6" s="136" t="s">
        <v>375</v>
      </c>
      <c r="LH6" s="207"/>
      <c r="LI6" s="136" t="s">
        <v>377</v>
      </c>
      <c r="LJ6" s="207"/>
      <c r="LK6" s="136" t="s">
        <v>379</v>
      </c>
      <c r="LL6" s="207"/>
      <c r="LM6" s="136" t="s">
        <v>381</v>
      </c>
      <c r="LN6" s="207"/>
      <c r="LO6" s="15" t="s">
        <v>383</v>
      </c>
      <c r="LP6" s="207"/>
      <c r="LQ6" s="15" t="s">
        <v>385</v>
      </c>
      <c r="LR6" s="207"/>
      <c r="LS6" s="15" t="s">
        <v>387</v>
      </c>
      <c r="LT6" s="207"/>
      <c r="LU6" s="15" t="s">
        <v>389</v>
      </c>
      <c r="LV6" s="207"/>
      <c r="LW6" s="15" t="s">
        <v>392</v>
      </c>
      <c r="LX6" s="207"/>
      <c r="LY6" s="15" t="s">
        <v>394</v>
      </c>
      <c r="LZ6" s="218"/>
      <c r="MA6" s="35" t="s">
        <v>396</v>
      </c>
      <c r="MB6" s="207"/>
      <c r="MC6" s="15" t="s">
        <v>398</v>
      </c>
      <c r="MD6" s="207"/>
      <c r="ME6" s="136" t="s">
        <v>400</v>
      </c>
      <c r="MF6" s="207"/>
      <c r="MG6" s="136" t="s">
        <v>406</v>
      </c>
      <c r="MH6" s="207"/>
      <c r="MI6" s="136" t="s">
        <v>408</v>
      </c>
      <c r="MJ6" s="207"/>
      <c r="MK6" s="136" t="s">
        <v>410</v>
      </c>
      <c r="ML6" s="207"/>
      <c r="MM6" s="136" t="s">
        <v>424</v>
      </c>
      <c r="MN6" s="207"/>
      <c r="MO6" s="136" t="s">
        <v>427</v>
      </c>
      <c r="MP6" s="207"/>
      <c r="MQ6" s="136" t="s">
        <v>430</v>
      </c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</row>
    <row r="7" spans="1:1814">
      <c r="A7" s="36" t="s">
        <v>119</v>
      </c>
      <c r="B7" s="7">
        <v>134.4</v>
      </c>
      <c r="C7" s="7">
        <v>165.1</v>
      </c>
      <c r="D7" s="7">
        <v>161</v>
      </c>
      <c r="E7" s="7">
        <v>149.30000000000001</v>
      </c>
      <c r="F7" s="7">
        <v>178.2</v>
      </c>
      <c r="G7" s="7">
        <v>157.30000000000001</v>
      </c>
      <c r="H7" s="7">
        <v>175.8</v>
      </c>
      <c r="I7" s="7">
        <v>177.7</v>
      </c>
      <c r="J7" s="7">
        <v>173.6</v>
      </c>
      <c r="K7" s="7">
        <v>163.19999999999999</v>
      </c>
      <c r="L7" s="7">
        <v>172.5</v>
      </c>
      <c r="M7" s="7">
        <v>174.1</v>
      </c>
      <c r="N7" s="7">
        <v>180.9</v>
      </c>
      <c r="O7" s="7">
        <v>154.1</v>
      </c>
      <c r="P7" s="39">
        <v>185.9</v>
      </c>
      <c r="Q7" s="39">
        <v>154.6</v>
      </c>
      <c r="R7" s="39">
        <v>182.6</v>
      </c>
      <c r="S7" s="39">
        <v>127.5</v>
      </c>
      <c r="T7" s="39">
        <v>211.2</v>
      </c>
      <c r="U7" s="39">
        <v>121.4</v>
      </c>
      <c r="V7" s="39">
        <v>242.7</v>
      </c>
      <c r="W7" s="39">
        <v>120.9</v>
      </c>
      <c r="X7" s="39">
        <v>218</v>
      </c>
      <c r="Y7" s="39">
        <v>121.8</v>
      </c>
      <c r="Z7" s="40">
        <v>2216.8000000000002</v>
      </c>
      <c r="AA7" s="40">
        <v>143.80000000000001</v>
      </c>
      <c r="AB7" s="39">
        <v>147.4</v>
      </c>
      <c r="AC7" s="39">
        <v>109.7</v>
      </c>
      <c r="AD7" s="39">
        <v>157.9</v>
      </c>
      <c r="AE7" s="39">
        <v>98.1</v>
      </c>
      <c r="AF7" s="39">
        <v>199.4</v>
      </c>
      <c r="AG7" s="39">
        <v>111.9</v>
      </c>
      <c r="AH7" s="39">
        <v>181.6</v>
      </c>
      <c r="AI7" s="39">
        <v>103.3</v>
      </c>
      <c r="AJ7" s="39">
        <v>176.5</v>
      </c>
      <c r="AK7" s="39">
        <v>101.7</v>
      </c>
      <c r="AL7" s="39">
        <v>178.9</v>
      </c>
      <c r="AM7" s="39">
        <v>103.7</v>
      </c>
      <c r="AN7" s="39">
        <v>163</v>
      </c>
      <c r="AO7" s="39">
        <v>90.1</v>
      </c>
      <c r="AP7" s="39">
        <v>156.6</v>
      </c>
      <c r="AQ7" s="41">
        <v>84.2</v>
      </c>
      <c r="AR7" s="39">
        <v>187.1</v>
      </c>
      <c r="AS7" s="39">
        <v>102.5</v>
      </c>
      <c r="AT7" s="39">
        <v>210.3</v>
      </c>
      <c r="AU7" s="39">
        <v>99.6</v>
      </c>
      <c r="AV7" s="39">
        <v>215.9</v>
      </c>
      <c r="AW7" s="39">
        <v>89</v>
      </c>
      <c r="AX7" s="39">
        <v>187.3</v>
      </c>
      <c r="AY7" s="39">
        <v>85.9</v>
      </c>
      <c r="AZ7" s="40">
        <v>2161.9</v>
      </c>
      <c r="BA7" s="40">
        <v>97.5</v>
      </c>
      <c r="BB7" s="39">
        <v>165.4</v>
      </c>
      <c r="BC7" s="39">
        <v>112.2</v>
      </c>
      <c r="BD7" s="39">
        <v>200.8</v>
      </c>
      <c r="BE7" s="39">
        <v>127.2</v>
      </c>
      <c r="BF7" s="39">
        <v>223.5</v>
      </c>
      <c r="BG7" s="39">
        <v>112.1</v>
      </c>
      <c r="BH7" s="39">
        <v>193</v>
      </c>
      <c r="BI7" s="39">
        <v>106.2</v>
      </c>
      <c r="BJ7" s="39">
        <v>168</v>
      </c>
      <c r="BK7" s="39">
        <v>95.2</v>
      </c>
      <c r="BL7" s="39">
        <v>185.6</v>
      </c>
      <c r="BM7" s="39">
        <v>103.7</v>
      </c>
      <c r="BN7" s="39">
        <v>204.8</v>
      </c>
      <c r="BO7" s="39">
        <v>125.7</v>
      </c>
      <c r="BP7" s="39">
        <v>202.9</v>
      </c>
      <c r="BQ7" s="39">
        <v>129.6</v>
      </c>
      <c r="BR7" s="39">
        <v>197.1</v>
      </c>
      <c r="BS7" s="39">
        <v>105.3</v>
      </c>
      <c r="BT7" s="42">
        <v>227.5</v>
      </c>
      <c r="BU7" s="43">
        <v>108.2</v>
      </c>
      <c r="BV7" s="43">
        <v>255</v>
      </c>
      <c r="BW7" s="43">
        <v>118.1</v>
      </c>
      <c r="BX7" s="43">
        <v>204.7</v>
      </c>
      <c r="BY7" s="43">
        <v>109.3</v>
      </c>
      <c r="BZ7" s="44">
        <v>2428.3000000000002</v>
      </c>
      <c r="CA7" s="44">
        <v>112.3</v>
      </c>
      <c r="CB7" s="43">
        <v>170.7</v>
      </c>
      <c r="CC7" s="43">
        <v>103.2</v>
      </c>
      <c r="CD7" s="43">
        <v>188.2</v>
      </c>
      <c r="CE7" s="43">
        <v>93.7</v>
      </c>
      <c r="CF7" s="43">
        <v>214.1</v>
      </c>
      <c r="CG7" s="43">
        <v>95.8</v>
      </c>
      <c r="CH7" s="43">
        <v>194.5</v>
      </c>
      <c r="CI7" s="43">
        <v>100.8</v>
      </c>
      <c r="CJ7" s="43">
        <v>201.7</v>
      </c>
      <c r="CK7" s="43">
        <v>120.1</v>
      </c>
      <c r="CL7" s="43">
        <v>203</v>
      </c>
      <c r="CM7" s="43">
        <v>109.4</v>
      </c>
      <c r="CN7" s="43">
        <v>204.3</v>
      </c>
      <c r="CO7" s="43">
        <v>99.8</v>
      </c>
      <c r="CP7" s="43">
        <v>176.1</v>
      </c>
      <c r="CQ7" s="43">
        <v>86.8</v>
      </c>
      <c r="CR7" s="43">
        <v>184.8</v>
      </c>
      <c r="CS7" s="43">
        <v>93.8</v>
      </c>
      <c r="CT7" s="43">
        <v>212.5</v>
      </c>
      <c r="CU7" s="43">
        <v>93.4</v>
      </c>
      <c r="CV7" s="43">
        <v>208.3</v>
      </c>
      <c r="CW7" s="43">
        <v>81.7</v>
      </c>
      <c r="CX7" s="43">
        <v>181.3</v>
      </c>
      <c r="CY7" s="43">
        <v>88.5</v>
      </c>
      <c r="CZ7" s="106">
        <v>2339.5</v>
      </c>
      <c r="DA7" s="106">
        <v>96.3</v>
      </c>
      <c r="DB7" s="43">
        <v>147.69999999999999</v>
      </c>
      <c r="DC7" s="45">
        <v>86.5</v>
      </c>
      <c r="DD7" s="45">
        <v>165.5</v>
      </c>
      <c r="DE7" s="45">
        <v>87.9</v>
      </c>
      <c r="DF7" s="45">
        <v>174.7</v>
      </c>
      <c r="DG7" s="39">
        <v>81.599999999999994</v>
      </c>
      <c r="DH7" s="39">
        <v>151.30000000000001</v>
      </c>
      <c r="DI7" s="39">
        <v>77.8</v>
      </c>
      <c r="DJ7" s="45">
        <v>172.9</v>
      </c>
      <c r="DK7" s="39">
        <v>85.7</v>
      </c>
      <c r="DL7" s="45">
        <v>180.6</v>
      </c>
      <c r="DM7" s="39">
        <v>89</v>
      </c>
      <c r="DN7" s="45">
        <v>164.8</v>
      </c>
      <c r="DO7" s="45">
        <v>80.7</v>
      </c>
      <c r="DP7" s="45">
        <v>126.8</v>
      </c>
      <c r="DQ7" s="39">
        <v>72</v>
      </c>
      <c r="DR7" s="45">
        <v>163.30000000000001</v>
      </c>
      <c r="DS7" s="45">
        <v>88.4</v>
      </c>
      <c r="DT7" s="45">
        <v>188.5</v>
      </c>
      <c r="DU7" s="39">
        <v>88.7</v>
      </c>
      <c r="DV7" s="45">
        <v>167.2</v>
      </c>
      <c r="DW7" s="39">
        <v>80.3</v>
      </c>
      <c r="DX7" s="45">
        <v>163.5</v>
      </c>
      <c r="DY7" s="45">
        <v>90.2</v>
      </c>
      <c r="DZ7" s="46">
        <v>1966.8</v>
      </c>
      <c r="EA7" s="46">
        <v>84.1</v>
      </c>
      <c r="EB7" s="39">
        <v>116.8</v>
      </c>
      <c r="EC7" s="39">
        <v>79.099999999999994</v>
      </c>
      <c r="ED7" s="45">
        <v>138.5</v>
      </c>
      <c r="EE7" s="45">
        <v>83.7</v>
      </c>
      <c r="EF7" s="41">
        <v>161.19999999999999</v>
      </c>
      <c r="EG7" s="45">
        <v>92.3</v>
      </c>
      <c r="EH7" s="45">
        <v>178.5</v>
      </c>
      <c r="EI7" s="39">
        <v>118</v>
      </c>
      <c r="EJ7" s="39">
        <v>153</v>
      </c>
      <c r="EK7" s="39">
        <v>88.5</v>
      </c>
      <c r="EL7" s="39">
        <v>157.4</v>
      </c>
      <c r="EM7" s="39">
        <v>87.1</v>
      </c>
      <c r="EN7" s="39">
        <v>165.6</v>
      </c>
      <c r="EO7" s="39">
        <v>100.5</v>
      </c>
      <c r="EP7" s="39">
        <v>168</v>
      </c>
      <c r="EQ7" s="39">
        <v>132.5</v>
      </c>
      <c r="ER7" s="39">
        <v>193.6</v>
      </c>
      <c r="ES7" s="39">
        <v>118.5</v>
      </c>
      <c r="ET7" s="39">
        <v>200.8</v>
      </c>
      <c r="EU7" s="39">
        <v>106.5</v>
      </c>
      <c r="EV7" s="39">
        <v>217.6</v>
      </c>
      <c r="EW7" s="39">
        <v>130.1</v>
      </c>
      <c r="EX7" s="39">
        <v>193.5</v>
      </c>
      <c r="EY7" s="39">
        <v>118.4</v>
      </c>
      <c r="EZ7" s="47">
        <v>2044.5</v>
      </c>
      <c r="FA7" s="47">
        <v>104</v>
      </c>
      <c r="FB7" s="39">
        <v>139.5</v>
      </c>
      <c r="FC7" s="39">
        <v>119.5</v>
      </c>
      <c r="FD7" s="39">
        <v>176.6</v>
      </c>
      <c r="FE7" s="39">
        <v>127.5</v>
      </c>
      <c r="FF7" s="39">
        <v>212.1</v>
      </c>
      <c r="FG7" s="39">
        <v>131.5</v>
      </c>
      <c r="FH7" s="39">
        <v>154.19999999999999</v>
      </c>
      <c r="FI7" s="39">
        <v>86.4</v>
      </c>
      <c r="FJ7" s="39">
        <v>174.7</v>
      </c>
      <c r="FK7" s="39">
        <v>114.2</v>
      </c>
      <c r="FL7" s="39">
        <v>171.1</v>
      </c>
      <c r="FM7" s="39">
        <v>108.7</v>
      </c>
      <c r="FN7" s="39">
        <v>191.6</v>
      </c>
      <c r="FO7" s="39">
        <v>115.7</v>
      </c>
      <c r="FP7" s="39">
        <v>207.9</v>
      </c>
      <c r="FQ7" s="39">
        <v>123.7</v>
      </c>
      <c r="FR7" s="39">
        <v>223.9</v>
      </c>
      <c r="FS7" s="39">
        <v>115.8</v>
      </c>
      <c r="FT7" s="39">
        <v>268.2</v>
      </c>
      <c r="FU7" s="39">
        <v>133.6</v>
      </c>
      <c r="FV7" s="39">
        <v>272.10000000000002</v>
      </c>
      <c r="FW7" s="39">
        <v>125</v>
      </c>
      <c r="FX7" s="39">
        <v>233.1</v>
      </c>
      <c r="FY7" s="39">
        <v>120.5</v>
      </c>
      <c r="FZ7" s="47">
        <v>2425</v>
      </c>
      <c r="GA7" s="47">
        <v>118.6</v>
      </c>
      <c r="GB7" s="39">
        <v>220.3</v>
      </c>
      <c r="GC7" s="39">
        <v>157.9</v>
      </c>
      <c r="GD7" s="39">
        <v>215.5</v>
      </c>
      <c r="GE7" s="39">
        <v>122</v>
      </c>
      <c r="GF7" s="39">
        <v>242.1</v>
      </c>
      <c r="GG7" s="39">
        <v>114.2</v>
      </c>
      <c r="GH7" s="39">
        <v>199.7</v>
      </c>
      <c r="GI7" s="39">
        <v>129.5</v>
      </c>
      <c r="GJ7" s="48">
        <v>223</v>
      </c>
      <c r="GK7" s="39">
        <v>127.6</v>
      </c>
      <c r="GL7" s="48">
        <v>214.1</v>
      </c>
      <c r="GM7" s="39">
        <v>125.2</v>
      </c>
      <c r="GN7" s="48">
        <v>218.8</v>
      </c>
      <c r="GO7" s="39">
        <v>114.2</v>
      </c>
      <c r="GP7" s="90">
        <v>218.6</v>
      </c>
      <c r="GQ7" s="91">
        <v>105.2</v>
      </c>
      <c r="GR7" s="48">
        <v>207.3</v>
      </c>
      <c r="GS7" s="39">
        <v>92.6</v>
      </c>
      <c r="GT7" s="48">
        <v>259</v>
      </c>
      <c r="GU7" s="91">
        <v>96.5</v>
      </c>
      <c r="GV7" s="48">
        <v>268.89999999999998</v>
      </c>
      <c r="GW7" s="90">
        <v>98.8</v>
      </c>
      <c r="GX7" s="48">
        <v>218.8</v>
      </c>
      <c r="GY7" s="99">
        <v>93.9</v>
      </c>
      <c r="GZ7" s="94">
        <v>2706.2</v>
      </c>
      <c r="HA7" s="96">
        <v>111.6</v>
      </c>
      <c r="HB7" s="110">
        <v>234.3</v>
      </c>
      <c r="HC7" s="110">
        <f>IF(220321.7383="","-",234254.08835/220321.7383*100)</f>
        <v>106.32363840150403</v>
      </c>
      <c r="HD7" s="110">
        <v>241.4</v>
      </c>
      <c r="HE7" s="110">
        <f>IF(215472.31369="","-",241409.84081/215472.31369*100)</f>
        <v>112.03752197942065</v>
      </c>
      <c r="HF7" s="110">
        <v>257.2</v>
      </c>
      <c r="HG7" s="110">
        <f>IF(242121.38159="","-",257232.04683/242121.38159*100)</f>
        <v>106.24094623150131</v>
      </c>
      <c r="HH7" s="110">
        <v>215.6</v>
      </c>
      <c r="HI7" s="110">
        <f>IF(199735.58403="","-",215570.89403/199735.58403*100)</f>
        <v>107.92813662968615</v>
      </c>
      <c r="HJ7" s="110">
        <v>210.5</v>
      </c>
      <c r="HK7" s="110">
        <f>IF(223023.34378="","-",210534.26912/223023.34378*100)</f>
        <v>94.400104290284631</v>
      </c>
      <c r="HL7" s="110">
        <v>202.2</v>
      </c>
      <c r="HM7" s="110">
        <f>IF(214123.17565="","-",202212.33865/214123.17565*100)</f>
        <v>94.437390084542201</v>
      </c>
      <c r="HN7" s="110">
        <v>220.2</v>
      </c>
      <c r="HO7" s="110">
        <f>IF(218832.76993="","-",220166.65021/218832.76993*100)</f>
        <v>100.6095432052643</v>
      </c>
      <c r="HP7" s="110">
        <v>205.8</v>
      </c>
      <c r="HQ7" s="110">
        <f>IF(218601.82808="","-",205803.2912/218601.82808*100)</f>
        <v>94.145274542115814</v>
      </c>
      <c r="HR7" s="110">
        <v>238.8</v>
      </c>
      <c r="HS7" s="110">
        <f>IF(207304.07378="","-",238794.12546/207304.07378*100)</f>
        <v>115.19027152038439</v>
      </c>
      <c r="HT7" s="110">
        <v>268.3</v>
      </c>
      <c r="HU7" s="110">
        <f>IF(258965.48256="","-",268342.58823/258965.48256*100)</f>
        <v>103.62098669571817</v>
      </c>
      <c r="HV7" s="110">
        <v>266.60000000000002</v>
      </c>
      <c r="HW7" s="110">
        <f>IF(268843.90574="","-",266552.51729/268843.90574*100)</f>
        <v>99.147688156183818</v>
      </c>
      <c r="HX7" s="110">
        <v>218.3</v>
      </c>
      <c r="HY7" s="110">
        <f>IF(218827.70429="","-",218291.815/218827.70429*100)</f>
        <v>99.755109028932736</v>
      </c>
      <c r="HZ7" s="111">
        <v>2779.2</v>
      </c>
      <c r="IA7" s="111">
        <f>IF(2706173.30142="","-",2779164.46518/2706173.30142*100)</f>
        <v>102.69720951432416</v>
      </c>
      <c r="IB7" s="110">
        <v>219.5</v>
      </c>
      <c r="IC7" s="110">
        <f>IF(234254.08835="","-",219472.10441/234254.08835*100)</f>
        <v>93.68976480021378</v>
      </c>
      <c r="ID7" s="110">
        <v>245.3</v>
      </c>
      <c r="IE7" s="110">
        <f>IF(241409.84081="","-",245324.45574/241409.84081*100)</f>
        <v>101.62156394157972</v>
      </c>
      <c r="IF7" s="110">
        <v>210.2</v>
      </c>
      <c r="IG7" s="110">
        <f>IF(257232.04683="","-",210230.63314/257232.04683*100)</f>
        <v>81.728010071364707</v>
      </c>
      <c r="IH7" s="110">
        <v>149.80000000000001</v>
      </c>
      <c r="II7" s="110">
        <f>IF(215570.89403="","-",149859.83301/215570.89403*100)</f>
        <v>69.517656214361068</v>
      </c>
      <c r="IJ7" s="48">
        <v>155.69999999999999</v>
      </c>
      <c r="IK7" s="110">
        <f>IF(210534.26912="","-",155710.73078/210534.26912*100)</f>
        <v>73.959803043393492</v>
      </c>
      <c r="IL7" s="110">
        <v>189.6</v>
      </c>
      <c r="IM7" s="110">
        <f>IF(202212.33865="","-",189578.77956/202212.33865*100)</f>
        <v>93.752330261178145</v>
      </c>
      <c r="IN7" s="48">
        <v>191.1</v>
      </c>
      <c r="IO7" s="110">
        <f>IF(220166.65021="","-",191130.33065/220166.65021*100)</f>
        <v>86.811663105059509</v>
      </c>
      <c r="IP7" s="48">
        <v>163.9</v>
      </c>
      <c r="IQ7" s="110">
        <f>IF(205803.2912="","-",163909.5874/205803.2912*100)</f>
        <v>79.643812518387932</v>
      </c>
      <c r="IR7" s="110">
        <v>212.3</v>
      </c>
      <c r="IS7" s="110">
        <f>IF(238794.12546="","-",212259.13319/238794.12546*100)</f>
        <v>88.887920831852767</v>
      </c>
      <c r="IT7" s="110">
        <v>249.4</v>
      </c>
      <c r="IU7" s="90">
        <f>IF(268342.58823="","-",249353.22858/268342.58823*100)</f>
        <v>92.923464078044901</v>
      </c>
      <c r="IV7" s="48">
        <v>262</v>
      </c>
      <c r="IW7" s="90">
        <f>IF(266552.51729="","-",262034.9772/266552.51729*100)</f>
        <v>98.30519698859753</v>
      </c>
      <c r="IX7" s="110">
        <v>218.3</v>
      </c>
      <c r="IY7" s="90">
        <f>IF(218291.815="","-",218242.28602/218291.815*100)</f>
        <v>99.977310656379856</v>
      </c>
      <c r="IZ7" s="94">
        <v>2467.1</v>
      </c>
      <c r="JA7" s="111">
        <f>IF(2779164.46518="","-",2467106.07968/2779164.46518*100)</f>
        <v>88.771503471285612</v>
      </c>
      <c r="JB7" s="140">
        <v>198.4</v>
      </c>
      <c r="JC7" s="90">
        <f>IF(219472.10441="","-",198437.26393/219472.10441*100)</f>
        <v>90.415711128050958</v>
      </c>
      <c r="JD7" s="140">
        <v>227</v>
      </c>
      <c r="JE7" s="90">
        <f>IF(245324.45574="","-",227034.99772/245324.45574*100)</f>
        <v>92.544788099159774</v>
      </c>
      <c r="JF7" s="140">
        <v>259.3</v>
      </c>
      <c r="JG7" s="90">
        <f>IF(210230.63314="","-",259287.13538/210230.63314*100)</f>
        <v>123.33461185332185</v>
      </c>
      <c r="JH7" s="140">
        <v>218.2</v>
      </c>
      <c r="JI7" s="90">
        <f>IF(149859.83301="","-",218235.12722/149859.83301*100)</f>
        <v>145.62616468779689</v>
      </c>
      <c r="JJ7" s="152">
        <v>201.7</v>
      </c>
      <c r="JK7" s="90">
        <f>IF(155710.73078="","-",201697.01673/155710.73078*100)</f>
        <v>129.53315145310887</v>
      </c>
      <c r="JL7" s="142">
        <v>226.8</v>
      </c>
      <c r="JM7" s="90">
        <f>IF(189578.77956="","-",226810.79989/189578.77956*100)</f>
        <v>119.63933960141166</v>
      </c>
      <c r="JN7" s="142">
        <v>240.7</v>
      </c>
      <c r="JO7" s="90">
        <f>IF(191130.33065="","-",240720.89459/191130.33065*100)</f>
        <v>125.94594158412818</v>
      </c>
      <c r="JP7" s="142">
        <v>236.3</v>
      </c>
      <c r="JQ7" s="90">
        <f>IF(163909.5874="","-",236300.67911/163909.5874*100)</f>
        <v>144.1652577242715</v>
      </c>
      <c r="JR7" s="152">
        <v>294.89999999999998</v>
      </c>
      <c r="JS7" s="90">
        <f>IF(212259.13319="","-",294897.29212/212259.13319*100)</f>
        <v>138.93267521074247</v>
      </c>
      <c r="JT7" s="157">
        <v>352.2</v>
      </c>
      <c r="JU7" s="90">
        <f>IF(249353.22858="","-",352247.51165/249353.22858*100)</f>
        <v>141.26446794210585</v>
      </c>
      <c r="JV7" s="157">
        <v>363.9</v>
      </c>
      <c r="JW7" s="91">
        <f>IF(262034.9772="","-",363865.01311/262034.9772*100)</f>
        <v>138.86123791492062</v>
      </c>
      <c r="JX7" s="157">
        <v>325</v>
      </c>
      <c r="JY7" s="90">
        <f>IF(218242.28602="","-",324970.80722/218242.28602*100)</f>
        <v>148.90368550768355</v>
      </c>
      <c r="JZ7" s="94">
        <v>3144.5</v>
      </c>
      <c r="KA7" s="111">
        <f>IF(2467106.07968="","-",3144504.53867/2467106.07968*100)</f>
        <v>127.45720845039072</v>
      </c>
      <c r="KB7" s="48">
        <v>330.4</v>
      </c>
      <c r="KC7" s="91">
        <f>IF(198437.26393="","-",330357.20487/198437.26393*100)</f>
        <v>166.47941940306919</v>
      </c>
      <c r="KD7" s="48">
        <v>336.5</v>
      </c>
      <c r="KE7" s="91">
        <f>IF(227034.99772="","-",336464.33268/227034.99772*100)</f>
        <v>148.19932435921535</v>
      </c>
      <c r="KF7" s="48">
        <v>395.8</v>
      </c>
      <c r="KG7" s="91">
        <f>IF(259287.13538="","-",395828.7569/259287.13538*100)</f>
        <v>152.66039185472528</v>
      </c>
      <c r="KH7" s="91">
        <v>396.3</v>
      </c>
      <c r="KI7" s="91">
        <f>IF(218235.12722="","-",396338.08224/218235.12722*100)</f>
        <v>181.61058088529293</v>
      </c>
      <c r="KJ7" s="90">
        <v>416</v>
      </c>
      <c r="KK7" s="91">
        <f>IF(201697.01673="","-",415966.01044/201697.01673*100)</f>
        <v>206.23310011413275</v>
      </c>
      <c r="KL7" s="48">
        <v>416.4</v>
      </c>
      <c r="KM7" s="91">
        <f>IF(226810.79989="","-",416434.52243/226810.79989*100)</f>
        <v>183.60436215205132</v>
      </c>
      <c r="KN7" s="90">
        <v>338.2</v>
      </c>
      <c r="KO7" s="91">
        <f>IF(240720.89459="","-",338224.33542/240720.89459*100)</f>
        <v>140.50476839414773</v>
      </c>
      <c r="KP7" s="90">
        <v>329.4</v>
      </c>
      <c r="KQ7" s="91">
        <f>IF(236300.67911="","-",329416.35614/236300.67911*100)</f>
        <v>139.40559010693906</v>
      </c>
      <c r="KR7" s="90">
        <v>318.8</v>
      </c>
      <c r="KS7" s="90">
        <f>IF(294897.29212="","-",318793.64634/294897.29212*100)</f>
        <v>108.10328031438013</v>
      </c>
      <c r="KT7" s="90">
        <v>351.9</v>
      </c>
      <c r="KU7" s="91">
        <f>IF(352247.51165="","-",351929.19136/352247.51165*100)</f>
        <v>99.909631642673943</v>
      </c>
      <c r="KV7" s="90">
        <v>355.4</v>
      </c>
      <c r="KW7" s="91">
        <f>IF(363865.01311="","-",355414.08858/363865.01311*100)</f>
        <v>97.67745613743709</v>
      </c>
      <c r="KX7" s="90">
        <v>347</v>
      </c>
      <c r="KY7" s="91">
        <f>IF(324970.80722="","-",346978.59041/324970.80722*100)</f>
        <v>106.77223390564465</v>
      </c>
      <c r="KZ7" s="96">
        <v>4332.1000000000004</v>
      </c>
      <c r="LA7" s="184">
        <f>IF(3144504.53867="","-",4332145.11781/3144504.53867*100)</f>
        <v>137.7687665746644</v>
      </c>
      <c r="LB7" s="48">
        <v>331.1</v>
      </c>
      <c r="LC7" s="90">
        <f>IF(330357.20487="","-",331097.88364/330357.20487*100)</f>
        <v>100.22420542342689</v>
      </c>
      <c r="LD7" s="48">
        <v>356</v>
      </c>
      <c r="LE7" s="90">
        <f>IF(336464.33268="","-",356043.66411/336464.33268*100)</f>
        <v>105.8191402559811</v>
      </c>
      <c r="LF7" s="90">
        <v>384.9</v>
      </c>
      <c r="LG7" s="90">
        <f>IF(395828.7569="","-",384903.48749/395828.7569*100)</f>
        <v>97.239900027586913</v>
      </c>
      <c r="LH7" s="90">
        <v>317.39999999999998</v>
      </c>
      <c r="LI7" s="90">
        <f>IF(396338.08224="","-",317381.79686/396338.08224*100)</f>
        <v>80.07855189343411</v>
      </c>
      <c r="LJ7" s="90">
        <v>336.5</v>
      </c>
      <c r="LK7" s="90">
        <f>IF(415966.01044="","-",336527.0487/415966.01044*100)</f>
        <v>80.902535364374799</v>
      </c>
      <c r="LL7" s="90">
        <v>316.60000000000002</v>
      </c>
      <c r="LM7" s="90">
        <f>IF(416434.52243="","-",316652.81601/416434.52243*100)</f>
        <v>76.039040702545819</v>
      </c>
      <c r="LN7" s="90">
        <v>304.2</v>
      </c>
      <c r="LO7" s="91">
        <f>IF(338224.33542="","-",304184.93405/338224.33542*100)</f>
        <v>89.935850911576011</v>
      </c>
      <c r="LP7" s="90">
        <v>321.60000000000002</v>
      </c>
      <c r="LQ7" s="90">
        <f>IF(329416.35614="","-",321552.98686/329416.35614*100)</f>
        <v>97.612939025815066</v>
      </c>
      <c r="LR7" s="90">
        <v>348</v>
      </c>
      <c r="LS7" s="110">
        <f>IF(318793.64634="","-",347958.08581/318793.64634*100)</f>
        <v>109.14837538477651</v>
      </c>
      <c r="LT7" s="90">
        <v>341.8</v>
      </c>
      <c r="LU7" s="196">
        <f>IF(351929.19136="","-",341772.23389/351929.19136*100)</f>
        <v>97.113920152304118</v>
      </c>
      <c r="LV7" s="90">
        <v>379.2</v>
      </c>
      <c r="LW7" s="110">
        <f>IF(355414.08858="","-",379188.59428/355414.08858*100)</f>
        <v>106.68924121578502</v>
      </c>
      <c r="LX7" s="90">
        <v>311.3</v>
      </c>
      <c r="LY7" s="110">
        <f>IF(346978.59041="","-",311341.37444/346978.59041*100)</f>
        <v>89.729275247821477</v>
      </c>
      <c r="LZ7" s="96">
        <v>4048.6</v>
      </c>
      <c r="MA7" s="111">
        <f>IF(4332145.11781="","-",4048604.90622/4332145.11781*100)</f>
        <v>93.454969677162254</v>
      </c>
      <c r="MB7" s="90">
        <v>274.10000000000002</v>
      </c>
      <c r="MC7" s="91">
        <f>IF(331097.88364="","-",274082.26318/331097.88364*100)</f>
        <v>82.779829386649723</v>
      </c>
      <c r="MD7" s="90">
        <v>327.10000000000002</v>
      </c>
      <c r="ME7" s="90">
        <f>IF(356043.66419="","-",327127.47272/356043.66419*100)</f>
        <v>91.878470429804068</v>
      </c>
      <c r="MF7" s="90">
        <v>320.3</v>
      </c>
      <c r="MG7" s="90">
        <f>IF(384903.48749="","-",320274.33723/384903.48749*100)</f>
        <v>83.208998525460458</v>
      </c>
      <c r="MH7" s="90">
        <v>292.7</v>
      </c>
      <c r="MI7" s="91">
        <f>IF(317381.79686="","-",292699.00707/317381.79686*100)</f>
        <v>92.222997653237243</v>
      </c>
      <c r="MJ7" s="90">
        <v>277.8</v>
      </c>
      <c r="MK7" s="90">
        <f>IF(336527.0487="","-",277840.79997/336527.0487*100)</f>
        <v>82.561208985517126</v>
      </c>
      <c r="ML7" s="91">
        <v>288.5</v>
      </c>
      <c r="MM7" s="200">
        <f>IF(316652.81601="","-",288509.73516/316652.81601*100)</f>
        <v>91.112322573151772</v>
      </c>
      <c r="MN7" s="91">
        <v>284.89999999999998</v>
      </c>
      <c r="MO7" s="91">
        <f>IF(304184.93405="","-",284943.51399/304184.93405*100)</f>
        <v>93.674433574400112</v>
      </c>
      <c r="MP7" s="91">
        <v>272.7</v>
      </c>
      <c r="MQ7" s="91">
        <f>IF(321552.98686="","-",272659.87935/321552.98686*100)</f>
        <v>84.794696517222079</v>
      </c>
    </row>
    <row r="8" spans="1:1814" ht="15.75" customHeight="1">
      <c r="A8" s="36" t="s">
        <v>120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39"/>
      <c r="Q8" s="39"/>
      <c r="R8" s="39"/>
      <c r="S8" s="39"/>
      <c r="T8" s="39"/>
      <c r="U8" s="39"/>
      <c r="V8" s="49"/>
      <c r="W8" s="39"/>
      <c r="X8" s="39"/>
      <c r="Y8" s="39"/>
      <c r="Z8" s="47"/>
      <c r="AA8" s="47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47"/>
      <c r="BA8" s="47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7"/>
      <c r="CA8" s="47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47"/>
      <c r="DA8" s="47"/>
      <c r="DB8" s="39"/>
      <c r="DC8" s="50"/>
      <c r="DD8" s="51"/>
      <c r="DE8" s="51"/>
      <c r="DF8" s="50"/>
      <c r="DG8" s="52"/>
      <c r="DH8" s="52"/>
      <c r="DI8" s="52"/>
      <c r="DJ8" s="51"/>
      <c r="DK8" s="52"/>
      <c r="DL8" s="45"/>
      <c r="DM8" s="45"/>
      <c r="DN8" s="45"/>
      <c r="DO8" s="45"/>
      <c r="DP8" s="45"/>
      <c r="DQ8" s="52"/>
      <c r="DR8" s="50"/>
      <c r="DS8" s="51"/>
      <c r="DT8" s="53"/>
      <c r="DU8" s="52"/>
      <c r="DV8" s="54"/>
      <c r="DW8" s="52"/>
      <c r="DX8" s="51"/>
      <c r="DY8" s="51"/>
      <c r="DZ8" s="104"/>
      <c r="EA8" s="104"/>
      <c r="EB8" s="49"/>
      <c r="EC8" s="52"/>
      <c r="ED8" s="51"/>
      <c r="EE8" s="51"/>
      <c r="EF8" s="54"/>
      <c r="EG8" s="55"/>
      <c r="EH8" s="55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103"/>
      <c r="FA8" s="103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103"/>
      <c r="GA8" s="103"/>
      <c r="GB8" s="56"/>
      <c r="GC8" s="56"/>
      <c r="GD8" s="56"/>
      <c r="GE8" s="56"/>
      <c r="GF8" s="56"/>
      <c r="GG8" s="56"/>
      <c r="GH8" s="56"/>
      <c r="GI8" s="56"/>
      <c r="GJ8" s="57"/>
      <c r="GK8" s="52"/>
      <c r="GL8" s="57"/>
      <c r="GM8" s="52"/>
      <c r="GN8" s="57"/>
      <c r="GO8" s="52"/>
      <c r="GP8" s="92"/>
      <c r="GQ8" s="93"/>
      <c r="GR8" s="93"/>
      <c r="GS8" s="52"/>
      <c r="GT8" s="52"/>
      <c r="GU8" s="52"/>
      <c r="GV8" s="57"/>
      <c r="GW8" s="57"/>
      <c r="GX8" s="57"/>
      <c r="GY8" s="57"/>
      <c r="GZ8" s="95"/>
      <c r="HA8" s="95"/>
      <c r="HB8" s="112"/>
      <c r="HC8" s="90"/>
      <c r="HD8" s="112"/>
      <c r="HE8" s="90"/>
      <c r="HF8" s="112"/>
      <c r="HG8" s="90"/>
      <c r="HH8" s="112"/>
      <c r="HI8" s="90"/>
      <c r="HJ8" s="112"/>
      <c r="HK8" s="90"/>
      <c r="HL8" s="112"/>
      <c r="HM8" s="90"/>
      <c r="HN8" s="112"/>
      <c r="HO8" s="90"/>
      <c r="HP8" s="112"/>
      <c r="HQ8" s="90"/>
      <c r="HR8" s="112"/>
      <c r="HS8" s="90"/>
      <c r="HT8" s="112"/>
      <c r="HU8" s="90"/>
      <c r="HV8" s="112"/>
      <c r="HW8" s="90"/>
      <c r="HX8" s="112"/>
      <c r="HY8" s="90"/>
      <c r="HZ8" s="113"/>
      <c r="IA8" s="96"/>
      <c r="IB8" s="112"/>
      <c r="IC8" s="57"/>
      <c r="ID8" s="112"/>
      <c r="IE8" s="57"/>
      <c r="IF8" s="112"/>
      <c r="IG8" s="57"/>
      <c r="IH8" s="112"/>
      <c r="II8" s="57"/>
      <c r="IJ8" s="57"/>
      <c r="IK8" s="57"/>
      <c r="IL8" s="114"/>
      <c r="IM8" s="57"/>
      <c r="IN8" s="57"/>
      <c r="IO8" s="57"/>
      <c r="IP8" s="57"/>
      <c r="IQ8" s="57"/>
      <c r="IR8" s="90"/>
      <c r="IS8" s="57"/>
      <c r="IT8" s="90"/>
      <c r="IU8" s="57"/>
      <c r="IV8" s="57"/>
      <c r="IW8" s="57"/>
      <c r="IX8" s="90"/>
      <c r="IY8" s="57"/>
      <c r="IZ8" s="95"/>
      <c r="JA8" s="95"/>
      <c r="JB8" s="158"/>
      <c r="JC8" s="57"/>
      <c r="JD8" s="158"/>
      <c r="JE8" s="57"/>
      <c r="JF8" s="158"/>
      <c r="JG8" s="57"/>
      <c r="JH8" s="158"/>
      <c r="JI8" s="57"/>
      <c r="JJ8" s="155"/>
      <c r="JK8" s="57"/>
      <c r="JL8" s="154"/>
      <c r="JM8" s="57"/>
      <c r="JN8" s="154"/>
      <c r="JO8" s="57"/>
      <c r="JP8" s="154"/>
      <c r="JQ8" s="57"/>
      <c r="JR8" s="154"/>
      <c r="JS8" s="57"/>
      <c r="JT8" s="157"/>
      <c r="JU8" s="57"/>
      <c r="JV8" s="157"/>
      <c r="JW8" s="57"/>
      <c r="JX8" s="159"/>
      <c r="JY8" s="90"/>
      <c r="JZ8" s="178"/>
      <c r="KA8" s="97"/>
      <c r="KB8" s="57"/>
      <c r="KC8" s="57"/>
      <c r="KD8" s="48"/>
      <c r="KE8" s="57"/>
      <c r="KF8" s="48"/>
      <c r="KG8" s="91"/>
      <c r="KH8" s="48"/>
      <c r="KI8" s="48"/>
      <c r="KJ8" s="48"/>
      <c r="KK8" s="48"/>
      <c r="KL8" s="48"/>
      <c r="KM8" s="57"/>
      <c r="KN8" s="48"/>
      <c r="KO8" s="52"/>
      <c r="KP8" s="48"/>
      <c r="KQ8" s="52"/>
      <c r="KR8" s="48"/>
      <c r="KS8" s="52"/>
      <c r="KT8" s="48"/>
      <c r="KU8" s="57"/>
      <c r="KV8" s="48"/>
      <c r="KW8" s="57"/>
      <c r="KX8" s="48"/>
      <c r="KY8" s="57"/>
      <c r="KZ8" s="94"/>
      <c r="LA8" s="95"/>
      <c r="LB8" s="57"/>
      <c r="LC8" s="57"/>
      <c r="LD8" s="57"/>
      <c r="LE8" s="57"/>
      <c r="LF8" s="57"/>
      <c r="LG8" s="57"/>
      <c r="LH8" s="57"/>
      <c r="LI8" s="57"/>
      <c r="LJ8" s="57"/>
      <c r="LK8" s="57"/>
      <c r="LL8" s="57"/>
      <c r="LM8" s="57"/>
      <c r="LN8" s="57"/>
      <c r="LO8" s="57"/>
      <c r="LP8" s="57"/>
      <c r="LQ8" s="57"/>
      <c r="LR8" s="57"/>
      <c r="LS8" s="57"/>
      <c r="LT8" s="57"/>
      <c r="LU8" s="57"/>
      <c r="LV8" s="57"/>
      <c r="LW8" s="57"/>
      <c r="LX8" s="57"/>
      <c r="LY8" s="57"/>
      <c r="LZ8" s="95"/>
      <c r="MA8" s="95"/>
      <c r="MB8" s="57"/>
      <c r="MC8" s="57"/>
      <c r="MD8" s="57"/>
      <c r="ME8" s="90"/>
      <c r="MF8" s="57"/>
      <c r="MG8" s="90"/>
      <c r="MH8" s="57"/>
      <c r="MI8" s="90"/>
      <c r="MJ8" s="57"/>
      <c r="MK8" s="90"/>
      <c r="ML8" s="93"/>
      <c r="MM8" s="93"/>
      <c r="MN8" s="93"/>
      <c r="MO8" s="201"/>
      <c r="MP8" s="93"/>
      <c r="MQ8" s="201"/>
    </row>
    <row r="9" spans="1:1814" ht="18.75">
      <c r="A9" s="37" t="s">
        <v>404</v>
      </c>
      <c r="B9" s="8">
        <v>42.5</v>
      </c>
      <c r="C9" s="8">
        <v>158.69999999999999</v>
      </c>
      <c r="D9" s="8">
        <v>56.6</v>
      </c>
      <c r="E9" s="8">
        <v>131.19999999999999</v>
      </c>
      <c r="F9" s="8">
        <v>76.8</v>
      </c>
      <c r="G9" s="8">
        <v>168.2</v>
      </c>
      <c r="H9" s="8">
        <v>70.8</v>
      </c>
      <c r="I9" s="8">
        <v>169.9</v>
      </c>
      <c r="J9" s="8">
        <v>69.7</v>
      </c>
      <c r="K9" s="8">
        <v>178.8</v>
      </c>
      <c r="L9" s="8">
        <v>72.2</v>
      </c>
      <c r="M9" s="8">
        <v>172.9</v>
      </c>
      <c r="N9" s="8">
        <v>78.900000000000006</v>
      </c>
      <c r="O9" s="8">
        <v>187.8</v>
      </c>
      <c r="P9" s="52">
        <v>77.099999999999994</v>
      </c>
      <c r="Q9" s="52">
        <v>157.19999999999999</v>
      </c>
      <c r="R9" s="52">
        <v>81.8</v>
      </c>
      <c r="S9" s="52">
        <v>133.1</v>
      </c>
      <c r="T9" s="52">
        <v>97.6</v>
      </c>
      <c r="U9" s="52">
        <v>126.1</v>
      </c>
      <c r="V9" s="52">
        <v>101.1</v>
      </c>
      <c r="W9" s="52">
        <v>118.4</v>
      </c>
      <c r="X9" s="52">
        <v>94.2</v>
      </c>
      <c r="Y9" s="52">
        <v>133.19999999999999</v>
      </c>
      <c r="Z9" s="60">
        <v>919.3</v>
      </c>
      <c r="AA9" s="60">
        <v>147.30000000000001</v>
      </c>
      <c r="AB9" s="52">
        <v>54.3</v>
      </c>
      <c r="AC9" s="52">
        <v>127.7</v>
      </c>
      <c r="AD9" s="52">
        <v>65.900000000000006</v>
      </c>
      <c r="AE9" s="52">
        <v>116.3</v>
      </c>
      <c r="AF9" s="52">
        <v>80.900000000000006</v>
      </c>
      <c r="AG9" s="52">
        <v>105.3</v>
      </c>
      <c r="AH9" s="52">
        <v>77.8</v>
      </c>
      <c r="AI9" s="52">
        <v>109.9</v>
      </c>
      <c r="AJ9" s="52">
        <v>72.400000000000006</v>
      </c>
      <c r="AK9" s="52">
        <v>103.9</v>
      </c>
      <c r="AL9" s="52">
        <v>77</v>
      </c>
      <c r="AM9" s="52">
        <v>106.7</v>
      </c>
      <c r="AN9" s="52">
        <v>79</v>
      </c>
      <c r="AO9" s="52">
        <v>100.1</v>
      </c>
      <c r="AP9" s="52">
        <v>75.8</v>
      </c>
      <c r="AQ9" s="58">
        <v>98.3</v>
      </c>
      <c r="AR9" s="52">
        <v>84.1</v>
      </c>
      <c r="AS9" s="52">
        <v>102.8</v>
      </c>
      <c r="AT9" s="52">
        <v>94.9</v>
      </c>
      <c r="AU9" s="52">
        <v>97.2</v>
      </c>
      <c r="AV9" s="52">
        <v>91.2</v>
      </c>
      <c r="AW9" s="52">
        <v>90.2</v>
      </c>
      <c r="AX9" s="52">
        <v>74.8</v>
      </c>
      <c r="AY9" s="52">
        <v>79.5</v>
      </c>
      <c r="AZ9" s="60">
        <v>928.1</v>
      </c>
      <c r="BA9" s="60">
        <v>101</v>
      </c>
      <c r="BB9" s="52">
        <v>63.7</v>
      </c>
      <c r="BC9" s="52">
        <v>117.3</v>
      </c>
      <c r="BD9" s="52">
        <v>79</v>
      </c>
      <c r="BE9" s="52">
        <v>119.9</v>
      </c>
      <c r="BF9" s="52">
        <v>103.6</v>
      </c>
      <c r="BG9" s="52">
        <v>128.1</v>
      </c>
      <c r="BH9" s="52">
        <v>70.599999999999994</v>
      </c>
      <c r="BI9" s="52">
        <v>90.7</v>
      </c>
      <c r="BJ9" s="52">
        <v>62.7</v>
      </c>
      <c r="BK9" s="52">
        <v>86.5</v>
      </c>
      <c r="BL9" s="52">
        <v>75</v>
      </c>
      <c r="BM9" s="52">
        <v>97.4</v>
      </c>
      <c r="BN9" s="52">
        <v>79.400000000000006</v>
      </c>
      <c r="BO9" s="52">
        <v>100.5</v>
      </c>
      <c r="BP9" s="52">
        <v>76.7</v>
      </c>
      <c r="BQ9" s="52">
        <v>101.3</v>
      </c>
      <c r="BR9" s="52">
        <v>78.3</v>
      </c>
      <c r="BS9" s="52">
        <v>93.1</v>
      </c>
      <c r="BT9" s="59">
        <v>79.099999999999994</v>
      </c>
      <c r="BU9" s="58">
        <v>83.4</v>
      </c>
      <c r="BV9" s="58">
        <v>84.6</v>
      </c>
      <c r="BW9" s="58">
        <v>92.7</v>
      </c>
      <c r="BX9" s="58">
        <v>70.5</v>
      </c>
      <c r="BY9" s="58">
        <v>94.3</v>
      </c>
      <c r="BZ9" s="107">
        <v>923.2</v>
      </c>
      <c r="CA9" s="107">
        <v>99.5</v>
      </c>
      <c r="CB9" s="58">
        <v>56</v>
      </c>
      <c r="CC9" s="58">
        <v>88</v>
      </c>
      <c r="CD9" s="58">
        <v>59.5</v>
      </c>
      <c r="CE9" s="58">
        <v>75.3</v>
      </c>
      <c r="CF9" s="58">
        <v>65.3</v>
      </c>
      <c r="CG9" s="58">
        <v>63</v>
      </c>
      <c r="CH9" s="58">
        <v>63.1</v>
      </c>
      <c r="CI9" s="58">
        <v>89.3</v>
      </c>
      <c r="CJ9" s="58">
        <v>64.3</v>
      </c>
      <c r="CK9" s="58">
        <v>102.7</v>
      </c>
      <c r="CL9" s="58">
        <v>77.099999999999994</v>
      </c>
      <c r="CM9" s="58">
        <v>102.8</v>
      </c>
      <c r="CN9" s="58">
        <v>72.5</v>
      </c>
      <c r="CO9" s="58">
        <v>91.3</v>
      </c>
      <c r="CP9" s="58">
        <v>52.7</v>
      </c>
      <c r="CQ9" s="58">
        <v>68.599999999999994</v>
      </c>
      <c r="CR9" s="58">
        <v>59.1</v>
      </c>
      <c r="CS9" s="58">
        <v>75.5</v>
      </c>
      <c r="CT9" s="58">
        <v>69.7</v>
      </c>
      <c r="CU9" s="58">
        <v>88.2</v>
      </c>
      <c r="CV9" s="58">
        <v>53</v>
      </c>
      <c r="CW9" s="58">
        <v>62.7</v>
      </c>
      <c r="CX9" s="58">
        <v>43.3</v>
      </c>
      <c r="CY9" s="58">
        <v>61.3</v>
      </c>
      <c r="CZ9" s="107">
        <v>735.6</v>
      </c>
      <c r="DA9" s="107">
        <v>79.7</v>
      </c>
      <c r="DB9" s="58">
        <v>29</v>
      </c>
      <c r="DC9" s="51">
        <v>51.6</v>
      </c>
      <c r="DD9" s="51">
        <v>33.5</v>
      </c>
      <c r="DE9" s="51">
        <v>56.3</v>
      </c>
      <c r="DF9" s="51">
        <v>41.6</v>
      </c>
      <c r="DG9" s="52">
        <v>63.7</v>
      </c>
      <c r="DH9" s="52">
        <v>34</v>
      </c>
      <c r="DI9" s="52">
        <v>53.9</v>
      </c>
      <c r="DJ9" s="51">
        <v>44.4</v>
      </c>
      <c r="DK9" s="52">
        <v>69</v>
      </c>
      <c r="DL9" s="51">
        <v>59.1</v>
      </c>
      <c r="DM9" s="51">
        <v>76.599999999999994</v>
      </c>
      <c r="DN9" s="52">
        <v>51.3</v>
      </c>
      <c r="DO9" s="51">
        <v>70.7</v>
      </c>
      <c r="DP9" s="51">
        <v>35.700000000000003</v>
      </c>
      <c r="DQ9" s="52">
        <v>67.8</v>
      </c>
      <c r="DR9" s="51">
        <v>38.200000000000003</v>
      </c>
      <c r="DS9" s="51">
        <v>64.599999999999994</v>
      </c>
      <c r="DT9" s="51">
        <v>48.9</v>
      </c>
      <c r="DU9" s="52">
        <v>70.099999999999994</v>
      </c>
      <c r="DV9" s="51">
        <v>38.5</v>
      </c>
      <c r="DW9" s="52">
        <v>72.7</v>
      </c>
      <c r="DX9" s="51">
        <v>38.1</v>
      </c>
      <c r="DY9" s="51">
        <v>88.2</v>
      </c>
      <c r="DZ9" s="79">
        <v>492.3</v>
      </c>
      <c r="EA9" s="79">
        <v>66.900000000000006</v>
      </c>
      <c r="EB9" s="52">
        <v>19.7</v>
      </c>
      <c r="EC9" s="52">
        <v>68.099999999999994</v>
      </c>
      <c r="ED9" s="51">
        <v>28.6</v>
      </c>
      <c r="EE9" s="52">
        <v>85.5</v>
      </c>
      <c r="EF9" s="58">
        <v>36.700000000000003</v>
      </c>
      <c r="EG9" s="51">
        <v>88.2</v>
      </c>
      <c r="EH9" s="51">
        <v>38.6</v>
      </c>
      <c r="EI9" s="52">
        <v>113.7</v>
      </c>
      <c r="EJ9" s="52">
        <v>29.8</v>
      </c>
      <c r="EK9" s="52">
        <v>67</v>
      </c>
      <c r="EL9" s="52">
        <v>34.299999999999997</v>
      </c>
      <c r="EM9" s="52">
        <v>58</v>
      </c>
      <c r="EN9" s="52">
        <v>35.1</v>
      </c>
      <c r="EO9" s="52">
        <v>68.599999999999994</v>
      </c>
      <c r="EP9" s="52">
        <v>40.9</v>
      </c>
      <c r="EQ9" s="52">
        <v>114.6</v>
      </c>
      <c r="ER9" s="52">
        <v>37.200000000000003</v>
      </c>
      <c r="ES9" s="52">
        <v>97.4</v>
      </c>
      <c r="ET9" s="52">
        <v>42.5</v>
      </c>
      <c r="EU9" s="52">
        <v>87</v>
      </c>
      <c r="EV9" s="52">
        <v>37</v>
      </c>
      <c r="EW9" s="52">
        <v>96.1</v>
      </c>
      <c r="EX9" s="52">
        <v>33.700000000000003</v>
      </c>
      <c r="EY9" s="52">
        <v>88.3</v>
      </c>
      <c r="EZ9" s="60">
        <v>414.2</v>
      </c>
      <c r="FA9" s="60">
        <v>84.1</v>
      </c>
      <c r="FB9" s="52">
        <v>26.6</v>
      </c>
      <c r="FC9" s="52">
        <v>135</v>
      </c>
      <c r="FD9" s="52">
        <v>34.5</v>
      </c>
      <c r="FE9" s="52">
        <v>120.6</v>
      </c>
      <c r="FF9" s="52">
        <v>44.9</v>
      </c>
      <c r="FG9" s="52">
        <v>122.4</v>
      </c>
      <c r="FH9" s="52">
        <v>37.200000000000003</v>
      </c>
      <c r="FI9" s="52">
        <v>96.5</v>
      </c>
      <c r="FJ9" s="52">
        <v>34.5</v>
      </c>
      <c r="FK9" s="52">
        <v>116.1</v>
      </c>
      <c r="FL9" s="52">
        <v>39.1</v>
      </c>
      <c r="FM9" s="52">
        <v>114.2</v>
      </c>
      <c r="FN9" s="52">
        <v>38.299999999999997</v>
      </c>
      <c r="FO9" s="52">
        <v>109</v>
      </c>
      <c r="FP9" s="52">
        <v>42.3</v>
      </c>
      <c r="FQ9" s="52">
        <v>103.2</v>
      </c>
      <c r="FR9" s="52">
        <v>38.9</v>
      </c>
      <c r="FS9" s="52">
        <v>104.7</v>
      </c>
      <c r="FT9" s="52">
        <v>43.6</v>
      </c>
      <c r="FU9" s="52">
        <v>102.5</v>
      </c>
      <c r="FV9" s="52">
        <v>47.7</v>
      </c>
      <c r="FW9" s="52">
        <v>128.80000000000001</v>
      </c>
      <c r="FX9" s="52">
        <v>35.1</v>
      </c>
      <c r="FY9" s="52">
        <v>104.2</v>
      </c>
      <c r="FZ9" s="60">
        <v>462.8</v>
      </c>
      <c r="GA9" s="60">
        <v>111.7</v>
      </c>
      <c r="GB9" s="52">
        <v>33.700000000000003</v>
      </c>
      <c r="GC9" s="52">
        <v>126.8</v>
      </c>
      <c r="GD9" s="52">
        <v>37</v>
      </c>
      <c r="GE9" s="52">
        <v>107.3</v>
      </c>
      <c r="GF9" s="52">
        <v>42.9</v>
      </c>
      <c r="GG9" s="52">
        <v>95.6</v>
      </c>
      <c r="GH9" s="52">
        <v>29.1</v>
      </c>
      <c r="GI9" s="52">
        <v>78.099999999999994</v>
      </c>
      <c r="GJ9" s="57">
        <v>34.700000000000003</v>
      </c>
      <c r="GK9" s="52">
        <v>100.5</v>
      </c>
      <c r="GL9" s="57">
        <v>30.8</v>
      </c>
      <c r="GM9" s="52">
        <v>78.7</v>
      </c>
      <c r="GN9" s="57">
        <v>36.9</v>
      </c>
      <c r="GO9" s="52">
        <v>96.5</v>
      </c>
      <c r="GP9" s="92">
        <v>32.1</v>
      </c>
      <c r="GQ9" s="93">
        <v>76</v>
      </c>
      <c r="GR9" s="57">
        <v>29.5</v>
      </c>
      <c r="GS9" s="52">
        <v>75.8</v>
      </c>
      <c r="GT9" s="57">
        <v>41.7</v>
      </c>
      <c r="GU9" s="93">
        <v>95.8</v>
      </c>
      <c r="GV9" s="57">
        <v>37.700000000000003</v>
      </c>
      <c r="GW9" s="92">
        <v>78.900000000000006</v>
      </c>
      <c r="GX9" s="57">
        <v>29.7</v>
      </c>
      <c r="GY9" s="100">
        <v>84.4</v>
      </c>
      <c r="GZ9" s="95">
        <v>415.9</v>
      </c>
      <c r="HA9" s="97">
        <v>89.9</v>
      </c>
      <c r="HB9" s="92">
        <v>28.9</v>
      </c>
      <c r="HC9" s="92">
        <f>IF(33742.63993="","-",28877.09062/33742.63993*100)</f>
        <v>85.580413032016139</v>
      </c>
      <c r="HD9" s="92">
        <v>35.9</v>
      </c>
      <c r="HE9" s="92">
        <f>IF(37003.13564="","-",35852.41931/37003.13564*100)</f>
        <v>96.890219409524605</v>
      </c>
      <c r="HF9" s="92">
        <v>37.4</v>
      </c>
      <c r="HG9" s="92">
        <f>IF(42920.95426="","-",37402.59476/42920.95426*100)</f>
        <v>87.142971084538985</v>
      </c>
      <c r="HH9" s="92">
        <v>36.799999999999997</v>
      </c>
      <c r="HI9" s="92">
        <f>IF(29098.11037="","-",36854.08756/29098.11037*100)</f>
        <v>126.65457341173733</v>
      </c>
      <c r="HJ9" s="92">
        <v>31.2</v>
      </c>
      <c r="HK9" s="92">
        <f>IF(34717.35634="","-",31247.85607/34717.35634*100)</f>
        <v>90.00643875062984</v>
      </c>
      <c r="HL9" s="92">
        <v>32.200000000000003</v>
      </c>
      <c r="HM9" s="92">
        <f>IF(30793.61365="","-",32170.22094/30793.61365*100)</f>
        <v>104.47043112785173</v>
      </c>
      <c r="HN9" s="92">
        <v>30.5</v>
      </c>
      <c r="HO9" s="92">
        <f>IF(36940.26209="","-",30482.09845/36940.26209*100)</f>
        <v>82.517277153406368</v>
      </c>
      <c r="HP9" s="92">
        <v>28.7</v>
      </c>
      <c r="HQ9" s="92">
        <f>IF(32121.11108="","-",28689.13223/32121.11108*100)</f>
        <v>89.315503933060086</v>
      </c>
      <c r="HR9" s="92">
        <v>40.299999999999997</v>
      </c>
      <c r="HS9" s="92">
        <f>IF(29507.86399="","-",40238.52994/29507.86399*100)</f>
        <v>136.36544466124874</v>
      </c>
      <c r="HT9" s="92">
        <v>52.9</v>
      </c>
      <c r="HU9" s="92">
        <f>IF(41741.62134="","-",52926.95481/41741.62134*100)</f>
        <v>126.7965956063172</v>
      </c>
      <c r="HV9" s="92">
        <v>49.7</v>
      </c>
      <c r="HW9" s="92">
        <f>IF(37684.20135="","-",49661.87166/37684.20135*100)</f>
        <v>131.78432839468945</v>
      </c>
      <c r="HX9" s="92">
        <v>30.5</v>
      </c>
      <c r="HY9" s="92">
        <f>IF(29651.38388="","-",30546.64891/29651.38388*100)</f>
        <v>103.0193026862529</v>
      </c>
      <c r="HZ9" s="97">
        <v>435</v>
      </c>
      <c r="IA9" s="97">
        <f>IF(415922.25392="","-",434949.50526/415922.25392*100)</f>
        <v>104.57471346163165</v>
      </c>
      <c r="IB9" s="92">
        <v>28.4</v>
      </c>
      <c r="IC9" s="92">
        <f>IF(28877.09062="","-",28440.26901/28877.09062*100)</f>
        <v>98.48730741005653</v>
      </c>
      <c r="ID9" s="92">
        <v>31.4</v>
      </c>
      <c r="IE9" s="92">
        <f>IF(35852.41931="","-",31426.45315/35852.41931*100)</f>
        <v>87.655041848834173</v>
      </c>
      <c r="IF9" s="92">
        <v>35</v>
      </c>
      <c r="IG9" s="92">
        <f>IF(37402.59476="","-",34994.39035/37402.59476*100)</f>
        <v>93.561397476692079</v>
      </c>
      <c r="IH9" s="92">
        <v>34.1</v>
      </c>
      <c r="II9" s="92">
        <f>IF(36854.08756="","-",34111.14983/36854.08756*100)</f>
        <v>92.557303920401282</v>
      </c>
      <c r="IJ9" s="57">
        <v>32.6</v>
      </c>
      <c r="IK9" s="92">
        <f>IF(31247.85607="","-",32602.44209/31247.85607*100)</f>
        <v>104.33497266809447</v>
      </c>
      <c r="IL9" s="92">
        <v>32.200000000000003</v>
      </c>
      <c r="IM9" s="92">
        <f>IF(32170.22094="","-",32250.94193/32170.22094*100)</f>
        <v>100.25091835754114</v>
      </c>
      <c r="IN9" s="57">
        <v>27</v>
      </c>
      <c r="IO9" s="92">
        <f>IF(30482.09845="","-",27026.92405/30482.09845*100)</f>
        <v>88.664906369003603</v>
      </c>
      <c r="IP9" s="57">
        <v>26.2</v>
      </c>
      <c r="IQ9" s="92">
        <f>IF(28689.13223="","-",26169.79323/28689.13223*100)</f>
        <v>91.21849005469204</v>
      </c>
      <c r="IR9" s="92">
        <v>28</v>
      </c>
      <c r="IS9" s="92">
        <f>IF(40238.52994="","-",28041.45974/40238.52994*100)</f>
        <v>69.688081999548317</v>
      </c>
      <c r="IT9" s="57">
        <v>30</v>
      </c>
      <c r="IU9" s="92">
        <f>IF(52926.95481="","-",30025.1809/52926.95481*100)</f>
        <v>56.729469903919451</v>
      </c>
      <c r="IV9" s="57">
        <v>34.9</v>
      </c>
      <c r="IW9" s="93">
        <f>IF(49661.87166="","-",34881.97111/49661.87166*100)</f>
        <v>70.238937728349001</v>
      </c>
      <c r="IX9" s="57">
        <v>37</v>
      </c>
      <c r="IY9" s="92">
        <f>IF(30546.64891="","-",36991.6222/30546.64891*100)</f>
        <v>121.09878994906744</v>
      </c>
      <c r="IZ9" s="95">
        <v>376.9</v>
      </c>
      <c r="JA9" s="97">
        <f>IF(434949.50526="","-",376962.59759/434949.50526*100)</f>
        <v>86.668128835935306</v>
      </c>
      <c r="JB9" s="141">
        <v>26.5</v>
      </c>
      <c r="JC9" s="92">
        <f>IF(28440.26901="","-",26547.50796/28440.26901*100)</f>
        <v>93.344784997165533</v>
      </c>
      <c r="JD9" s="141">
        <v>40.9</v>
      </c>
      <c r="JE9" s="92">
        <f>IF(31426.45315="","-",40863.93371/31426.45315*100)</f>
        <v>130.03037127656259</v>
      </c>
      <c r="JF9" s="141">
        <v>44.6</v>
      </c>
      <c r="JG9" s="92">
        <f>IF(34994.39035="","-",44608.46042/34994.39035*100)</f>
        <v>127.47317491130403</v>
      </c>
      <c r="JH9" s="141">
        <v>32.200000000000003</v>
      </c>
      <c r="JI9" s="92">
        <f>IF(34111.14983="","-",32244.47036/34111.14983*100)</f>
        <v>94.527655973771076</v>
      </c>
      <c r="JJ9" s="141">
        <v>29.1</v>
      </c>
      <c r="JK9" s="92">
        <f>IF(32602.44209="","-",29109.25213/32602.44209*100)</f>
        <v>89.285496005615329</v>
      </c>
      <c r="JL9" s="141">
        <v>35.1</v>
      </c>
      <c r="JM9" s="92">
        <f>IF(32250.94193="","-",35060.44007/32250.94193*100)</f>
        <v>108.71136770547029</v>
      </c>
      <c r="JN9" s="141">
        <v>35</v>
      </c>
      <c r="JO9" s="92">
        <f>IF(27026.92405="","-",34977.07789/27026.92405*100)</f>
        <v>129.41568128615805</v>
      </c>
      <c r="JP9" s="141">
        <v>39</v>
      </c>
      <c r="JQ9" s="92">
        <f>IF(26169.79323="","-",38997.4512/26169.79323*100)</f>
        <v>149.01703982626387</v>
      </c>
      <c r="JR9" s="151">
        <v>40.5</v>
      </c>
      <c r="JS9" s="92">
        <f>IF(28041.45974="","-",40543.45535/28041.45974*100)</f>
        <v>144.58396861617874</v>
      </c>
      <c r="JT9" s="148">
        <v>49.4</v>
      </c>
      <c r="JU9" s="92">
        <f>IF(30025.1809="","-",49394.39817/30025.1809*100)</f>
        <v>164.50991031331307</v>
      </c>
      <c r="JV9" s="148">
        <v>50.6</v>
      </c>
      <c r="JW9" s="93">
        <f>IF(34881.97111="","-",50637.74059/34881.97111*100)</f>
        <v>145.16880491160984</v>
      </c>
      <c r="JX9" s="148">
        <v>43.2</v>
      </c>
      <c r="JY9" s="92">
        <f>IF(36991.6222="","-",43223.28562/36991.6222*100)</f>
        <v>116.846147990774</v>
      </c>
      <c r="JZ9" s="95">
        <v>466.2</v>
      </c>
      <c r="KA9" s="97">
        <f>IF(376962.59759="","-",466207.47347/376962.59759*100)</f>
        <v>123.67472965502704</v>
      </c>
      <c r="KB9" s="57">
        <v>40.1</v>
      </c>
      <c r="KC9" s="93">
        <f>IF(26547.50796="","-",40025.77296/26547.50796*100)</f>
        <v>150.77035863519902</v>
      </c>
      <c r="KD9" s="57">
        <v>38.4</v>
      </c>
      <c r="KE9" s="93">
        <f>IF(40863.93371="","-",38382.77357/40863.93371*100)</f>
        <v>93.928239611956826</v>
      </c>
      <c r="KF9" s="57">
        <v>24.2</v>
      </c>
      <c r="KG9" s="93">
        <f>IF(44608.46042="","-",24189.34928/44608.46042*100)</f>
        <v>54.22592273360506</v>
      </c>
      <c r="KH9" s="93">
        <v>75.900000000000006</v>
      </c>
      <c r="KI9" s="93">
        <f>IF(32244.47036="","-",75913.18274/32244.47036*100)</f>
        <v>235.43008116570596</v>
      </c>
      <c r="KJ9" s="92">
        <v>106.4</v>
      </c>
      <c r="KK9" s="93">
        <f>IF(29109.25213="","-",106438.57018/29109.25213*100)</f>
        <v>365.65202604536989</v>
      </c>
      <c r="KL9" s="57">
        <v>126.1</v>
      </c>
      <c r="KM9" s="93">
        <f>IF(35060.44007="","-",126103.43858/35060.44007*100)</f>
        <v>359.67443171913391</v>
      </c>
      <c r="KN9" s="92">
        <v>106.2</v>
      </c>
      <c r="KO9" s="93">
        <f>IF(34977.07789="","-",106186.63054/34977.07789*100)</f>
        <v>303.58919882886761</v>
      </c>
      <c r="KP9" s="92">
        <v>105.2</v>
      </c>
      <c r="KQ9" s="93">
        <f>IF(38997.4512="","-",105263.43426/38997.4512*100)</f>
        <v>269.92388225618191</v>
      </c>
      <c r="KR9" s="92">
        <v>104.9</v>
      </c>
      <c r="KS9" s="92">
        <f>IF(40543.45535="","-",104868.76931/40543.45535*100)</f>
        <v>258.65770049616657</v>
      </c>
      <c r="KT9" s="92">
        <v>100.7</v>
      </c>
      <c r="KU9" s="93">
        <f>IF(49394.39817="","-",100703.74796/49394.39817*100)</f>
        <v>203.87685990911223</v>
      </c>
      <c r="KV9" s="92">
        <v>101.1</v>
      </c>
      <c r="KW9" s="93">
        <f>IF(50637.74059="","-",101166.07322/50637.74059*100)</f>
        <v>199.78393988609039</v>
      </c>
      <c r="KX9" s="92">
        <v>113.8</v>
      </c>
      <c r="KY9" s="93">
        <f>IF(43223.28562="","-",113800.3945/43223.28562*100)</f>
        <v>263.28492354903949</v>
      </c>
      <c r="KZ9" s="97">
        <v>1043</v>
      </c>
      <c r="LA9" s="179">
        <f>IF(466207.47347="","-",1043042.1371/466207.47347*100)</f>
        <v>223.72917562573539</v>
      </c>
      <c r="LB9" s="57">
        <v>84.4</v>
      </c>
      <c r="LC9" s="92">
        <f>IF(40025.77296="","-",84403.63787/40025.77296*100)</f>
        <v>210.87322399582212</v>
      </c>
      <c r="LD9" s="92">
        <v>86</v>
      </c>
      <c r="LE9" s="92">
        <f>IF(38382.77357="","-",86013.53934/38382.77357*100)</f>
        <v>224.094121763072</v>
      </c>
      <c r="LF9" s="92">
        <v>95.9</v>
      </c>
      <c r="LG9" s="92">
        <f>IF(24189.34928="","-",95841.39327/24189.34928*100)</f>
        <v>396.21319350348398</v>
      </c>
      <c r="LH9" s="92">
        <v>80.3</v>
      </c>
      <c r="LI9" s="93">
        <f>IF(75913.18274="","-",80279.90339/75913.18274*100)</f>
        <v>105.75225605407148</v>
      </c>
      <c r="LJ9" s="92">
        <v>88.6</v>
      </c>
      <c r="LK9" s="93">
        <f>IF(106438.57018="","-",88647.99413/106438.57018*100)</f>
        <v>83.285592788484422</v>
      </c>
      <c r="LL9" s="92">
        <v>88.6</v>
      </c>
      <c r="LM9" s="93">
        <f>IF(126103.43858="","-",88602.05399/126103.43858*100)</f>
        <v>70.261409988269961</v>
      </c>
      <c r="LN9" s="92">
        <v>61.5</v>
      </c>
      <c r="LO9" s="93">
        <f>IF(106186.63054="","-",61489.04985/106186.63054*100)</f>
        <v>57.906583472236051</v>
      </c>
      <c r="LP9" s="92">
        <v>66.7</v>
      </c>
      <c r="LQ9" s="93">
        <f>IF(105263.43426="","-",66722.92528/105263.43426*100)</f>
        <v>63.386612596350226</v>
      </c>
      <c r="LR9" s="92">
        <v>68.5</v>
      </c>
      <c r="LS9" s="92">
        <f>IF(104868.76931="","-",68545.01764/104868.76931*100)</f>
        <v>65.362660486055432</v>
      </c>
      <c r="LT9" s="92">
        <v>57.5</v>
      </c>
      <c r="LU9" s="93">
        <f>IF(100703.74796="","-",57537.14809/100703.74796*100)</f>
        <v>57.135061261924456</v>
      </c>
      <c r="LV9" s="92">
        <v>70.3</v>
      </c>
      <c r="LW9" s="92">
        <f>IF(101166.07322="","-",70314.28021/101166.07322*100)</f>
        <v>69.503814838292271</v>
      </c>
      <c r="LX9" s="92">
        <v>48.6</v>
      </c>
      <c r="LY9" s="92">
        <f>IF(113800.3945="","-",48608.19157/113800.3945*100)</f>
        <v>42.713552781225204</v>
      </c>
      <c r="LZ9" s="97">
        <v>897</v>
      </c>
      <c r="MA9" s="97">
        <f>IF(1043042.1371="","-",897005.13415/1043042.1371*100)</f>
        <v>85.998935445117226</v>
      </c>
      <c r="MB9" s="92">
        <v>17.100000000000001</v>
      </c>
      <c r="MC9" s="93">
        <f>IF(27891.62937="","-",17090.53609/27891.62937*100)</f>
        <v>61.274785575569268</v>
      </c>
      <c r="MD9" s="92">
        <v>24.5</v>
      </c>
      <c r="ME9" s="92">
        <f>IF(32816.38016="","-",24520.26645/32816.38016*100)</f>
        <v>74.719595307126028</v>
      </c>
      <c r="MF9" s="92">
        <v>24.6</v>
      </c>
      <c r="MG9" s="92">
        <f>IF(32195.80067="","-",24580.92864/32195.80067*100)</f>
        <v>76.348244579935141</v>
      </c>
      <c r="MH9" s="92">
        <v>21.6</v>
      </c>
      <c r="MI9" s="93">
        <f>IF(22289.11163="","-",21622.19922/22289.11163*100)</f>
        <v>97.007900444527493</v>
      </c>
      <c r="MJ9" s="92">
        <v>25.8</v>
      </c>
      <c r="MK9" s="92">
        <f>IF(21783.43718="","-",25834.51584/21783.43718*100)</f>
        <v>118.5970589789173</v>
      </c>
      <c r="ML9" s="93">
        <v>27.1</v>
      </c>
      <c r="MM9" s="93">
        <f>IF(27542.33222="","-",27051.38789/27542.33222*100)</f>
        <v>98.217491801062877</v>
      </c>
      <c r="MN9" s="93">
        <v>20</v>
      </c>
      <c r="MO9" s="93">
        <f>IF(24644.61913="","-",20006.90467/24644.61913*100)</f>
        <v>81.181634678401309</v>
      </c>
      <c r="MP9" s="93">
        <v>16.8</v>
      </c>
      <c r="MQ9" s="93">
        <f>IF(24644.61913="","-",20006.90467/24644.61913*100)</f>
        <v>81.181634678401309</v>
      </c>
    </row>
    <row r="10" spans="1:1814" ht="18.75">
      <c r="A10" s="37" t="s">
        <v>315</v>
      </c>
      <c r="B10" s="8">
        <v>69.900000000000006</v>
      </c>
      <c r="C10" s="8">
        <v>149.19999999999999</v>
      </c>
      <c r="D10" s="8">
        <v>84.1</v>
      </c>
      <c r="E10" s="8">
        <v>159.19999999999999</v>
      </c>
      <c r="F10" s="8">
        <v>84.8</v>
      </c>
      <c r="G10" s="8">
        <v>156.5</v>
      </c>
      <c r="H10" s="8">
        <v>88.5</v>
      </c>
      <c r="I10" s="8">
        <v>190.9</v>
      </c>
      <c r="J10" s="8">
        <v>84.3</v>
      </c>
      <c r="K10" s="8">
        <v>172.9</v>
      </c>
      <c r="L10" s="8">
        <v>82.3</v>
      </c>
      <c r="M10" s="8">
        <v>169.5</v>
      </c>
      <c r="N10" s="8">
        <v>90.3</v>
      </c>
      <c r="O10" s="8">
        <v>148.19999999999999</v>
      </c>
      <c r="P10" s="52">
        <v>97.6</v>
      </c>
      <c r="Q10" s="52">
        <v>186.4</v>
      </c>
      <c r="R10" s="52">
        <v>88.3</v>
      </c>
      <c r="S10" s="52">
        <v>135.69999999999999</v>
      </c>
      <c r="T10" s="52">
        <v>96.5</v>
      </c>
      <c r="U10" s="52">
        <v>121.1</v>
      </c>
      <c r="V10" s="52">
        <v>116</v>
      </c>
      <c r="W10" s="52">
        <v>127.9</v>
      </c>
      <c r="X10" s="52">
        <v>100.4</v>
      </c>
      <c r="Y10" s="52">
        <v>121.4</v>
      </c>
      <c r="Z10" s="60">
        <v>1083</v>
      </c>
      <c r="AA10" s="60">
        <v>148.6</v>
      </c>
      <c r="AB10" s="52">
        <v>74.8</v>
      </c>
      <c r="AC10" s="52">
        <v>107.1</v>
      </c>
      <c r="AD10" s="52">
        <v>77</v>
      </c>
      <c r="AE10" s="52">
        <v>91.7</v>
      </c>
      <c r="AF10" s="52">
        <v>100.4</v>
      </c>
      <c r="AG10" s="52">
        <v>118.4</v>
      </c>
      <c r="AH10" s="52">
        <v>84.3</v>
      </c>
      <c r="AI10" s="52">
        <v>95.3</v>
      </c>
      <c r="AJ10" s="52">
        <v>85.7</v>
      </c>
      <c r="AK10" s="52">
        <v>101.7</v>
      </c>
      <c r="AL10" s="52">
        <v>85.8</v>
      </c>
      <c r="AM10" s="52">
        <v>104.2</v>
      </c>
      <c r="AN10" s="52">
        <v>69.099999999999994</v>
      </c>
      <c r="AO10" s="52">
        <v>76.5</v>
      </c>
      <c r="AP10" s="52">
        <v>63.4</v>
      </c>
      <c r="AQ10" s="58">
        <v>65</v>
      </c>
      <c r="AR10" s="52">
        <v>80.599999999999994</v>
      </c>
      <c r="AS10" s="52">
        <v>91.3</v>
      </c>
      <c r="AT10" s="52">
        <v>97.4</v>
      </c>
      <c r="AU10" s="52">
        <v>100.9</v>
      </c>
      <c r="AV10" s="52">
        <v>103.3</v>
      </c>
      <c r="AW10" s="52">
        <v>89.1</v>
      </c>
      <c r="AX10" s="52">
        <v>91.6</v>
      </c>
      <c r="AY10" s="52">
        <v>91.2</v>
      </c>
      <c r="AZ10" s="60">
        <v>1013.4</v>
      </c>
      <c r="BA10" s="60">
        <v>93.6</v>
      </c>
      <c r="BB10" s="52">
        <v>82.3</v>
      </c>
      <c r="BC10" s="52">
        <v>110.1</v>
      </c>
      <c r="BD10" s="52">
        <v>89.9</v>
      </c>
      <c r="BE10" s="52">
        <v>116.6</v>
      </c>
      <c r="BF10" s="52">
        <v>88.1</v>
      </c>
      <c r="BG10" s="52">
        <v>87.7</v>
      </c>
      <c r="BH10" s="52">
        <v>88</v>
      </c>
      <c r="BI10" s="52">
        <v>104.3</v>
      </c>
      <c r="BJ10" s="52">
        <v>77.8</v>
      </c>
      <c r="BK10" s="52">
        <v>90.8</v>
      </c>
      <c r="BL10" s="52">
        <v>85.3</v>
      </c>
      <c r="BM10" s="52">
        <v>99.4</v>
      </c>
      <c r="BN10" s="52">
        <v>95</v>
      </c>
      <c r="BO10" s="52">
        <v>137.5</v>
      </c>
      <c r="BP10" s="52">
        <v>93.7</v>
      </c>
      <c r="BQ10" s="52">
        <v>147.6</v>
      </c>
      <c r="BR10" s="52">
        <v>87.1</v>
      </c>
      <c r="BS10" s="52">
        <v>108.1</v>
      </c>
      <c r="BT10" s="59">
        <v>116.4</v>
      </c>
      <c r="BU10" s="58">
        <v>119.4</v>
      </c>
      <c r="BV10" s="58">
        <v>131.80000000000001</v>
      </c>
      <c r="BW10" s="58">
        <v>127.6</v>
      </c>
      <c r="BX10" s="58">
        <v>101.9</v>
      </c>
      <c r="BY10" s="58">
        <v>111.1</v>
      </c>
      <c r="BZ10" s="107">
        <v>1137.3</v>
      </c>
      <c r="CA10" s="107">
        <v>112.2</v>
      </c>
      <c r="CB10" s="58">
        <v>92.2</v>
      </c>
      <c r="CC10" s="58">
        <v>112</v>
      </c>
      <c r="CD10" s="58">
        <v>105.4</v>
      </c>
      <c r="CE10" s="58">
        <v>117.3</v>
      </c>
      <c r="CF10" s="58">
        <v>121.2</v>
      </c>
      <c r="CG10" s="58">
        <v>137.6</v>
      </c>
      <c r="CH10" s="58">
        <v>94.4</v>
      </c>
      <c r="CI10" s="58">
        <v>107.4</v>
      </c>
      <c r="CJ10" s="58">
        <v>108.6</v>
      </c>
      <c r="CK10" s="58">
        <v>139.5</v>
      </c>
      <c r="CL10" s="58">
        <v>98.9</v>
      </c>
      <c r="CM10" s="58">
        <v>116</v>
      </c>
      <c r="CN10" s="58">
        <v>99</v>
      </c>
      <c r="CO10" s="58">
        <v>104.1</v>
      </c>
      <c r="CP10" s="58">
        <v>90.7</v>
      </c>
      <c r="CQ10" s="58">
        <v>96.9</v>
      </c>
      <c r="CR10" s="58">
        <v>94.3</v>
      </c>
      <c r="CS10" s="58">
        <v>108.2</v>
      </c>
      <c r="CT10" s="58">
        <v>113.4</v>
      </c>
      <c r="CU10" s="58">
        <v>97.4</v>
      </c>
      <c r="CV10" s="58">
        <v>127.4</v>
      </c>
      <c r="CW10" s="58">
        <v>96.6</v>
      </c>
      <c r="CX10" s="58">
        <v>100.5</v>
      </c>
      <c r="CY10" s="58">
        <v>98.6</v>
      </c>
      <c r="CZ10" s="107">
        <v>1246</v>
      </c>
      <c r="DA10" s="107">
        <v>109.6</v>
      </c>
      <c r="DB10" s="58">
        <v>99.8</v>
      </c>
      <c r="DC10" s="51">
        <v>108.2</v>
      </c>
      <c r="DD10" s="51">
        <v>110.9</v>
      </c>
      <c r="DE10" s="51">
        <v>105.1</v>
      </c>
      <c r="DF10" s="52">
        <v>109</v>
      </c>
      <c r="DG10" s="52">
        <v>89.9</v>
      </c>
      <c r="DH10" s="52">
        <v>94.8</v>
      </c>
      <c r="DI10" s="52">
        <v>100.4</v>
      </c>
      <c r="DJ10" s="51">
        <v>109.8</v>
      </c>
      <c r="DK10" s="52">
        <v>101.1</v>
      </c>
      <c r="DL10" s="51">
        <v>101.5</v>
      </c>
      <c r="DM10" s="51">
        <v>102.7</v>
      </c>
      <c r="DN10" s="52">
        <v>95.9</v>
      </c>
      <c r="DO10" s="52">
        <v>96.9</v>
      </c>
      <c r="DP10" s="51">
        <v>73.400000000000006</v>
      </c>
      <c r="DQ10" s="52">
        <v>80.900000000000006</v>
      </c>
      <c r="DR10" s="51">
        <v>103.8</v>
      </c>
      <c r="DS10" s="51">
        <v>110.1</v>
      </c>
      <c r="DT10" s="51">
        <v>115.7</v>
      </c>
      <c r="DU10" s="52">
        <v>102.2</v>
      </c>
      <c r="DV10" s="51">
        <v>104.7</v>
      </c>
      <c r="DW10" s="52">
        <v>82.2</v>
      </c>
      <c r="DX10" s="51">
        <v>98.3</v>
      </c>
      <c r="DY10" s="51">
        <v>97.8</v>
      </c>
      <c r="DZ10" s="79">
        <v>1217.5999999999999</v>
      </c>
      <c r="EA10" s="79">
        <v>97.7</v>
      </c>
      <c r="EB10" s="52">
        <v>78.099999999999994</v>
      </c>
      <c r="EC10" s="52">
        <v>78.2</v>
      </c>
      <c r="ED10" s="51">
        <v>89.8</v>
      </c>
      <c r="EE10" s="52">
        <v>81</v>
      </c>
      <c r="EF10" s="58">
        <v>97.7</v>
      </c>
      <c r="EG10" s="51">
        <v>89.7</v>
      </c>
      <c r="EH10" s="51">
        <v>105.9</v>
      </c>
      <c r="EI10" s="52">
        <v>111.7</v>
      </c>
      <c r="EJ10" s="52">
        <v>98.1</v>
      </c>
      <c r="EK10" s="52">
        <v>89.4</v>
      </c>
      <c r="EL10" s="52">
        <v>104</v>
      </c>
      <c r="EM10" s="52">
        <v>102.4</v>
      </c>
      <c r="EN10" s="52">
        <v>107.8</v>
      </c>
      <c r="EO10" s="52">
        <v>112.4</v>
      </c>
      <c r="EP10" s="52">
        <v>103.1</v>
      </c>
      <c r="EQ10" s="52">
        <v>140.30000000000001</v>
      </c>
      <c r="ER10" s="52">
        <v>130.1</v>
      </c>
      <c r="ES10" s="52">
        <v>125.3</v>
      </c>
      <c r="ET10" s="52">
        <v>132</v>
      </c>
      <c r="EU10" s="52">
        <v>114</v>
      </c>
      <c r="EV10" s="52">
        <v>153.19999999999999</v>
      </c>
      <c r="EW10" s="52">
        <v>146.4</v>
      </c>
      <c r="EX10" s="52">
        <v>132.19999999999999</v>
      </c>
      <c r="EY10" s="52">
        <v>134.6</v>
      </c>
      <c r="EZ10" s="60">
        <v>1331.9</v>
      </c>
      <c r="FA10" s="60">
        <v>109.4</v>
      </c>
      <c r="FB10" s="52">
        <v>92.2</v>
      </c>
      <c r="FC10" s="52">
        <v>118.2</v>
      </c>
      <c r="FD10" s="52">
        <v>117</v>
      </c>
      <c r="FE10" s="52">
        <v>130.30000000000001</v>
      </c>
      <c r="FF10" s="52">
        <v>126.4</v>
      </c>
      <c r="FG10" s="52">
        <v>129.30000000000001</v>
      </c>
      <c r="FH10" s="52">
        <v>94.1</v>
      </c>
      <c r="FI10" s="52">
        <v>88.9</v>
      </c>
      <c r="FJ10" s="52">
        <v>112.3</v>
      </c>
      <c r="FK10" s="52">
        <v>114.4</v>
      </c>
      <c r="FL10" s="52">
        <v>110.2</v>
      </c>
      <c r="FM10" s="52">
        <v>106</v>
      </c>
      <c r="FN10" s="52">
        <v>126.1</v>
      </c>
      <c r="FO10" s="52">
        <v>116.9</v>
      </c>
      <c r="FP10" s="52">
        <v>137.30000000000001</v>
      </c>
      <c r="FQ10" s="52">
        <v>133.30000000000001</v>
      </c>
      <c r="FR10" s="52">
        <v>150.9</v>
      </c>
      <c r="FS10" s="52">
        <v>116.1</v>
      </c>
      <c r="FT10" s="52">
        <v>187.9</v>
      </c>
      <c r="FU10" s="52">
        <v>142.30000000000001</v>
      </c>
      <c r="FV10" s="52">
        <v>185.2</v>
      </c>
      <c r="FW10" s="52">
        <v>120.9</v>
      </c>
      <c r="FX10" s="52">
        <v>157.30000000000001</v>
      </c>
      <c r="FY10" s="52">
        <v>119</v>
      </c>
      <c r="FZ10" s="60">
        <v>1596.9</v>
      </c>
      <c r="GA10" s="60">
        <v>119.9</v>
      </c>
      <c r="GB10" s="52">
        <v>150.9</v>
      </c>
      <c r="GC10" s="52">
        <v>163.6</v>
      </c>
      <c r="GD10" s="52">
        <v>142.1</v>
      </c>
      <c r="GE10" s="52">
        <v>121.4</v>
      </c>
      <c r="GF10" s="52">
        <v>161.4</v>
      </c>
      <c r="GG10" s="52">
        <v>127.7</v>
      </c>
      <c r="GH10" s="52">
        <v>140.30000000000001</v>
      </c>
      <c r="GI10" s="52">
        <v>149.19999999999999</v>
      </c>
      <c r="GJ10" s="57">
        <v>152</v>
      </c>
      <c r="GK10" s="52">
        <v>135.30000000000001</v>
      </c>
      <c r="GL10" s="57">
        <v>153.69999999999999</v>
      </c>
      <c r="GM10" s="52">
        <v>139.6</v>
      </c>
      <c r="GN10" s="57">
        <v>152.9</v>
      </c>
      <c r="GO10" s="52">
        <v>121.3</v>
      </c>
      <c r="GP10" s="92">
        <v>160.19999999999999</v>
      </c>
      <c r="GQ10" s="93">
        <v>116.7</v>
      </c>
      <c r="GR10" s="57">
        <v>150.1</v>
      </c>
      <c r="GS10" s="52">
        <v>99.5</v>
      </c>
      <c r="GT10" s="57">
        <v>177.9</v>
      </c>
      <c r="GU10" s="93">
        <v>94.6</v>
      </c>
      <c r="GV10" s="57">
        <v>184.4</v>
      </c>
      <c r="GW10" s="92">
        <v>99.5</v>
      </c>
      <c r="GX10" s="57">
        <v>136</v>
      </c>
      <c r="GY10" s="100">
        <v>86.5</v>
      </c>
      <c r="GZ10" s="95">
        <v>1861.9</v>
      </c>
      <c r="HA10" s="97">
        <v>116.6</v>
      </c>
      <c r="HB10" s="92">
        <v>155.5</v>
      </c>
      <c r="HC10" s="92">
        <f>IF(150851.07389="","-",155470.17932/150851.07389*100)</f>
        <v>103.06203019367845</v>
      </c>
      <c r="HD10" s="92">
        <v>151.1</v>
      </c>
      <c r="HE10" s="92">
        <f>IF(142096.65327="","-",151106.58542/142096.65327*100)</f>
        <v>106.34070679545144</v>
      </c>
      <c r="HF10" s="92">
        <v>164.2</v>
      </c>
      <c r="HG10" s="92">
        <f>IF(161411.62643="","-",164204.95263/161411.62643*100)</f>
        <v>101.73056071720545</v>
      </c>
      <c r="HH10" s="92">
        <v>131.30000000000001</v>
      </c>
      <c r="HI10" s="92">
        <f>IF(140318.42376="","-",131266.66594/140318.42376*100)</f>
        <v>93.549130914211176</v>
      </c>
      <c r="HJ10" s="92">
        <v>139.9</v>
      </c>
      <c r="HK10" s="92">
        <f>IF(151988.60535="","-",139895.36937/151988.60535*100)</f>
        <v>92.043327226964394</v>
      </c>
      <c r="HL10" s="92">
        <v>138.1</v>
      </c>
      <c r="HM10" s="92">
        <f>IF(153712.68264="","-",138166.47449/153712.68264*100)</f>
        <v>89.886190337065599</v>
      </c>
      <c r="HN10" s="92">
        <v>153.80000000000001</v>
      </c>
      <c r="HO10" s="92">
        <f>IF(152931.68359="","-",153807.01612/152931.68359*100)</f>
        <v>100.5723683343124</v>
      </c>
      <c r="HP10" s="92">
        <v>139.80000000000001</v>
      </c>
      <c r="HQ10" s="92">
        <f>IF(160227.57505="","-",139766.41508/160227.57505*100)</f>
        <v>87.229938439987649</v>
      </c>
      <c r="HR10" s="92">
        <v>154.69999999999999</v>
      </c>
      <c r="HS10" s="92">
        <f>IF(150080.89184="","-",154748.04888/150080.89184*100)</f>
        <v>103.1097609980727</v>
      </c>
      <c r="HT10" s="92">
        <v>174.9</v>
      </c>
      <c r="HU10" s="92">
        <f>IF(177842.19342="","-",174880.71251/177842.19342*100)</f>
        <v>98.334770364080015</v>
      </c>
      <c r="HV10" s="92">
        <v>179.6</v>
      </c>
      <c r="HW10" s="92">
        <f>IF(184359.22301="","-",179644.11504/184359.22301*100)</f>
        <v>97.442434453228174</v>
      </c>
      <c r="HX10" s="92">
        <v>147.6</v>
      </c>
      <c r="HY10" s="92">
        <f>IF(136043.33046="","-",147591.85203/136043.33046*100)</f>
        <v>108.48885537493919</v>
      </c>
      <c r="HZ10" s="97">
        <v>1830.5</v>
      </c>
      <c r="IA10" s="97">
        <f>IF(1861863.96271="","-",1830548.38683/1861863.96271*100)</f>
        <v>98.318052419124143</v>
      </c>
      <c r="IB10" s="92">
        <v>148.1</v>
      </c>
      <c r="IC10" s="92">
        <f>IF(152505.22066="","-",148053.6224/152505.22066*100)</f>
        <v>97.081019101684035</v>
      </c>
      <c r="ID10" s="92">
        <v>162.1</v>
      </c>
      <c r="IE10" s="92">
        <f>IF(146464.16767="","-",162101.77602/146464.16767*100)</f>
        <v>110.67674681034151</v>
      </c>
      <c r="IF10" s="92">
        <v>137.30000000000001</v>
      </c>
      <c r="IG10" s="92">
        <f>IF(159919.29214="","-",137283.99856/159919.29214*100)</f>
        <v>85.845801793454584</v>
      </c>
      <c r="IH10" s="92">
        <v>82.1</v>
      </c>
      <c r="II10" s="92">
        <f>IF(126392.05006="","-",82124.102/126392.05006*100)</f>
        <v>64.97568633550496</v>
      </c>
      <c r="IJ10" s="57">
        <v>88.8</v>
      </c>
      <c r="IK10" s="92">
        <f>IF(135203.22163="","-",88758.80948/135203.22163*100)</f>
        <v>65.648442699759954</v>
      </c>
      <c r="IL10" s="92">
        <v>124.3</v>
      </c>
      <c r="IM10" s="92">
        <f>IF(133480.57321="","-",124255.96771/133480.57321*100)</f>
        <v>93.089177489905381</v>
      </c>
      <c r="IN10" s="57">
        <v>132.9</v>
      </c>
      <c r="IO10" s="92">
        <f>IF(147545.50704="","-",132944.07567/147545.50704*100)</f>
        <v>90.103777700230808</v>
      </c>
      <c r="IP10" s="57">
        <v>115.5</v>
      </c>
      <c r="IQ10" s="92">
        <f>IF(136562.43258="","-",115532.96445/136562.43258*100)</f>
        <v>84.600839533463443</v>
      </c>
      <c r="IR10" s="92">
        <v>150.1</v>
      </c>
      <c r="IS10" s="92">
        <f>IF(151398.18967="","-",150043.17916/151398.18967*100)</f>
        <v>99.105002171456945</v>
      </c>
      <c r="IT10" s="57">
        <v>181.4</v>
      </c>
      <c r="IU10" s="92">
        <f>IF(171817.45559="","-",181355.25849/171817.45559*100)</f>
        <v>105.55112568001218</v>
      </c>
      <c r="IV10" s="57">
        <v>179.9</v>
      </c>
      <c r="IW10" s="92">
        <f>IF(175601.6381="","-",179932.22256/175601.6381*100)</f>
        <v>102.46614126545552</v>
      </c>
      <c r="IX10" s="57">
        <v>138</v>
      </c>
      <c r="IY10" s="92">
        <f>IF(143722.51294="","-",137981.54915/143722.51294*100)</f>
        <v>96.005522257743522</v>
      </c>
      <c r="IZ10" s="95">
        <v>1640.4</v>
      </c>
      <c r="JA10" s="97">
        <f>IF(1780612.26129="","-",1640367.52565/1780612.26129*100)</f>
        <v>92.123791423383935</v>
      </c>
      <c r="JB10" s="141">
        <v>130.69999999999999</v>
      </c>
      <c r="JC10" s="92">
        <f>IF(148053.6224="","-",130731.85114/148053.6224*100)</f>
        <v>88.30033944512256</v>
      </c>
      <c r="JD10" s="141">
        <v>139.80000000000001</v>
      </c>
      <c r="JE10" s="92">
        <f>IF(162101.77602="","-",139858.81563/162101.77602*100)</f>
        <v>86.278398092778659</v>
      </c>
      <c r="JF10" s="141">
        <v>169.1</v>
      </c>
      <c r="JG10" s="92">
        <f>IF(137283.99856="","-",169129.83402/137283.99856*100)</f>
        <v>123.19704830427251</v>
      </c>
      <c r="JH10" s="141">
        <v>142.19999999999999</v>
      </c>
      <c r="JI10" s="92">
        <f>IF(82124.102="","-",142225.76091/82124.102*100)</f>
        <v>173.18394654714155</v>
      </c>
      <c r="JJ10" s="141">
        <v>139</v>
      </c>
      <c r="JK10" s="92">
        <f>IF(88758.80948="","-",138960.93032/88758.80948*100)</f>
        <v>156.56015570072742</v>
      </c>
      <c r="JL10" s="141">
        <v>138.4</v>
      </c>
      <c r="JM10" s="92">
        <f>IF(124255.96771="","-",138416.45147/124255.96771*100)</f>
        <v>111.39622025482836</v>
      </c>
      <c r="JN10" s="141">
        <v>150.4</v>
      </c>
      <c r="JO10" s="92">
        <f>IF(132944.07567="","-",150438.62351/132944.07567*100)</f>
        <v>113.15932865141414</v>
      </c>
      <c r="JP10" s="141">
        <v>122.2</v>
      </c>
      <c r="JQ10" s="92">
        <f>IF(115532.96445="","-",122199.59872/115532.96445*100)</f>
        <v>105.77033083305429</v>
      </c>
      <c r="JR10" s="151">
        <v>157.19999999999999</v>
      </c>
      <c r="JS10" s="92">
        <f>IF(150043.17916="","-",157187.70863/150043.17916*100)</f>
        <v>104.76164895331988</v>
      </c>
      <c r="JT10" s="148">
        <v>220.1</v>
      </c>
      <c r="JU10" s="92">
        <f>IF(181355.25849="","-",220118.02264/181355.25849*100)</f>
        <v>121.37394000744533</v>
      </c>
      <c r="JV10" s="148">
        <v>219.3</v>
      </c>
      <c r="JW10" s="93">
        <f>IF(179932.22256="","-",219256.21924/179932.22256*100)</f>
        <v>121.85489409318393</v>
      </c>
      <c r="JX10" s="148">
        <v>191</v>
      </c>
      <c r="JY10" s="92">
        <f>IF(137981.54915="","-",191008.15718/137981.54915*100)</f>
        <v>138.43021647217097</v>
      </c>
      <c r="JZ10" s="95">
        <v>1919.5</v>
      </c>
      <c r="KA10" s="97">
        <f>IF(1640367.52565="","-",1919531.97341/1640367.52565*100)</f>
        <v>117.01840858190486</v>
      </c>
      <c r="KB10" s="57">
        <v>199.7</v>
      </c>
      <c r="KC10" s="93">
        <f>IF(130731.85114="","-",199707.56287/130731.85114*100)</f>
        <v>152.76121398765653</v>
      </c>
      <c r="KD10" s="57">
        <v>215</v>
      </c>
      <c r="KE10" s="93">
        <f>IF(139858.81563="","-",215025.7366/139858.81563*100)</f>
        <v>153.74485736305388</v>
      </c>
      <c r="KF10" s="57">
        <v>299.2</v>
      </c>
      <c r="KG10" s="93">
        <f>IF(169129.83402="","-",299203.09653/169129.83402*100)</f>
        <v>176.90734355868787</v>
      </c>
      <c r="KH10" s="93">
        <v>257.39999999999998</v>
      </c>
      <c r="KI10" s="93">
        <f>IF(142225.76091="","-",257407.47186/142225.76091*100)</f>
        <v>180.98512548854393</v>
      </c>
      <c r="KJ10" s="92">
        <v>237.2</v>
      </c>
      <c r="KK10" s="93">
        <f>IF(138960.93032="","-",237221.9501/138960.93032*100)</f>
        <v>170.71125643281457</v>
      </c>
      <c r="KL10" s="57">
        <v>201.7</v>
      </c>
      <c r="KM10" s="93">
        <f>IF(138416.45147="","-",201700.54513/138416.45147*100)</f>
        <v>145.72006650070497</v>
      </c>
      <c r="KN10" s="92">
        <v>176.8</v>
      </c>
      <c r="KO10" s="93">
        <f>IF(150438.62351="","-",176781.16087/150438.62351*100)</f>
        <v>117.51048816147201</v>
      </c>
      <c r="KP10" s="92">
        <v>172.2</v>
      </c>
      <c r="KQ10" s="93">
        <f>IF(122199.59872="","-",172169.51094/122199.59872*100)</f>
        <v>140.89204280817461</v>
      </c>
      <c r="KR10" s="92">
        <v>182</v>
      </c>
      <c r="KS10" s="92">
        <f>IF(157187.70863="","-",182047.734/157187.70863*100)</f>
        <v>115.81550210679472</v>
      </c>
      <c r="KT10" s="92">
        <v>207.2</v>
      </c>
      <c r="KU10" s="93">
        <f>IF(220118.02264="","-",207220.14951/220118.02264*100)</f>
        <v>94.140473835214152</v>
      </c>
      <c r="KV10" s="92">
        <v>205.4</v>
      </c>
      <c r="KW10" s="93">
        <f>IF(219256.21924="","-",205379.8038/219256.21924*100)</f>
        <v>93.671141695273533</v>
      </c>
      <c r="KX10" s="92">
        <v>183.7</v>
      </c>
      <c r="KY10" s="93">
        <f>IF(191008.15718="","-",183643.79013/191008.15718*100)</f>
        <v>96.144475105814436</v>
      </c>
      <c r="KZ10" s="97">
        <v>2537.5</v>
      </c>
      <c r="LA10" s="179">
        <f>IF(1919531.97341="","-",2537508.51234/1919531.97341*100)</f>
        <v>132.19412583329779</v>
      </c>
      <c r="LB10" s="57">
        <v>204.8</v>
      </c>
      <c r="LC10" s="92">
        <f>IF(199707.56287="","-",204775.6754/199707.56287*100)</f>
        <v>102.5377669514194</v>
      </c>
      <c r="LD10" s="92">
        <v>224.2</v>
      </c>
      <c r="LE10" s="92">
        <f>IF(215025.7366="","-",224238.60477/215025.7366*100)</f>
        <v>104.28454208118268</v>
      </c>
      <c r="LF10" s="92">
        <v>238.3</v>
      </c>
      <c r="LG10" s="92">
        <f>IF(299203.09653="","-",238333.93846/299203.09653*100)</f>
        <v>79.656240601809131</v>
      </c>
      <c r="LH10" s="92">
        <v>194.8</v>
      </c>
      <c r="LI10" s="92">
        <f>IF(257407.47186="","-",194744.12884/257407.47186*100)</f>
        <v>75.655973555390176</v>
      </c>
      <c r="LJ10" s="92">
        <v>195.3</v>
      </c>
      <c r="LK10" s="92">
        <f>IF(237221.9501="","-",195324.96392/237221.9501*100)</f>
        <v>82.338486736856154</v>
      </c>
      <c r="LL10" s="92">
        <v>193.8</v>
      </c>
      <c r="LM10" s="92">
        <f>IF(201700.54513="","-",193864.72795/201700.54513*100)</f>
        <v>96.115123449493069</v>
      </c>
      <c r="LN10" s="92">
        <v>209.9</v>
      </c>
      <c r="LO10" s="93">
        <f>IF(176781.16087="","-",209860.89011/176781.16087*100)</f>
        <v>118.71224800041105</v>
      </c>
      <c r="LP10" s="92">
        <v>221.8</v>
      </c>
      <c r="LQ10" s="92">
        <f>IF(172169.51094="","-",221745.41905/172169.51094*100)</f>
        <v>128.79482426320934</v>
      </c>
      <c r="LR10" s="92">
        <v>244.5</v>
      </c>
      <c r="LS10" s="92">
        <f>IF(182047.734="","-",244461.94264/182047.734*100)</f>
        <v>134.28452926527501</v>
      </c>
      <c r="LT10" s="92">
        <v>246</v>
      </c>
      <c r="LU10" s="93">
        <f>IF(207220.14951="","-",245992.41871/207220.14951*100)</f>
        <v>118.71066558521565</v>
      </c>
      <c r="LV10" s="92">
        <v>262.2</v>
      </c>
      <c r="LW10" s="92">
        <f>IF(205379.8038="","-",262176.04284/205379.8038*100)</f>
        <v>127.65424739392024</v>
      </c>
      <c r="LX10" s="92">
        <v>211.1</v>
      </c>
      <c r="LY10" s="92">
        <f>IF(183643.79013="","-",211140.89314/183643.79013*100)</f>
        <v>114.97306442572057</v>
      </c>
      <c r="LZ10" s="97">
        <v>2646.7</v>
      </c>
      <c r="MA10" s="97">
        <f>IF(2537508.51234="","-",2646659.64583/2537508.51234*100)</f>
        <v>104.30150807215794</v>
      </c>
      <c r="MB10" s="92">
        <v>193.2</v>
      </c>
      <c r="MC10" s="92">
        <f>IF(204775.6754="","-",193223.13049/204775.6754*100)</f>
        <v>94.35843886856496</v>
      </c>
      <c r="MD10" s="92">
        <v>208.7</v>
      </c>
      <c r="ME10" s="92">
        <f>IF(224238.60477="","-",208719.76117/224238.60477*100)</f>
        <v>93.079316732318432</v>
      </c>
      <c r="MF10" s="92">
        <v>203.4</v>
      </c>
      <c r="MG10" s="92">
        <f>IF(238333.93846="","-",203346.79192/238333.93846*100)</f>
        <v>85.320115646948878</v>
      </c>
      <c r="MH10" s="92">
        <v>193.9</v>
      </c>
      <c r="MI10" s="93">
        <f>IF(194744.12884="","-",193879.87783/194744.12884*100)</f>
        <v>99.55621203311857</v>
      </c>
      <c r="MJ10" s="92">
        <v>179.5</v>
      </c>
      <c r="MK10" s="92">
        <f>IF(195324.96392="","-",179550.07189/195324.96392*100)</f>
        <v>91.923770667398657</v>
      </c>
      <c r="ML10" s="93">
        <v>179.1</v>
      </c>
      <c r="MM10" s="93">
        <f>IF(193864.72795="","-",179107.17033/193864.72795*100)</f>
        <v>92.387703644674261</v>
      </c>
      <c r="MN10" s="93">
        <v>187.9</v>
      </c>
      <c r="MO10" s="93">
        <f>IF(209860.89011="","-",187887.73547/209860.89011*100)</f>
        <v>89.529657179819154</v>
      </c>
      <c r="MP10" s="93">
        <v>191.4</v>
      </c>
      <c r="MQ10" s="93">
        <f>IF(221745.41905="","-",191391.37668/221745.41905*100)</f>
        <v>86.311310285442403</v>
      </c>
    </row>
    <row r="11" spans="1:1814">
      <c r="A11" s="37" t="s">
        <v>172</v>
      </c>
      <c r="B11" s="8">
        <v>22</v>
      </c>
      <c r="C11" s="8">
        <v>283.10000000000002</v>
      </c>
      <c r="D11" s="8">
        <v>20.3</v>
      </c>
      <c r="E11" s="8">
        <v>171.3</v>
      </c>
      <c r="F11" s="8">
        <v>16.600000000000001</v>
      </c>
      <c r="G11" s="8">
        <v>123.5</v>
      </c>
      <c r="H11" s="8">
        <v>16.5</v>
      </c>
      <c r="I11" s="8">
        <v>151.19999999999999</v>
      </c>
      <c r="J11" s="8">
        <v>19.600000000000001</v>
      </c>
      <c r="K11" s="8">
        <v>105.3</v>
      </c>
      <c r="L11" s="8">
        <v>18</v>
      </c>
      <c r="M11" s="8">
        <v>205.6</v>
      </c>
      <c r="N11" s="8">
        <v>11.7</v>
      </c>
      <c r="O11" s="8">
        <v>81.099999999999994</v>
      </c>
      <c r="P11" s="52">
        <v>11.2</v>
      </c>
      <c r="Q11" s="52">
        <v>59.3</v>
      </c>
      <c r="R11" s="52">
        <v>12.5</v>
      </c>
      <c r="S11" s="52">
        <v>74.900000000000006</v>
      </c>
      <c r="T11" s="52">
        <v>17.100000000000001</v>
      </c>
      <c r="U11" s="52">
        <v>101.2</v>
      </c>
      <c r="V11" s="52">
        <v>25.6</v>
      </c>
      <c r="W11" s="52">
        <v>103.6</v>
      </c>
      <c r="X11" s="52">
        <v>23.4</v>
      </c>
      <c r="Y11" s="52">
        <v>91.7</v>
      </c>
      <c r="Z11" s="60">
        <v>214.5</v>
      </c>
      <c r="AA11" s="60">
        <v>113.8</v>
      </c>
      <c r="AB11" s="52">
        <v>18.2</v>
      </c>
      <c r="AC11" s="52">
        <v>83.2</v>
      </c>
      <c r="AD11" s="52">
        <v>15</v>
      </c>
      <c r="AE11" s="52">
        <v>73.900000000000006</v>
      </c>
      <c r="AF11" s="52">
        <v>18.100000000000001</v>
      </c>
      <c r="AG11" s="52">
        <v>109.4</v>
      </c>
      <c r="AH11" s="52">
        <v>19.5</v>
      </c>
      <c r="AI11" s="52">
        <v>118.2</v>
      </c>
      <c r="AJ11" s="52">
        <v>18.399999999999999</v>
      </c>
      <c r="AK11" s="52">
        <v>93.7</v>
      </c>
      <c r="AL11" s="52">
        <v>16.100000000000001</v>
      </c>
      <c r="AM11" s="52">
        <v>89.3</v>
      </c>
      <c r="AN11" s="52">
        <v>14.9</v>
      </c>
      <c r="AO11" s="52">
        <v>126.6</v>
      </c>
      <c r="AP11" s="52">
        <v>17.399999999999999</v>
      </c>
      <c r="AQ11" s="58">
        <v>155.30000000000001</v>
      </c>
      <c r="AR11" s="52">
        <v>22.4</v>
      </c>
      <c r="AS11" s="52">
        <v>179.3</v>
      </c>
      <c r="AT11" s="52">
        <v>18</v>
      </c>
      <c r="AU11" s="52">
        <v>105.5</v>
      </c>
      <c r="AV11" s="52">
        <v>21.4</v>
      </c>
      <c r="AW11" s="52">
        <v>83.5</v>
      </c>
      <c r="AX11" s="52">
        <v>20.9</v>
      </c>
      <c r="AY11" s="52">
        <v>89.2</v>
      </c>
      <c r="AZ11" s="60">
        <v>220.4</v>
      </c>
      <c r="BA11" s="60">
        <v>102.7</v>
      </c>
      <c r="BB11" s="52">
        <v>19.399999999999999</v>
      </c>
      <c r="BC11" s="52">
        <v>106</v>
      </c>
      <c r="BD11" s="52">
        <v>31.9</v>
      </c>
      <c r="BE11" s="52">
        <v>213.5</v>
      </c>
      <c r="BF11" s="52">
        <v>31.8</v>
      </c>
      <c r="BG11" s="52">
        <v>175.4</v>
      </c>
      <c r="BH11" s="52">
        <v>34.4</v>
      </c>
      <c r="BI11" s="52">
        <v>177.2</v>
      </c>
      <c r="BJ11" s="52">
        <v>27.5</v>
      </c>
      <c r="BK11" s="52">
        <v>149.6</v>
      </c>
      <c r="BL11" s="52">
        <v>25.3</v>
      </c>
      <c r="BM11" s="52">
        <v>157.5</v>
      </c>
      <c r="BN11" s="52">
        <v>30.4</v>
      </c>
      <c r="BO11" s="52">
        <v>204.7</v>
      </c>
      <c r="BP11" s="52">
        <v>32.5</v>
      </c>
      <c r="BQ11" s="52">
        <v>187.1</v>
      </c>
      <c r="BR11" s="52">
        <v>31.7</v>
      </c>
      <c r="BS11" s="52">
        <v>141.4</v>
      </c>
      <c r="BT11" s="59">
        <v>32</v>
      </c>
      <c r="BU11" s="58">
        <v>178.9</v>
      </c>
      <c r="BV11" s="58">
        <v>38.6</v>
      </c>
      <c r="BW11" s="58">
        <v>180.8</v>
      </c>
      <c r="BX11" s="58">
        <v>32.299999999999997</v>
      </c>
      <c r="BY11" s="58">
        <v>155.69999999999999</v>
      </c>
      <c r="BZ11" s="107">
        <v>367.8</v>
      </c>
      <c r="CA11" s="107">
        <v>167.3</v>
      </c>
      <c r="CB11" s="58">
        <v>22.5</v>
      </c>
      <c r="CC11" s="58">
        <v>116.1</v>
      </c>
      <c r="CD11" s="58">
        <v>23.3</v>
      </c>
      <c r="CE11" s="58">
        <v>72.7</v>
      </c>
      <c r="CF11" s="58">
        <v>27.6</v>
      </c>
      <c r="CG11" s="58">
        <v>86.8</v>
      </c>
      <c r="CH11" s="58">
        <v>37</v>
      </c>
      <c r="CI11" s="58">
        <v>107.6</v>
      </c>
      <c r="CJ11" s="58">
        <v>28.8</v>
      </c>
      <c r="CK11" s="58">
        <v>104.6</v>
      </c>
      <c r="CL11" s="58">
        <v>27</v>
      </c>
      <c r="CM11" s="58">
        <v>106.9</v>
      </c>
      <c r="CN11" s="58">
        <v>32.799999999999997</v>
      </c>
      <c r="CO11" s="58">
        <v>108</v>
      </c>
      <c r="CP11" s="58">
        <v>32.700000000000003</v>
      </c>
      <c r="CQ11" s="58">
        <v>100.7</v>
      </c>
      <c r="CR11" s="58">
        <v>31.4</v>
      </c>
      <c r="CS11" s="58">
        <v>99.2</v>
      </c>
      <c r="CT11" s="58">
        <v>29.4</v>
      </c>
      <c r="CU11" s="58">
        <v>91.7</v>
      </c>
      <c r="CV11" s="58">
        <v>27.9</v>
      </c>
      <c r="CW11" s="58">
        <v>72.3</v>
      </c>
      <c r="CX11" s="58">
        <v>37.5</v>
      </c>
      <c r="CY11" s="58">
        <v>116.3</v>
      </c>
      <c r="CZ11" s="107">
        <v>357.9</v>
      </c>
      <c r="DA11" s="107">
        <v>97.3</v>
      </c>
      <c r="DB11" s="58">
        <v>18.899999999999999</v>
      </c>
      <c r="DC11" s="51">
        <v>84.1</v>
      </c>
      <c r="DD11" s="51">
        <v>21.1</v>
      </c>
      <c r="DE11" s="51">
        <v>90.8</v>
      </c>
      <c r="DF11" s="51">
        <v>24.1</v>
      </c>
      <c r="DG11" s="52">
        <v>87.4</v>
      </c>
      <c r="DH11" s="52">
        <v>22.5</v>
      </c>
      <c r="DI11" s="52">
        <v>60.9</v>
      </c>
      <c r="DJ11" s="51">
        <v>18.7</v>
      </c>
      <c r="DK11" s="52">
        <v>65.099999999999994</v>
      </c>
      <c r="DL11" s="52">
        <v>20</v>
      </c>
      <c r="DM11" s="51">
        <v>73.8</v>
      </c>
      <c r="DN11" s="52">
        <v>17.600000000000001</v>
      </c>
      <c r="DO11" s="51">
        <v>53.6</v>
      </c>
      <c r="DP11" s="51">
        <v>17.7</v>
      </c>
      <c r="DQ11" s="52">
        <v>54</v>
      </c>
      <c r="DR11" s="51">
        <v>21.3</v>
      </c>
      <c r="DS11" s="51">
        <v>68.099999999999994</v>
      </c>
      <c r="DT11" s="51">
        <v>23.9</v>
      </c>
      <c r="DU11" s="52">
        <v>81.099999999999994</v>
      </c>
      <c r="DV11" s="52">
        <v>24</v>
      </c>
      <c r="DW11" s="52">
        <v>86.1</v>
      </c>
      <c r="DX11" s="51">
        <v>27.1</v>
      </c>
      <c r="DY11" s="51">
        <v>72.2</v>
      </c>
      <c r="DZ11" s="60">
        <v>256.89999999999998</v>
      </c>
      <c r="EA11" s="60">
        <v>71.8</v>
      </c>
      <c r="EB11" s="52">
        <v>19</v>
      </c>
      <c r="EC11" s="52">
        <v>100.5</v>
      </c>
      <c r="ED11" s="51">
        <v>20.100000000000001</v>
      </c>
      <c r="EE11" s="52">
        <v>94.9</v>
      </c>
      <c r="EF11" s="58">
        <v>26.8</v>
      </c>
      <c r="EG11" s="51">
        <v>111.6</v>
      </c>
      <c r="EH11" s="52">
        <v>34</v>
      </c>
      <c r="EI11" s="52">
        <v>150.9</v>
      </c>
      <c r="EJ11" s="52">
        <v>25.1</v>
      </c>
      <c r="EK11" s="52">
        <v>134</v>
      </c>
      <c r="EL11" s="52">
        <v>19.100000000000001</v>
      </c>
      <c r="EM11" s="52">
        <v>95.9</v>
      </c>
      <c r="EN11" s="52">
        <v>22.7</v>
      </c>
      <c r="EO11" s="52">
        <v>129.1</v>
      </c>
      <c r="EP11" s="52">
        <v>24</v>
      </c>
      <c r="EQ11" s="52">
        <v>136.19999999999999</v>
      </c>
      <c r="ER11" s="52">
        <v>26.3</v>
      </c>
      <c r="ES11" s="52">
        <v>123.2</v>
      </c>
      <c r="ET11" s="52">
        <v>26.3</v>
      </c>
      <c r="EU11" s="52">
        <v>110.2</v>
      </c>
      <c r="EV11" s="52">
        <v>27.4</v>
      </c>
      <c r="EW11" s="52">
        <v>114</v>
      </c>
      <c r="EX11" s="52">
        <v>27.6</v>
      </c>
      <c r="EY11" s="52">
        <v>101.8</v>
      </c>
      <c r="EZ11" s="60">
        <v>298.39999999999998</v>
      </c>
      <c r="FA11" s="60">
        <v>116.2</v>
      </c>
      <c r="FB11" s="52">
        <v>20.7</v>
      </c>
      <c r="FC11" s="52">
        <v>108.6</v>
      </c>
      <c r="FD11" s="52">
        <v>25.1</v>
      </c>
      <c r="FE11" s="52">
        <v>125</v>
      </c>
      <c r="FF11" s="52">
        <v>40.799999999999997</v>
      </c>
      <c r="FG11" s="52">
        <v>151.69999999999999</v>
      </c>
      <c r="FH11" s="52">
        <v>22.9</v>
      </c>
      <c r="FI11" s="52">
        <v>67.400000000000006</v>
      </c>
      <c r="FJ11" s="52">
        <v>27.9</v>
      </c>
      <c r="FK11" s="52">
        <v>111.3</v>
      </c>
      <c r="FL11" s="52">
        <v>21.8</v>
      </c>
      <c r="FM11" s="52">
        <v>113.9</v>
      </c>
      <c r="FN11" s="52">
        <v>27.2</v>
      </c>
      <c r="FO11" s="52">
        <v>120</v>
      </c>
      <c r="FP11" s="52">
        <v>28.3</v>
      </c>
      <c r="FQ11" s="52">
        <v>117.8</v>
      </c>
      <c r="FR11" s="52">
        <v>34.1</v>
      </c>
      <c r="FS11" s="52">
        <v>129.30000000000001</v>
      </c>
      <c r="FT11" s="52">
        <v>36.700000000000003</v>
      </c>
      <c r="FU11" s="52">
        <v>139.80000000000001</v>
      </c>
      <c r="FV11" s="52">
        <v>39.200000000000003</v>
      </c>
      <c r="FW11" s="52">
        <v>142.9</v>
      </c>
      <c r="FX11" s="52">
        <v>40.700000000000003</v>
      </c>
      <c r="FY11" s="52">
        <v>147.5</v>
      </c>
      <c r="FZ11" s="60">
        <v>365.3</v>
      </c>
      <c r="GA11" s="60">
        <v>122.4</v>
      </c>
      <c r="GB11" s="52">
        <v>35.700000000000003</v>
      </c>
      <c r="GC11" s="52">
        <v>173.1</v>
      </c>
      <c r="GD11" s="52">
        <v>36.4</v>
      </c>
      <c r="GE11" s="52">
        <v>145.1</v>
      </c>
      <c r="GF11" s="52">
        <v>37.799999999999997</v>
      </c>
      <c r="GG11" s="52">
        <v>92.6</v>
      </c>
      <c r="GH11" s="52">
        <v>30.3</v>
      </c>
      <c r="GI11" s="52">
        <v>132.4</v>
      </c>
      <c r="GJ11" s="57">
        <v>36.299999999999997</v>
      </c>
      <c r="GK11" s="52">
        <v>130.30000000000001</v>
      </c>
      <c r="GL11" s="57">
        <v>29.6</v>
      </c>
      <c r="GM11" s="52">
        <v>135.9</v>
      </c>
      <c r="GN11" s="57">
        <v>29</v>
      </c>
      <c r="GO11" s="52">
        <v>106.3</v>
      </c>
      <c r="GP11" s="92">
        <v>26.3</v>
      </c>
      <c r="GQ11" s="93">
        <v>92.7</v>
      </c>
      <c r="GR11" s="57">
        <v>27.7</v>
      </c>
      <c r="GS11" s="52">
        <v>81.3</v>
      </c>
      <c r="GT11" s="57">
        <v>39.4</v>
      </c>
      <c r="GU11" s="93">
        <v>107.2</v>
      </c>
      <c r="GV11" s="57">
        <v>46.8</v>
      </c>
      <c r="GW11" s="92">
        <v>119.6</v>
      </c>
      <c r="GX11" s="57">
        <v>53.1</v>
      </c>
      <c r="GY11" s="100">
        <v>130.6</v>
      </c>
      <c r="GZ11" s="95">
        <v>428.4</v>
      </c>
      <c r="HA11" s="97">
        <v>117.3</v>
      </c>
      <c r="HB11" s="92">
        <v>49.9</v>
      </c>
      <c r="HC11" s="92">
        <f>IF(35728.02448="","-",49906.81841/35728.02448*100)</f>
        <v>139.68535662512511</v>
      </c>
      <c r="HD11" s="92">
        <v>54.4</v>
      </c>
      <c r="HE11" s="92">
        <f>IF(36372.52478="","-",54450.83608/36372.52478*100)</f>
        <v>149.7032070480316</v>
      </c>
      <c r="HF11" s="92">
        <v>55.6</v>
      </c>
      <c r="HG11" s="92">
        <f>IF(37788.8009="","-",55624.49944/37788.8009*100)</f>
        <v>147.19837125077976</v>
      </c>
      <c r="HH11" s="92">
        <v>47.5</v>
      </c>
      <c r="HI11" s="92">
        <f>IF(30319.0499="","-",47450.14053/30319.0499*100)</f>
        <v>156.50272909772147</v>
      </c>
      <c r="HJ11" s="92">
        <v>39.4</v>
      </c>
      <c r="HK11" s="92">
        <f>IF(36317.38209="","-",39391.04368/36317.38209*100)</f>
        <v>108.46333467093801</v>
      </c>
      <c r="HL11" s="92">
        <v>31.9</v>
      </c>
      <c r="HM11" s="92">
        <f>IF(29616.87936="","-",31875.64322/29616.87936*100)</f>
        <v>107.62660992248443</v>
      </c>
      <c r="HN11" s="92">
        <v>35.9</v>
      </c>
      <c r="HO11" s="92">
        <f>IF(28960.82425="","-",35877.53564/28960.82425*100)</f>
        <v>123.8829921769233</v>
      </c>
      <c r="HP11" s="92">
        <v>37.299999999999997</v>
      </c>
      <c r="HQ11" s="92">
        <f>IF(26253.14195="","-",37347.74389/26253.14195*100)</f>
        <v>142.26009199634103</v>
      </c>
      <c r="HR11" s="92">
        <v>43.8</v>
      </c>
      <c r="HS11" s="92">
        <f>IF(27715.31795="","-",43807.54664/27715.31795*100)</f>
        <v>158.06258011916475</v>
      </c>
      <c r="HT11" s="92">
        <v>40.5</v>
      </c>
      <c r="HU11" s="92">
        <f>IF(39381.6678="","-",40534.92091/39381.6678*100)</f>
        <v>102.92840088910606</v>
      </c>
      <c r="HV11" s="92">
        <v>37.299999999999997</v>
      </c>
      <c r="HW11" s="92">
        <f>IF(46800.48138="","-",37246.53059/46800.48138*100)</f>
        <v>79.585785213562275</v>
      </c>
      <c r="HX11" s="92">
        <v>40.200000000000003</v>
      </c>
      <c r="HY11" s="92">
        <f>IF(53132.98995="","-",40153.31406/53132.98995*100)</f>
        <v>75.57134295996832</v>
      </c>
      <c r="HZ11" s="97">
        <v>513.70000000000005</v>
      </c>
      <c r="IA11" s="97">
        <f>IF(428387.08479="","-",513666.57309/428387.08479*100)</f>
        <v>119.9071100245249</v>
      </c>
      <c r="IB11" s="92">
        <v>43</v>
      </c>
      <c r="IC11" s="92">
        <f>IF(52871.77707="","-",42978.213/52871.77707*100)</f>
        <v>81.287627126848164</v>
      </c>
      <c r="ID11" s="92">
        <v>51.8</v>
      </c>
      <c r="IE11" s="92">
        <f>IF(59093.25383="","-",51796.22657/59093.25383*100)</f>
        <v>87.65167462094378</v>
      </c>
      <c r="IF11" s="92">
        <v>37.9</v>
      </c>
      <c r="IG11" s="92">
        <f>IF(59910.15993="","-",37952.24423/59910.15993*100)</f>
        <v>63.348594419283835</v>
      </c>
      <c r="IH11" s="92">
        <v>33.6</v>
      </c>
      <c r="II11" s="92">
        <f>IF(52324.75641="","-",33624.58118/52324.75641*100)</f>
        <v>64.261323868435369</v>
      </c>
      <c r="IJ11" s="57">
        <v>34.299999999999997</v>
      </c>
      <c r="IK11" s="92">
        <f>IF(44083.19142="","-",34349.47921/44083.19142*100)</f>
        <v>77.919674378239449</v>
      </c>
      <c r="IL11" s="92">
        <v>33.1</v>
      </c>
      <c r="IM11" s="92">
        <f>IF(36561.5445="","-",33071.86992/36561.5445*100)</f>
        <v>90.455341458564462</v>
      </c>
      <c r="IN11" s="57">
        <v>31.2</v>
      </c>
      <c r="IO11" s="92">
        <f>IF(42139.04472="","-",31159.33093/42139.04472*100)</f>
        <v>73.944084724851834</v>
      </c>
      <c r="IP11" s="57">
        <v>22.2</v>
      </c>
      <c r="IQ11" s="92">
        <f>IF(40551.72639="","-",22206.82972/40551.72639*100)</f>
        <v>54.761736914550141</v>
      </c>
      <c r="IR11" s="92">
        <v>34.200000000000003</v>
      </c>
      <c r="IS11" s="92">
        <f>IF(47157.40585="","-",34174.49429/47157.40585*100)</f>
        <v>72.468986947041742</v>
      </c>
      <c r="IT11" s="57">
        <v>38</v>
      </c>
      <c r="IU11" s="92">
        <f>IF(43598.17783="","-",37972.78919/43598.17783*100)</f>
        <v>87.097193231481441</v>
      </c>
      <c r="IV11" s="57">
        <v>47.2</v>
      </c>
      <c r="IW11" s="93">
        <f>IF(41289.00753="","-",47220.78353/41289.00753*100)</f>
        <v>114.36647755626011</v>
      </c>
      <c r="IX11" s="57">
        <v>43.3</v>
      </c>
      <c r="IY11" s="92">
        <f>IF(44022.65315="","-",43269.11467/44022.65315*100)</f>
        <v>98.288293807662072</v>
      </c>
      <c r="IZ11" s="95">
        <v>449.8</v>
      </c>
      <c r="JA11" s="97">
        <f>IF(563602.69863="","-",449775.95644/563602.69863*100)</f>
        <v>79.803726549448939</v>
      </c>
      <c r="JB11" s="141">
        <v>41.2</v>
      </c>
      <c r="JC11" s="92">
        <f>IF(42978.213="","-",41157.90483/42978.213*100)</f>
        <v>95.764579206678505</v>
      </c>
      <c r="JD11" s="141">
        <v>46.3</v>
      </c>
      <c r="JE11" s="92">
        <f>IF(51796.22657="","-",46312.24838/51796.22657*100)</f>
        <v>89.412398251465902</v>
      </c>
      <c r="JF11" s="141">
        <v>45.6</v>
      </c>
      <c r="JG11" s="92">
        <f>IF(37952.24423="","-",45548.84094/37952.24423*100)</f>
        <v>120.01619894718939</v>
      </c>
      <c r="JH11" s="141">
        <v>43.8</v>
      </c>
      <c r="JI11" s="92">
        <f>IF(33624.58118="","-",43764.89595/33624.58118*100)</f>
        <v>130.15744557743812</v>
      </c>
      <c r="JJ11" s="141">
        <v>33.6</v>
      </c>
      <c r="JK11" s="92">
        <f>IF(34349.47921="","-",33626.83428/34349.47921*100)</f>
        <v>97.89619829289984</v>
      </c>
      <c r="JL11" s="141">
        <v>53.3</v>
      </c>
      <c r="JM11" s="92">
        <f>IF(33071.86992="","-",53333.90835/33071.86992*100)</f>
        <v>161.26668518899402</v>
      </c>
      <c r="JN11" s="141">
        <v>55.3</v>
      </c>
      <c r="JO11" s="92">
        <f>IF(31159.33093="","-",55305.19319/31159.33093*100)</f>
        <v>177.49159413674226</v>
      </c>
      <c r="JP11" s="141">
        <v>75.099999999999994</v>
      </c>
      <c r="JQ11" s="92">
        <f>IF(22206.82972="","-",75103.62919/22206.82972*100)</f>
        <v>338.2005902551677</v>
      </c>
      <c r="JR11" s="151">
        <v>97.2</v>
      </c>
      <c r="JS11" s="92">
        <f>IF(34174.49429="","-",97166.12814/34174.49429*100)</f>
        <v>284.32352887349776</v>
      </c>
      <c r="JT11" s="148">
        <v>82.7</v>
      </c>
      <c r="JU11" s="92">
        <f>IF(37972.78919="","-",82735.09084/37972.78919*100)</f>
        <v>217.87994141285779</v>
      </c>
      <c r="JV11" s="148">
        <v>94</v>
      </c>
      <c r="JW11" s="93">
        <f>IF(47220.78353="","-",93971.05328/47220.78353*100)</f>
        <v>199.00358752052242</v>
      </c>
      <c r="JX11" s="148">
        <v>90.8</v>
      </c>
      <c r="JY11" s="92">
        <f>IF(43269.11467="","-",90739.36442/43269.11467*100)</f>
        <v>209.70931601453077</v>
      </c>
      <c r="JZ11" s="95">
        <v>758.8</v>
      </c>
      <c r="KA11" s="97">
        <f>IF(449775.95644="","-",758765.09179/449775.95644*100)</f>
        <v>168.69845551453329</v>
      </c>
      <c r="KB11" s="57">
        <v>90.6</v>
      </c>
      <c r="KC11" s="93">
        <f>IF(41157.90483="","-",90623.86904/41157.90483*100)</f>
        <v>220.18581707284639</v>
      </c>
      <c r="KD11" s="57">
        <v>83.1</v>
      </c>
      <c r="KE11" s="93">
        <f>IF(46312.24838="","-",83055.82251/46312.24838*100)</f>
        <v>179.33878275248617</v>
      </c>
      <c r="KF11" s="57">
        <v>72.400000000000006</v>
      </c>
      <c r="KG11" s="93">
        <f>IF(45548.84094="","-",72436.31109/45548.84094*100)</f>
        <v>159.02997660339585</v>
      </c>
      <c r="KH11" s="93">
        <v>63</v>
      </c>
      <c r="KI11" s="93">
        <f>IF(43764.89595="","-",63017.42764/43764.89595*100)</f>
        <v>143.99080877970192</v>
      </c>
      <c r="KJ11" s="92">
        <v>72.400000000000006</v>
      </c>
      <c r="KK11" s="93">
        <f>IF(33626.83428="","-",72305.49016/33626.83428*100)</f>
        <v>215.02318522741413</v>
      </c>
      <c r="KL11" s="57">
        <v>88.6</v>
      </c>
      <c r="KM11" s="93">
        <f>IF(53333.90835="","-",88630.53872/53333.90835*100)</f>
        <v>166.18046841489351</v>
      </c>
      <c r="KN11" s="92">
        <v>55.2</v>
      </c>
      <c r="KO11" s="93">
        <f>IF(55305.19319="","-",55256.54401/55305.19319*100)</f>
        <v>99.912035060011689</v>
      </c>
      <c r="KP11" s="92">
        <v>52</v>
      </c>
      <c r="KQ11" s="93">
        <f>IF(75103.62919="","-",51983.41094/75103.62919*100)</f>
        <v>69.215577863075566</v>
      </c>
      <c r="KR11" s="92">
        <v>31.9</v>
      </c>
      <c r="KS11" s="92">
        <f>IF(97166.12814="","-",31877.14303/97166.12814*100)</f>
        <v>32.806847036315382</v>
      </c>
      <c r="KT11" s="92">
        <v>44</v>
      </c>
      <c r="KU11" s="93">
        <f>IF(82735.09084="","-",44005.29389/82735.09084*100)</f>
        <v>53.18818586311955</v>
      </c>
      <c r="KV11" s="92">
        <v>48.9</v>
      </c>
      <c r="KW11" s="93">
        <f>IF(93971.05328="","-",48868.21156/93971.05328*100)</f>
        <v>52.003473255099394</v>
      </c>
      <c r="KX11" s="92">
        <v>49.5</v>
      </c>
      <c r="KY11" s="93">
        <f>IF(90739.36442="","-",49534.40578/90739.36442*100)</f>
        <v>54.589764978651367</v>
      </c>
      <c r="KZ11" s="97">
        <v>751.6</v>
      </c>
      <c r="LA11" s="179">
        <f>IF(758765.09179="","-",751594.46837/758765.09179*100)</f>
        <v>99.054961344744555</v>
      </c>
      <c r="LB11" s="57">
        <v>41.9</v>
      </c>
      <c r="LC11" s="92">
        <f>IF(90623.86904="","-",41918.57037/90623.86904*100)</f>
        <v>46.255551450245164</v>
      </c>
      <c r="LD11" s="92">
        <v>45.8</v>
      </c>
      <c r="LE11" s="92">
        <f>IF(83055.82251="","-",45791.52/83055.82251*100)</f>
        <v>55.133425467536192</v>
      </c>
      <c r="LF11" s="92">
        <v>50.7</v>
      </c>
      <c r="LG11" s="92">
        <f>IF(72436.31109="","-",50728.15576/72436.31109*100)</f>
        <v>70.031390329874398</v>
      </c>
      <c r="LH11" s="92">
        <v>42.3</v>
      </c>
      <c r="LI11" s="93">
        <f>IF(63017.42764="","-",42357.76463/63017.42764*100)</f>
        <v>67.215953135976008</v>
      </c>
      <c r="LJ11" s="92">
        <v>52.6</v>
      </c>
      <c r="LK11" s="93">
        <f>IF(72305.49016="","-",52554.09121/72305.49016*100)</f>
        <v>72.683403561343056</v>
      </c>
      <c r="LL11" s="92">
        <v>34.200000000000003</v>
      </c>
      <c r="LM11" s="93">
        <f>IF(88630.53872="","-",34186.03407/88630.53872*100)</f>
        <v>38.571393747249921</v>
      </c>
      <c r="LN11" s="92">
        <v>32.799999999999997</v>
      </c>
      <c r="LO11" s="93">
        <f>IF(55256.54401="","-",32834.99409/55256.54401*100)</f>
        <v>59.422815303211365</v>
      </c>
      <c r="LP11" s="92">
        <v>33.1</v>
      </c>
      <c r="LQ11" s="93">
        <f>IF(51983.41094="","-",33084.64253/51983.41094*100)</f>
        <v>63.644616487722914</v>
      </c>
      <c r="LR11" s="92">
        <v>35</v>
      </c>
      <c r="LS11" s="92">
        <f>IF(31877.14303="","-",34951.12553/31877.14303*100)</f>
        <v>109.64321833078652</v>
      </c>
      <c r="LT11" s="92">
        <v>38.299999999999997</v>
      </c>
      <c r="LU11" s="93">
        <f>IF(44005.29389="","-",38242.66709/44005.29389*100)</f>
        <v>86.904696479462601</v>
      </c>
      <c r="LV11" s="92">
        <v>46.7</v>
      </c>
      <c r="LW11" s="92">
        <f>IF(48868.21156="","-",46698.27123/48868.21156*100)</f>
        <v>95.559607645277197</v>
      </c>
      <c r="LX11" s="92">
        <v>51.6</v>
      </c>
      <c r="LY11" s="92">
        <f>IF(49534.40578="","-",51592.28973/49534.40578*100)</f>
        <v>104.15445369252998</v>
      </c>
      <c r="LZ11" s="97">
        <v>504.9</v>
      </c>
      <c r="MA11" s="97">
        <f>IF(751594.46837="","-",504940.12624/751594.46837*100)</f>
        <v>67.18252295484227</v>
      </c>
      <c r="MB11" s="92">
        <v>63.8</v>
      </c>
      <c r="MC11" s="92">
        <f>IF(98430.57887="","-",63768.5966/98430.57887*100)</f>
        <v>64.785351597109837</v>
      </c>
      <c r="MD11" s="92">
        <v>93.9</v>
      </c>
      <c r="ME11" s="92">
        <f>IF(98988.67926="","-",93887.4451/98988.67926*100)</f>
        <v>94.846648931842708</v>
      </c>
      <c r="MF11" s="92">
        <v>92.3</v>
      </c>
      <c r="MG11" s="92">
        <f>IF(114373.74836="","-",92346.61667/114373.74836*100)</f>
        <v>80.741094870242478</v>
      </c>
      <c r="MH11" s="92">
        <v>77.2</v>
      </c>
      <c r="MI11" s="93">
        <f>IF(100348.55639="","-",77196.93002/100348.55639*100)</f>
        <v>76.928789807376717</v>
      </c>
      <c r="MJ11" s="92">
        <v>72.5</v>
      </c>
      <c r="MK11" s="92">
        <f>IF(119418.6476="","-",72456.21224/119418.6476*100)</f>
        <v>60.674118905362647</v>
      </c>
      <c r="ML11" s="93">
        <v>82.3</v>
      </c>
      <c r="MM11" s="93">
        <f>IF(95245.75584="","-",82351.17694/95245.75584*100)</f>
        <v>86.461781119506114</v>
      </c>
      <c r="MN11" s="93">
        <v>77</v>
      </c>
      <c r="MO11" s="93">
        <f>IF(69679.42481="","-",77048.87385/69679.42481*100)</f>
        <v>110.57621968047933</v>
      </c>
      <c r="MP11" s="93">
        <v>64.5</v>
      </c>
      <c r="MQ11" s="93">
        <f>IF(79100.82065="","-",64454.79274/79100.82065*100)</f>
        <v>81.484354031161374</v>
      </c>
    </row>
    <row r="12" spans="1:1814">
      <c r="A12" s="3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39"/>
      <c r="Q12" s="39"/>
      <c r="R12" s="39"/>
      <c r="S12" s="39"/>
      <c r="T12" s="39"/>
      <c r="U12" s="39"/>
      <c r="V12" s="49"/>
      <c r="W12" s="39"/>
      <c r="X12" s="39"/>
      <c r="Y12" s="39"/>
      <c r="Z12" s="47"/>
      <c r="AA12" s="47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52"/>
      <c r="AQ12" s="41"/>
      <c r="AR12" s="39"/>
      <c r="AS12" s="39"/>
      <c r="AT12" s="39"/>
      <c r="AU12" s="39"/>
      <c r="AV12" s="39"/>
      <c r="AW12" s="52"/>
      <c r="AX12" s="39"/>
      <c r="AY12" s="39"/>
      <c r="AZ12" s="47"/>
      <c r="BA12" s="47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52"/>
      <c r="BU12" s="43"/>
      <c r="BV12" s="43"/>
      <c r="BW12" s="43"/>
      <c r="BX12" s="43"/>
      <c r="BY12" s="43"/>
      <c r="BZ12" s="106"/>
      <c r="CA12" s="106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106"/>
      <c r="DA12" s="106"/>
      <c r="DB12" s="43"/>
      <c r="DC12" s="50"/>
      <c r="DD12" s="51"/>
      <c r="DE12" s="51"/>
      <c r="DF12" s="51"/>
      <c r="DG12" s="52"/>
      <c r="DH12" s="52"/>
      <c r="DI12" s="52"/>
      <c r="DJ12" s="51"/>
      <c r="DK12" s="52"/>
      <c r="DL12" s="51"/>
      <c r="DM12" s="51"/>
      <c r="DN12" s="51"/>
      <c r="DO12" s="51"/>
      <c r="DP12" s="51"/>
      <c r="DQ12" s="61"/>
      <c r="DR12" s="51"/>
      <c r="DS12" s="50"/>
      <c r="DT12" s="53"/>
      <c r="DU12" s="52"/>
      <c r="DV12" s="54"/>
      <c r="DW12" s="52"/>
      <c r="DX12" s="51"/>
      <c r="DY12" s="51"/>
      <c r="DZ12" s="104"/>
      <c r="EA12" s="104"/>
      <c r="EB12" s="49"/>
      <c r="EC12" s="52"/>
      <c r="ED12" s="51"/>
      <c r="EE12" s="51"/>
      <c r="EF12" s="54"/>
      <c r="EG12" s="55"/>
      <c r="EH12" s="55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103"/>
      <c r="FA12" s="103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103"/>
      <c r="GA12" s="103"/>
      <c r="GB12" s="56"/>
      <c r="GC12" s="56"/>
      <c r="GD12" s="56"/>
      <c r="GE12" s="56"/>
      <c r="GF12" s="56"/>
      <c r="GG12" s="56"/>
      <c r="GH12" s="56"/>
      <c r="GI12" s="56"/>
      <c r="GJ12" s="57"/>
      <c r="GK12" s="52"/>
      <c r="GL12" s="57"/>
      <c r="GM12" s="52"/>
      <c r="GN12" s="57"/>
      <c r="GO12" s="52"/>
      <c r="GP12" s="92"/>
      <c r="GQ12" s="93"/>
      <c r="GR12" s="52"/>
      <c r="GS12" s="52"/>
      <c r="GT12" s="52"/>
      <c r="GU12" s="52"/>
      <c r="GV12" s="52"/>
      <c r="GW12" s="52"/>
      <c r="GX12" s="52"/>
      <c r="GY12" s="52"/>
      <c r="GZ12" s="60"/>
      <c r="HA12" s="60"/>
      <c r="HB12" s="112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115"/>
      <c r="HV12" s="116"/>
      <c r="HW12" s="57"/>
      <c r="HX12" s="116"/>
      <c r="HY12" s="57"/>
      <c r="HZ12" s="117"/>
      <c r="IA12" s="95"/>
      <c r="IB12" s="112"/>
      <c r="IC12" s="57"/>
      <c r="ID12" s="112"/>
      <c r="IE12" s="57"/>
      <c r="IF12" s="112"/>
      <c r="IG12" s="57"/>
      <c r="IH12" s="112"/>
      <c r="II12" s="57"/>
      <c r="IJ12" s="112"/>
      <c r="IK12" s="57"/>
      <c r="IL12" s="57"/>
      <c r="IM12" s="57"/>
      <c r="IN12" s="57"/>
      <c r="IO12" s="57"/>
      <c r="IP12" s="57"/>
      <c r="IQ12" s="57"/>
      <c r="IR12" s="57"/>
      <c r="IS12" s="57"/>
      <c r="IT12" s="57"/>
      <c r="IU12" s="57"/>
      <c r="IV12" s="57"/>
      <c r="IW12" s="57"/>
      <c r="IX12" s="57"/>
      <c r="IY12" s="57"/>
      <c r="IZ12" s="95"/>
      <c r="JA12" s="95"/>
      <c r="JB12" s="158"/>
      <c r="JC12" s="57"/>
      <c r="JD12" s="158"/>
      <c r="JE12" s="57"/>
      <c r="JF12" s="158"/>
      <c r="JG12" s="57"/>
      <c r="JH12" s="158"/>
      <c r="JI12" s="57"/>
      <c r="JJ12" s="147"/>
      <c r="JK12" s="57"/>
      <c r="JL12" s="158"/>
      <c r="JM12" s="57"/>
      <c r="JN12" s="160"/>
      <c r="JO12" s="57"/>
      <c r="JP12" s="158"/>
      <c r="JQ12" s="57"/>
      <c r="JR12" s="161"/>
      <c r="JS12" s="57"/>
      <c r="JT12" s="148"/>
      <c r="JU12" s="57"/>
      <c r="JV12" s="148"/>
      <c r="JW12" s="57"/>
      <c r="JX12" s="148"/>
      <c r="JY12" s="57"/>
      <c r="JZ12" s="95"/>
      <c r="KA12" s="96"/>
      <c r="KB12" s="57"/>
      <c r="KC12" s="57"/>
      <c r="KD12" s="57"/>
      <c r="KE12" s="57"/>
      <c r="KF12" s="57"/>
      <c r="KG12" s="57"/>
      <c r="KH12" s="57" t="s">
        <v>349</v>
      </c>
      <c r="KI12" s="57"/>
      <c r="KJ12" s="57" t="s">
        <v>349</v>
      </c>
      <c r="KK12" s="57"/>
      <c r="KL12" s="57"/>
      <c r="KM12" s="57"/>
      <c r="KN12" s="57" t="s">
        <v>349</v>
      </c>
      <c r="KO12" s="52"/>
      <c r="KP12" s="57" t="s">
        <v>349</v>
      </c>
      <c r="KQ12" s="52"/>
      <c r="KR12" s="57"/>
      <c r="KS12" s="52"/>
      <c r="KT12" s="57" t="s">
        <v>349</v>
      </c>
      <c r="KU12" s="57"/>
      <c r="KV12" s="57"/>
      <c r="KW12" s="57"/>
      <c r="KX12" s="57"/>
      <c r="KY12" s="57"/>
      <c r="KZ12" s="95"/>
      <c r="LA12" s="95"/>
      <c r="LB12" s="57"/>
      <c r="LC12" s="57"/>
      <c r="LD12" s="57"/>
      <c r="LE12" s="57"/>
      <c r="LF12" s="57"/>
      <c r="LG12" s="57"/>
      <c r="LH12" s="57"/>
      <c r="LI12" s="57"/>
      <c r="LJ12" s="57"/>
      <c r="LK12" s="57"/>
      <c r="LL12" s="57"/>
      <c r="LM12" s="57"/>
      <c r="LN12" s="57"/>
      <c r="LO12" s="57"/>
      <c r="LP12" s="57"/>
      <c r="LQ12" s="57"/>
      <c r="LR12" s="57"/>
      <c r="LS12" s="57"/>
      <c r="LT12" s="57"/>
      <c r="LU12" s="57"/>
      <c r="LV12" s="57"/>
      <c r="LW12" s="57"/>
      <c r="LX12" s="57"/>
      <c r="LY12" s="57"/>
      <c r="LZ12" s="197"/>
      <c r="MA12" s="95"/>
      <c r="MB12" s="57"/>
      <c r="MC12" s="57"/>
      <c r="MD12" s="57" t="s">
        <v>349</v>
      </c>
      <c r="ME12" s="57"/>
      <c r="MF12" s="57"/>
      <c r="MG12" s="57"/>
      <c r="MH12" s="57"/>
      <c r="MI12" s="195"/>
      <c r="MJ12" s="57"/>
      <c r="MK12" s="195"/>
      <c r="ML12" s="93" t="s">
        <v>349</v>
      </c>
      <c r="MM12" s="93"/>
      <c r="MN12" s="202"/>
      <c r="MO12" s="201"/>
      <c r="MP12" s="202"/>
      <c r="MQ12" s="201"/>
    </row>
    <row r="13" spans="1:1814">
      <c r="A13" s="36" t="s">
        <v>121</v>
      </c>
      <c r="B13" s="7">
        <v>284.8</v>
      </c>
      <c r="C13" s="7">
        <v>143.30000000000001</v>
      </c>
      <c r="D13" s="7">
        <v>355.9</v>
      </c>
      <c r="E13" s="7">
        <v>141.19999999999999</v>
      </c>
      <c r="F13" s="7">
        <v>457.5</v>
      </c>
      <c r="G13" s="7">
        <v>146.4</v>
      </c>
      <c r="H13" s="7">
        <v>421.1</v>
      </c>
      <c r="I13" s="7">
        <v>143.80000000000001</v>
      </c>
      <c r="J13" s="7">
        <v>437.7</v>
      </c>
      <c r="K13" s="7">
        <v>147.30000000000001</v>
      </c>
      <c r="L13" s="7">
        <v>417.3</v>
      </c>
      <c r="M13" s="7">
        <v>129.30000000000001</v>
      </c>
      <c r="N13" s="7">
        <v>414.8</v>
      </c>
      <c r="O13" s="7">
        <v>132.1</v>
      </c>
      <c r="P13" s="39">
        <v>420.7</v>
      </c>
      <c r="Q13" s="39">
        <v>139.5</v>
      </c>
      <c r="R13" s="39">
        <v>483.9</v>
      </c>
      <c r="S13" s="39">
        <v>140.30000000000001</v>
      </c>
      <c r="T13" s="39">
        <v>467.8</v>
      </c>
      <c r="U13" s="39">
        <v>125.3</v>
      </c>
      <c r="V13" s="39">
        <v>494.9</v>
      </c>
      <c r="W13" s="39">
        <v>122.1</v>
      </c>
      <c r="X13" s="39">
        <v>534.9</v>
      </c>
      <c r="Y13" s="39">
        <v>121.6</v>
      </c>
      <c r="Z13" s="47">
        <v>5191.3</v>
      </c>
      <c r="AA13" s="47">
        <v>134.69999999999999</v>
      </c>
      <c r="AB13" s="39">
        <v>338.9</v>
      </c>
      <c r="AC13" s="39">
        <v>119</v>
      </c>
      <c r="AD13" s="39">
        <v>389</v>
      </c>
      <c r="AE13" s="39">
        <v>109.3</v>
      </c>
      <c r="AF13" s="39">
        <v>476.3</v>
      </c>
      <c r="AG13" s="39">
        <v>104.1</v>
      </c>
      <c r="AH13" s="39">
        <v>426.6</v>
      </c>
      <c r="AI13" s="39">
        <v>101.3</v>
      </c>
      <c r="AJ13" s="39">
        <v>428.1</v>
      </c>
      <c r="AK13" s="39">
        <v>97.8</v>
      </c>
      <c r="AL13" s="39">
        <v>401.8</v>
      </c>
      <c r="AM13" s="39">
        <v>96.3</v>
      </c>
      <c r="AN13" s="39">
        <v>416.6</v>
      </c>
      <c r="AO13" s="39">
        <v>100.4</v>
      </c>
      <c r="AP13" s="39">
        <v>406.6</v>
      </c>
      <c r="AQ13" s="41">
        <v>96.7</v>
      </c>
      <c r="AR13" s="39">
        <v>449.7</v>
      </c>
      <c r="AS13" s="39">
        <v>92.9</v>
      </c>
      <c r="AT13" s="39">
        <v>497</v>
      </c>
      <c r="AU13" s="39">
        <v>106.2</v>
      </c>
      <c r="AV13" s="39">
        <v>477.9</v>
      </c>
      <c r="AW13" s="39">
        <v>96.6</v>
      </c>
      <c r="AX13" s="39">
        <v>504.4</v>
      </c>
      <c r="AY13" s="39">
        <v>94.3</v>
      </c>
      <c r="AZ13" s="47">
        <v>5212.8999999999996</v>
      </c>
      <c r="BA13" s="47">
        <v>100.4</v>
      </c>
      <c r="BB13" s="39">
        <v>348.2</v>
      </c>
      <c r="BC13" s="39">
        <v>102.8</v>
      </c>
      <c r="BD13" s="39">
        <v>406.5</v>
      </c>
      <c r="BE13" s="39">
        <v>104.5</v>
      </c>
      <c r="BF13" s="39">
        <v>488</v>
      </c>
      <c r="BG13" s="39">
        <v>102.4</v>
      </c>
      <c r="BH13" s="39">
        <v>486.1</v>
      </c>
      <c r="BI13" s="39">
        <v>114</v>
      </c>
      <c r="BJ13" s="39">
        <v>409.8</v>
      </c>
      <c r="BK13" s="39">
        <v>95.7</v>
      </c>
      <c r="BL13" s="39">
        <v>455.3</v>
      </c>
      <c r="BM13" s="39">
        <v>113.3</v>
      </c>
      <c r="BN13" s="39">
        <v>476</v>
      </c>
      <c r="BO13" s="39">
        <v>114.2</v>
      </c>
      <c r="BP13" s="39">
        <v>444.4</v>
      </c>
      <c r="BQ13" s="39">
        <v>109.3</v>
      </c>
      <c r="BR13" s="39">
        <v>455.8</v>
      </c>
      <c r="BS13" s="39">
        <v>101.4</v>
      </c>
      <c r="BT13" s="42">
        <v>480.3</v>
      </c>
      <c r="BU13" s="43">
        <v>96.7</v>
      </c>
      <c r="BV13" s="43">
        <v>487.1</v>
      </c>
      <c r="BW13" s="43">
        <v>101.9</v>
      </c>
      <c r="BX13" s="43">
        <v>554.9</v>
      </c>
      <c r="BY13" s="43">
        <v>110</v>
      </c>
      <c r="BZ13" s="106">
        <v>5492.4</v>
      </c>
      <c r="CA13" s="106">
        <v>105.4</v>
      </c>
      <c r="CB13" s="43">
        <v>319.5</v>
      </c>
      <c r="CC13" s="43">
        <v>91.8</v>
      </c>
      <c r="CD13" s="43">
        <v>415.7</v>
      </c>
      <c r="CE13" s="43">
        <v>102.3</v>
      </c>
      <c r="CF13" s="43">
        <v>483</v>
      </c>
      <c r="CG13" s="43">
        <v>99</v>
      </c>
      <c r="CH13" s="43">
        <v>443.2</v>
      </c>
      <c r="CI13" s="43">
        <v>91.2</v>
      </c>
      <c r="CJ13" s="43">
        <v>433.5</v>
      </c>
      <c r="CK13" s="43">
        <v>105.8</v>
      </c>
      <c r="CL13" s="43">
        <v>452.1</v>
      </c>
      <c r="CM13" s="43">
        <v>99.3</v>
      </c>
      <c r="CN13" s="43">
        <v>447</v>
      </c>
      <c r="CO13" s="43">
        <v>93.9</v>
      </c>
      <c r="CP13" s="43">
        <v>412.9</v>
      </c>
      <c r="CQ13" s="43">
        <v>92.9</v>
      </c>
      <c r="CR13" s="43">
        <v>458.9</v>
      </c>
      <c r="CS13" s="43">
        <v>100.7</v>
      </c>
      <c r="CT13" s="43">
        <v>481.8</v>
      </c>
      <c r="CU13" s="43">
        <v>100.3</v>
      </c>
      <c r="CV13" s="43">
        <v>464.3</v>
      </c>
      <c r="CW13" s="43">
        <v>95.3</v>
      </c>
      <c r="CX13" s="43">
        <v>505.1</v>
      </c>
      <c r="CY13" s="43">
        <v>91</v>
      </c>
      <c r="CZ13" s="106">
        <v>5317</v>
      </c>
      <c r="DA13" s="106">
        <v>96.8</v>
      </c>
      <c r="DB13" s="43">
        <v>269.3</v>
      </c>
      <c r="DC13" s="45">
        <v>84.3</v>
      </c>
      <c r="DD13" s="45">
        <v>304.3</v>
      </c>
      <c r="DE13" s="45">
        <v>73.2</v>
      </c>
      <c r="DF13" s="45">
        <v>402.6</v>
      </c>
      <c r="DG13" s="39">
        <v>83.3</v>
      </c>
      <c r="DH13" s="39">
        <v>329.5</v>
      </c>
      <c r="DI13" s="39">
        <v>74.3</v>
      </c>
      <c r="DJ13" s="39">
        <v>328</v>
      </c>
      <c r="DK13" s="39">
        <v>75.7</v>
      </c>
      <c r="DL13" s="45">
        <v>351.7</v>
      </c>
      <c r="DM13" s="45">
        <v>77.8</v>
      </c>
      <c r="DN13" s="45">
        <v>340.9</v>
      </c>
      <c r="DO13" s="45">
        <v>76.3</v>
      </c>
      <c r="DP13" s="45">
        <v>298.60000000000002</v>
      </c>
      <c r="DQ13" s="39">
        <v>72.3</v>
      </c>
      <c r="DR13" s="45">
        <v>337.6</v>
      </c>
      <c r="DS13" s="45">
        <v>73.599999999999994</v>
      </c>
      <c r="DT13" s="45">
        <v>337.1</v>
      </c>
      <c r="DU13" s="39">
        <v>70</v>
      </c>
      <c r="DV13" s="45">
        <v>334.6</v>
      </c>
      <c r="DW13" s="39">
        <v>72</v>
      </c>
      <c r="DX13" s="45">
        <v>352.6</v>
      </c>
      <c r="DY13" s="45">
        <v>69.8</v>
      </c>
      <c r="DZ13" s="78">
        <v>3986.8</v>
      </c>
      <c r="EA13" s="47">
        <v>75</v>
      </c>
      <c r="EB13" s="39">
        <v>207.3</v>
      </c>
      <c r="EC13" s="39">
        <v>77</v>
      </c>
      <c r="ED13" s="39">
        <v>287</v>
      </c>
      <c r="EE13" s="45">
        <v>94.3</v>
      </c>
      <c r="EF13" s="62">
        <v>366.8</v>
      </c>
      <c r="EG13" s="45">
        <v>91.1</v>
      </c>
      <c r="EH13" s="39">
        <v>354.9</v>
      </c>
      <c r="EI13" s="39">
        <v>107.8</v>
      </c>
      <c r="EJ13" s="39">
        <v>327.7</v>
      </c>
      <c r="EK13" s="39">
        <v>100</v>
      </c>
      <c r="EL13" s="39">
        <v>324.60000000000002</v>
      </c>
      <c r="EM13" s="39">
        <v>92.3</v>
      </c>
      <c r="EN13" s="39">
        <v>314.10000000000002</v>
      </c>
      <c r="EO13" s="39">
        <v>92.1</v>
      </c>
      <c r="EP13" s="39">
        <v>351.1</v>
      </c>
      <c r="EQ13" s="39">
        <v>117.6</v>
      </c>
      <c r="ER13" s="39">
        <v>361.6</v>
      </c>
      <c r="ES13" s="39">
        <v>107.1</v>
      </c>
      <c r="ET13" s="39">
        <v>380.2</v>
      </c>
      <c r="EU13" s="39">
        <v>112.8</v>
      </c>
      <c r="EV13" s="39">
        <v>353.5</v>
      </c>
      <c r="EW13" s="39">
        <v>105.6</v>
      </c>
      <c r="EX13" s="39">
        <v>391.4</v>
      </c>
      <c r="EY13" s="39">
        <v>111</v>
      </c>
      <c r="EZ13" s="47">
        <v>4020.3</v>
      </c>
      <c r="FA13" s="47">
        <v>100.8</v>
      </c>
      <c r="FB13" s="39">
        <v>266.8</v>
      </c>
      <c r="FC13" s="39">
        <v>128.69999999999999</v>
      </c>
      <c r="FD13" s="39">
        <v>332.7</v>
      </c>
      <c r="FE13" s="39">
        <v>115.9</v>
      </c>
      <c r="FF13" s="39">
        <v>431.2</v>
      </c>
      <c r="FG13" s="39">
        <v>117.6</v>
      </c>
      <c r="FH13" s="39">
        <v>361.5</v>
      </c>
      <c r="FI13" s="39">
        <v>101.9</v>
      </c>
      <c r="FJ13" s="39">
        <v>400.4</v>
      </c>
      <c r="FK13" s="39">
        <v>122.2</v>
      </c>
      <c r="FL13" s="39">
        <v>388.8</v>
      </c>
      <c r="FM13" s="39">
        <v>119.8</v>
      </c>
      <c r="FN13" s="39">
        <v>396.9</v>
      </c>
      <c r="FO13" s="39">
        <v>126.3</v>
      </c>
      <c r="FP13" s="39">
        <v>429.7</v>
      </c>
      <c r="FQ13" s="39">
        <v>122.4</v>
      </c>
      <c r="FR13" s="39">
        <v>430.8</v>
      </c>
      <c r="FS13" s="39">
        <v>119.1</v>
      </c>
      <c r="FT13" s="39">
        <v>465.9</v>
      </c>
      <c r="FU13" s="39">
        <v>122.5</v>
      </c>
      <c r="FV13" s="39">
        <v>455.3</v>
      </c>
      <c r="FW13" s="39">
        <v>128.80000000000001</v>
      </c>
      <c r="FX13" s="39">
        <v>471.4</v>
      </c>
      <c r="FY13" s="39">
        <v>120.4</v>
      </c>
      <c r="FZ13" s="47">
        <v>4831.3</v>
      </c>
      <c r="GA13" s="47">
        <v>120.2</v>
      </c>
      <c r="GB13" s="39">
        <v>374.3</v>
      </c>
      <c r="GC13" s="39">
        <v>140.30000000000001</v>
      </c>
      <c r="GD13" s="39">
        <v>427.6</v>
      </c>
      <c r="GE13" s="39">
        <v>128.5</v>
      </c>
      <c r="GF13" s="39">
        <v>524.1</v>
      </c>
      <c r="GG13" s="39">
        <v>121.6</v>
      </c>
      <c r="GH13" s="39">
        <v>444.6</v>
      </c>
      <c r="GI13" s="39">
        <v>123</v>
      </c>
      <c r="GJ13" s="48">
        <v>505.6</v>
      </c>
      <c r="GK13" s="39">
        <v>126.3</v>
      </c>
      <c r="GL13" s="48">
        <v>458.7</v>
      </c>
      <c r="GM13" s="39">
        <v>118</v>
      </c>
      <c r="GN13" s="48">
        <v>488</v>
      </c>
      <c r="GO13" s="39">
        <v>123</v>
      </c>
      <c r="GP13" s="90">
        <v>480.7</v>
      </c>
      <c r="GQ13" s="91">
        <v>111.9</v>
      </c>
      <c r="GR13" s="48">
        <v>474</v>
      </c>
      <c r="GS13" s="39">
        <v>110</v>
      </c>
      <c r="GT13" s="48">
        <v>540.6</v>
      </c>
      <c r="GU13" s="91">
        <v>116</v>
      </c>
      <c r="GV13" s="48">
        <v>522.6</v>
      </c>
      <c r="GW13" s="90">
        <v>114.8</v>
      </c>
      <c r="GX13" s="48">
        <v>519.29999999999995</v>
      </c>
      <c r="GY13" s="90">
        <v>110.2</v>
      </c>
      <c r="GZ13" s="94">
        <v>5760.1</v>
      </c>
      <c r="HA13" s="96">
        <v>119.2</v>
      </c>
      <c r="HB13" s="90">
        <v>372.6</v>
      </c>
      <c r="HC13" s="90">
        <f>IF(374257.25828="","-",372548.49281/374257.25828*100)</f>
        <v>99.543424894989869</v>
      </c>
      <c r="HD13" s="90">
        <v>459.3</v>
      </c>
      <c r="HE13" s="90">
        <f>IF(427600.8878="","-",459248.98718/427600.8878*100)</f>
        <v>107.40131750961253</v>
      </c>
      <c r="HF13" s="90">
        <v>533.79999999999995</v>
      </c>
      <c r="HG13" s="90">
        <f>IF(524151.65323="","-",533847.81488/524151.65323*100)</f>
        <v>101.84987714724333</v>
      </c>
      <c r="HH13" s="90">
        <v>515.6</v>
      </c>
      <c r="HI13" s="90">
        <f>IF(444601.83252="","-",515591.42554/444601.83252*100)</f>
        <v>115.96700414337735</v>
      </c>
      <c r="HJ13" s="90">
        <v>481.6</v>
      </c>
      <c r="HK13" s="90">
        <f>IF(505594.98812="","-",481606.75367/505594.98812*100)</f>
        <v>95.255444572503052</v>
      </c>
      <c r="HL13" s="90">
        <v>445.4</v>
      </c>
      <c r="HM13" s="90">
        <f>IF(458682.35918="","-",445438.91205/458682.35918*100)</f>
        <v>97.112719321999705</v>
      </c>
      <c r="HN13" s="90">
        <v>499.1</v>
      </c>
      <c r="HO13" s="90">
        <f>IF(488041.26888="","-",499106.13257/488041.26888*100)</f>
        <v>102.26719836939048</v>
      </c>
      <c r="HP13" s="90">
        <v>464.3</v>
      </c>
      <c r="HQ13" s="90">
        <f>IF(480650.77296="","-",464269.56222/480650.77296*100)</f>
        <v>96.591868428897087</v>
      </c>
      <c r="HR13" s="90">
        <v>501.7</v>
      </c>
      <c r="HS13" s="90">
        <f>IF(473973.76404="","-",501694.30423/473973.76404*100)</f>
        <v>105.84853894732886</v>
      </c>
      <c r="HT13" s="90">
        <v>525.29999999999995</v>
      </c>
      <c r="HU13" s="90">
        <f>IF(540614.13985="","-",525340.24848/540614.13985*100)</f>
        <v>97.174714783775727</v>
      </c>
      <c r="HV13" s="90">
        <v>504.1</v>
      </c>
      <c r="HW13" s="90">
        <f>IF(522571.0681="","-",504121.79757/522571.0681*100)</f>
        <v>96.469519333115954</v>
      </c>
      <c r="HX13" s="90">
        <v>539.70000000000005</v>
      </c>
      <c r="HY13" s="90">
        <f>IF(519317.05816="","-",539669.9086/519317.05816*100)</f>
        <v>103.91915692353963</v>
      </c>
      <c r="HZ13" s="96">
        <v>5842.5</v>
      </c>
      <c r="IA13" s="96">
        <f>IF(5760057.05112="","-",5842484.3398/5760057.05112*100)</f>
        <v>101.43101514357349</v>
      </c>
      <c r="IB13" s="90">
        <v>379.8</v>
      </c>
      <c r="IC13" s="90">
        <f>IF(372548.49281="","-",379831.59944/372548.49281*100)</f>
        <v>101.95494191241148</v>
      </c>
      <c r="ID13" s="90">
        <v>484.8</v>
      </c>
      <c r="IE13" s="90">
        <f>IF(459248.98718="","-",484785.07909/459248.98718*100)</f>
        <v>105.56040244460927</v>
      </c>
      <c r="IF13" s="90">
        <v>500.5</v>
      </c>
      <c r="IG13" s="90">
        <f>IF(533847.81488="","-",500496.7331/533847.81488*100)</f>
        <v>93.752698643620619</v>
      </c>
      <c r="IH13" s="90">
        <v>285.60000000000002</v>
      </c>
      <c r="II13" s="90">
        <f>IF(515591.42554="","-",285604.18681/515591.42554*100)</f>
        <v>55.393509795256001</v>
      </c>
      <c r="IJ13" s="48">
        <v>329.4</v>
      </c>
      <c r="IK13" s="90">
        <f>IF(481606.75367="","-",329360.04715/481606.75367*100)</f>
        <v>68.38775508029515</v>
      </c>
      <c r="IL13" s="90">
        <v>413.5</v>
      </c>
      <c r="IM13" s="90">
        <f>IF(445438.91205="","-",413539.17419/445438.91205*100)</f>
        <v>92.838583025180498</v>
      </c>
      <c r="IN13" s="48">
        <v>496.6</v>
      </c>
      <c r="IO13" s="90">
        <f>IF(499106.13257="","-",496638.96559/499106.13257*100)</f>
        <v>99.505682896081424</v>
      </c>
      <c r="IP13" s="48">
        <v>433.6</v>
      </c>
      <c r="IQ13" s="90">
        <f>IF(464269.56222="","-",433625.62616/464269.56222*100)</f>
        <v>93.399537993946922</v>
      </c>
      <c r="IR13" s="90">
        <v>508.3</v>
      </c>
      <c r="IS13" s="90">
        <f>IF(501694.30423="","-",508337.58442/501694.30423*100)</f>
        <v>101.32416894790069</v>
      </c>
      <c r="IT13" s="90">
        <v>493.6</v>
      </c>
      <c r="IU13" s="90">
        <f>IF(525340.24848="","-",493580.30765/525340.24848*100)</f>
        <v>93.954405564414117</v>
      </c>
      <c r="IV13" s="90">
        <v>522.9</v>
      </c>
      <c r="IW13" s="90">
        <f>IF(504121.79757="","-",522886.87074/504121.79757*100)</f>
        <v>103.7223292586142</v>
      </c>
      <c r="IX13" s="90">
        <v>567.29999999999995</v>
      </c>
      <c r="IY13" s="90">
        <f>IF(539669.9086="","-",567302.1235/539669.9086*100)</f>
        <v>105.12020671519058</v>
      </c>
      <c r="IZ13" s="96">
        <v>5416</v>
      </c>
      <c r="JA13" s="96">
        <f>IF(5842484.3398="","-",5415988.29784/5842484.3398*100)</f>
        <v>92.700090968928478</v>
      </c>
      <c r="JB13" s="142">
        <v>399.4</v>
      </c>
      <c r="JC13" s="90">
        <f>IF(379831.59944="","-",399368.86107/379831.59944*100)</f>
        <v>105.14366410240868</v>
      </c>
      <c r="JD13" s="143">
        <v>521.4</v>
      </c>
      <c r="JE13" s="90">
        <f>IF(484785.07909="","-",521438.57325/484785.07909*100)</f>
        <v>107.56077192573727</v>
      </c>
      <c r="JF13" s="143">
        <v>630.1</v>
      </c>
      <c r="JG13" s="90">
        <f>IF(500496.7331="","-",630055.59405/500496.7331*100)</f>
        <v>125.88605526903886</v>
      </c>
      <c r="JH13" s="143">
        <v>562.20000000000005</v>
      </c>
      <c r="JI13" s="90">
        <f>IF(285604.18681="","-",562205.14526/285604.18681*100)</f>
        <v>196.84765533007069</v>
      </c>
      <c r="JJ13" s="143">
        <v>563.4</v>
      </c>
      <c r="JK13" s="90">
        <f>IF(329360.04715="","-",563394.10094/329360.04715*100)</f>
        <v>171.05720800538208</v>
      </c>
      <c r="JL13" s="143">
        <v>589.6</v>
      </c>
      <c r="JM13" s="90">
        <f>IF(413539.17419="","-",589651.5133/413539.17419*100)</f>
        <v>142.58661575531545</v>
      </c>
      <c r="JN13" s="142">
        <v>562</v>
      </c>
      <c r="JO13" s="90">
        <f>IF(496638.96559="","-",561993.46053/496638.96559*100)</f>
        <v>113.15935709199938</v>
      </c>
      <c r="JP13" s="142">
        <v>574.9</v>
      </c>
      <c r="JQ13" s="90">
        <f>IF(433625.62616="","-",574936.77782/433625.62616*100)</f>
        <v>132.58828425602752</v>
      </c>
      <c r="JR13" s="143">
        <v>671.2</v>
      </c>
      <c r="JS13" s="90">
        <f>IF(508337.58442="","-",671200.23342/508337.58442*100)</f>
        <v>132.03828597207149</v>
      </c>
      <c r="JT13" s="157">
        <v>646.79999999999995</v>
      </c>
      <c r="JU13" s="90">
        <f>IF(493580.30765="","-",646825.37355/493580.30765*100)</f>
        <v>131.0476458490858</v>
      </c>
      <c r="JV13" s="48">
        <v>701.5</v>
      </c>
      <c r="JW13" s="91">
        <f>IF(522886.87074="","-",701494.63996/522886.87074*100)</f>
        <v>134.15801375299989</v>
      </c>
      <c r="JX13" s="157">
        <v>754.2</v>
      </c>
      <c r="JY13" s="90">
        <f>IF(567302.1235="","-",754196.91196/567302.1235*100)</f>
        <v>132.94448949123316</v>
      </c>
      <c r="JZ13" s="94">
        <v>7176.8</v>
      </c>
      <c r="KA13" s="180">
        <f>IF(5415988.29784="","-",7176761.18511/5415988.29784*100)</f>
        <v>132.51064792684707</v>
      </c>
      <c r="KB13" s="48">
        <v>621.70000000000005</v>
      </c>
      <c r="KC13" s="91">
        <f>IF(399368.86107="","-",621670.20413/399368.86107*100)</f>
        <v>155.66316373900662</v>
      </c>
      <c r="KD13" s="48">
        <v>669.1</v>
      </c>
      <c r="KE13" s="91">
        <f>IF(521438.57325="","-",669093.24933/521438.57325*100)</f>
        <v>128.31679197795137</v>
      </c>
      <c r="KF13" s="48">
        <v>748.3</v>
      </c>
      <c r="KG13" s="91">
        <f>IF(630055.59405="","-",748290.45998/630055.59405*100)</f>
        <v>118.765783058918</v>
      </c>
      <c r="KH13" s="48">
        <v>770.4</v>
      </c>
      <c r="KI13" s="91">
        <f>IF(562205.14526="","-",770435.79939/562205.14526*100)</f>
        <v>137.03819786880473</v>
      </c>
      <c r="KJ13" s="48">
        <v>772.7</v>
      </c>
      <c r="KK13" s="91">
        <f>IF(563394.10094="","-",772669.2169/563394.10094*100)</f>
        <v>137.1454219365863</v>
      </c>
      <c r="KL13" s="48">
        <v>768.4</v>
      </c>
      <c r="KM13" s="90">
        <f>IF(589651.5133="","-",768415.61486/589651.5133*100)</f>
        <v>130.31690711002199</v>
      </c>
      <c r="KN13" s="48">
        <v>761.1</v>
      </c>
      <c r="KO13" s="90">
        <f>IF(561993.46053="","-",761060.1229/561993.46053*100)</f>
        <v>135.42152646798874</v>
      </c>
      <c r="KP13" s="48">
        <v>780</v>
      </c>
      <c r="KQ13" s="90">
        <f>IF(574936.77782="","-",779967.62088/574936.77782*100)</f>
        <v>135.66145895856928</v>
      </c>
      <c r="KR13" s="48">
        <v>844.1</v>
      </c>
      <c r="KS13" s="90">
        <f>IF(671200.23342="","-",844143.83056/671200.23342*100)</f>
        <v>125.76631957631956</v>
      </c>
      <c r="KT13" s="48">
        <v>751.1</v>
      </c>
      <c r="KU13" s="91">
        <f>IF(646825.37355="","-",751147.02622/646825.37355*100)</f>
        <v>116.12825608516977</v>
      </c>
      <c r="KV13" s="48">
        <v>858.3</v>
      </c>
      <c r="KW13" s="91">
        <f>IF(701494.63996="","-",858314.19976/701494.63996*100)</f>
        <v>122.3550617306131</v>
      </c>
      <c r="KX13" s="48">
        <v>873.8</v>
      </c>
      <c r="KY13" s="91">
        <f>IF(754196.91196="","-",873771.42519/754196.91196*100)</f>
        <v>115.85454823982914</v>
      </c>
      <c r="KZ13" s="94">
        <v>9219</v>
      </c>
      <c r="LA13" s="180">
        <f>IF(7176761.18511="","-",9218978.7701/7176761.18511*100)</f>
        <v>128.45597801452686</v>
      </c>
      <c r="LB13" s="48">
        <v>733.3</v>
      </c>
      <c r="LC13" s="90">
        <f>IF(621670.20413="","-",733326.83984/621670.20413*100)</f>
        <v>117.96075072735046</v>
      </c>
      <c r="LD13" s="48">
        <v>752.5</v>
      </c>
      <c r="LE13" s="90">
        <f>IF(669093.24933="","-",752473.92596/669093.24933*100)</f>
        <v>112.46174232268726</v>
      </c>
      <c r="LF13" s="48">
        <v>821.1</v>
      </c>
      <c r="LG13" s="91">
        <f>IF(748290.45998="","-",821108.94615/748290.45998*100)</f>
        <v>109.73131291449928</v>
      </c>
      <c r="LH13" s="48">
        <v>690.6</v>
      </c>
      <c r="LI13" s="90">
        <f>IF(770435.79939="","-",690625.47191/770435.79939*100)</f>
        <v>89.640885386791396</v>
      </c>
      <c r="LJ13" s="48">
        <v>709.2</v>
      </c>
      <c r="LK13" s="90">
        <f>IF(772669.2169="","-",709194.88577/772669.2169*100)</f>
        <v>91.785057597523661</v>
      </c>
      <c r="LL13" s="48">
        <v>665.6</v>
      </c>
      <c r="LM13" s="90">
        <f>IF(768415.61486="","-",665590.72616/768415.61486*100)</f>
        <v>86.618584173522549</v>
      </c>
      <c r="LN13" s="48">
        <v>639.5</v>
      </c>
      <c r="LO13" s="91">
        <f>IF(761060.1229="","-",639542.91406/761060.1229*100)</f>
        <v>84.03316568775648</v>
      </c>
      <c r="LP13" s="48">
        <v>698.9</v>
      </c>
      <c r="LQ13" s="90">
        <f>IF(779967.62088="","-",698860.99364/779967.62088*100)</f>
        <v>89.601282788060971</v>
      </c>
      <c r="LR13" s="48">
        <v>703.2</v>
      </c>
      <c r="LS13" s="90">
        <f>IF(844143.83056="","-",703195.83858/844143.83056*100)</f>
        <v>83.302846401602437</v>
      </c>
      <c r="LT13" s="48">
        <v>714.1</v>
      </c>
      <c r="LU13" s="90">
        <f>IF(751147.02622="","-",714122.9085/751147.02622*100)</f>
        <v>95.07098924343525</v>
      </c>
      <c r="LV13" s="48">
        <v>737.2</v>
      </c>
      <c r="LW13" s="90">
        <f>IF(858314.19976="","-",737243.99164/858314.19976*100)</f>
        <v>85.894418599406436</v>
      </c>
      <c r="LX13" s="90">
        <v>810.1</v>
      </c>
      <c r="LY13" s="90">
        <f>IF(873771.42519="","-",810162.86282/873771.42519*100)</f>
        <v>92.720228593402638</v>
      </c>
      <c r="LZ13" s="94">
        <v>8675.4</v>
      </c>
      <c r="MA13" s="96">
        <f>IF(9218978.7701="","-",8675450.33613/9218978.7701*100)</f>
        <v>94.104244650906139</v>
      </c>
      <c r="MB13" s="48">
        <v>623.29999999999995</v>
      </c>
      <c r="MC13" s="90">
        <f>IF(733326.83984="","-",623333.32193/733326.83984*100)</f>
        <v>85.00075110655996</v>
      </c>
      <c r="MD13" s="90">
        <v>752.3</v>
      </c>
      <c r="ME13" s="90">
        <f>IF(752473.92597="","-",752274.89599/752473.92597*100)</f>
        <v>99.973549916730548</v>
      </c>
      <c r="MF13" s="90">
        <v>779.4</v>
      </c>
      <c r="MG13" s="90">
        <f>IF(821108.94839="","-",779123.48959/821108.94839*100)</f>
        <v>94.886737151954861</v>
      </c>
      <c r="MH13" s="90">
        <v>776.8</v>
      </c>
      <c r="MI13" s="91">
        <f>IF(690625.4627="","-",776752.03985/690625.4627*100)</f>
        <v>112.47080824580202</v>
      </c>
      <c r="MJ13" s="90">
        <v>691.4</v>
      </c>
      <c r="MK13" s="90">
        <f>IF(709194.88514="","-",691413.92536/709194.88514*100)</f>
        <v>97.492796387485242</v>
      </c>
      <c r="ML13" s="91">
        <v>693</v>
      </c>
      <c r="MM13" s="91">
        <f>IF(665590.73255="","-",692963.32447/665590.73255*100)</f>
        <v>104.11252599854126</v>
      </c>
      <c r="MN13" s="91">
        <v>788.4</v>
      </c>
      <c r="MO13" s="91">
        <f>IF(639542.94636="","-",788389.11468/639542.94636*100)</f>
        <v>123.27383472324536</v>
      </c>
      <c r="MP13" s="91">
        <v>736</v>
      </c>
      <c r="MQ13" s="91">
        <f>IF(698860.99364="","-",736017.44887/698860.99364*100)</f>
        <v>105.31671613785045</v>
      </c>
    </row>
    <row r="14" spans="1:1814" ht="15.75" customHeight="1">
      <c r="A14" s="36" t="s">
        <v>120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39"/>
      <c r="Q14" s="39"/>
      <c r="R14" s="39"/>
      <c r="S14" s="39"/>
      <c r="T14" s="39"/>
      <c r="U14" s="39"/>
      <c r="V14" s="49"/>
      <c r="W14" s="39"/>
      <c r="X14" s="39"/>
      <c r="Y14" s="39"/>
      <c r="Z14" s="47"/>
      <c r="AA14" s="47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41"/>
      <c r="AR14" s="39"/>
      <c r="AS14" s="39"/>
      <c r="AT14" s="39"/>
      <c r="AU14" s="39"/>
      <c r="AV14" s="39"/>
      <c r="AW14" s="52"/>
      <c r="AX14" s="39"/>
      <c r="AY14" s="39"/>
      <c r="AZ14" s="47"/>
      <c r="BA14" s="47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7"/>
      <c r="CA14" s="47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47"/>
      <c r="DA14" s="47"/>
      <c r="DB14" s="39"/>
      <c r="DC14" s="50"/>
      <c r="DD14" s="51"/>
      <c r="DE14" s="51"/>
      <c r="DF14" s="51"/>
      <c r="DG14" s="52"/>
      <c r="DH14" s="52"/>
      <c r="DI14" s="52"/>
      <c r="DJ14" s="51"/>
      <c r="DK14" s="52"/>
      <c r="DL14" s="45"/>
      <c r="DM14" s="45"/>
      <c r="DN14" s="45"/>
      <c r="DO14" s="45"/>
      <c r="DP14" s="45"/>
      <c r="DQ14" s="52"/>
      <c r="DR14" s="51"/>
      <c r="DS14" s="50"/>
      <c r="DT14" s="53"/>
      <c r="DU14" s="52"/>
      <c r="DV14" s="54"/>
      <c r="DW14" s="52"/>
      <c r="DX14" s="51"/>
      <c r="DY14" s="51"/>
      <c r="DZ14" s="104"/>
      <c r="EA14" s="104"/>
      <c r="EB14" s="49"/>
      <c r="EC14" s="52"/>
      <c r="ED14" s="51"/>
      <c r="EE14" s="51"/>
      <c r="EF14" s="54"/>
      <c r="EG14" s="55"/>
      <c r="EH14" s="55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103"/>
      <c r="FA14" s="103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103"/>
      <c r="GA14" s="103"/>
      <c r="GB14" s="56"/>
      <c r="GC14" s="56"/>
      <c r="GD14" s="56"/>
      <c r="GE14" s="56"/>
      <c r="GF14" s="56"/>
      <c r="GG14" s="56"/>
      <c r="GH14" s="56"/>
      <c r="GI14" s="56"/>
      <c r="GJ14" s="57"/>
      <c r="GK14" s="39"/>
      <c r="GL14" s="57"/>
      <c r="GM14" s="39"/>
      <c r="GN14" s="57"/>
      <c r="GO14" s="39"/>
      <c r="GP14" s="92"/>
      <c r="GQ14" s="91"/>
      <c r="GR14" s="57"/>
      <c r="GS14" s="39"/>
      <c r="GT14" s="39"/>
      <c r="GU14" s="39"/>
      <c r="GV14" s="57"/>
      <c r="GW14" s="48"/>
      <c r="GX14" s="57"/>
      <c r="GY14" s="48"/>
      <c r="GZ14" s="95"/>
      <c r="HA14" s="94"/>
      <c r="HB14" s="112"/>
      <c r="HC14" s="114"/>
      <c r="HD14" s="112"/>
      <c r="HE14" s="114"/>
      <c r="HF14" s="112"/>
      <c r="HG14" s="114"/>
      <c r="HH14" s="112"/>
      <c r="HI14" s="114"/>
      <c r="HJ14" s="112"/>
      <c r="HK14" s="114"/>
      <c r="HL14" s="112"/>
      <c r="HM14" s="114"/>
      <c r="HN14" s="112"/>
      <c r="HO14" s="114"/>
      <c r="HP14" s="112"/>
      <c r="HQ14" s="114"/>
      <c r="HR14" s="112"/>
      <c r="HS14" s="114"/>
      <c r="HT14" s="112"/>
      <c r="HU14" s="114"/>
      <c r="HV14" s="112"/>
      <c r="HW14" s="114"/>
      <c r="HX14" s="112"/>
      <c r="HY14" s="114"/>
      <c r="HZ14" s="113"/>
      <c r="IA14" s="118"/>
      <c r="IB14" s="112"/>
      <c r="IC14" s="57"/>
      <c r="ID14" s="112"/>
      <c r="IE14" s="57"/>
      <c r="IF14" s="112"/>
      <c r="IG14" s="57"/>
      <c r="IH14" s="112"/>
      <c r="II14" s="57"/>
      <c r="IJ14" s="57"/>
      <c r="IK14" s="57"/>
      <c r="IL14" s="114"/>
      <c r="IM14" s="57"/>
      <c r="IN14" s="57"/>
      <c r="IO14" s="57"/>
      <c r="IP14" s="57"/>
      <c r="IQ14" s="57"/>
      <c r="IR14" s="57"/>
      <c r="IS14" s="57"/>
      <c r="IT14" s="57"/>
      <c r="IU14" s="57"/>
      <c r="IV14" s="57"/>
      <c r="IW14" s="57"/>
      <c r="IX14" s="57"/>
      <c r="IY14" s="57"/>
      <c r="IZ14" s="95"/>
      <c r="JA14" s="95"/>
      <c r="JB14" s="141"/>
      <c r="JC14" s="57"/>
      <c r="JD14" s="162"/>
      <c r="JE14" s="57"/>
      <c r="JF14" s="162"/>
      <c r="JG14" s="57"/>
      <c r="JH14" s="162"/>
      <c r="JI14" s="57"/>
      <c r="JJ14" s="162"/>
      <c r="JK14" s="57"/>
      <c r="JL14" s="162"/>
      <c r="JM14" s="57"/>
      <c r="JN14" s="142"/>
      <c r="JO14" s="57"/>
      <c r="JP14" s="162"/>
      <c r="JQ14" s="57"/>
      <c r="JR14" s="143"/>
      <c r="JS14" s="57"/>
      <c r="JT14" s="148"/>
      <c r="JU14" s="57"/>
      <c r="JV14" s="148"/>
      <c r="JW14" s="57"/>
      <c r="JX14" s="148"/>
      <c r="JY14" s="90"/>
      <c r="JZ14" s="95"/>
      <c r="KA14" s="97"/>
      <c r="KB14" s="57"/>
      <c r="KC14" s="57"/>
      <c r="KD14" s="57"/>
      <c r="KE14" s="91"/>
      <c r="KF14" s="57"/>
      <c r="KG14" s="91"/>
      <c r="KH14" s="57"/>
      <c r="KI14" s="91"/>
      <c r="KJ14" s="57"/>
      <c r="KK14" s="91"/>
      <c r="KL14" s="57"/>
      <c r="KM14" s="92"/>
      <c r="KN14" s="57"/>
      <c r="KO14" s="92"/>
      <c r="KP14" s="57"/>
      <c r="KQ14" s="92"/>
      <c r="KR14" s="57"/>
      <c r="KS14" s="92"/>
      <c r="KT14" s="57"/>
      <c r="KU14" s="93"/>
      <c r="KV14" s="57"/>
      <c r="KW14" s="92"/>
      <c r="KX14" s="57"/>
      <c r="KY14" s="92"/>
      <c r="KZ14" s="95"/>
      <c r="LA14" s="97"/>
      <c r="LB14" s="57"/>
      <c r="LC14" s="57"/>
      <c r="LD14" s="57"/>
      <c r="LE14" s="57"/>
      <c r="LF14" s="57"/>
      <c r="LG14" s="93"/>
      <c r="LH14" s="57"/>
      <c r="LI14" s="57"/>
      <c r="LJ14" s="57"/>
      <c r="LK14" s="57"/>
      <c r="LL14" s="57"/>
      <c r="LM14" s="57"/>
      <c r="LN14" s="57"/>
      <c r="LO14" s="57"/>
      <c r="LP14" s="57"/>
      <c r="LQ14" s="57"/>
      <c r="LR14" s="57"/>
      <c r="LS14" s="57"/>
      <c r="LT14" s="57"/>
      <c r="LU14" s="57"/>
      <c r="LV14" s="57"/>
      <c r="LW14" s="57"/>
      <c r="LX14" s="57"/>
      <c r="LY14" s="57"/>
      <c r="LZ14" s="95"/>
      <c r="MA14" s="95"/>
      <c r="MB14" s="57"/>
      <c r="MC14" s="92"/>
      <c r="MD14" s="57"/>
      <c r="ME14" s="90"/>
      <c r="MF14" s="57"/>
      <c r="MG14" s="90"/>
      <c r="MH14" s="57"/>
      <c r="MI14" s="90"/>
      <c r="MJ14" s="57"/>
      <c r="MK14" s="90"/>
      <c r="ML14" s="93"/>
      <c r="MM14" s="93"/>
      <c r="MN14" s="93"/>
      <c r="MO14" s="201"/>
      <c r="MP14" s="93"/>
      <c r="MQ14" s="201"/>
    </row>
    <row r="15" spans="1:1814" ht="18.75">
      <c r="A15" s="37" t="s">
        <v>404</v>
      </c>
      <c r="B15" s="8">
        <v>120.3</v>
      </c>
      <c r="C15" s="8">
        <v>140.1</v>
      </c>
      <c r="D15" s="8">
        <v>135</v>
      </c>
      <c r="E15" s="8">
        <v>137.80000000000001</v>
      </c>
      <c r="F15" s="8">
        <v>155.9</v>
      </c>
      <c r="G15" s="8">
        <v>150.69999999999999</v>
      </c>
      <c r="H15" s="8">
        <v>129.80000000000001</v>
      </c>
      <c r="I15" s="8">
        <v>149.1</v>
      </c>
      <c r="J15" s="8">
        <v>118.2</v>
      </c>
      <c r="K15" s="8">
        <v>140.1</v>
      </c>
      <c r="L15" s="8">
        <v>118.5</v>
      </c>
      <c r="M15" s="8">
        <v>149.30000000000001</v>
      </c>
      <c r="N15" s="8">
        <v>117.2</v>
      </c>
      <c r="O15" s="8">
        <v>130.4</v>
      </c>
      <c r="P15" s="52">
        <v>141</v>
      </c>
      <c r="Q15" s="52">
        <v>149.5</v>
      </c>
      <c r="R15" s="52">
        <v>155.80000000000001</v>
      </c>
      <c r="S15" s="52">
        <v>139.6</v>
      </c>
      <c r="T15" s="52">
        <v>152.9</v>
      </c>
      <c r="U15" s="52">
        <v>119.7</v>
      </c>
      <c r="V15" s="52">
        <v>176.6</v>
      </c>
      <c r="W15" s="52">
        <v>129.19999999999999</v>
      </c>
      <c r="X15" s="52">
        <v>192.2</v>
      </c>
      <c r="Y15" s="52">
        <v>121.2</v>
      </c>
      <c r="Z15" s="60">
        <v>1713.4</v>
      </c>
      <c r="AA15" s="60">
        <v>136.30000000000001</v>
      </c>
      <c r="AB15" s="52">
        <v>139.6</v>
      </c>
      <c r="AC15" s="52">
        <v>116</v>
      </c>
      <c r="AD15" s="52">
        <v>162.1</v>
      </c>
      <c r="AE15" s="52">
        <v>120.1</v>
      </c>
      <c r="AF15" s="52">
        <v>152.30000000000001</v>
      </c>
      <c r="AG15" s="52">
        <v>97.7</v>
      </c>
      <c r="AH15" s="52">
        <v>118.8</v>
      </c>
      <c r="AI15" s="52">
        <v>91.5</v>
      </c>
      <c r="AJ15" s="52">
        <v>115.2</v>
      </c>
      <c r="AK15" s="52">
        <v>97.5</v>
      </c>
      <c r="AL15" s="52">
        <v>110.8</v>
      </c>
      <c r="AM15" s="52">
        <v>93.4</v>
      </c>
      <c r="AN15" s="52">
        <v>119.5</v>
      </c>
      <c r="AO15" s="52">
        <v>102</v>
      </c>
      <c r="AP15" s="52">
        <v>118.7</v>
      </c>
      <c r="AQ15" s="58">
        <v>84.2</v>
      </c>
      <c r="AR15" s="52">
        <v>132.80000000000001</v>
      </c>
      <c r="AS15" s="52">
        <v>85.2</v>
      </c>
      <c r="AT15" s="52">
        <v>135.9</v>
      </c>
      <c r="AU15" s="52">
        <v>88.9</v>
      </c>
      <c r="AV15" s="52">
        <v>143.4</v>
      </c>
      <c r="AW15" s="52">
        <v>81.2</v>
      </c>
      <c r="AX15" s="52">
        <v>174.6</v>
      </c>
      <c r="AY15" s="52">
        <v>90.8</v>
      </c>
      <c r="AZ15" s="60">
        <v>1623.7</v>
      </c>
      <c r="BA15" s="60">
        <v>94.8</v>
      </c>
      <c r="BB15" s="52">
        <v>129.1</v>
      </c>
      <c r="BC15" s="52">
        <v>92.5</v>
      </c>
      <c r="BD15" s="52">
        <v>141.19999999999999</v>
      </c>
      <c r="BE15" s="52">
        <v>87.1</v>
      </c>
      <c r="BF15" s="52">
        <v>156.6</v>
      </c>
      <c r="BG15" s="52">
        <v>102.8</v>
      </c>
      <c r="BH15" s="52">
        <v>137.19999999999999</v>
      </c>
      <c r="BI15" s="52">
        <v>115.6</v>
      </c>
      <c r="BJ15" s="52">
        <v>110.6</v>
      </c>
      <c r="BK15" s="52">
        <v>96</v>
      </c>
      <c r="BL15" s="52">
        <v>136</v>
      </c>
      <c r="BM15" s="52">
        <v>122.8</v>
      </c>
      <c r="BN15" s="52">
        <v>138.1</v>
      </c>
      <c r="BO15" s="52">
        <v>115.5</v>
      </c>
      <c r="BP15" s="52">
        <v>132.4</v>
      </c>
      <c r="BQ15" s="52">
        <v>111.6</v>
      </c>
      <c r="BR15" s="52">
        <v>126.8</v>
      </c>
      <c r="BS15" s="52">
        <v>95.4</v>
      </c>
      <c r="BT15" s="59">
        <v>141.4</v>
      </c>
      <c r="BU15" s="58">
        <v>104.1</v>
      </c>
      <c r="BV15" s="58">
        <v>140.80000000000001</v>
      </c>
      <c r="BW15" s="58">
        <v>98.2</v>
      </c>
      <c r="BX15" s="58">
        <v>182.1</v>
      </c>
      <c r="BY15" s="58">
        <v>104.3</v>
      </c>
      <c r="BZ15" s="107">
        <v>1672.3</v>
      </c>
      <c r="CA15" s="107">
        <v>103</v>
      </c>
      <c r="CB15" s="58">
        <v>125.5</v>
      </c>
      <c r="CC15" s="58">
        <v>97.2</v>
      </c>
      <c r="CD15" s="58">
        <v>131.80000000000001</v>
      </c>
      <c r="CE15" s="58">
        <v>93.3</v>
      </c>
      <c r="CF15" s="58">
        <v>127</v>
      </c>
      <c r="CG15" s="58">
        <v>81.099999999999994</v>
      </c>
      <c r="CH15" s="58">
        <v>105.1</v>
      </c>
      <c r="CI15" s="58">
        <v>76.599999999999994</v>
      </c>
      <c r="CJ15" s="58">
        <v>95.8</v>
      </c>
      <c r="CK15" s="58">
        <v>86.5</v>
      </c>
      <c r="CL15" s="58">
        <v>117.9</v>
      </c>
      <c r="CM15" s="58">
        <v>86.7</v>
      </c>
      <c r="CN15" s="58">
        <v>107.7</v>
      </c>
      <c r="CO15" s="58">
        <v>78</v>
      </c>
      <c r="CP15" s="58">
        <v>108.9</v>
      </c>
      <c r="CQ15" s="58">
        <v>82.3</v>
      </c>
      <c r="CR15" s="58">
        <v>119.2</v>
      </c>
      <c r="CS15" s="58">
        <v>94.1</v>
      </c>
      <c r="CT15" s="58">
        <v>125.8</v>
      </c>
      <c r="CU15" s="58">
        <v>88.9</v>
      </c>
      <c r="CV15" s="58">
        <v>138</v>
      </c>
      <c r="CW15" s="58">
        <v>98</v>
      </c>
      <c r="CX15" s="58">
        <v>146.6</v>
      </c>
      <c r="CY15" s="58">
        <v>80.5</v>
      </c>
      <c r="CZ15" s="107">
        <v>1449.3</v>
      </c>
      <c r="DA15" s="107">
        <v>86.7</v>
      </c>
      <c r="DB15" s="58">
        <v>91.9</v>
      </c>
      <c r="DC15" s="51">
        <v>73.3</v>
      </c>
      <c r="DD15" s="51">
        <v>92.5</v>
      </c>
      <c r="DE15" s="51">
        <v>70.2</v>
      </c>
      <c r="DF15" s="51">
        <v>105.6</v>
      </c>
      <c r="DG15" s="52">
        <v>83.2</v>
      </c>
      <c r="DH15" s="52">
        <v>78.400000000000006</v>
      </c>
      <c r="DI15" s="52">
        <v>74.599999999999994</v>
      </c>
      <c r="DJ15" s="51">
        <v>67.2</v>
      </c>
      <c r="DK15" s="52">
        <v>70.2</v>
      </c>
      <c r="DL15" s="51">
        <v>71.5</v>
      </c>
      <c r="DM15" s="51">
        <v>60.6</v>
      </c>
      <c r="DN15" s="51">
        <v>79.099999999999994</v>
      </c>
      <c r="DO15" s="51">
        <v>73.5</v>
      </c>
      <c r="DP15" s="52">
        <v>77.3</v>
      </c>
      <c r="DQ15" s="52">
        <v>70.900000000000006</v>
      </c>
      <c r="DR15" s="51">
        <v>79.3</v>
      </c>
      <c r="DS15" s="52">
        <v>66.5</v>
      </c>
      <c r="DT15" s="51">
        <v>81.2</v>
      </c>
      <c r="DU15" s="52">
        <v>64.599999999999994</v>
      </c>
      <c r="DV15" s="51">
        <v>92.7</v>
      </c>
      <c r="DW15" s="52">
        <v>67.2</v>
      </c>
      <c r="DX15" s="51">
        <v>101.4</v>
      </c>
      <c r="DY15" s="51">
        <v>69.2</v>
      </c>
      <c r="DZ15" s="79">
        <v>1018.1</v>
      </c>
      <c r="EA15" s="79">
        <v>70.3</v>
      </c>
      <c r="EB15" s="52">
        <v>74.099999999999994</v>
      </c>
      <c r="EC15" s="52">
        <v>80.599999999999994</v>
      </c>
      <c r="ED15" s="51">
        <v>80.400000000000006</v>
      </c>
      <c r="EE15" s="52">
        <v>86.9</v>
      </c>
      <c r="EF15" s="63">
        <v>96</v>
      </c>
      <c r="EG15" s="51">
        <v>90.9</v>
      </c>
      <c r="EH15" s="51">
        <v>84.3</v>
      </c>
      <c r="EI15" s="52">
        <v>107.6</v>
      </c>
      <c r="EJ15" s="52">
        <v>73.099999999999994</v>
      </c>
      <c r="EK15" s="52">
        <v>108.8</v>
      </c>
      <c r="EL15" s="52">
        <v>64.599999999999994</v>
      </c>
      <c r="EM15" s="52">
        <v>90.3</v>
      </c>
      <c r="EN15" s="52">
        <v>75.400000000000006</v>
      </c>
      <c r="EO15" s="52">
        <v>95.3</v>
      </c>
      <c r="EP15" s="52">
        <v>84</v>
      </c>
      <c r="EQ15" s="52">
        <v>108.8</v>
      </c>
      <c r="ER15" s="52">
        <v>97.2</v>
      </c>
      <c r="ES15" s="52">
        <v>122.6</v>
      </c>
      <c r="ET15" s="52">
        <v>98.8</v>
      </c>
      <c r="EU15" s="52">
        <v>121.7</v>
      </c>
      <c r="EV15" s="52">
        <v>92.1</v>
      </c>
      <c r="EW15" s="52">
        <v>99.4</v>
      </c>
      <c r="EX15" s="52">
        <v>107.2</v>
      </c>
      <c r="EY15" s="52">
        <v>105.8</v>
      </c>
      <c r="EZ15" s="60">
        <v>1027.4000000000001</v>
      </c>
      <c r="FA15" s="60">
        <v>100.9</v>
      </c>
      <c r="FB15" s="52">
        <v>75.7</v>
      </c>
      <c r="FC15" s="52">
        <v>102.2</v>
      </c>
      <c r="FD15" s="52">
        <v>91.8</v>
      </c>
      <c r="FE15" s="52">
        <v>114.2</v>
      </c>
      <c r="FF15" s="52">
        <v>103.9</v>
      </c>
      <c r="FG15" s="52">
        <v>108.3</v>
      </c>
      <c r="FH15" s="52">
        <v>93.3</v>
      </c>
      <c r="FI15" s="52">
        <v>110.6</v>
      </c>
      <c r="FJ15" s="52">
        <v>88.8</v>
      </c>
      <c r="FK15" s="52">
        <v>121.5</v>
      </c>
      <c r="FL15" s="52">
        <v>89.3</v>
      </c>
      <c r="FM15" s="52">
        <v>138.30000000000001</v>
      </c>
      <c r="FN15" s="52">
        <v>92.4</v>
      </c>
      <c r="FO15" s="52">
        <v>122.5</v>
      </c>
      <c r="FP15" s="52">
        <v>106.9</v>
      </c>
      <c r="FQ15" s="52">
        <v>127.2</v>
      </c>
      <c r="FR15" s="52">
        <v>108.4</v>
      </c>
      <c r="FS15" s="52">
        <v>111.6</v>
      </c>
      <c r="FT15" s="52">
        <v>113.8</v>
      </c>
      <c r="FU15" s="52">
        <v>115.1</v>
      </c>
      <c r="FV15" s="52">
        <v>117.2</v>
      </c>
      <c r="FW15" s="52">
        <v>127.2</v>
      </c>
      <c r="FX15" s="52">
        <v>124.5</v>
      </c>
      <c r="FY15" s="52">
        <v>116.1</v>
      </c>
      <c r="FZ15" s="60">
        <v>1206</v>
      </c>
      <c r="GA15" s="60">
        <v>117.4</v>
      </c>
      <c r="GB15" s="52">
        <v>93.9</v>
      </c>
      <c r="GC15" s="52">
        <v>124.1</v>
      </c>
      <c r="GD15" s="52">
        <v>104.6</v>
      </c>
      <c r="GE15" s="52">
        <v>113.9</v>
      </c>
      <c r="GF15" s="52">
        <v>134.1</v>
      </c>
      <c r="GG15" s="52">
        <v>129</v>
      </c>
      <c r="GH15" s="52">
        <v>91.2</v>
      </c>
      <c r="GI15" s="52">
        <v>97.8</v>
      </c>
      <c r="GJ15" s="57">
        <v>109.3</v>
      </c>
      <c r="GK15" s="52">
        <v>123.1</v>
      </c>
      <c r="GL15" s="57">
        <v>104.4</v>
      </c>
      <c r="GM15" s="52">
        <v>116.8</v>
      </c>
      <c r="GN15" s="57">
        <v>122.2</v>
      </c>
      <c r="GO15" s="52">
        <v>132.30000000000001</v>
      </c>
      <c r="GP15" s="92">
        <v>130.1</v>
      </c>
      <c r="GQ15" s="93">
        <v>121.7</v>
      </c>
      <c r="GR15" s="57">
        <v>124.1</v>
      </c>
      <c r="GS15" s="52">
        <v>114.5</v>
      </c>
      <c r="GT15" s="57">
        <v>131.69999999999999</v>
      </c>
      <c r="GU15" s="93">
        <v>115.7</v>
      </c>
      <c r="GV15" s="57">
        <v>153.69999999999999</v>
      </c>
      <c r="GW15" s="92">
        <v>131.1</v>
      </c>
      <c r="GX15" s="57">
        <v>149.80000000000001</v>
      </c>
      <c r="GY15" s="92">
        <v>120.3</v>
      </c>
      <c r="GZ15" s="95">
        <v>1449.1</v>
      </c>
      <c r="HA15" s="97">
        <v>120.2</v>
      </c>
      <c r="HB15" s="92">
        <v>106.9</v>
      </c>
      <c r="HC15" s="92">
        <f>IF(93876.82061="","-",106949.74572/93876.82061*100)</f>
        <v>113.92561553006777</v>
      </c>
      <c r="HD15" s="92">
        <v>118.8</v>
      </c>
      <c r="HE15" s="92">
        <f>IF(104591.96634="","-",118840.25247/104591.96634*100)</f>
        <v>113.62273473632068</v>
      </c>
      <c r="HF15" s="92">
        <v>141.69999999999999</v>
      </c>
      <c r="HG15" s="92">
        <f>IF(134078.53903="","-",141738.56384/134078.53903*100)</f>
        <v>105.71308791505108</v>
      </c>
      <c r="HH15" s="92">
        <v>131.5</v>
      </c>
      <c r="HI15" s="92">
        <f>IF(91216.04449="","-",131484.47021/91216.04449*100)</f>
        <v>144.14620908541437</v>
      </c>
      <c r="HJ15" s="92">
        <v>100.8</v>
      </c>
      <c r="HK15" s="92">
        <f>IF(109326.06107="","-",100790.86208/109326.06107*100)</f>
        <v>92.192896271516616</v>
      </c>
      <c r="HL15" s="92">
        <v>96.7</v>
      </c>
      <c r="HM15" s="92">
        <f>IF(104372.88955="","-",96711.93859/104372.88955*100)</f>
        <v>92.660018331359879</v>
      </c>
      <c r="HN15" s="92">
        <v>112.4</v>
      </c>
      <c r="HO15" s="92">
        <f>IF(122266.81525="","-",112399.20796/122266.81525*100)</f>
        <v>91.929447683884121</v>
      </c>
      <c r="HP15" s="92">
        <v>109.4</v>
      </c>
      <c r="HQ15" s="92">
        <f>IF(130071.13172="","-",109330.10564/130071.13172*100)</f>
        <v>84.054089631011621</v>
      </c>
      <c r="HR15" s="92">
        <v>113.5</v>
      </c>
      <c r="HS15" s="92">
        <f>IF(124134.22973="","-",113489.53193/124134.22973*100)</f>
        <v>91.424848872746125</v>
      </c>
      <c r="HT15" s="92">
        <v>120.8</v>
      </c>
      <c r="HU15" s="92">
        <f>IF(131695.0675="","-",120868.11634/131695.0675*100)</f>
        <v>91.778772458581244</v>
      </c>
      <c r="HV15" s="92">
        <v>125.2</v>
      </c>
      <c r="HW15" s="92">
        <f>IF(153681.58825="","-",125164.12588/153681.58825*100)</f>
        <v>81.443800331104399</v>
      </c>
      <c r="HX15" s="92">
        <v>139.5</v>
      </c>
      <c r="HY15" s="92">
        <f>IF(149767.61908="","-",139457.65413/149767.61908*100)</f>
        <v>93.116025337564579</v>
      </c>
      <c r="HZ15" s="97">
        <v>1417.2</v>
      </c>
      <c r="IA15" s="97">
        <f>IF(1449078.77262="","-",1417224.57479/1449078.77262*100)</f>
        <v>97.801762165599442</v>
      </c>
      <c r="IB15" s="92">
        <v>101.4</v>
      </c>
      <c r="IC15" s="92">
        <f>IF(106949.74572="","-",101427.29686/106949.74572*100)</f>
        <v>94.836407676500642</v>
      </c>
      <c r="ID15" s="92">
        <v>119.7</v>
      </c>
      <c r="IE15" s="92">
        <f>IF(118840.25247="","-",119707.06078/118840.25247*100)</f>
        <v>100.7293894888172</v>
      </c>
      <c r="IF15" s="92">
        <v>120.1</v>
      </c>
      <c r="IG15" s="92">
        <f>IF(141738.56384="","-",120123.91142/141738.56384*100)</f>
        <v>84.750337639656465</v>
      </c>
      <c r="IH15" s="92">
        <v>70.7</v>
      </c>
      <c r="II15" s="92">
        <f>IF(131484.47021="","-",70675.53779/131484.47021*100)</f>
        <v>53.75200407859635</v>
      </c>
      <c r="IJ15" s="57">
        <v>77.900000000000006</v>
      </c>
      <c r="IK15" s="92">
        <f>IF(100790.86208="","-",77842.5104/100790.86208*100)</f>
        <v>77.23171405976727</v>
      </c>
      <c r="IL15" s="92">
        <v>95.8</v>
      </c>
      <c r="IM15" s="92">
        <f>IF(96711.93859="","-",95852.70431/96711.93859*100)</f>
        <v>99.111553038304152</v>
      </c>
      <c r="IN15" s="57">
        <v>148.19999999999999</v>
      </c>
      <c r="IO15" s="92">
        <f>IF(112399.20796="","-",148241.68494/112399.20796*100)</f>
        <v>131.88854942176766</v>
      </c>
      <c r="IP15" s="57">
        <v>109.2</v>
      </c>
      <c r="IQ15" s="92">
        <f>IF(109330.10564="","-",109174.92074/109330.10564*100)</f>
        <v>99.858058401122392</v>
      </c>
      <c r="IR15" s="92">
        <v>113.5</v>
      </c>
      <c r="IS15" s="92">
        <f>IF(113489.53193="","-",113555.78393/113489.53193*100)</f>
        <v>100.05837719027765</v>
      </c>
      <c r="IT15" s="92">
        <v>109.7</v>
      </c>
      <c r="IU15" s="92">
        <f>IF(120868.11634="","-",109714.77181/120868.11634*100)</f>
        <v>90.772302185444985</v>
      </c>
      <c r="IV15" s="92">
        <v>116.5</v>
      </c>
      <c r="IW15" s="92">
        <f>IF(125164.12588="","-",116515.89865/125164.12588*100)</f>
        <v>93.090490450681202</v>
      </c>
      <c r="IX15" s="92">
        <v>134.9</v>
      </c>
      <c r="IY15" s="92">
        <f>IF(139457.65413="","-",134890.17144/139457.65413*100)</f>
        <v>96.724824665599002</v>
      </c>
      <c r="IZ15" s="97">
        <v>1317.7</v>
      </c>
      <c r="JA15" s="97">
        <f>IF(1417224.57479="","-",1317722.25307/1417224.57479*100)</f>
        <v>92.979071666553352</v>
      </c>
      <c r="JB15" s="150">
        <v>97.6</v>
      </c>
      <c r="JC15" s="92">
        <f>IF(101427.29686="","-",97597.08258/101427.29686*100)</f>
        <v>96.223684946186779</v>
      </c>
      <c r="JD15" s="150">
        <v>122.4</v>
      </c>
      <c r="JE15" s="92">
        <f>IF(119707.06078="","-",122414.76544/119707.06078*100)</f>
        <v>102.26194231347496</v>
      </c>
      <c r="JF15" s="150">
        <v>140.6</v>
      </c>
      <c r="JG15" s="92">
        <f>IF(120123.91142="","-",140571.63143/120123.91142*100)</f>
        <v>117.02218964424726</v>
      </c>
      <c r="JH15" s="145">
        <v>129.9</v>
      </c>
      <c r="JI15" s="92">
        <f>IF(70675.53779="","-",129943.72994/70675.53779*100)</f>
        <v>183.85955594155513</v>
      </c>
      <c r="JJ15" s="150">
        <v>121.7</v>
      </c>
      <c r="JK15" s="92">
        <f>IF(77842.5104="","-",121676.99473/77842.5104*100)</f>
        <v>156.31175575498912</v>
      </c>
      <c r="JL15" s="145">
        <v>130.4</v>
      </c>
      <c r="JM15" s="92">
        <f>IF(95852.70431="","-",130412.22492/95852.70431*100)</f>
        <v>136.05482063211284</v>
      </c>
      <c r="JN15" s="141">
        <v>143.1</v>
      </c>
      <c r="JO15" s="92">
        <f>IF(148241.68494="","-",143056.49028/148241.68494*100)</f>
        <v>96.50220202091019</v>
      </c>
      <c r="JP15" s="145">
        <v>165.5</v>
      </c>
      <c r="JQ15" s="92">
        <f>IF(109174.92074="","-",165486.02107/109174.92074*100)</f>
        <v>151.57878746173293</v>
      </c>
      <c r="JR15" s="145">
        <v>182.5</v>
      </c>
      <c r="JS15" s="92">
        <f>IF(113555.78393="","-",182516.68772/113555.78393*100)</f>
        <v>160.72865811265945</v>
      </c>
      <c r="JT15" s="148">
        <v>202.5</v>
      </c>
      <c r="JU15" s="92">
        <f>IF(109714.77181="","-",202501.64307/109714.77181*100)</f>
        <v>184.57099233700717</v>
      </c>
      <c r="JV15" s="148">
        <v>235.7</v>
      </c>
      <c r="JW15" s="92">
        <f>IF(116515.89865="","-",235664.5483/116515.89865*100)</f>
        <v>202.25956374237688</v>
      </c>
      <c r="JX15" s="148">
        <v>233.8</v>
      </c>
      <c r="JY15" s="92">
        <f>IF(134890.17144="","-",233760.21758/134890.17144*100)</f>
        <v>173.29670137158809</v>
      </c>
      <c r="JZ15" s="95">
        <v>1905.6</v>
      </c>
      <c r="KA15" s="179">
        <f>IF(1317722.25307="","-",1905602.03706/1317722.25307*100)</f>
        <v>144.61333051182604</v>
      </c>
      <c r="KB15" s="57">
        <v>233.1</v>
      </c>
      <c r="KC15" s="93">
        <f>IF(97597.08258="","-",233129.74051/97597.08258*100)</f>
        <v>238.86957924065436</v>
      </c>
      <c r="KD15" s="57">
        <v>202.6</v>
      </c>
      <c r="KE15" s="93">
        <f>IF(122414.76544="","-",202604.71884/122414.76544*100)</f>
        <v>165.50676555378774</v>
      </c>
      <c r="KF15" s="57">
        <v>194.3</v>
      </c>
      <c r="KG15" s="93">
        <f>IF(140571.63143="","-",194296.51595/140571.63143*100)</f>
        <v>138.21886676100306</v>
      </c>
      <c r="KH15" s="57">
        <v>206.8</v>
      </c>
      <c r="KI15" s="93">
        <f>IF(129943.72994="","-",206817.03625/129943.72994*100)</f>
        <v>159.15891928413578</v>
      </c>
      <c r="KJ15" s="57">
        <v>167.1</v>
      </c>
      <c r="KK15" s="93">
        <f>IF(121676.99473="","-",167148.08137/121676.99473*100)</f>
        <v>137.37032356929907</v>
      </c>
      <c r="KL15" s="57">
        <v>150.80000000000001</v>
      </c>
      <c r="KM15" s="92">
        <f>IF(130412.22492="","-",150794.4951/130412.22492*100)</f>
        <v>115.62911007193021</v>
      </c>
      <c r="KN15" s="57">
        <v>166.9</v>
      </c>
      <c r="KO15" s="92">
        <f>IF(143056.49028="","-",166847.5346/143056.49028*100)</f>
        <v>116.63052425893754</v>
      </c>
      <c r="KP15" s="57">
        <v>172.6</v>
      </c>
      <c r="KQ15" s="92">
        <f>IF(165486.02107="","-",172582.85086/165486.02107*100)</f>
        <v>104.28847690222614</v>
      </c>
      <c r="KR15" s="57">
        <v>220.8</v>
      </c>
      <c r="KS15" s="92">
        <f>IF(182516.68772="","-",220842.69729/182516.68772*100)</f>
        <v>120.99863308323687</v>
      </c>
      <c r="KT15" s="57">
        <v>150.6</v>
      </c>
      <c r="KU15" s="93">
        <f>IF(202501.64307="","-",150639.48049/202501.64307*100)</f>
        <v>74.389263319669709</v>
      </c>
      <c r="KV15" s="57">
        <v>192.5</v>
      </c>
      <c r="KW15" s="93">
        <f>IF(235664.5483="","-",192540.27788/235664.5483*100)</f>
        <v>81.700993751040158</v>
      </c>
      <c r="KX15" s="57">
        <v>127.3</v>
      </c>
      <c r="KY15" s="93">
        <f>IF(233760.21758="","-",127308.03115/233760.21758*100)</f>
        <v>54.460948260553032</v>
      </c>
      <c r="KZ15" s="95">
        <v>2185.6</v>
      </c>
      <c r="LA15" s="179">
        <f>IF(1905602.03706="","-",2185551.46029/1905602.03706*100)</f>
        <v>114.6908650277217</v>
      </c>
      <c r="LB15" s="57">
        <v>214.8</v>
      </c>
      <c r="LC15" s="92">
        <f>IF(233129.74051="","-",214776.91703/233129.74051*100)</f>
        <v>92.127635264445047</v>
      </c>
      <c r="LD15" s="57">
        <v>137</v>
      </c>
      <c r="LE15" s="92">
        <f>IF(202604.71884="","-",136969.91317/202604.71884*100)</f>
        <v>67.604502972197423</v>
      </c>
      <c r="LF15" s="57">
        <v>173.1</v>
      </c>
      <c r="LG15" s="93">
        <f>IF(194296.51595="","-",173114.84471/194296.51595*100)</f>
        <v>89.098275315728841</v>
      </c>
      <c r="LH15" s="57">
        <v>143.4</v>
      </c>
      <c r="LI15" s="92">
        <f>IF(206817.03625="","-",143354.68001/206817.03625*100)</f>
        <v>69.314734709143195</v>
      </c>
      <c r="LJ15" s="57">
        <v>113.3</v>
      </c>
      <c r="LK15" s="92">
        <f>IF(167148.08137="","-",113326.85407/167148.08137*100)</f>
        <v>67.800272154568731</v>
      </c>
      <c r="LL15" s="57">
        <v>108.9</v>
      </c>
      <c r="LM15" s="92">
        <f>IF(150794.4951="","-",108885.20414/150794.4951*100)</f>
        <v>72.207678448601413</v>
      </c>
      <c r="LN15" s="57">
        <v>82.4</v>
      </c>
      <c r="LO15" s="93">
        <f>IF(166847.5346="","-",82458.33011/166847.5346*100)</f>
        <v>49.421365624421995</v>
      </c>
      <c r="LP15" s="57">
        <v>102.8</v>
      </c>
      <c r="LQ15" s="93">
        <f>IF(172582.85086="","-",102790.80978/172582.85086*100)</f>
        <v>59.56026874500084</v>
      </c>
      <c r="LR15" s="57">
        <v>107.1</v>
      </c>
      <c r="LS15" s="92">
        <f>IF(220842.69729="","-",107092.12594/220842.69729*100)</f>
        <v>48.492491376960395</v>
      </c>
      <c r="LT15" s="57">
        <v>93.3</v>
      </c>
      <c r="LU15" s="92">
        <f>IF(150639.48049="","-",93269.59401/150639.48049*100)</f>
        <v>61.915769827811893</v>
      </c>
      <c r="LV15" s="57">
        <v>150.5</v>
      </c>
      <c r="LW15" s="92">
        <f>IF(192540.27788="","-",150486.45118/192540.27788*100)</f>
        <v>78.158426297582324</v>
      </c>
      <c r="LX15" s="92">
        <v>183.8</v>
      </c>
      <c r="LY15" s="92">
        <f>IF(127308.03115="","-",183817.11169/127308.03115*100)</f>
        <v>144.38767926072038</v>
      </c>
      <c r="LZ15" s="95">
        <v>1610.3</v>
      </c>
      <c r="MA15" s="97">
        <f>IF(2185551.46029="","-",1610342.86694/2185551.46029*100)</f>
        <v>73.681306352142556</v>
      </c>
      <c r="MB15" s="57">
        <v>25</v>
      </c>
      <c r="MC15" s="92">
        <f>IF(112943.16041="","-",25021.7925/112943.16041*100)</f>
        <v>22.154322943653497</v>
      </c>
      <c r="MD15" s="92">
        <v>27.1</v>
      </c>
      <c r="ME15" s="92">
        <f>IF(50274.80407="","-",27070.62439/50274.80407*100)</f>
        <v>53.845310570098462</v>
      </c>
      <c r="MF15" s="92">
        <v>36.299999999999997</v>
      </c>
      <c r="MG15" s="92">
        <f>IF(68924.04655="","-",36362.67696/68924.04655*100)</f>
        <v>52.757606060783438</v>
      </c>
      <c r="MH15" s="92">
        <v>31.5</v>
      </c>
      <c r="MI15" s="93">
        <f>IF(31244.25402="","-",31467.36039/31244.25402*100)</f>
        <v>100.71407168133119</v>
      </c>
      <c r="MJ15" s="92">
        <v>23.5</v>
      </c>
      <c r="MK15" s="92">
        <f>IF(24510.82017="","-",23493.16878/24510.82017*100)</f>
        <v>95.848154476505215</v>
      </c>
      <c r="ML15" s="93">
        <v>23.6</v>
      </c>
      <c r="MM15" s="93">
        <f>IF(32054.69117="","-",23547.10573/32054.69117*100)</f>
        <v>73.459156430861967</v>
      </c>
      <c r="MN15" s="93">
        <v>29</v>
      </c>
      <c r="MO15" s="93">
        <f>IF(26267.03258="","-",28975.6706/26267.03258*100)</f>
        <v>110.31193002768948</v>
      </c>
      <c r="MP15" s="93">
        <v>30.4</v>
      </c>
      <c r="MQ15" s="93">
        <f>IF(36302.45115="","-",30429.78033/36302.45115*100)</f>
        <v>83.822935823990491</v>
      </c>
    </row>
    <row r="16" spans="1:1814" ht="18.75">
      <c r="A16" s="37" t="s">
        <v>315</v>
      </c>
      <c r="B16" s="8">
        <v>103.4</v>
      </c>
      <c r="C16" s="8">
        <v>144.9</v>
      </c>
      <c r="D16" s="8">
        <v>143.19999999999999</v>
      </c>
      <c r="E16" s="8">
        <v>146.30000000000001</v>
      </c>
      <c r="F16" s="8">
        <v>198.8</v>
      </c>
      <c r="G16" s="8">
        <v>145.5</v>
      </c>
      <c r="H16" s="8">
        <v>197.9</v>
      </c>
      <c r="I16" s="8">
        <v>140.80000000000001</v>
      </c>
      <c r="J16" s="8">
        <v>212.4</v>
      </c>
      <c r="K16" s="8">
        <v>147.4</v>
      </c>
      <c r="L16" s="8">
        <v>200.5</v>
      </c>
      <c r="M16" s="8">
        <v>134.4</v>
      </c>
      <c r="N16" s="8">
        <v>199.6</v>
      </c>
      <c r="O16" s="8">
        <v>130.30000000000001</v>
      </c>
      <c r="P16" s="52">
        <v>178.8</v>
      </c>
      <c r="Q16" s="52">
        <v>131.4</v>
      </c>
      <c r="R16" s="52">
        <v>208.1</v>
      </c>
      <c r="S16" s="52">
        <v>130</v>
      </c>
      <c r="T16" s="52">
        <v>202.1</v>
      </c>
      <c r="U16" s="52">
        <v>125.1</v>
      </c>
      <c r="V16" s="52">
        <v>197</v>
      </c>
      <c r="W16" s="52">
        <v>112</v>
      </c>
      <c r="X16" s="52">
        <v>214.5</v>
      </c>
      <c r="Y16" s="52">
        <v>120.6</v>
      </c>
      <c r="Z16" s="60">
        <v>2256.3000000000002</v>
      </c>
      <c r="AA16" s="60">
        <v>132.4</v>
      </c>
      <c r="AB16" s="52">
        <v>116.2</v>
      </c>
      <c r="AC16" s="52">
        <v>112.4</v>
      </c>
      <c r="AD16" s="52">
        <v>151.80000000000001</v>
      </c>
      <c r="AE16" s="52">
        <v>106</v>
      </c>
      <c r="AF16" s="52">
        <v>200.2</v>
      </c>
      <c r="AG16" s="52">
        <v>100.7</v>
      </c>
      <c r="AH16" s="52">
        <v>198.1</v>
      </c>
      <c r="AI16" s="52">
        <v>100.1</v>
      </c>
      <c r="AJ16" s="52">
        <v>207.3</v>
      </c>
      <c r="AK16" s="52">
        <v>97.6</v>
      </c>
      <c r="AL16" s="52">
        <v>191.8</v>
      </c>
      <c r="AM16" s="52">
        <v>95.7</v>
      </c>
      <c r="AN16" s="52">
        <v>202.5</v>
      </c>
      <c r="AO16" s="52">
        <v>101.5</v>
      </c>
      <c r="AP16" s="52">
        <v>187.2</v>
      </c>
      <c r="AQ16" s="58">
        <v>104.7</v>
      </c>
      <c r="AR16" s="52">
        <v>196.6</v>
      </c>
      <c r="AS16" s="52">
        <v>94.5</v>
      </c>
      <c r="AT16" s="52">
        <v>236.2</v>
      </c>
      <c r="AU16" s="52">
        <v>116.8</v>
      </c>
      <c r="AV16" s="52">
        <v>225.8</v>
      </c>
      <c r="AW16" s="52">
        <v>114.6</v>
      </c>
      <c r="AX16" s="52">
        <v>204.9</v>
      </c>
      <c r="AY16" s="52">
        <v>95.5</v>
      </c>
      <c r="AZ16" s="60">
        <v>2318.6</v>
      </c>
      <c r="BA16" s="60">
        <v>102.8</v>
      </c>
      <c r="BB16" s="52">
        <v>126.5</v>
      </c>
      <c r="BC16" s="52">
        <v>108.9</v>
      </c>
      <c r="BD16" s="52">
        <v>172.4</v>
      </c>
      <c r="BE16" s="52">
        <v>113.4</v>
      </c>
      <c r="BF16" s="52">
        <v>214.6</v>
      </c>
      <c r="BG16" s="52">
        <v>107.1</v>
      </c>
      <c r="BH16" s="52">
        <v>227.9</v>
      </c>
      <c r="BI16" s="52">
        <v>114.9</v>
      </c>
      <c r="BJ16" s="52">
        <v>194.8</v>
      </c>
      <c r="BK16" s="52">
        <v>93.8</v>
      </c>
      <c r="BL16" s="52">
        <v>207.9</v>
      </c>
      <c r="BM16" s="52">
        <v>108.3</v>
      </c>
      <c r="BN16" s="52">
        <v>221.1</v>
      </c>
      <c r="BO16" s="52">
        <v>109.1</v>
      </c>
      <c r="BP16" s="52">
        <v>197.5</v>
      </c>
      <c r="BQ16" s="52">
        <v>105.4</v>
      </c>
      <c r="BR16" s="52">
        <v>212.9</v>
      </c>
      <c r="BS16" s="52">
        <v>108.2</v>
      </c>
      <c r="BT16" s="59">
        <v>227.1</v>
      </c>
      <c r="BU16" s="58">
        <v>96.1</v>
      </c>
      <c r="BV16" s="58">
        <v>230.9</v>
      </c>
      <c r="BW16" s="58">
        <v>102.2</v>
      </c>
      <c r="BX16" s="58">
        <v>238.5</v>
      </c>
      <c r="BY16" s="58">
        <v>116.3</v>
      </c>
      <c r="BZ16" s="107">
        <v>2472.1</v>
      </c>
      <c r="CA16" s="107">
        <v>106.5</v>
      </c>
      <c r="CB16" s="58">
        <v>125.4</v>
      </c>
      <c r="CC16" s="58">
        <v>99.1</v>
      </c>
      <c r="CD16" s="58">
        <v>184.6</v>
      </c>
      <c r="CE16" s="58">
        <v>107.1</v>
      </c>
      <c r="CF16" s="58">
        <v>239.1</v>
      </c>
      <c r="CG16" s="58">
        <v>111.4</v>
      </c>
      <c r="CH16" s="58">
        <v>233.8</v>
      </c>
      <c r="CI16" s="58">
        <v>102.6</v>
      </c>
      <c r="CJ16" s="58">
        <v>229.4</v>
      </c>
      <c r="CK16" s="58">
        <v>117.8</v>
      </c>
      <c r="CL16" s="58">
        <v>230.6</v>
      </c>
      <c r="CM16" s="58">
        <v>110.9</v>
      </c>
      <c r="CN16" s="58">
        <v>235.7</v>
      </c>
      <c r="CO16" s="58">
        <v>106.6</v>
      </c>
      <c r="CP16" s="58">
        <v>208.4</v>
      </c>
      <c r="CQ16" s="58">
        <v>105.5</v>
      </c>
      <c r="CR16" s="58">
        <v>226</v>
      </c>
      <c r="CS16" s="58">
        <v>106.1</v>
      </c>
      <c r="CT16" s="58">
        <v>240.9</v>
      </c>
      <c r="CU16" s="58">
        <v>106.1</v>
      </c>
      <c r="CV16" s="58">
        <v>205.8</v>
      </c>
      <c r="CW16" s="58">
        <v>89.1</v>
      </c>
      <c r="CX16" s="58">
        <v>208</v>
      </c>
      <c r="CY16" s="58">
        <v>87.2</v>
      </c>
      <c r="CZ16" s="107">
        <v>2567.6999999999998</v>
      </c>
      <c r="DA16" s="107">
        <v>103.9</v>
      </c>
      <c r="DB16" s="58">
        <v>108.5</v>
      </c>
      <c r="DC16" s="51">
        <v>86.5</v>
      </c>
      <c r="DD16" s="51">
        <v>133.69999999999999</v>
      </c>
      <c r="DE16" s="51">
        <v>72.400000000000006</v>
      </c>
      <c r="DF16" s="51">
        <v>190.9</v>
      </c>
      <c r="DG16" s="52">
        <v>79.8</v>
      </c>
      <c r="DH16" s="52">
        <v>174.1</v>
      </c>
      <c r="DI16" s="52">
        <v>74.5</v>
      </c>
      <c r="DJ16" s="51">
        <v>171.3</v>
      </c>
      <c r="DK16" s="52">
        <v>74.7</v>
      </c>
      <c r="DL16" s="51">
        <v>183.8</v>
      </c>
      <c r="DM16" s="51">
        <v>79.7</v>
      </c>
      <c r="DN16" s="51">
        <v>177.3</v>
      </c>
      <c r="DO16" s="51">
        <v>75.2</v>
      </c>
      <c r="DP16" s="52">
        <v>150.4</v>
      </c>
      <c r="DQ16" s="52">
        <v>72.2</v>
      </c>
      <c r="DR16" s="51">
        <v>171.6</v>
      </c>
      <c r="DS16" s="52">
        <v>75.900000000000006</v>
      </c>
      <c r="DT16" s="51">
        <v>172.9</v>
      </c>
      <c r="DU16" s="52">
        <v>71.7</v>
      </c>
      <c r="DV16" s="52">
        <v>163</v>
      </c>
      <c r="DW16" s="52">
        <v>79.2</v>
      </c>
      <c r="DX16" s="51">
        <v>156.80000000000001</v>
      </c>
      <c r="DY16" s="51">
        <v>75.400000000000006</v>
      </c>
      <c r="DZ16" s="79">
        <v>1954.3</v>
      </c>
      <c r="EA16" s="79">
        <v>76.099999999999994</v>
      </c>
      <c r="EB16" s="52">
        <v>84.9</v>
      </c>
      <c r="EC16" s="52">
        <v>78.3</v>
      </c>
      <c r="ED16" s="51">
        <v>132.4</v>
      </c>
      <c r="EE16" s="52">
        <v>99.1</v>
      </c>
      <c r="EF16" s="63">
        <v>181.1</v>
      </c>
      <c r="EG16" s="51">
        <v>94.9</v>
      </c>
      <c r="EH16" s="51">
        <v>183.2</v>
      </c>
      <c r="EI16" s="52">
        <v>105.2</v>
      </c>
      <c r="EJ16" s="52">
        <v>166.5</v>
      </c>
      <c r="EK16" s="52">
        <v>97.2</v>
      </c>
      <c r="EL16" s="52">
        <v>174.6</v>
      </c>
      <c r="EM16" s="52">
        <v>95</v>
      </c>
      <c r="EN16" s="52">
        <v>164.9</v>
      </c>
      <c r="EO16" s="52">
        <v>93</v>
      </c>
      <c r="EP16" s="52">
        <v>174.5</v>
      </c>
      <c r="EQ16" s="52">
        <v>116</v>
      </c>
      <c r="ER16" s="52">
        <v>172.9</v>
      </c>
      <c r="ES16" s="52">
        <v>100.8</v>
      </c>
      <c r="ET16" s="52">
        <v>190.3</v>
      </c>
      <c r="EU16" s="52">
        <v>110.1</v>
      </c>
      <c r="EV16" s="52">
        <v>169.7</v>
      </c>
      <c r="EW16" s="52">
        <v>104.1</v>
      </c>
      <c r="EX16" s="52">
        <v>178.5</v>
      </c>
      <c r="EY16" s="52">
        <v>113.8</v>
      </c>
      <c r="EZ16" s="60">
        <v>1973.7</v>
      </c>
      <c r="FA16" s="60">
        <v>101</v>
      </c>
      <c r="FB16" s="52">
        <v>120</v>
      </c>
      <c r="FC16" s="52">
        <v>141.30000000000001</v>
      </c>
      <c r="FD16" s="52">
        <v>153.4</v>
      </c>
      <c r="FE16" s="52">
        <v>115.8</v>
      </c>
      <c r="FF16" s="52">
        <v>217.3</v>
      </c>
      <c r="FG16" s="52">
        <v>120</v>
      </c>
      <c r="FH16" s="52">
        <v>182</v>
      </c>
      <c r="FI16" s="52">
        <v>99.4</v>
      </c>
      <c r="FJ16" s="52">
        <v>204.9</v>
      </c>
      <c r="FK16" s="52">
        <v>123</v>
      </c>
      <c r="FL16" s="52">
        <v>195.2</v>
      </c>
      <c r="FM16" s="52">
        <v>111.8</v>
      </c>
      <c r="FN16" s="52">
        <v>209.1</v>
      </c>
      <c r="FO16" s="52">
        <v>126.7</v>
      </c>
      <c r="FP16" s="52">
        <v>216.7</v>
      </c>
      <c r="FQ16" s="52">
        <v>124.2</v>
      </c>
      <c r="FR16" s="52">
        <v>215.2</v>
      </c>
      <c r="FS16" s="52">
        <v>124.4</v>
      </c>
      <c r="FT16" s="52">
        <v>231.3</v>
      </c>
      <c r="FU16" s="52">
        <v>121.6</v>
      </c>
      <c r="FV16" s="52">
        <v>224.7</v>
      </c>
      <c r="FW16" s="52">
        <v>132.4</v>
      </c>
      <c r="FX16" s="52">
        <v>219.4</v>
      </c>
      <c r="FY16" s="52">
        <v>122.9</v>
      </c>
      <c r="FZ16" s="60">
        <v>2389.1999999999998</v>
      </c>
      <c r="GA16" s="60">
        <v>121</v>
      </c>
      <c r="GB16" s="52">
        <v>176</v>
      </c>
      <c r="GC16" s="52">
        <v>146.6</v>
      </c>
      <c r="GD16" s="52">
        <v>211.4</v>
      </c>
      <c r="GE16" s="52">
        <v>137.9</v>
      </c>
      <c r="GF16" s="52">
        <v>256.10000000000002</v>
      </c>
      <c r="GG16" s="52">
        <v>117.9</v>
      </c>
      <c r="GH16" s="52">
        <v>244.8</v>
      </c>
      <c r="GI16" s="52">
        <v>134.5</v>
      </c>
      <c r="GJ16" s="57">
        <v>262</v>
      </c>
      <c r="GK16" s="52">
        <v>127.9</v>
      </c>
      <c r="GL16" s="57">
        <v>245.4</v>
      </c>
      <c r="GM16" s="52">
        <v>125.7</v>
      </c>
      <c r="GN16" s="57">
        <v>250.6</v>
      </c>
      <c r="GO16" s="52">
        <v>119.9</v>
      </c>
      <c r="GP16" s="92">
        <v>227.3</v>
      </c>
      <c r="GQ16" s="93">
        <v>104.9</v>
      </c>
      <c r="GR16" s="57">
        <v>233.6</v>
      </c>
      <c r="GS16" s="52">
        <v>108.5</v>
      </c>
      <c r="GT16" s="57">
        <v>269.39999999999998</v>
      </c>
      <c r="GU16" s="93">
        <v>116.5</v>
      </c>
      <c r="GV16" s="57">
        <v>236.8</v>
      </c>
      <c r="GW16" s="92">
        <v>105.4</v>
      </c>
      <c r="GX16" s="57">
        <v>237.5</v>
      </c>
      <c r="GY16" s="92">
        <v>108.2</v>
      </c>
      <c r="GZ16" s="95">
        <v>2850.8</v>
      </c>
      <c r="HA16" s="97">
        <v>119.3</v>
      </c>
      <c r="HB16" s="92">
        <v>166.7</v>
      </c>
      <c r="HC16" s="92">
        <f>IF(175909.07231="","-",166568.97695/175909.07231*100)</f>
        <v>94.690384505274309</v>
      </c>
      <c r="HD16" s="92">
        <v>221</v>
      </c>
      <c r="HE16" s="92">
        <f>IF(211421.2261="","-",220989.21591/211421.2261*100)</f>
        <v>104.52555781011053</v>
      </c>
      <c r="HF16" s="92">
        <v>265.60000000000002</v>
      </c>
      <c r="HG16" s="92">
        <f>IF(256122.1882="","-",265628.03337/256122.1882*100)</f>
        <v>103.71144930347742</v>
      </c>
      <c r="HH16" s="92">
        <v>263.7</v>
      </c>
      <c r="HI16" s="92">
        <f>IF(244837.46313="","-",263728.74603/244837.46313*100)</f>
        <v>107.71584652875177</v>
      </c>
      <c r="HJ16" s="92">
        <v>247.9</v>
      </c>
      <c r="HK16" s="92">
        <f>IF(261988.12269="","-",247886.93877/261988.12269*100)</f>
        <v>94.617624732291645</v>
      </c>
      <c r="HL16" s="92">
        <v>238</v>
      </c>
      <c r="HM16" s="92">
        <f>IF(245384.01348="","-",238021.9018/245384.01348*100)</f>
        <v>96.999759040700482</v>
      </c>
      <c r="HN16" s="92">
        <v>259.2</v>
      </c>
      <c r="HO16" s="92">
        <f>IF(250601.53334="","-",259224.73442/250601.53334*100)</f>
        <v>103.44100092488284</v>
      </c>
      <c r="HP16" s="92">
        <v>224.7</v>
      </c>
      <c r="HQ16" s="92">
        <f>IF(227307.74243="","-",224694.14326/227307.74243*100)</f>
        <v>98.850193512082029</v>
      </c>
      <c r="HR16" s="92">
        <v>248</v>
      </c>
      <c r="HS16" s="92">
        <f>IF(233546.38308="","-",248047.46652/233546.38308*100)</f>
        <v>106.20908071825403</v>
      </c>
      <c r="HT16" s="92">
        <v>256.5</v>
      </c>
      <c r="HU16" s="92">
        <f>IF(269420.81714="","-",256484.12705/269420.81714*100)</f>
        <v>95.198333140205108</v>
      </c>
      <c r="HV16" s="92">
        <v>250.1</v>
      </c>
      <c r="HW16" s="92">
        <f>IF(236770.08341="","-",250104.62142/236770.08341*100)</f>
        <v>105.63185087319897</v>
      </c>
      <c r="HX16" s="92">
        <v>248.6</v>
      </c>
      <c r="HY16" s="92">
        <f>IF(237491.68493="","-",248601.80318/237491.68493*100)</f>
        <v>104.67810831072872</v>
      </c>
      <c r="HZ16" s="97">
        <v>2890</v>
      </c>
      <c r="IA16" s="97">
        <f>IF(2850800.33024="","-",2889980.70868/2850800.33024*100)</f>
        <v>101.37436417501402</v>
      </c>
      <c r="IB16" s="92">
        <v>171.4</v>
      </c>
      <c r="IC16" s="92">
        <f>IF(163682.56123="","-",171390.38547/163682.56123*100)</f>
        <v>104.70900759499315</v>
      </c>
      <c r="ID16" s="92">
        <v>229.4</v>
      </c>
      <c r="IE16" s="92">
        <f>IF(214947.24277="","-",229390.16537/214947.24277*100)</f>
        <v>106.71928721386502</v>
      </c>
      <c r="IF16" s="92">
        <v>246.6</v>
      </c>
      <c r="IG16" s="92">
        <f>IF(260047.16269="","-",246567.02835/260047.16269*100)</f>
        <v>94.81627324806864</v>
      </c>
      <c r="IH16" s="92">
        <v>130.1</v>
      </c>
      <c r="II16" s="92">
        <f>IF(258686.04111="","-",130159.19594/258686.04111*100)</f>
        <v>50.315508089071173</v>
      </c>
      <c r="IJ16" s="57">
        <v>149.1</v>
      </c>
      <c r="IK16" s="92">
        <f>IF(243907.31671="","-",149081.08534/243907.31671*100)</f>
        <v>61.122022639957883</v>
      </c>
      <c r="IL16" s="92">
        <v>191.8</v>
      </c>
      <c r="IM16" s="92">
        <f>IF(234008.64165="","-",191807.43184/234008.64165*100)</f>
        <v>81.965960952365535</v>
      </c>
      <c r="IN16" s="57">
        <v>208.3</v>
      </c>
      <c r="IO16" s="92">
        <f>IF(253424.54096="","-",208292.34216/253424.54096*100)</f>
        <v>82.191070119320614</v>
      </c>
      <c r="IP16" s="57">
        <v>194.5</v>
      </c>
      <c r="IQ16" s="92">
        <f>IF(220093.29682="","-",194559.40464/220093.29682*100)</f>
        <v>88.39860525108017</v>
      </c>
      <c r="IR16" s="92">
        <v>230.6</v>
      </c>
      <c r="IS16" s="92">
        <f>IF(243009.86696="","-",230572.81374/243009.86696*100)</f>
        <v>94.882078914907936</v>
      </c>
      <c r="IT16" s="92">
        <v>230.8</v>
      </c>
      <c r="IU16" s="92">
        <f>IF(252598.92971="","-",230774.75766/252598.92971*100)</f>
        <v>91.360148645500772</v>
      </c>
      <c r="IV16" s="92">
        <v>240.6</v>
      </c>
      <c r="IW16" s="92">
        <f>IF(244529.71857="","-",240556.67667/244529.71857*100)</f>
        <v>98.375231475652853</v>
      </c>
      <c r="IX16" s="92">
        <v>247.6</v>
      </c>
      <c r="IY16" s="92">
        <f>IF(242311.50821="","-",247593.81754/242311.50821*100)</f>
        <v>102.17996634539621</v>
      </c>
      <c r="IZ16" s="97">
        <v>2470.8000000000002</v>
      </c>
      <c r="JA16" s="97">
        <f>IF(2831246.82739="","-",2470745.10472/2831246.82739*100)</f>
        <v>87.267033054750286</v>
      </c>
      <c r="JB16" s="141">
        <v>174.4</v>
      </c>
      <c r="JC16" s="92">
        <f>IF(171390.38547="","-",174416.60402/171390.38547*100)</f>
        <v>101.76568746356527</v>
      </c>
      <c r="JD16" s="141">
        <v>251.3</v>
      </c>
      <c r="JE16" s="92">
        <f>IF(229390.16537="","-",251289.72557/229390.16537*100)</f>
        <v>109.54686098450499</v>
      </c>
      <c r="JF16" s="141">
        <v>305.60000000000002</v>
      </c>
      <c r="JG16" s="92">
        <f>IF(246567.02835="","-",305620.55901/246567.02835*100)</f>
        <v>123.95029499896231</v>
      </c>
      <c r="JH16" s="141">
        <v>273.60000000000002</v>
      </c>
      <c r="JI16" s="92">
        <f>IF(130159.19594="","-",273545.97857/130159.19594*100)</f>
        <v>210.16262169912108</v>
      </c>
      <c r="JJ16" s="151">
        <v>262.10000000000002</v>
      </c>
      <c r="JK16" s="92">
        <f>IF(149081.08534="","-",262119.44622/149081.08534*100)</f>
        <v>175.82340886652418</v>
      </c>
      <c r="JL16" s="145">
        <v>281.39999999999998</v>
      </c>
      <c r="JM16" s="92">
        <f>IF(191807.43184="","-",281414.91575/191807.43184*100)</f>
        <v>146.71742020129224</v>
      </c>
      <c r="JN16" s="141">
        <v>259.2</v>
      </c>
      <c r="JO16" s="92">
        <f>IF(208292.34216="","-",259242.18518/208292.34216*100)</f>
        <v>124.4607374863848</v>
      </c>
      <c r="JP16" s="145">
        <v>242</v>
      </c>
      <c r="JQ16" s="92">
        <f>IF(194559.40464="","-",242015.44973/194559.40464*100)</f>
        <v>124.39154518272173</v>
      </c>
      <c r="JR16" s="145">
        <v>273.39999999999998</v>
      </c>
      <c r="JS16" s="92">
        <f>IF(230572.81374="","-",273403.50152/230572.81374*100)</f>
        <v>118.57577529859917</v>
      </c>
      <c r="JT16" s="148">
        <v>265.60000000000002</v>
      </c>
      <c r="JU16" s="92">
        <f>IF(230774.75766="","-",265649.20637/230774.75766*100)</f>
        <v>115.11189917979698</v>
      </c>
      <c r="JV16" s="148">
        <v>266.10000000000002</v>
      </c>
      <c r="JW16" s="92">
        <f>IF(240556.67667="","-",266114.95641/240556.67667*100)</f>
        <v>110.6246395210478</v>
      </c>
      <c r="JX16" s="148">
        <v>294.10000000000002</v>
      </c>
      <c r="JY16" s="92">
        <f>IF(247593.81754="","-",294132.387/247593.81754*100)</f>
        <v>118.79633745397599</v>
      </c>
      <c r="JZ16" s="95">
        <v>3149</v>
      </c>
      <c r="KA16" s="179">
        <f>IF(2470745.10472="","-",3148990.55968/2470745.10472*100)</f>
        <v>127.45104922657988</v>
      </c>
      <c r="KB16" s="57">
        <v>232.5</v>
      </c>
      <c r="KC16" s="93">
        <f>IF(174416.60402="","-",232437.4027/174416.60402*100)</f>
        <v>133.26563947624325</v>
      </c>
      <c r="KD16" s="57">
        <v>306.2</v>
      </c>
      <c r="KE16" s="93">
        <f>IF(251289.72557="","-",306216.8586/251289.72557*100)</f>
        <v>121.85808946442552</v>
      </c>
      <c r="KF16" s="57">
        <v>365.6</v>
      </c>
      <c r="KG16" s="93">
        <f>IF(305620.55901="","-",365624.29716/305620.55901*100)</f>
        <v>119.63341024712825</v>
      </c>
      <c r="KH16" s="57">
        <v>337.5</v>
      </c>
      <c r="KI16" s="93">
        <f>IF(273545.97857="","-",337528.14077/273545.97857*100)</f>
        <v>123.3899114636873</v>
      </c>
      <c r="KJ16" s="57">
        <v>367.5</v>
      </c>
      <c r="KK16" s="93">
        <f>IF(262119.44622="","-",367455.50507/262119.44622*100)</f>
        <v>140.18628162429053</v>
      </c>
      <c r="KL16" s="57">
        <v>388.2</v>
      </c>
      <c r="KM16" s="93">
        <f>IF(281414.91575="","-",388186.0461/281414.91575*100)</f>
        <v>137.9408213190988</v>
      </c>
      <c r="KN16" s="57">
        <v>365.5</v>
      </c>
      <c r="KO16" s="93">
        <f>IF(259242.18518="","-",365499.7628/259242.18518*100)</f>
        <v>140.98776499134274</v>
      </c>
      <c r="KP16" s="57">
        <v>354.7</v>
      </c>
      <c r="KQ16" s="93">
        <f>IF(242015.44973="","-",354721.19569/242015.44973*100)</f>
        <v>146.56964920451901</v>
      </c>
      <c r="KR16" s="57">
        <v>363.6</v>
      </c>
      <c r="KS16" s="92">
        <f>IF(273403.50152="","-",363630.92397/273403.50152*100)</f>
        <v>133.00156067803678</v>
      </c>
      <c r="KT16" s="57">
        <v>381.7</v>
      </c>
      <c r="KU16" s="93">
        <f>IF(265649.20637="","-",381713.33431/265649.20637*100)</f>
        <v>143.69074898659557</v>
      </c>
      <c r="KV16" s="57">
        <v>427.2</v>
      </c>
      <c r="KW16" s="93">
        <f>IF(266140.60074="","-",427166.2745/266140.60074*100)</f>
        <v>160.50398673192683</v>
      </c>
      <c r="KX16" s="57">
        <v>474.7</v>
      </c>
      <c r="KY16" s="93">
        <f>IF(294132.387="","-",474646.19152/294132.387*100)</f>
        <v>161.3716178490742</v>
      </c>
      <c r="KZ16" s="95">
        <v>4364.8</v>
      </c>
      <c r="LA16" s="179">
        <f>IF(3148990.55968="","-",4364825.93319/3148990.55968*100)</f>
        <v>138.61032132257498</v>
      </c>
      <c r="LB16" s="57">
        <v>315.8</v>
      </c>
      <c r="LC16" s="92">
        <f>IF(232437.4027="","-",315865.22411/232437.4027*100)</f>
        <v>135.89259750836135</v>
      </c>
      <c r="LD16" s="57">
        <v>400.2</v>
      </c>
      <c r="LE16" s="92">
        <f>IF(306216.8586="","-",400244.23737/306216.8586*100)</f>
        <v>130.70614047831526</v>
      </c>
      <c r="LF16" s="57">
        <v>397.8</v>
      </c>
      <c r="LG16" s="93">
        <f>IF(365624.29716="","-",397766.42842/365624.29716*100)</f>
        <v>108.79102715811426</v>
      </c>
      <c r="LH16" s="57">
        <v>330.6</v>
      </c>
      <c r="LI16" s="93">
        <f>IF(337528.14077="","-",330623.25127/337528.14077*100)</f>
        <v>97.95427738728749</v>
      </c>
      <c r="LJ16" s="57">
        <v>346.8</v>
      </c>
      <c r="LK16" s="93">
        <f>IF(367455.50507="","-",346741.73741/367455.50507*100)</f>
        <v>94.362918129079588</v>
      </c>
      <c r="LL16" s="57">
        <v>322.3</v>
      </c>
      <c r="LM16" s="93">
        <f>IF(388186.0461="","-",322320.83412/388186.0461*100)</f>
        <v>83.032565791138069</v>
      </c>
      <c r="LN16" s="57">
        <v>337.9</v>
      </c>
      <c r="LO16" s="93">
        <f>IF(365499.7628="","-",337900.73327/365499.7628*100)</f>
        <v>92.448961028436543</v>
      </c>
      <c r="LP16" s="57">
        <v>333.9</v>
      </c>
      <c r="LQ16" s="92">
        <f>IF(354721.19569="","-",333883.33874/354721.19569*100)</f>
        <v>94.125567571606069</v>
      </c>
      <c r="LR16" s="57">
        <v>324</v>
      </c>
      <c r="LS16" s="92">
        <f>IF(363630.92397="","-",324025.44073/363630.92397*100)</f>
        <v>89.108329179597618</v>
      </c>
      <c r="LT16" s="57">
        <v>351.2</v>
      </c>
      <c r="LU16" s="92">
        <f>IF(381713.33431="","-",351225.68669/381713.33431*100)</f>
        <v>92.012946659274903</v>
      </c>
      <c r="LV16" s="57">
        <v>356.8</v>
      </c>
      <c r="LW16" s="92">
        <f>IF(427166.2745="","-",356787.75977/427166.2745*100)</f>
        <v>83.524327894944804</v>
      </c>
      <c r="LX16" s="92">
        <v>370.6</v>
      </c>
      <c r="LY16" s="92">
        <f>IF(474646.19152="","-",370616.18253/474646.19152*100)</f>
        <v>78.082620097117854</v>
      </c>
      <c r="LZ16" s="95">
        <v>4188</v>
      </c>
      <c r="MA16" s="97">
        <f>IF(4364825.93319="","-",4188000.85443/4364825.93319*100)</f>
        <v>95.948862990951639</v>
      </c>
      <c r="MB16" s="57">
        <v>277.8</v>
      </c>
      <c r="MC16" s="92">
        <f>IF(315865.22411="","-",277784.9257/315865.22411*100)</f>
        <v>87.944130754723886</v>
      </c>
      <c r="MD16" s="92">
        <v>372.5</v>
      </c>
      <c r="ME16" s="92">
        <f>IF(400244.23737="","-",372520.72022/400244.23737*100)</f>
        <v>93.073350079398793</v>
      </c>
      <c r="MF16" s="92">
        <v>367.4</v>
      </c>
      <c r="MG16" s="92">
        <f>IF(397766.42842="","-",367374.97299/397766.42842*100)</f>
        <v>92.359471976878396</v>
      </c>
      <c r="MH16" s="92">
        <v>392.2</v>
      </c>
      <c r="MI16" s="92">
        <f>IF(330623.25127="","-",392174.47801/330623.25127*100)</f>
        <v>118.61672659244853</v>
      </c>
      <c r="MJ16" s="92">
        <v>332.9</v>
      </c>
      <c r="MK16" s="92">
        <f>IF(346741.73741="","-",332863.27122/346741.73741*100)</f>
        <v>95.997463041609663</v>
      </c>
      <c r="ML16" s="93">
        <v>369</v>
      </c>
      <c r="MM16" s="93">
        <f>IF(322320.83412="","-",369004.76177/322320.83412*100)</f>
        <v>114.48368293581032</v>
      </c>
      <c r="MN16" s="93">
        <v>405.9</v>
      </c>
      <c r="MO16" s="93">
        <f>IF(337900.73327="","-",405886.38788/337900.73327*100)</f>
        <v>120.12000801302669</v>
      </c>
      <c r="MP16" s="93">
        <v>358</v>
      </c>
      <c r="MQ16" s="93">
        <f>IF(333883.33874="","-",357991.60476/333883.33874*100)</f>
        <v>107.22056575538605</v>
      </c>
    </row>
    <row r="17" spans="1:420" ht="19.5" customHeight="1">
      <c r="A17" s="37" t="s">
        <v>172</v>
      </c>
      <c r="B17" s="8">
        <v>61.1</v>
      </c>
      <c r="C17" s="8">
        <v>147.30000000000001</v>
      </c>
      <c r="D17" s="8">
        <v>77.7</v>
      </c>
      <c r="E17" s="8">
        <v>138.19999999999999</v>
      </c>
      <c r="F17" s="8">
        <v>102.8</v>
      </c>
      <c r="G17" s="8">
        <v>141.80000000000001</v>
      </c>
      <c r="H17" s="8">
        <v>93.4</v>
      </c>
      <c r="I17" s="8">
        <v>143.1</v>
      </c>
      <c r="J17" s="8">
        <v>107.1</v>
      </c>
      <c r="K17" s="8">
        <v>156.19999999999999</v>
      </c>
      <c r="L17" s="8">
        <v>98.3</v>
      </c>
      <c r="M17" s="8">
        <v>104.4</v>
      </c>
      <c r="N17" s="8">
        <v>98</v>
      </c>
      <c r="O17" s="8">
        <v>138.30000000000001</v>
      </c>
      <c r="P17" s="52">
        <v>100.9</v>
      </c>
      <c r="Q17" s="52">
        <v>141.80000000000001</v>
      </c>
      <c r="R17" s="52">
        <v>120</v>
      </c>
      <c r="S17" s="52">
        <v>163.5</v>
      </c>
      <c r="T17" s="52">
        <v>112.8</v>
      </c>
      <c r="U17" s="52">
        <v>134.19999999999999</v>
      </c>
      <c r="V17" s="52">
        <v>121.3</v>
      </c>
      <c r="W17" s="52">
        <v>130.5</v>
      </c>
      <c r="X17" s="52">
        <v>128.19999999999999</v>
      </c>
      <c r="Y17" s="52">
        <v>123.8</v>
      </c>
      <c r="Z17" s="60">
        <v>1221.5999999999999</v>
      </c>
      <c r="AA17" s="60">
        <v>136.6</v>
      </c>
      <c r="AB17" s="52">
        <v>83.1</v>
      </c>
      <c r="AC17" s="52">
        <v>136.19999999999999</v>
      </c>
      <c r="AD17" s="52">
        <v>75.099999999999994</v>
      </c>
      <c r="AE17" s="52">
        <v>96.6</v>
      </c>
      <c r="AF17" s="52">
        <v>123.8</v>
      </c>
      <c r="AG17" s="52">
        <v>120.4</v>
      </c>
      <c r="AH17" s="52">
        <v>109.7</v>
      </c>
      <c r="AI17" s="52">
        <v>117.5</v>
      </c>
      <c r="AJ17" s="52">
        <v>105.6</v>
      </c>
      <c r="AK17" s="52">
        <v>98.7</v>
      </c>
      <c r="AL17" s="52">
        <v>99.2</v>
      </c>
      <c r="AM17" s="52">
        <v>100.9</v>
      </c>
      <c r="AN17" s="52">
        <v>94.6</v>
      </c>
      <c r="AO17" s="52">
        <v>96.5</v>
      </c>
      <c r="AP17" s="52">
        <v>100.7</v>
      </c>
      <c r="AQ17" s="58">
        <v>99.9</v>
      </c>
      <c r="AR17" s="52">
        <v>120.3</v>
      </c>
      <c r="AS17" s="52">
        <v>100.2</v>
      </c>
      <c r="AT17" s="52">
        <v>124.9</v>
      </c>
      <c r="AU17" s="52">
        <v>110.7</v>
      </c>
      <c r="AV17" s="52">
        <v>108.7</v>
      </c>
      <c r="AW17" s="52">
        <v>89.6</v>
      </c>
      <c r="AX17" s="52">
        <v>124.9</v>
      </c>
      <c r="AY17" s="52">
        <v>97.4</v>
      </c>
      <c r="AZ17" s="60">
        <v>1270.5999999999999</v>
      </c>
      <c r="BA17" s="60">
        <v>104</v>
      </c>
      <c r="BB17" s="52">
        <v>92.6</v>
      </c>
      <c r="BC17" s="52">
        <v>111.5</v>
      </c>
      <c r="BD17" s="52">
        <v>92.9</v>
      </c>
      <c r="BE17" s="52">
        <v>124</v>
      </c>
      <c r="BF17" s="52">
        <v>116.8</v>
      </c>
      <c r="BG17" s="52">
        <v>94.5</v>
      </c>
      <c r="BH17" s="52">
        <v>121</v>
      </c>
      <c r="BI17" s="52">
        <v>110.5</v>
      </c>
      <c r="BJ17" s="52">
        <v>104.4</v>
      </c>
      <c r="BK17" s="52">
        <v>99.1</v>
      </c>
      <c r="BL17" s="52">
        <v>111.4</v>
      </c>
      <c r="BM17" s="52">
        <v>112.4</v>
      </c>
      <c r="BN17" s="52">
        <v>116.8</v>
      </c>
      <c r="BO17" s="52">
        <v>123.6</v>
      </c>
      <c r="BP17" s="52">
        <v>114.5</v>
      </c>
      <c r="BQ17" s="52">
        <v>113.7</v>
      </c>
      <c r="BR17" s="52">
        <v>116.1</v>
      </c>
      <c r="BS17" s="52">
        <v>96.7</v>
      </c>
      <c r="BT17" s="59">
        <v>111.8</v>
      </c>
      <c r="BU17" s="58">
        <v>89.6</v>
      </c>
      <c r="BV17" s="58">
        <v>115.4</v>
      </c>
      <c r="BW17" s="58">
        <v>106.3</v>
      </c>
      <c r="BX17" s="58">
        <v>134.30000000000001</v>
      </c>
      <c r="BY17" s="58">
        <v>107.7</v>
      </c>
      <c r="BZ17" s="107">
        <v>1348</v>
      </c>
      <c r="CA17" s="107">
        <v>106.2</v>
      </c>
      <c r="CB17" s="58">
        <v>68.599999999999994</v>
      </c>
      <c r="CC17" s="58">
        <v>74.099999999999994</v>
      </c>
      <c r="CD17" s="58">
        <v>99.3</v>
      </c>
      <c r="CE17" s="58">
        <v>106.9</v>
      </c>
      <c r="CF17" s="58">
        <v>116.9</v>
      </c>
      <c r="CG17" s="58">
        <v>100.2</v>
      </c>
      <c r="CH17" s="58">
        <v>104.3</v>
      </c>
      <c r="CI17" s="58">
        <v>86.2</v>
      </c>
      <c r="CJ17" s="58">
        <v>108.3</v>
      </c>
      <c r="CK17" s="58">
        <v>103.8</v>
      </c>
      <c r="CL17" s="58">
        <v>103.6</v>
      </c>
      <c r="CM17" s="58">
        <v>93</v>
      </c>
      <c r="CN17" s="58">
        <v>103.6</v>
      </c>
      <c r="CO17" s="58">
        <v>88.7</v>
      </c>
      <c r="CP17" s="58">
        <v>95.6</v>
      </c>
      <c r="CQ17" s="58">
        <v>83.5</v>
      </c>
      <c r="CR17" s="58">
        <v>113.7</v>
      </c>
      <c r="CS17" s="58">
        <v>97.9</v>
      </c>
      <c r="CT17" s="58">
        <v>115.1</v>
      </c>
      <c r="CU17" s="58">
        <v>102.9</v>
      </c>
      <c r="CV17" s="58">
        <v>120.5</v>
      </c>
      <c r="CW17" s="58">
        <v>104.4</v>
      </c>
      <c r="CX17" s="58">
        <v>150.5</v>
      </c>
      <c r="CY17" s="58">
        <v>112.1</v>
      </c>
      <c r="CZ17" s="107">
        <v>1300</v>
      </c>
      <c r="DA17" s="107">
        <v>96.4</v>
      </c>
      <c r="DB17" s="58">
        <v>68.900000000000006</v>
      </c>
      <c r="DC17" s="51">
        <v>100.4</v>
      </c>
      <c r="DD17" s="51">
        <v>78.099999999999994</v>
      </c>
      <c r="DE17" s="51">
        <v>78.7</v>
      </c>
      <c r="DF17" s="51">
        <v>106.1</v>
      </c>
      <c r="DG17" s="52">
        <v>90.6</v>
      </c>
      <c r="DH17" s="52">
        <v>77</v>
      </c>
      <c r="DI17" s="52">
        <v>73.900000000000006</v>
      </c>
      <c r="DJ17" s="51">
        <v>89.5</v>
      </c>
      <c r="DK17" s="52">
        <v>82.6</v>
      </c>
      <c r="DL17" s="51">
        <v>96.4</v>
      </c>
      <c r="DM17" s="52">
        <v>93</v>
      </c>
      <c r="DN17" s="51">
        <v>84.5</v>
      </c>
      <c r="DO17" s="52">
        <v>81.599999999999994</v>
      </c>
      <c r="DP17" s="52">
        <v>70.900000000000006</v>
      </c>
      <c r="DQ17" s="52">
        <v>74.2</v>
      </c>
      <c r="DR17" s="51">
        <v>86.7</v>
      </c>
      <c r="DS17" s="52">
        <v>76.3</v>
      </c>
      <c r="DT17" s="52">
        <v>83</v>
      </c>
      <c r="DU17" s="52">
        <v>72.2</v>
      </c>
      <c r="DV17" s="51">
        <v>78.900000000000006</v>
      </c>
      <c r="DW17" s="52">
        <v>65.5</v>
      </c>
      <c r="DX17" s="51">
        <v>94.4</v>
      </c>
      <c r="DY17" s="51">
        <v>62.8</v>
      </c>
      <c r="DZ17" s="79">
        <v>1014.4</v>
      </c>
      <c r="EA17" s="60">
        <v>78</v>
      </c>
      <c r="EB17" s="52">
        <v>48.3</v>
      </c>
      <c r="EC17" s="52">
        <v>70.2</v>
      </c>
      <c r="ED17" s="51">
        <v>74.2</v>
      </c>
      <c r="EE17" s="52">
        <v>95</v>
      </c>
      <c r="EF17" s="63">
        <v>89.7</v>
      </c>
      <c r="EG17" s="51">
        <v>84.6</v>
      </c>
      <c r="EH17" s="51">
        <v>87.4</v>
      </c>
      <c r="EI17" s="52">
        <v>113.7</v>
      </c>
      <c r="EJ17" s="52">
        <v>88.1</v>
      </c>
      <c r="EK17" s="52">
        <v>98.6</v>
      </c>
      <c r="EL17" s="52">
        <v>85.4</v>
      </c>
      <c r="EM17" s="52">
        <v>88.7</v>
      </c>
      <c r="EN17" s="52">
        <v>73.8</v>
      </c>
      <c r="EO17" s="52">
        <v>87.3</v>
      </c>
      <c r="EP17" s="52">
        <v>92.6</v>
      </c>
      <c r="EQ17" s="52">
        <v>130.6</v>
      </c>
      <c r="ER17" s="52">
        <v>91.5</v>
      </c>
      <c r="ES17" s="52">
        <v>105.5</v>
      </c>
      <c r="ET17" s="52">
        <v>91.1</v>
      </c>
      <c r="EU17" s="52">
        <v>109.8</v>
      </c>
      <c r="EV17" s="52">
        <v>91.7</v>
      </c>
      <c r="EW17" s="52">
        <v>116.2</v>
      </c>
      <c r="EX17" s="52">
        <v>105.7</v>
      </c>
      <c r="EY17" s="52">
        <v>111.8</v>
      </c>
      <c r="EZ17" s="60">
        <v>1019.2</v>
      </c>
      <c r="FA17" s="60">
        <v>100.5</v>
      </c>
      <c r="FB17" s="52">
        <v>71.099999999999994</v>
      </c>
      <c r="FC17" s="52">
        <v>147.19999999999999</v>
      </c>
      <c r="FD17" s="52">
        <v>87.5</v>
      </c>
      <c r="FE17" s="52">
        <v>118</v>
      </c>
      <c r="FF17" s="52">
        <v>110</v>
      </c>
      <c r="FG17" s="52">
        <v>122.6</v>
      </c>
      <c r="FH17" s="52">
        <v>86.2</v>
      </c>
      <c r="FI17" s="52">
        <v>98.7</v>
      </c>
      <c r="FJ17" s="52">
        <v>106.7</v>
      </c>
      <c r="FK17" s="52">
        <v>121.2</v>
      </c>
      <c r="FL17" s="52">
        <v>104.3</v>
      </c>
      <c r="FM17" s="52">
        <v>122.1</v>
      </c>
      <c r="FN17" s="52">
        <v>95.4</v>
      </c>
      <c r="FO17" s="52">
        <v>129.30000000000001</v>
      </c>
      <c r="FP17" s="52">
        <v>106.1</v>
      </c>
      <c r="FQ17" s="52">
        <v>114.6</v>
      </c>
      <c r="FR17" s="52">
        <v>107.2</v>
      </c>
      <c r="FS17" s="52">
        <v>117.1</v>
      </c>
      <c r="FT17" s="52">
        <v>120.8</v>
      </c>
      <c r="FU17" s="52">
        <v>132.6</v>
      </c>
      <c r="FV17" s="52">
        <v>113.4</v>
      </c>
      <c r="FW17" s="52">
        <v>123.7</v>
      </c>
      <c r="FX17" s="52">
        <v>127.5</v>
      </c>
      <c r="FY17" s="52">
        <v>120.7</v>
      </c>
      <c r="FZ17" s="60">
        <v>1236.0999999999999</v>
      </c>
      <c r="GA17" s="60">
        <v>121.3</v>
      </c>
      <c r="GB17" s="52">
        <v>104.4</v>
      </c>
      <c r="GC17" s="52">
        <v>146.9</v>
      </c>
      <c r="GD17" s="52">
        <v>111.6</v>
      </c>
      <c r="GE17" s="52">
        <v>127.5</v>
      </c>
      <c r="GF17" s="52">
        <v>133.9</v>
      </c>
      <c r="GG17" s="52">
        <v>121.8</v>
      </c>
      <c r="GH17" s="52">
        <v>108.6</v>
      </c>
      <c r="GI17" s="52">
        <v>125.9</v>
      </c>
      <c r="GJ17" s="57">
        <v>134.30000000000001</v>
      </c>
      <c r="GK17" s="52">
        <v>125.8</v>
      </c>
      <c r="GL17" s="57">
        <v>108.9</v>
      </c>
      <c r="GM17" s="52">
        <v>104.5</v>
      </c>
      <c r="GN17" s="57">
        <v>115.2</v>
      </c>
      <c r="GO17" s="52">
        <v>120.7</v>
      </c>
      <c r="GP17" s="92">
        <v>123.3</v>
      </c>
      <c r="GQ17" s="93">
        <v>116.2</v>
      </c>
      <c r="GR17" s="57">
        <v>116.3</v>
      </c>
      <c r="GS17" s="52">
        <v>108.5</v>
      </c>
      <c r="GT17" s="57">
        <v>139.5</v>
      </c>
      <c r="GU17" s="93">
        <v>115.5</v>
      </c>
      <c r="GV17" s="57">
        <v>132.1</v>
      </c>
      <c r="GW17" s="92">
        <v>116.5</v>
      </c>
      <c r="GX17" s="57">
        <v>132</v>
      </c>
      <c r="GY17" s="92">
        <v>103.6</v>
      </c>
      <c r="GZ17" s="95">
        <v>1460.2</v>
      </c>
      <c r="HA17" s="97">
        <v>118.1</v>
      </c>
      <c r="HB17" s="92">
        <v>99</v>
      </c>
      <c r="HC17" s="92">
        <f>IF(104471.36536="","-",99029.77014/104471.36536*100)</f>
        <v>94.79130458260147</v>
      </c>
      <c r="HD17" s="92">
        <v>119.5</v>
      </c>
      <c r="HE17" s="92">
        <f>IF(111587.69536="","-",119419.5188/111587.69536*100)</f>
        <v>107.01853677928671</v>
      </c>
      <c r="HF17" s="92">
        <v>126.5</v>
      </c>
      <c r="HG17" s="92">
        <f>IF(133950.926="","-",126481.21767/133950.926*100)</f>
        <v>94.423548568824373</v>
      </c>
      <c r="HH17" s="92">
        <v>120.4</v>
      </c>
      <c r="HI17" s="92">
        <f>IF(108548.3249="","-",120378.2093/108548.3249*100)</f>
        <v>110.89826527576383</v>
      </c>
      <c r="HJ17" s="92">
        <v>132.9</v>
      </c>
      <c r="HK17" s="92">
        <f>IF(134280.80436="","-",132928.95282/134280.80436*100)</f>
        <v>98.993265235159171</v>
      </c>
      <c r="HL17" s="92">
        <v>110.7</v>
      </c>
      <c r="HM17" s="92">
        <f>IF(108925.45615="","-",110705.07166/108925.45615*100)</f>
        <v>101.63379211150543</v>
      </c>
      <c r="HN17" s="92">
        <v>127.5</v>
      </c>
      <c r="HO17" s="92">
        <f>IF(115172.92029="","-",127482.19019/115172.92029*100)</f>
        <v>110.68764243279222</v>
      </c>
      <c r="HP17" s="92">
        <v>130.19999999999999</v>
      </c>
      <c r="HQ17" s="92">
        <f>IF(123271.89881="","-",130245.31332/123271.89881*100)</f>
        <v>105.65693769408726</v>
      </c>
      <c r="HR17" s="92">
        <v>140.19999999999999</v>
      </c>
      <c r="HS17" s="92">
        <f>IF(116293.15123="","-",140157.30578/116293.15123*100)</f>
        <v>120.52068784584091</v>
      </c>
      <c r="HT17" s="92">
        <v>148</v>
      </c>
      <c r="HU17" s="92">
        <f>IF(139498.25521="","-",147988.00509/139498.25521*100)</f>
        <v>106.0859183272361</v>
      </c>
      <c r="HV17" s="92">
        <v>128.80000000000001</v>
      </c>
      <c r="HW17" s="92">
        <f>IF(132119.39644="","-",128853.05027/132119.39644*100)</f>
        <v>97.527731538280705</v>
      </c>
      <c r="HX17" s="92">
        <v>151.6</v>
      </c>
      <c r="HY17" s="92">
        <f>IF(132057.75415="","-",151610.45129/132057.75415*100)</f>
        <v>114.8061711830952</v>
      </c>
      <c r="HZ17" s="97">
        <v>1535.3</v>
      </c>
      <c r="IA17" s="97">
        <f>IF(1460177.94826="","-",1535279.05633/1460177.94826*100)</f>
        <v>105.14328463592352</v>
      </c>
      <c r="IB17" s="92">
        <v>107</v>
      </c>
      <c r="IC17" s="92">
        <f>IF(101916.18586="","-",107013.91711/101916.18586*100)</f>
        <v>105.00188582116155</v>
      </c>
      <c r="ID17" s="92">
        <v>135.69999999999999</v>
      </c>
      <c r="IE17" s="92">
        <f>IF(125461.49194="","-",135687.85294/125461.49194*100)</f>
        <v>108.15099584890207</v>
      </c>
      <c r="IF17" s="92">
        <v>133.80000000000001</v>
      </c>
      <c r="IG17" s="92">
        <f>IF(132062.08835="","-",133805.79333/132062.08835*100)</f>
        <v>101.32036756482201</v>
      </c>
      <c r="IH17" s="92">
        <v>84.8</v>
      </c>
      <c r="II17" s="92">
        <f>IF(125420.91422="","-",84769.45308/125420.91422*100)</f>
        <v>67.587972554008388</v>
      </c>
      <c r="IJ17" s="57">
        <v>102.4</v>
      </c>
      <c r="IK17" s="92">
        <f>IF(136908.57488="","-",102436.45141/136908.57488*100)</f>
        <v>74.821063253185756</v>
      </c>
      <c r="IL17" s="92">
        <v>125.9</v>
      </c>
      <c r="IM17" s="92">
        <f>IF(114718.33181="","-",125879.03804/114718.33181*100)</f>
        <v>109.72879055501321</v>
      </c>
      <c r="IN17" s="57">
        <v>140.1</v>
      </c>
      <c r="IO17" s="92">
        <f>IF(133282.38365="","-",140104.93849/133282.38365*100)</f>
        <v>105.11887216686944</v>
      </c>
      <c r="IP17" s="57">
        <v>129.9</v>
      </c>
      <c r="IQ17" s="92">
        <f>IF(134846.15976="","-",129891.30078/134846.15976*100)</f>
        <v>96.325546838843096</v>
      </c>
      <c r="IR17" s="92">
        <v>164.2</v>
      </c>
      <c r="IS17" s="92">
        <f>IF(145194.90534="","-",164208.98675/145194.90534*100)</f>
        <v>113.09555687610052</v>
      </c>
      <c r="IT17" s="92">
        <v>153.1</v>
      </c>
      <c r="IU17" s="92">
        <f>IF(151873.20243="","-",153090.77818/151873.20243*100)</f>
        <v>100.80170545594518</v>
      </c>
      <c r="IV17" s="92">
        <v>165.8</v>
      </c>
      <c r="IW17" s="92">
        <f>IF(134427.95312="","-",165814.29542/134427.95312*100)</f>
        <v>123.34807722020606</v>
      </c>
      <c r="IX17" s="92">
        <v>184.8</v>
      </c>
      <c r="IY17" s="92">
        <f>IF(157900.74626="","-",184818.13452/157900.74626*100)</f>
        <v>117.04703042737854</v>
      </c>
      <c r="IZ17" s="97">
        <v>1627.5</v>
      </c>
      <c r="JA17" s="97">
        <f>IF(1594012.93762="","-",1627520.94005/1594012.93762*100)</f>
        <v>102.10211608947355</v>
      </c>
      <c r="JB17" s="141">
        <v>127.4</v>
      </c>
      <c r="JC17" s="92">
        <f>IF(107013.91711="","-",127355.17447/107013.91711*100)</f>
        <v>119.00804858782166</v>
      </c>
      <c r="JD17" s="141">
        <v>147.69999999999999</v>
      </c>
      <c r="JE17" s="92">
        <f>IF(135687.85294="","-",147734.08224/135687.85294*100)</f>
        <v>108.87789808666713</v>
      </c>
      <c r="JF17" s="141">
        <v>183.9</v>
      </c>
      <c r="JG17" s="92">
        <f>IF(133805.79333="","-",183863.40361/133805.79333*100)</f>
        <v>137.41064496104806</v>
      </c>
      <c r="JH17" s="141">
        <v>158.69999999999999</v>
      </c>
      <c r="JI17" s="92">
        <f>IF(84769.45308="","-",158715.43675/84769.45308*100)</f>
        <v>187.23187537875759</v>
      </c>
      <c r="JJ17" s="151">
        <v>179.6</v>
      </c>
      <c r="JK17" s="92">
        <f>IF(102436.45141="","-",179597.65999/102436.45141*100)</f>
        <v>175.32592892266806</v>
      </c>
      <c r="JL17" s="145">
        <v>177.8</v>
      </c>
      <c r="JM17" s="92">
        <f>IF(125879.03804="","-",177824.37263/125879.03804*100)</f>
        <v>141.26607209493733</v>
      </c>
      <c r="JN17" s="141">
        <v>159.69999999999999</v>
      </c>
      <c r="JO17" s="92">
        <f>IF(140104.93849="","-",159694.78507/140104.93849*100)</f>
        <v>113.98226700010167</v>
      </c>
      <c r="JP17" s="145">
        <v>167.4</v>
      </c>
      <c r="JQ17" s="92">
        <f>IF(129891.30078="","-",167435.30702/129891.30078*100)</f>
        <v>128.90417296196702</v>
      </c>
      <c r="JR17" s="145">
        <v>215.3</v>
      </c>
      <c r="JS17" s="92">
        <f>IF(164208.98675="","-",215280.04418/164208.98675*100)</f>
        <v>131.101256052297</v>
      </c>
      <c r="JT17" s="148">
        <v>178.7</v>
      </c>
      <c r="JU17" s="92">
        <f>IF(153090.77818="","-",178674.52411/153090.77818*100)</f>
        <v>116.71148728496195</v>
      </c>
      <c r="JV17" s="148">
        <v>199.7</v>
      </c>
      <c r="JW17" s="93">
        <f>IF(165814.29542="","-",199689.49092/165814.29542*100)</f>
        <v>120.42959891618253</v>
      </c>
      <c r="JX17" s="148">
        <v>226.3</v>
      </c>
      <c r="JY17" s="92">
        <f>IF(184818.13452="","-",226304.30738/184818.13452*100)</f>
        <v>122.44702499987122</v>
      </c>
      <c r="JZ17" s="95">
        <v>2122.1999999999998</v>
      </c>
      <c r="KA17" s="179">
        <f>IF(1627520.94005="","-",2122168.58837/1627520.94005*100)</f>
        <v>130.39270562655884</v>
      </c>
      <c r="KB17" s="57">
        <v>156.1</v>
      </c>
      <c r="KC17" s="93">
        <f>IF(127355.17447="","-",156103.06092/127355.17447*100)</f>
        <v>122.57300229035602</v>
      </c>
      <c r="KD17" s="57">
        <v>160.30000000000001</v>
      </c>
      <c r="KE17" s="93">
        <f>IF(147734.08224="","-",160271.67189/147734.08224*100)</f>
        <v>108.48659257220834</v>
      </c>
      <c r="KF17" s="57">
        <v>188.4</v>
      </c>
      <c r="KG17" s="93">
        <f>IF(183863.40361="","-",188369.64687/183863.40361*100)</f>
        <v>102.45086470255839</v>
      </c>
      <c r="KH17" s="57">
        <v>226.1</v>
      </c>
      <c r="KI17" s="93">
        <f>IF(158715.43675="","-",226090.62237/158715.43675*100)</f>
        <v>142.45030414157242</v>
      </c>
      <c r="KJ17" s="57">
        <v>238.1</v>
      </c>
      <c r="KK17" s="93">
        <f>IF(179597.65999="","-",238065.63046/179597.65999*100)</f>
        <v>132.55497341850418</v>
      </c>
      <c r="KL17" s="57">
        <v>229.4</v>
      </c>
      <c r="KM17" s="93">
        <f>IF(177824.37263="","-",229435.07366/177824.37263*100)</f>
        <v>129.0234124078068</v>
      </c>
      <c r="KN17" s="57">
        <v>228.7</v>
      </c>
      <c r="KO17" s="93">
        <f>IF(159694.78507="","-",228712.8255/159694.78507*100)</f>
        <v>143.21871900810467</v>
      </c>
      <c r="KP17" s="57">
        <v>252.7</v>
      </c>
      <c r="KQ17" s="93">
        <f>IF(167435.30702="","-",252663.57433/167435.30702*100)</f>
        <v>150.9022074417193</v>
      </c>
      <c r="KR17" s="57">
        <v>259.7</v>
      </c>
      <c r="KS17" s="93">
        <f>IF(215280.04418="","-",259670.2093/215280.04418*100)</f>
        <v>120.61973058816567</v>
      </c>
      <c r="KT17" s="57">
        <v>218.8</v>
      </c>
      <c r="KU17" s="93">
        <f>IF(178674.52411="","-",218794.21142/178674.52411*100)</f>
        <v>122.45406137771523</v>
      </c>
      <c r="KV17" s="57">
        <v>238.6</v>
      </c>
      <c r="KW17" s="93">
        <f>IF(199689.49092="","-",238607.64738/199689.49092*100)</f>
        <v>119.48933630943625</v>
      </c>
      <c r="KX17" s="57">
        <v>271.8</v>
      </c>
      <c r="KY17" s="93">
        <f>IF(226304.30738="","-",271817.20252/226304.30738*100)</f>
        <v>120.11136936230594</v>
      </c>
      <c r="KZ17" s="95">
        <v>2668.6</v>
      </c>
      <c r="LA17" s="179">
        <f>IF(2122168.58837="","-",2668601.37662/2122168.58837*100)</f>
        <v>125.74879259096497</v>
      </c>
      <c r="LB17" s="57">
        <v>202.7</v>
      </c>
      <c r="LC17" s="92">
        <f>IF(156103.06092="","-",202684.6987/156103.06092*100)</f>
        <v>129.8403103087596</v>
      </c>
      <c r="LD17" s="57">
        <v>215.3</v>
      </c>
      <c r="LE17" s="92">
        <f>IF(160271.67189="","-",215259.77542/160271.67189*100)</f>
        <v>134.30930923821663</v>
      </c>
      <c r="LF17" s="57">
        <v>250.2</v>
      </c>
      <c r="LG17" s="93">
        <f>IF(188369.64687="","-",250227.67302/188369.64687*100)</f>
        <v>132.83863784736519</v>
      </c>
      <c r="LH17" s="57">
        <v>216.6</v>
      </c>
      <c r="LI17" s="93">
        <f>IF(226090.62237="","-",216647.54063/226090.62237*100)</f>
        <v>95.823320029370223</v>
      </c>
      <c r="LJ17" s="57">
        <v>249.1</v>
      </c>
      <c r="LK17" s="93">
        <f>IF(238065.63046="","-",249126.29429/238065.63046*100)</f>
        <v>104.64605655534069</v>
      </c>
      <c r="LL17" s="57">
        <v>234.4</v>
      </c>
      <c r="LM17" s="93">
        <f>IF(229435.07366="","-",234384.6879/229435.07366*100)</f>
        <v>102.15730496695323</v>
      </c>
      <c r="LN17" s="57">
        <v>219.2</v>
      </c>
      <c r="LO17" s="93">
        <f>IF(228712.8255="","-",219183.85068/228712.8255*100)</f>
        <v>95.833650867996468</v>
      </c>
      <c r="LP17" s="57">
        <v>262.2</v>
      </c>
      <c r="LQ17" s="93">
        <f>IF(252663.57433="","-",262186.84512/252663.57433*100)</f>
        <v>103.76915066417996</v>
      </c>
      <c r="LR17" s="57">
        <v>272.10000000000002</v>
      </c>
      <c r="LS17" s="92">
        <f>IF(259670.2093="","-",272078.27191/259670.2093*100)</f>
        <v>104.7783928096522</v>
      </c>
      <c r="LT17" s="57">
        <v>269.60000000000002</v>
      </c>
      <c r="LU17" s="92">
        <f>IF(218794.21142="","-",269627.6278/218794.21142*100)</f>
        <v>123.23343750736603</v>
      </c>
      <c r="LV17" s="57">
        <v>229.9</v>
      </c>
      <c r="LW17" s="92">
        <f>IF(238607.64738="","-",229969.78069/238607.64738*100)</f>
        <v>96.379886904360802</v>
      </c>
      <c r="LX17" s="92">
        <v>255.7</v>
      </c>
      <c r="LY17" s="92">
        <f>IF(271817.20252="","-",255729.5686/271817.20252*100)</f>
        <v>94.081451147737312</v>
      </c>
      <c r="LZ17" s="95">
        <v>2877.1</v>
      </c>
      <c r="MA17" s="97">
        <f>IF(2668601.37662="","-",2877106.61476/2668601.37662*100)</f>
        <v>107.81327777039853</v>
      </c>
      <c r="MB17" s="57">
        <v>320.5</v>
      </c>
      <c r="MC17" s="92">
        <f>IF(304518.45532="","-",320526.60373/304518.45532*100)</f>
        <v>105.25687298432472</v>
      </c>
      <c r="MD17" s="92">
        <v>352.7</v>
      </c>
      <c r="ME17" s="92">
        <f>IF(301954.88453="","-",352683.55138/301954.88453*100)</f>
        <v>116.80008155157364</v>
      </c>
      <c r="MF17" s="92">
        <v>375.7</v>
      </c>
      <c r="MG17" s="92">
        <f>IF(354418.47342="","-",375725.59807/354418.47342*100)</f>
        <v>106.01185498159691</v>
      </c>
      <c r="MH17" s="92">
        <v>353.1</v>
      </c>
      <c r="MI17" s="92">
        <f>IF(328757.95741="","-",353110.20145/328757.95741*100)</f>
        <v>107.40734740897233</v>
      </c>
      <c r="MJ17" s="92">
        <v>335</v>
      </c>
      <c r="MK17" s="92">
        <f>IF(337942.32756="","-",335057.48536/337942.32756*100)</f>
        <v>99.14635073362102</v>
      </c>
      <c r="ML17" s="93">
        <v>300.39999999999998</v>
      </c>
      <c r="MM17" s="93">
        <f>IF(311215.20726="","-",300411.45697/311215.20726*100)</f>
        <v>96.528527514732218</v>
      </c>
      <c r="MN17" s="93">
        <v>353.5</v>
      </c>
      <c r="MO17" s="93">
        <f>IF(275375.18051="","-",353527.0562/275375.18051*100)</f>
        <v>128.38014506073543</v>
      </c>
      <c r="MP17" s="93">
        <v>347.6</v>
      </c>
      <c r="MQ17" s="93">
        <f>IF(328675.20375="","-",347596.06378/328675.20375*100)</f>
        <v>105.75670443468921</v>
      </c>
    </row>
    <row r="18" spans="1:420" ht="15.75" customHeight="1">
      <c r="A18" s="3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39"/>
      <c r="Q18" s="52"/>
      <c r="R18" s="52"/>
      <c r="S18" s="52"/>
      <c r="T18" s="52"/>
      <c r="U18" s="52"/>
      <c r="V18" s="52"/>
      <c r="W18" s="52"/>
      <c r="X18" s="52"/>
      <c r="Y18" s="52"/>
      <c r="Z18" s="60"/>
      <c r="AA18" s="60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39"/>
      <c r="AP18" s="52"/>
      <c r="AQ18" s="41"/>
      <c r="AR18" s="52"/>
      <c r="AS18" s="52"/>
      <c r="AT18" s="52"/>
      <c r="AU18" s="52"/>
      <c r="AV18" s="52"/>
      <c r="AW18" s="52"/>
      <c r="AX18" s="52"/>
      <c r="AY18" s="52"/>
      <c r="AZ18" s="60"/>
      <c r="BA18" s="60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43"/>
      <c r="BV18" s="43"/>
      <c r="BW18" s="43"/>
      <c r="BX18" s="43"/>
      <c r="BY18" s="43"/>
      <c r="BZ18" s="106"/>
      <c r="CA18" s="106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106"/>
      <c r="DA18" s="106"/>
      <c r="DB18" s="43"/>
      <c r="DC18" s="50"/>
      <c r="DD18" s="51"/>
      <c r="DE18" s="51"/>
      <c r="DF18" s="50"/>
      <c r="DG18" s="52"/>
      <c r="DH18" s="52"/>
      <c r="DI18" s="52"/>
      <c r="DJ18" s="51"/>
      <c r="DK18" s="52"/>
      <c r="DL18" s="51"/>
      <c r="DM18" s="51"/>
      <c r="DN18" s="51"/>
      <c r="DO18" s="51"/>
      <c r="DP18" s="51"/>
      <c r="DQ18" s="52"/>
      <c r="DR18" s="51"/>
      <c r="DS18" s="52"/>
      <c r="DT18" s="53"/>
      <c r="DU18" s="52"/>
      <c r="DV18" s="54"/>
      <c r="DW18" s="52"/>
      <c r="DX18" s="51"/>
      <c r="DY18" s="51"/>
      <c r="DZ18" s="104"/>
      <c r="EA18" s="104"/>
      <c r="EB18" s="53"/>
      <c r="EC18" s="52"/>
      <c r="ED18" s="51"/>
      <c r="EE18" s="51"/>
      <c r="EF18" s="54"/>
      <c r="EG18" s="55"/>
      <c r="EH18" s="55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103"/>
      <c r="FA18" s="103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103"/>
      <c r="GA18" s="103"/>
      <c r="GB18" s="56"/>
      <c r="GC18" s="56"/>
      <c r="GD18" s="56"/>
      <c r="GE18" s="56"/>
      <c r="GF18" s="56"/>
      <c r="GG18" s="56"/>
      <c r="GH18" s="56"/>
      <c r="GI18" s="56"/>
      <c r="GJ18" s="57"/>
      <c r="GK18" s="52"/>
      <c r="GL18" s="57"/>
      <c r="GM18" s="52"/>
      <c r="GN18" s="57"/>
      <c r="GO18" s="52"/>
      <c r="GP18" s="92"/>
      <c r="GQ18" s="93"/>
      <c r="GR18" s="52"/>
      <c r="GS18" s="52"/>
      <c r="GT18" s="52"/>
      <c r="GU18" s="52"/>
      <c r="GV18" s="52"/>
      <c r="GW18" s="52"/>
      <c r="GX18" s="52"/>
      <c r="GY18" s="52"/>
      <c r="GZ18" s="60"/>
      <c r="HA18" s="60"/>
      <c r="HB18" s="112"/>
      <c r="HC18" s="112"/>
      <c r="HD18" s="119"/>
      <c r="HE18" s="119"/>
      <c r="HF18" s="119"/>
      <c r="HG18" s="119"/>
      <c r="HH18" s="119"/>
      <c r="HI18" s="119"/>
      <c r="HJ18" s="119"/>
      <c r="HK18" s="119"/>
      <c r="HL18" s="119"/>
      <c r="HM18" s="119"/>
      <c r="HN18" s="119"/>
      <c r="HO18" s="119"/>
      <c r="HP18" s="119"/>
      <c r="HQ18" s="119"/>
      <c r="HR18" s="119"/>
      <c r="HS18" s="119"/>
      <c r="HT18" s="119"/>
      <c r="HU18" s="119"/>
      <c r="HV18" s="119"/>
      <c r="HW18" s="119"/>
      <c r="HX18" s="119"/>
      <c r="HY18" s="119"/>
      <c r="HZ18" s="120"/>
      <c r="IA18" s="96"/>
      <c r="IB18" s="114"/>
      <c r="IC18" s="57"/>
      <c r="ID18" s="114"/>
      <c r="IE18" s="57"/>
      <c r="IF18" s="114"/>
      <c r="IG18" s="57"/>
      <c r="IH18" s="114"/>
      <c r="II18" s="57"/>
      <c r="IJ18" s="92"/>
      <c r="IK18" s="57"/>
      <c r="IL18" s="57"/>
      <c r="IM18" s="57"/>
      <c r="IN18" s="57"/>
      <c r="IO18" s="57"/>
      <c r="IP18" s="57"/>
      <c r="IQ18" s="57"/>
      <c r="IR18" s="57"/>
      <c r="IS18" s="57"/>
      <c r="IT18" s="57"/>
      <c r="IU18" s="57"/>
      <c r="IV18" s="57"/>
      <c r="IW18" s="57"/>
      <c r="IX18" s="57"/>
      <c r="IY18" s="57"/>
      <c r="IZ18" s="95"/>
      <c r="JA18" s="95"/>
      <c r="JB18" s="146"/>
      <c r="JC18" s="57"/>
      <c r="JD18" s="146"/>
      <c r="JE18" s="57"/>
      <c r="JF18" s="146"/>
      <c r="JG18" s="57"/>
      <c r="JH18" s="146"/>
      <c r="JI18" s="57"/>
      <c r="JJ18" s="147"/>
      <c r="JK18" s="57"/>
      <c r="JL18" s="147"/>
      <c r="JM18" s="57"/>
      <c r="JN18" s="147"/>
      <c r="JO18" s="57"/>
      <c r="JP18" s="147"/>
      <c r="JQ18" s="57"/>
      <c r="JR18" s="147"/>
      <c r="JS18" s="57"/>
      <c r="JT18" s="148"/>
      <c r="JU18" s="57"/>
      <c r="JV18" s="148"/>
      <c r="JW18" s="57"/>
      <c r="JX18" s="148"/>
      <c r="JY18" s="57"/>
      <c r="JZ18" s="95"/>
      <c r="KA18" s="97"/>
      <c r="KB18" s="57"/>
      <c r="KC18" s="57"/>
      <c r="KD18" s="57"/>
      <c r="KE18" s="57"/>
      <c r="KF18" s="57"/>
      <c r="KG18" s="57"/>
      <c r="KH18" s="57"/>
      <c r="KI18" s="57"/>
      <c r="KJ18" s="57"/>
      <c r="KK18" s="57"/>
      <c r="KL18" s="57"/>
      <c r="KM18" s="52"/>
      <c r="KN18" s="57"/>
      <c r="KO18" s="52"/>
      <c r="KP18" s="57"/>
      <c r="KQ18" s="52"/>
      <c r="KR18" s="57"/>
      <c r="KS18" s="52"/>
      <c r="KT18" s="57"/>
      <c r="KU18" s="57"/>
      <c r="KV18" s="57"/>
      <c r="KW18" s="57"/>
      <c r="KX18" s="57"/>
      <c r="KY18" s="57"/>
      <c r="KZ18" s="95"/>
      <c r="LA18" s="95"/>
      <c r="LB18" s="57"/>
      <c r="LC18" s="57"/>
      <c r="LD18" s="57"/>
      <c r="LE18" s="57"/>
      <c r="LF18" s="57"/>
      <c r="LG18" s="57"/>
      <c r="LH18" s="57"/>
      <c r="LI18" s="57"/>
      <c r="LJ18" s="57"/>
      <c r="LK18" s="57"/>
      <c r="LL18" s="57"/>
      <c r="LM18" s="57"/>
      <c r="LN18" s="57"/>
      <c r="LO18" s="57"/>
      <c r="LP18" s="57"/>
      <c r="LQ18" s="57"/>
      <c r="LR18" s="57"/>
      <c r="LS18" s="57"/>
      <c r="LT18" s="57"/>
      <c r="LU18" s="57"/>
      <c r="LV18" s="57"/>
      <c r="LW18" s="57"/>
      <c r="LX18" s="57"/>
      <c r="LY18" s="57"/>
      <c r="LZ18" s="95"/>
      <c r="MA18" s="95"/>
      <c r="MB18" s="57"/>
      <c r="MC18" s="57"/>
      <c r="MD18" s="57"/>
      <c r="ME18" s="57"/>
      <c r="MF18" s="57"/>
      <c r="MG18" s="57"/>
      <c r="MH18" s="57"/>
      <c r="MI18" s="52"/>
      <c r="MJ18" s="57"/>
      <c r="MK18" s="52"/>
      <c r="ML18" s="93"/>
      <c r="MM18" s="93"/>
      <c r="MN18" s="93"/>
      <c r="MO18" s="201"/>
      <c r="MP18" s="93"/>
      <c r="MQ18" s="201"/>
    </row>
    <row r="19" spans="1:420" ht="15.75" customHeight="1">
      <c r="A19" s="36" t="s">
        <v>122</v>
      </c>
      <c r="B19" s="7">
        <v>-150.4</v>
      </c>
      <c r="C19" s="7">
        <v>128.19999999999999</v>
      </c>
      <c r="D19" s="7">
        <v>-194.9</v>
      </c>
      <c r="E19" s="7">
        <v>135.1</v>
      </c>
      <c r="F19" s="7">
        <v>-279.3</v>
      </c>
      <c r="G19" s="7">
        <v>140.19999999999999</v>
      </c>
      <c r="H19" s="7">
        <v>-245.3</v>
      </c>
      <c r="I19" s="7">
        <v>126.4</v>
      </c>
      <c r="J19" s="7">
        <v>-264.10000000000002</v>
      </c>
      <c r="K19" s="7">
        <v>138.5</v>
      </c>
      <c r="L19" s="7">
        <v>-244.8</v>
      </c>
      <c r="M19" s="7">
        <v>109.5</v>
      </c>
      <c r="N19" s="7">
        <v>-233.9</v>
      </c>
      <c r="O19" s="7">
        <v>119</v>
      </c>
      <c r="P19" s="39">
        <v>-234.8</v>
      </c>
      <c r="Q19" s="39">
        <v>129.5</v>
      </c>
      <c r="R19" s="39">
        <v>-301.3</v>
      </c>
      <c r="S19" s="39">
        <v>149.30000000000001</v>
      </c>
      <c r="T19" s="39">
        <v>-256.60000000000002</v>
      </c>
      <c r="U19" s="39">
        <v>128.69999999999999</v>
      </c>
      <c r="V19" s="39">
        <v>-252.2</v>
      </c>
      <c r="W19" s="39">
        <v>123.3</v>
      </c>
      <c r="X19" s="39">
        <v>-316.89999999999998</v>
      </c>
      <c r="Y19" s="39">
        <v>121.4</v>
      </c>
      <c r="Z19" s="47">
        <v>-2974.5</v>
      </c>
      <c r="AA19" s="47">
        <v>128.6</v>
      </c>
      <c r="AB19" s="45">
        <v>-191.5</v>
      </c>
      <c r="AC19" s="39">
        <v>127.3</v>
      </c>
      <c r="AD19" s="39">
        <v>-231.1</v>
      </c>
      <c r="AE19" s="39">
        <v>118.6</v>
      </c>
      <c r="AF19" s="39">
        <v>-276.89999999999998</v>
      </c>
      <c r="AG19" s="39">
        <v>99.1</v>
      </c>
      <c r="AH19" s="39">
        <v>-245</v>
      </c>
      <c r="AI19" s="39">
        <v>99.9</v>
      </c>
      <c r="AJ19" s="39">
        <v>-251.6</v>
      </c>
      <c r="AK19" s="39">
        <v>95.3</v>
      </c>
      <c r="AL19" s="39">
        <v>-222.9</v>
      </c>
      <c r="AM19" s="39">
        <v>91.1</v>
      </c>
      <c r="AN19" s="39">
        <v>-253.6</v>
      </c>
      <c r="AO19" s="39">
        <v>108.5</v>
      </c>
      <c r="AP19" s="45">
        <v>-250</v>
      </c>
      <c r="AQ19" s="41">
        <v>106.5</v>
      </c>
      <c r="AR19" s="45">
        <v>-262.60000000000002</v>
      </c>
      <c r="AS19" s="39">
        <v>87.1</v>
      </c>
      <c r="AT19" s="45">
        <v>-286.7</v>
      </c>
      <c r="AU19" s="39">
        <v>111.7</v>
      </c>
      <c r="AV19" s="39">
        <v>-262</v>
      </c>
      <c r="AW19" s="39">
        <v>103.9</v>
      </c>
      <c r="AX19" s="45">
        <v>-317.10000000000002</v>
      </c>
      <c r="AY19" s="39">
        <v>100.1</v>
      </c>
      <c r="AZ19" s="47">
        <v>-3051</v>
      </c>
      <c r="BA19" s="47">
        <v>102.6</v>
      </c>
      <c r="BB19" s="39">
        <v>-182.8</v>
      </c>
      <c r="BC19" s="39">
        <v>95.5</v>
      </c>
      <c r="BD19" s="39">
        <v>-205.7</v>
      </c>
      <c r="BE19" s="39">
        <v>89</v>
      </c>
      <c r="BF19" s="39">
        <v>-264.5</v>
      </c>
      <c r="BG19" s="39">
        <v>95.5</v>
      </c>
      <c r="BH19" s="39">
        <v>-293.10000000000002</v>
      </c>
      <c r="BI19" s="39">
        <v>119.7</v>
      </c>
      <c r="BJ19" s="39">
        <v>-241.8</v>
      </c>
      <c r="BK19" s="39">
        <v>96.1</v>
      </c>
      <c r="BL19" s="39">
        <v>-269.7</v>
      </c>
      <c r="BM19" s="39">
        <v>121</v>
      </c>
      <c r="BN19" s="39">
        <v>-271.2</v>
      </c>
      <c r="BO19" s="39">
        <v>106.9</v>
      </c>
      <c r="BP19" s="39">
        <v>-241.5</v>
      </c>
      <c r="BQ19" s="39">
        <v>96.6</v>
      </c>
      <c r="BR19" s="39">
        <v>-258.7</v>
      </c>
      <c r="BS19" s="39">
        <v>98.5</v>
      </c>
      <c r="BT19" s="42">
        <v>-252.8</v>
      </c>
      <c r="BU19" s="43">
        <v>88.2</v>
      </c>
      <c r="BV19" s="43">
        <v>-232.1</v>
      </c>
      <c r="BW19" s="43">
        <v>88.6</v>
      </c>
      <c r="BX19" s="43">
        <v>-350.2</v>
      </c>
      <c r="BY19" s="43">
        <v>110.4</v>
      </c>
      <c r="BZ19" s="106">
        <v>-3064.1</v>
      </c>
      <c r="CA19" s="106">
        <v>100.4</v>
      </c>
      <c r="CB19" s="43">
        <v>-148.80000000000001</v>
      </c>
      <c r="CC19" s="43">
        <v>81.400000000000006</v>
      </c>
      <c r="CD19" s="43">
        <v>-227.5</v>
      </c>
      <c r="CE19" s="43">
        <v>110.6</v>
      </c>
      <c r="CF19" s="43">
        <v>-268.89999999999998</v>
      </c>
      <c r="CG19" s="43">
        <v>101.7</v>
      </c>
      <c r="CH19" s="64">
        <v>-248.7</v>
      </c>
      <c r="CI19" s="43">
        <v>84.8</v>
      </c>
      <c r="CJ19" s="65">
        <v>-231.8</v>
      </c>
      <c r="CK19" s="43">
        <v>95.9</v>
      </c>
      <c r="CL19" s="66">
        <v>-249.1</v>
      </c>
      <c r="CM19" s="43">
        <v>92.3</v>
      </c>
      <c r="CN19" s="43">
        <v>-242.7</v>
      </c>
      <c r="CO19" s="43">
        <v>89.5</v>
      </c>
      <c r="CP19" s="67">
        <v>-236.8</v>
      </c>
      <c r="CQ19" s="43">
        <v>98</v>
      </c>
      <c r="CR19" s="68">
        <v>-274.10000000000002</v>
      </c>
      <c r="CS19" s="43">
        <v>105.9</v>
      </c>
      <c r="CT19" s="69">
        <v>-269.3</v>
      </c>
      <c r="CU19" s="43">
        <v>106.5</v>
      </c>
      <c r="CV19" s="43">
        <v>-256</v>
      </c>
      <c r="CW19" s="43">
        <v>110.3</v>
      </c>
      <c r="CX19" s="43">
        <v>-323.8</v>
      </c>
      <c r="CY19" s="43">
        <v>92.5</v>
      </c>
      <c r="CZ19" s="106">
        <v>-2977.5</v>
      </c>
      <c r="DA19" s="106">
        <v>97.2</v>
      </c>
      <c r="DB19" s="43">
        <v>-121.6</v>
      </c>
      <c r="DC19" s="45">
        <v>81.8</v>
      </c>
      <c r="DD19" s="45">
        <v>-138.80000000000001</v>
      </c>
      <c r="DE19" s="39">
        <v>61</v>
      </c>
      <c r="DF19" s="45">
        <v>-227.9</v>
      </c>
      <c r="DG19" s="39">
        <v>84.7</v>
      </c>
      <c r="DH19" s="39">
        <v>-178.2</v>
      </c>
      <c r="DI19" s="39">
        <v>71.7</v>
      </c>
      <c r="DJ19" s="45">
        <v>-155.1</v>
      </c>
      <c r="DK19" s="39">
        <v>66.900000000000006</v>
      </c>
      <c r="DL19" s="45">
        <v>-171.1</v>
      </c>
      <c r="DM19" s="45">
        <v>68.7</v>
      </c>
      <c r="DN19" s="39">
        <v>-176.1</v>
      </c>
      <c r="DO19" s="45">
        <v>72.599999999999994</v>
      </c>
      <c r="DP19" s="45">
        <v>-171.8</v>
      </c>
      <c r="DQ19" s="39">
        <v>72.5</v>
      </c>
      <c r="DR19" s="45">
        <v>-174.3</v>
      </c>
      <c r="DS19" s="39">
        <v>63.6</v>
      </c>
      <c r="DT19" s="39">
        <v>-148.6</v>
      </c>
      <c r="DU19" s="39">
        <v>55.2</v>
      </c>
      <c r="DV19" s="45">
        <v>-167.4</v>
      </c>
      <c r="DW19" s="39">
        <v>65.3</v>
      </c>
      <c r="DX19" s="45">
        <v>-189.1</v>
      </c>
      <c r="DY19" s="45">
        <v>58.4</v>
      </c>
      <c r="DZ19" s="47">
        <v>-2020</v>
      </c>
      <c r="EA19" s="78">
        <v>67.8</v>
      </c>
      <c r="EB19" s="39">
        <v>-90.5</v>
      </c>
      <c r="EC19" s="39">
        <v>74.5</v>
      </c>
      <c r="ED19" s="45">
        <v>-148.5</v>
      </c>
      <c r="EE19" s="39">
        <v>107.1</v>
      </c>
      <c r="EF19" s="62">
        <v>-205.6</v>
      </c>
      <c r="EG19" s="39">
        <v>90.2</v>
      </c>
      <c r="EH19" s="45">
        <v>-176.4</v>
      </c>
      <c r="EI19" s="39">
        <v>99.1</v>
      </c>
      <c r="EJ19" s="39">
        <v>-174.7</v>
      </c>
      <c r="EK19" s="39">
        <v>112.8</v>
      </c>
      <c r="EL19" s="39">
        <v>-167.2</v>
      </c>
      <c r="EM19" s="39">
        <v>97.8</v>
      </c>
      <c r="EN19" s="45">
        <v>-148.5</v>
      </c>
      <c r="EO19" s="39">
        <v>84.3</v>
      </c>
      <c r="EP19" s="39">
        <v>-183.1</v>
      </c>
      <c r="EQ19" s="39">
        <v>106.6</v>
      </c>
      <c r="ER19" s="39">
        <v>-168</v>
      </c>
      <c r="ES19" s="39">
        <v>96.4</v>
      </c>
      <c r="ET19" s="39">
        <v>-179.4</v>
      </c>
      <c r="EU19" s="39">
        <v>120.8</v>
      </c>
      <c r="EV19" s="39">
        <v>-135.9</v>
      </c>
      <c r="EW19" s="39">
        <v>81.099999999999994</v>
      </c>
      <c r="EX19" s="39">
        <v>-197.9</v>
      </c>
      <c r="EY19" s="39">
        <v>104.4</v>
      </c>
      <c r="EZ19" s="47">
        <v>-1975.8</v>
      </c>
      <c r="FA19" s="47">
        <v>97.8</v>
      </c>
      <c r="FB19" s="39">
        <v>-127.3</v>
      </c>
      <c r="FC19" s="39">
        <v>140.5</v>
      </c>
      <c r="FD19" s="39">
        <v>-156.1</v>
      </c>
      <c r="FE19" s="39">
        <v>105.1</v>
      </c>
      <c r="FF19" s="39">
        <v>-219.1</v>
      </c>
      <c r="FG19" s="39">
        <v>106.6</v>
      </c>
      <c r="FH19" s="39">
        <v>-207.3</v>
      </c>
      <c r="FI19" s="39">
        <v>117.5</v>
      </c>
      <c r="FJ19" s="39">
        <v>-225.7</v>
      </c>
      <c r="FK19" s="39">
        <v>129.19999999999999</v>
      </c>
      <c r="FL19" s="39">
        <v>-217.7</v>
      </c>
      <c r="FM19" s="39">
        <v>130.19999999999999</v>
      </c>
      <c r="FN19" s="39">
        <v>-205.3</v>
      </c>
      <c r="FO19" s="39">
        <v>138.19999999999999</v>
      </c>
      <c r="FP19" s="39">
        <v>-221.8</v>
      </c>
      <c r="FQ19" s="39">
        <v>121.2</v>
      </c>
      <c r="FR19" s="39">
        <v>-206.9</v>
      </c>
      <c r="FS19" s="39">
        <v>123</v>
      </c>
      <c r="FT19" s="39">
        <v>-197.7</v>
      </c>
      <c r="FU19" s="39">
        <v>110.2</v>
      </c>
      <c r="FV19" s="39">
        <v>-183.2</v>
      </c>
      <c r="FW19" s="39">
        <v>134.80000000000001</v>
      </c>
      <c r="FX19" s="39">
        <v>-238.3</v>
      </c>
      <c r="FY19" s="39">
        <v>120.4</v>
      </c>
      <c r="FZ19" s="47">
        <v>-2406.3000000000002</v>
      </c>
      <c r="GA19" s="47">
        <v>121.8</v>
      </c>
      <c r="GB19" s="39">
        <v>-154</v>
      </c>
      <c r="GC19" s="39">
        <v>120.9</v>
      </c>
      <c r="GD19" s="39">
        <v>-212.1</v>
      </c>
      <c r="GE19" s="39">
        <v>135.9</v>
      </c>
      <c r="GF19" s="39">
        <v>-282</v>
      </c>
      <c r="GG19" s="39">
        <v>128.69999999999999</v>
      </c>
      <c r="GH19" s="39">
        <v>-244.9</v>
      </c>
      <c r="GI19" s="39">
        <v>118.1</v>
      </c>
      <c r="GJ19" s="48">
        <v>-282.60000000000002</v>
      </c>
      <c r="GK19" s="39">
        <v>125.2</v>
      </c>
      <c r="GL19" s="48">
        <v>-244.6</v>
      </c>
      <c r="GM19" s="39">
        <v>112.3</v>
      </c>
      <c r="GN19" s="48">
        <v>-269.2</v>
      </c>
      <c r="GO19" s="39">
        <v>131.19999999999999</v>
      </c>
      <c r="GP19" s="90">
        <v>-262.10000000000002</v>
      </c>
      <c r="GQ19" s="91">
        <v>118.1</v>
      </c>
      <c r="GR19" s="48">
        <v>-266.7</v>
      </c>
      <c r="GS19" s="39">
        <v>128.9</v>
      </c>
      <c r="GT19" s="48">
        <v>-281.60000000000002</v>
      </c>
      <c r="GU19" s="91">
        <v>142.5</v>
      </c>
      <c r="GV19" s="48">
        <v>-253.70000000000005</v>
      </c>
      <c r="GW19" s="90">
        <v>138.5</v>
      </c>
      <c r="GX19" s="48">
        <v>-300.49999999999994</v>
      </c>
      <c r="GY19" s="101">
        <v>126.1</v>
      </c>
      <c r="GZ19" s="94">
        <v>-3053.9000000000005</v>
      </c>
      <c r="HA19" s="96">
        <v>126.9</v>
      </c>
      <c r="HB19" s="90">
        <v>-138.30000000000001</v>
      </c>
      <c r="HC19" s="90">
        <f>IF(-153935.51998="","-",-138294.40446/-153935.51998*100)</f>
        <v>89.839177129468112</v>
      </c>
      <c r="HD19" s="90">
        <v>-217.9</v>
      </c>
      <c r="HE19" s="90">
        <f>IF(-212128.57411="","-",-217839.14637/-212128.57411*100)</f>
        <v>102.69203349146107</v>
      </c>
      <c r="HF19" s="90">
        <v>-276.60000000000002</v>
      </c>
      <c r="HG19" s="90">
        <f>IF(-282030.27164="","-",-276615.76805/-282030.27164*100)</f>
        <v>98.080169352561072</v>
      </c>
      <c r="HH19" s="90">
        <v>-300</v>
      </c>
      <c r="HI19" s="90">
        <f>IF(-244866.24849="","-",-300020.53151/-244866.24849*100)</f>
        <v>122.52424879301094</v>
      </c>
      <c r="HJ19" s="90">
        <v>-271.10000000000002</v>
      </c>
      <c r="HK19" s="90">
        <f>IF(-282571.64434="","-",-271072.48455/-282571.64434*100)</f>
        <v>95.930533009828892</v>
      </c>
      <c r="HL19" s="90">
        <v>-243.2</v>
      </c>
      <c r="HM19" s="90">
        <f>IF(-244559.18353="","-",-243226.5734/-244559.18353*100)</f>
        <v>99.455097080892671</v>
      </c>
      <c r="HN19" s="90">
        <v>-278.89999999999998</v>
      </c>
      <c r="HO19" s="90">
        <f>IF(-269208.49895="","-",-278939.48236/-269208.49895*100)</f>
        <v>103.61466426504143</v>
      </c>
      <c r="HP19" s="90">
        <v>-258.5</v>
      </c>
      <c r="HQ19" s="90">
        <f>IF(-262048.94488="","-",-258466.27102/-262048.94488*100)</f>
        <v>98.632822634855245</v>
      </c>
      <c r="HR19" s="90">
        <v>-262.89999999999998</v>
      </c>
      <c r="HS19" s="90">
        <f>IF(-266669.69026="","-",-262900.17877/-266669.69026*100)</f>
        <v>98.586449218760194</v>
      </c>
      <c r="HT19" s="90">
        <v>-257</v>
      </c>
      <c r="HU19" s="90">
        <f>IF(-281648.65729="","-",-256997.66025/-281648.65729*100)</f>
        <v>91.247607115478601</v>
      </c>
      <c r="HV19" s="90">
        <v>-237.5</v>
      </c>
      <c r="HW19" s="90">
        <f>IF(-253727.16236="","-",-237569.28028/-253727.16236*100)</f>
        <v>93.631788599332381</v>
      </c>
      <c r="HX19" s="90">
        <v>-321.39999999999998</v>
      </c>
      <c r="HY19" s="90">
        <f>IF(-300489.35387="","-",-321378.0936/-300489.35387*100)</f>
        <v>106.95157397790442</v>
      </c>
      <c r="HZ19" s="96">
        <v>-3063.3</v>
      </c>
      <c r="IA19" s="96">
        <f>IF(-3053883.7497="","-",-3063319.87462/-3053883.7497*100)</f>
        <v>100.30898769217809</v>
      </c>
      <c r="IB19" s="48">
        <v>-160.30000000000001</v>
      </c>
      <c r="IC19" s="90">
        <f>IF(-138294.40446="","-",-160359.49503/-138294.40446*100)</f>
        <v>115.95515787942242</v>
      </c>
      <c r="ID19" s="48">
        <v>-239.5</v>
      </c>
      <c r="IE19" s="90">
        <f>IF(-217839.14637="","-",-239460.62335/-217839.14637*100)</f>
        <v>109.92543229272296</v>
      </c>
      <c r="IF19" s="48">
        <v>-290.3</v>
      </c>
      <c r="IG19" s="90">
        <f>IF(-276615.76805="","-",-290266.09996/-276615.76805*100)</f>
        <v>104.93476275999301</v>
      </c>
      <c r="IH19" s="48">
        <v>-135.80000000000001</v>
      </c>
      <c r="II19" s="90">
        <f>IF(-300020.53151="","-",-135744.3538/-300020.53151*100)</f>
        <v>45.245021437966329</v>
      </c>
      <c r="IJ19" s="48">
        <v>-173.7</v>
      </c>
      <c r="IK19" s="90">
        <f>IF(-271072.48455="","-",-173649.31637/-271072.48455*100)</f>
        <v>64.060104314265047</v>
      </c>
      <c r="IL19" s="90">
        <v>-223.9</v>
      </c>
      <c r="IM19" s="90">
        <f>IF(-243226.5734="","-",-223960.39463/-243226.5734*100)</f>
        <v>92.078916994683937</v>
      </c>
      <c r="IN19" s="48">
        <v>-305.5</v>
      </c>
      <c r="IO19" s="90">
        <f>IF(-278939.48236="","-",-305508.63494/-278939.48236*100)</f>
        <v>109.52505982846479</v>
      </c>
      <c r="IP19" s="48">
        <v>-269.7</v>
      </c>
      <c r="IQ19" s="90">
        <f>IF(-258466.27102="","-",-269716.03876/-258466.27102*100)</f>
        <v>104.35250901233823</v>
      </c>
      <c r="IR19" s="90">
        <v>-296</v>
      </c>
      <c r="IS19" s="90">
        <f>IF(-262900.17877="","-",-296078.45123/-262900.17877*100)</f>
        <v>112.62010266224513</v>
      </c>
      <c r="IT19" s="90">
        <v>-244.2</v>
      </c>
      <c r="IU19" s="90">
        <f>IF(-256997.66025="","-",-244227.07907/-256997.66025*100)</f>
        <v>95.030857025088437</v>
      </c>
      <c r="IV19" s="90">
        <v>-260.89999999999998</v>
      </c>
      <c r="IW19" s="90">
        <f>IF(-237569.28028="","-",-260851.89354/-237569.28028*100)</f>
        <v>109.80034675887347</v>
      </c>
      <c r="IX19" s="90">
        <v>-349</v>
      </c>
      <c r="IY19" s="91">
        <f>IF(-321378.0936="","-",-349059.83748/-321378.0936*100)</f>
        <v>108.61345077068438</v>
      </c>
      <c r="IZ19" s="94">
        <v>-2948.9</v>
      </c>
      <c r="JA19" s="96">
        <f>IF(-3063319.87462="","-",-2948882.21816/-3063319.87462*100)</f>
        <v>96.264260307644307</v>
      </c>
      <c r="JB19" s="143">
        <v>-201</v>
      </c>
      <c r="JC19" s="90">
        <f>IF(-160359.49503="","-",-200931.59714/-160359.49503*100)</f>
        <v>125.30071705601829</v>
      </c>
      <c r="JD19" s="143">
        <v>-294.39999999999998</v>
      </c>
      <c r="JE19" s="90">
        <f>IF(-239460.62335="","-",-294403.57553/-239460.62335*100)</f>
        <v>122.94446218812951</v>
      </c>
      <c r="JF19" s="143">
        <v>-370.8</v>
      </c>
      <c r="JG19" s="90">
        <f>IF(-290266.09996="","-",-370768.45867/-290266.09996*100)</f>
        <v>127.73398571899838</v>
      </c>
      <c r="JH19" s="143">
        <v>-344</v>
      </c>
      <c r="JI19" s="90">
        <f>IF(-135744.3538="","-",-343970.01804/-135744.3538*100)</f>
        <v>253.39545138414442</v>
      </c>
      <c r="JJ19" s="143">
        <v>-361.7</v>
      </c>
      <c r="JK19" s="90">
        <f>IF(-173649.31637="","-",-361697.08421/-173649.31637*100)</f>
        <v>208.29168335988192</v>
      </c>
      <c r="JL19" s="143">
        <v>-362.8</v>
      </c>
      <c r="JM19" s="90">
        <f>IF(-223960.39463="","-",-362840.71341/-223960.39463*100)</f>
        <v>162.01110647685772</v>
      </c>
      <c r="JN19" s="143">
        <v>-321.3</v>
      </c>
      <c r="JO19" s="90">
        <f>IF(-305508.63494="","-",-321272.56594/-305508.63494*100)</f>
        <v>105.15989703632957</v>
      </c>
      <c r="JP19" s="143">
        <v>-338.6</v>
      </c>
      <c r="JQ19" s="90">
        <f>IF(-269716.03876="","-",-338636.09871/-269716.03876*100)</f>
        <v>125.55282224477824</v>
      </c>
      <c r="JR19" s="143">
        <v>-376.3</v>
      </c>
      <c r="JS19" s="90">
        <f>IF(-296078.45123="","-",-376302.9413/-296078.45123*100)</f>
        <v>127.0956868818798</v>
      </c>
      <c r="JT19" s="157">
        <v>-294.60000000000002</v>
      </c>
      <c r="JU19" s="90">
        <f>IF(-244227.07907="","-",-294577.8619/-244227.07907*100)</f>
        <v>120.61638005979202</v>
      </c>
      <c r="JV19" s="48">
        <v>-337.6</v>
      </c>
      <c r="JW19" s="91">
        <f>IF(-260851.89354="","-",-337629.62685/-260851.89354*100)</f>
        <v>129.43345830005509</v>
      </c>
      <c r="JX19" s="157">
        <v>-429.2</v>
      </c>
      <c r="JY19" s="91">
        <f>IF(-349059.83748="","-",-429226.10474/-349059.83748*100)</f>
        <v>122.96633947885604</v>
      </c>
      <c r="JZ19" s="94">
        <v>-4032.3</v>
      </c>
      <c r="KA19" s="180">
        <f>IF(-2948882.21816="","-",-4032256.64644/-2948882.21816*100)</f>
        <v>136.73847743420512</v>
      </c>
      <c r="KB19" s="48">
        <v>-291.3</v>
      </c>
      <c r="KC19" s="90">
        <f>IF(-200931.59714="","-",-291312.99926/-200931.59714*100)</f>
        <v>144.98117936972668</v>
      </c>
      <c r="KD19" s="48">
        <v>-332.6</v>
      </c>
      <c r="KE19" s="90">
        <f>IF(-294403.57553="","-",-332628.91665/-294403.57553*100)</f>
        <v>112.98399350319876</v>
      </c>
      <c r="KF19" s="48">
        <v>-352.49999999999994</v>
      </c>
      <c r="KG19" s="91">
        <f>IF(-370768.45867="","-",-352461.70308/-370768.45867*100)</f>
        <v>95.062483023591327</v>
      </c>
      <c r="KH19" s="48">
        <v>-374.1</v>
      </c>
      <c r="KI19" s="91">
        <f>IF(-343970.01804="","-",-374097.71715/-343970.01804*100)</f>
        <v>108.75881545771715</v>
      </c>
      <c r="KJ19" s="48">
        <v>-356.7</v>
      </c>
      <c r="KK19" s="91">
        <f>IF(-361697.08421="","-",-356703.20646/-361697.08421*100)</f>
        <v>98.619320429163153</v>
      </c>
      <c r="KL19" s="48">
        <v>-352</v>
      </c>
      <c r="KM19" s="90">
        <f>IF(-362840.71341="","-",-351981.09243/-362840.71341*100)</f>
        <v>97.007055553953521</v>
      </c>
      <c r="KN19" s="48">
        <v>-422.9</v>
      </c>
      <c r="KO19" s="90">
        <f>IF(-321272.56594="","-",-422835.78748/-321272.56594*100)</f>
        <v>131.61278998187714</v>
      </c>
      <c r="KP19" s="48">
        <v>-450.6</v>
      </c>
      <c r="KQ19" s="90">
        <f>IF(-338636.09871="","-",-450551.26474/-338636.09871*100)</f>
        <v>133.04879971637092</v>
      </c>
      <c r="KR19" s="48">
        <v>-525.29999999999995</v>
      </c>
      <c r="KS19" s="90">
        <f>IF(-376302.9413="","-",-525350.18422/-376302.9413*100)</f>
        <v>139.60831196405005</v>
      </c>
      <c r="KT19" s="48">
        <v>-399.2</v>
      </c>
      <c r="KU19" s="91">
        <f>IF(-294577.8619="","-",-399217.83486/-294577.8619*100)</f>
        <v>135.52200843779701</v>
      </c>
      <c r="KV19" s="48">
        <v>-502.9</v>
      </c>
      <c r="KW19" s="91">
        <f>IF(-337629.62685="","-",-502900.11118/-337629.62685*100)</f>
        <v>148.95023161087263</v>
      </c>
      <c r="KX19" s="48">
        <v>-526.79999999999995</v>
      </c>
      <c r="KY19" s="91">
        <f>IF(-429226.10474="","-",-526792.83478/-429226.10474*100)</f>
        <v>122.73084720676538</v>
      </c>
      <c r="KZ19" s="94">
        <v>-4886.8999999999996</v>
      </c>
      <c r="LA19" s="180">
        <f>IF(-4032256.64644="","-",-4886833.65229/-4032256.64644*100)</f>
        <v>121.19351719847715</v>
      </c>
      <c r="LB19" s="48">
        <v>-402.19999999999993</v>
      </c>
      <c r="LC19" s="90">
        <f>IF(-291312.99926="","-",-402228.9562/-291312.99926*100)</f>
        <v>138.07449623660847</v>
      </c>
      <c r="LD19" s="48">
        <v>-396.5</v>
      </c>
      <c r="LE19" s="90">
        <f>IF(-332628.91665="","-",-396430.26185/-332628.91665*100)</f>
        <v>119.18093767750604</v>
      </c>
      <c r="LF19" s="48">
        <v>-436.2</v>
      </c>
      <c r="LG19" s="91">
        <f>IF(-352461.70308="","-",-436205.45866/-352461.70308*100)</f>
        <v>123.7596751216379</v>
      </c>
      <c r="LH19" s="48">
        <v>-373.2</v>
      </c>
      <c r="LI19" s="90">
        <f>IF(-374097.71715="","-",-373243.67505/-374097.71715*100)</f>
        <v>99.771706144986311</v>
      </c>
      <c r="LJ19" s="48">
        <v>-372.7</v>
      </c>
      <c r="LK19" s="90">
        <f>IF(-356703.20646="","-",-372667.83707/-356703.20646*100)</f>
        <v>104.47560614002785</v>
      </c>
      <c r="LL19" s="48">
        <v>-349</v>
      </c>
      <c r="LM19" s="90">
        <f>IF(-351981.09243="","-",-348937.91015/-351981.09243*100)</f>
        <v>99.135413138532371</v>
      </c>
      <c r="LN19" s="48">
        <v>-335.3</v>
      </c>
      <c r="LO19" s="91">
        <f>IF(-422835.78748="","-",-335357.98001/-422835.78748*100)</f>
        <v>79.311635850090468</v>
      </c>
      <c r="LP19" s="48">
        <v>-377.3</v>
      </c>
      <c r="LQ19" s="90">
        <f>IF(-450551.26474="","-",-377308.00678/-450551.26474*100)</f>
        <v>83.74363503290428</v>
      </c>
      <c r="LR19" s="48">
        <v>-355.2</v>
      </c>
      <c r="LS19" s="90">
        <f>IF(-525350.18422="","-",-355237.75277/-525350.18422*100)</f>
        <v>67.619230646588619</v>
      </c>
      <c r="LT19" s="48">
        <v>-372.3</v>
      </c>
      <c r="LU19" s="90">
        <f>IF(-399217.83486="","-",-372350.67461/-399217.83486*100)</f>
        <v>93.270050106999363</v>
      </c>
      <c r="LV19" s="48">
        <v>-358</v>
      </c>
      <c r="LW19" s="90">
        <f>IF(-502900.11118="","-",-358055.39736/-502900.11118*100)</f>
        <v>71.198114575847328</v>
      </c>
      <c r="LX19" s="90">
        <v>-498.8</v>
      </c>
      <c r="LY19" s="90">
        <f>IF(-526792.83478="","-",-498821.48838/-526792.83478*100)</f>
        <v>94.69025686127992</v>
      </c>
      <c r="LZ19" s="94">
        <v>-4626.8</v>
      </c>
      <c r="MA19" s="96">
        <f>IF(-4886833.65229="","-",-4626845.42991/-4886833.65229*100)</f>
        <v>94.679822541981409</v>
      </c>
      <c r="MB19" s="48">
        <v>-349.2</v>
      </c>
      <c r="MC19" s="90">
        <f>IF(-402228.9562="","-",-349251.05875/-402228.9562*100)</f>
        <v>86.828920038353033</v>
      </c>
      <c r="MD19" s="90">
        <v>-425.2</v>
      </c>
      <c r="ME19" s="90">
        <f>IF(-396430.26178="","-",-425147.42327/-396430.26178*100)</f>
        <v>107.24393777635892</v>
      </c>
      <c r="MF19" s="90">
        <v>-459.1</v>
      </c>
      <c r="MG19" s="90">
        <f>IF(-436205.4609="","-",-459188.91079/-436205.4609*100)</f>
        <v>105.26895051762521</v>
      </c>
      <c r="MH19" s="90">
        <v>-484.1</v>
      </c>
      <c r="MI19" s="91">
        <f>IF(-373243.66584="","-",-484053.03278/-373243.66584*100)</f>
        <v>129.68821096819394</v>
      </c>
      <c r="MJ19" s="90">
        <v>-413.6</v>
      </c>
      <c r="MK19" s="90">
        <f>IF(-372667.83644="","-",-413573.12539/-372667.83644*100)</f>
        <v>110.97634004070696</v>
      </c>
      <c r="ML19" s="91">
        <v>-404.5</v>
      </c>
      <c r="MM19" s="91">
        <f>IF(-348937.91654="","-",-404453.58931/-348937.91654*100)</f>
        <v>115.90989976683603</v>
      </c>
      <c r="MN19" s="91">
        <v>-503.5</v>
      </c>
      <c r="MO19" s="91">
        <f>IF(-335358.01231="","-",-503445.60069/-335358.01231*100)</f>
        <v>150.12183463940093</v>
      </c>
      <c r="MP19" s="91">
        <v>-463.3</v>
      </c>
      <c r="MQ19" s="91">
        <f>IF(-377308.00678="","-",-463357.56952/-377308.00678*100)</f>
        <v>122.80618518391888</v>
      </c>
    </row>
    <row r="20" spans="1:420" ht="15.75" customHeight="1">
      <c r="A20" s="36" t="s">
        <v>120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47"/>
      <c r="AA20" s="47"/>
      <c r="AB20" s="45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51"/>
      <c r="AQ20" s="41"/>
      <c r="AR20" s="45"/>
      <c r="AS20" s="39"/>
      <c r="AT20" s="45"/>
      <c r="AU20" s="39"/>
      <c r="AV20" s="39"/>
      <c r="AW20" s="39"/>
      <c r="AX20" s="45"/>
      <c r="AY20" s="39"/>
      <c r="AZ20" s="78"/>
      <c r="BA20" s="47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47"/>
      <c r="CA20" s="47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39"/>
      <c r="CN20" s="39"/>
      <c r="CO20" s="43"/>
      <c r="CP20" s="55"/>
      <c r="CQ20" s="43"/>
      <c r="CR20" s="56"/>
      <c r="CS20" s="43"/>
      <c r="CT20" s="55"/>
      <c r="CU20" s="43"/>
      <c r="CV20" s="64"/>
      <c r="CW20" s="43"/>
      <c r="CX20" s="43"/>
      <c r="CY20" s="43"/>
      <c r="CZ20" s="106"/>
      <c r="DA20" s="106"/>
      <c r="DB20" s="43"/>
      <c r="DC20" s="50"/>
      <c r="DD20" s="55"/>
      <c r="DE20" s="51"/>
      <c r="DF20" s="55"/>
      <c r="DG20" s="52"/>
      <c r="DH20" s="52"/>
      <c r="DI20" s="52"/>
      <c r="DJ20" s="51"/>
      <c r="DK20" s="52"/>
      <c r="DL20" s="55"/>
      <c r="DM20" s="45"/>
      <c r="DN20" s="56"/>
      <c r="DO20" s="45"/>
      <c r="DP20" s="45"/>
      <c r="DQ20" s="52"/>
      <c r="DR20" s="55"/>
      <c r="DS20" s="52"/>
      <c r="DT20" s="52"/>
      <c r="DU20" s="52"/>
      <c r="DV20" s="54"/>
      <c r="DW20" s="52"/>
      <c r="DX20" s="51"/>
      <c r="DY20" s="51"/>
      <c r="DZ20" s="104"/>
      <c r="EA20" s="104"/>
      <c r="EB20" s="56"/>
      <c r="EC20" s="52"/>
      <c r="ED20" s="55"/>
      <c r="EE20" s="51"/>
      <c r="EF20" s="56"/>
      <c r="EG20" s="55"/>
      <c r="EH20" s="55"/>
      <c r="EI20" s="56"/>
      <c r="EJ20" s="56"/>
      <c r="EK20" s="56"/>
      <c r="EL20" s="56"/>
      <c r="EM20" s="56"/>
      <c r="EN20" s="45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103"/>
      <c r="FA20" s="103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103"/>
      <c r="GA20" s="103"/>
      <c r="GB20" s="56"/>
      <c r="GC20" s="56"/>
      <c r="GD20" s="56"/>
      <c r="GE20" s="56"/>
      <c r="GF20" s="56"/>
      <c r="GG20" s="56"/>
      <c r="GH20" s="56"/>
      <c r="GI20" s="56"/>
      <c r="GJ20" s="57"/>
      <c r="GK20" s="39"/>
      <c r="GL20" s="57"/>
      <c r="GM20" s="39"/>
      <c r="GN20" s="57"/>
      <c r="GO20" s="39"/>
      <c r="GP20" s="92"/>
      <c r="GQ20" s="91"/>
      <c r="GR20" s="91"/>
      <c r="GS20" s="91"/>
      <c r="GT20" s="91"/>
      <c r="GU20" s="91"/>
      <c r="GV20" s="57"/>
      <c r="GW20" s="48"/>
      <c r="GX20" s="48"/>
      <c r="GY20" s="39"/>
      <c r="GZ20" s="95"/>
      <c r="HA20" s="94"/>
      <c r="HB20" s="112"/>
      <c r="HC20" s="114"/>
      <c r="HD20" s="112"/>
      <c r="HE20" s="114"/>
      <c r="HF20" s="112"/>
      <c r="HG20" s="114"/>
      <c r="HH20" s="112"/>
      <c r="HI20" s="114"/>
      <c r="HJ20" s="112"/>
      <c r="HK20" s="114"/>
      <c r="HL20" s="112"/>
      <c r="HM20" s="114"/>
      <c r="HN20" s="112"/>
      <c r="HO20" s="114"/>
      <c r="HP20" s="112"/>
      <c r="HQ20" s="114"/>
      <c r="HR20" s="112"/>
      <c r="HS20" s="114"/>
      <c r="HT20" s="112"/>
      <c r="HU20" s="114"/>
      <c r="HV20" s="112"/>
      <c r="HW20" s="114"/>
      <c r="HX20" s="112"/>
      <c r="HY20" s="114"/>
      <c r="HZ20" s="113"/>
      <c r="IA20" s="118"/>
      <c r="IB20" s="116"/>
      <c r="IC20" s="57"/>
      <c r="ID20" s="116"/>
      <c r="IE20" s="57"/>
      <c r="IF20" s="116"/>
      <c r="IG20" s="57"/>
      <c r="IH20" s="112"/>
      <c r="II20" s="57"/>
      <c r="IJ20" s="57"/>
      <c r="IK20" s="57"/>
      <c r="IL20" s="57"/>
      <c r="IM20" s="57"/>
      <c r="IN20" s="57"/>
      <c r="IO20" s="57"/>
      <c r="IP20" s="57"/>
      <c r="IQ20" s="57"/>
      <c r="IR20" s="57"/>
      <c r="IS20" s="57"/>
      <c r="IT20" s="57"/>
      <c r="IU20" s="57"/>
      <c r="IV20" s="57"/>
      <c r="IW20" s="57"/>
      <c r="IX20" s="57"/>
      <c r="IY20" s="57"/>
      <c r="IZ20" s="95"/>
      <c r="JA20" s="95"/>
      <c r="JB20" s="146"/>
      <c r="JC20" s="57"/>
      <c r="JD20" s="144"/>
      <c r="JE20" s="57"/>
      <c r="JF20" s="143"/>
      <c r="JG20" s="57"/>
      <c r="JH20" s="143"/>
      <c r="JI20" s="57"/>
      <c r="JJ20" s="143"/>
      <c r="JK20" s="57"/>
      <c r="JL20" s="143"/>
      <c r="JM20" s="57"/>
      <c r="JN20" s="143"/>
      <c r="JO20" s="57"/>
      <c r="JP20" s="143"/>
      <c r="JQ20" s="57"/>
      <c r="JR20" s="143"/>
      <c r="JS20" s="57"/>
      <c r="JT20" s="157"/>
      <c r="JU20" s="57"/>
      <c r="JV20" s="157"/>
      <c r="JW20" s="57"/>
      <c r="JX20" s="157"/>
      <c r="JY20" s="177"/>
      <c r="JZ20" s="94"/>
      <c r="KA20" s="97"/>
      <c r="KB20" s="57"/>
      <c r="KC20" s="57"/>
      <c r="KD20" s="48"/>
      <c r="KE20" s="182"/>
      <c r="KF20" s="48"/>
      <c r="KG20" s="183"/>
      <c r="KH20" s="48"/>
      <c r="KI20" s="183"/>
      <c r="KJ20" s="48"/>
      <c r="KK20" s="183"/>
      <c r="KL20" s="48"/>
      <c r="KM20" s="182"/>
      <c r="KN20" s="48"/>
      <c r="KO20" s="182"/>
      <c r="KP20" s="48"/>
      <c r="KQ20" s="182"/>
      <c r="KR20" s="48"/>
      <c r="KS20" s="182"/>
      <c r="KT20" s="48"/>
      <c r="KU20" s="182"/>
      <c r="KV20" s="48"/>
      <c r="KW20" s="182"/>
      <c r="KX20" s="48"/>
      <c r="KY20" s="182"/>
      <c r="KZ20" s="94"/>
      <c r="LA20" s="185"/>
      <c r="LB20" s="57"/>
      <c r="LC20" s="57"/>
      <c r="LD20" s="57"/>
      <c r="LE20" s="57"/>
      <c r="LF20" s="57"/>
      <c r="LG20" s="57"/>
      <c r="LH20" s="57"/>
      <c r="LI20" s="57"/>
      <c r="LJ20" s="57"/>
      <c r="LK20" s="57"/>
      <c r="LL20" s="57"/>
      <c r="LM20" s="57"/>
      <c r="LN20" s="57"/>
      <c r="LO20" s="57"/>
      <c r="LP20" s="57"/>
      <c r="LQ20" s="57"/>
      <c r="LR20" s="57"/>
      <c r="LS20" s="57"/>
      <c r="LT20" s="57"/>
      <c r="LU20" s="57"/>
      <c r="LV20" s="57"/>
      <c r="LW20" s="57"/>
      <c r="LX20" s="57"/>
      <c r="LY20" s="57"/>
      <c r="LZ20" s="95"/>
      <c r="MA20" s="95"/>
      <c r="MB20" s="57"/>
      <c r="MC20" s="182"/>
      <c r="MD20" s="57"/>
      <c r="ME20" s="90"/>
      <c r="MF20" s="57"/>
      <c r="MG20" s="90"/>
      <c r="MH20" s="57"/>
      <c r="MI20" s="90"/>
      <c r="MJ20" s="57"/>
      <c r="MK20" s="90"/>
      <c r="ML20" s="93"/>
      <c r="MM20" s="93"/>
      <c r="MN20" s="93"/>
      <c r="MO20" s="201"/>
      <c r="MP20" s="93"/>
      <c r="MQ20" s="201"/>
    </row>
    <row r="21" spans="1:420" ht="18.75">
      <c r="A21" s="37" t="s">
        <v>404</v>
      </c>
      <c r="B21" s="8">
        <v>-77.8</v>
      </c>
      <c r="C21" s="8">
        <v>131.6</v>
      </c>
      <c r="D21" s="8">
        <v>-78.400000000000006</v>
      </c>
      <c r="E21" s="8">
        <v>143</v>
      </c>
      <c r="F21" s="8">
        <v>-79.099999999999994</v>
      </c>
      <c r="G21" s="8">
        <v>136.9</v>
      </c>
      <c r="H21" s="8">
        <v>-59</v>
      </c>
      <c r="I21" s="8">
        <v>129.9</v>
      </c>
      <c r="J21" s="8">
        <v>-48.5</v>
      </c>
      <c r="K21" s="8">
        <v>106.8</v>
      </c>
      <c r="L21" s="8">
        <v>-46.3</v>
      </c>
      <c r="M21" s="8">
        <v>123.2</v>
      </c>
      <c r="N21" s="8">
        <v>-38.299999999999997</v>
      </c>
      <c r="O21" s="8">
        <v>80</v>
      </c>
      <c r="P21" s="52">
        <v>-63.9</v>
      </c>
      <c r="Q21" s="52">
        <v>141.19999999999999</v>
      </c>
      <c r="R21" s="52">
        <v>-74</v>
      </c>
      <c r="S21" s="52">
        <v>147.69999999999999</v>
      </c>
      <c r="T21" s="52">
        <v>-55.3</v>
      </c>
      <c r="U21" s="52">
        <v>109.8</v>
      </c>
      <c r="V21" s="52">
        <v>-75.5</v>
      </c>
      <c r="W21" s="52">
        <v>147.30000000000001</v>
      </c>
      <c r="X21" s="52">
        <v>-98</v>
      </c>
      <c r="Y21" s="52">
        <v>111.6</v>
      </c>
      <c r="Z21" s="60">
        <v>-794.1</v>
      </c>
      <c r="AA21" s="60">
        <v>125.5</v>
      </c>
      <c r="AB21" s="51">
        <v>-85.3</v>
      </c>
      <c r="AC21" s="52">
        <v>109.6</v>
      </c>
      <c r="AD21" s="52">
        <v>-96.2</v>
      </c>
      <c r="AE21" s="52">
        <v>122.9</v>
      </c>
      <c r="AF21" s="52">
        <v>-71.400000000000006</v>
      </c>
      <c r="AG21" s="52">
        <v>90.3</v>
      </c>
      <c r="AH21" s="52">
        <v>-41</v>
      </c>
      <c r="AI21" s="52">
        <v>69.400000000000006</v>
      </c>
      <c r="AJ21" s="52">
        <v>-42.8</v>
      </c>
      <c r="AK21" s="52">
        <v>88.2</v>
      </c>
      <c r="AL21" s="52">
        <v>-33.799999999999997</v>
      </c>
      <c r="AM21" s="52">
        <v>72.8</v>
      </c>
      <c r="AN21" s="52">
        <v>-40.5</v>
      </c>
      <c r="AO21" s="52">
        <v>105.8</v>
      </c>
      <c r="AP21" s="51">
        <v>-42.9</v>
      </c>
      <c r="AQ21" s="58">
        <v>67.2</v>
      </c>
      <c r="AR21" s="51">
        <v>-48.7</v>
      </c>
      <c r="AS21" s="52">
        <v>65.8</v>
      </c>
      <c r="AT21" s="51">
        <v>-41</v>
      </c>
      <c r="AU21" s="52">
        <v>74.2</v>
      </c>
      <c r="AV21" s="51">
        <v>-52.2</v>
      </c>
      <c r="AW21" s="52">
        <v>69.2</v>
      </c>
      <c r="AX21" s="51">
        <v>-99.8</v>
      </c>
      <c r="AY21" s="52">
        <v>101.7</v>
      </c>
      <c r="AZ21" s="79">
        <v>-695.6</v>
      </c>
      <c r="BA21" s="60">
        <v>87.6</v>
      </c>
      <c r="BB21" s="52">
        <v>-65.400000000000006</v>
      </c>
      <c r="BC21" s="52">
        <v>76.599999999999994</v>
      </c>
      <c r="BD21" s="52">
        <v>-62.2</v>
      </c>
      <c r="BE21" s="52">
        <v>64.7</v>
      </c>
      <c r="BF21" s="52">
        <v>-53</v>
      </c>
      <c r="BG21" s="52">
        <v>74.099999999999994</v>
      </c>
      <c r="BH21" s="52">
        <v>-66.599999999999994</v>
      </c>
      <c r="BI21" s="52">
        <v>162.9</v>
      </c>
      <c r="BJ21" s="52">
        <v>-47.9</v>
      </c>
      <c r="BK21" s="52">
        <v>112.1</v>
      </c>
      <c r="BL21" s="52">
        <v>-61</v>
      </c>
      <c r="BM21" s="52">
        <v>180.6</v>
      </c>
      <c r="BN21" s="52">
        <v>-58.7</v>
      </c>
      <c r="BO21" s="52">
        <v>144.80000000000001</v>
      </c>
      <c r="BP21" s="52">
        <v>-55.7</v>
      </c>
      <c r="BQ21" s="52">
        <v>129.69999999999999</v>
      </c>
      <c r="BR21" s="52">
        <v>-48.5</v>
      </c>
      <c r="BS21" s="52">
        <v>99.5</v>
      </c>
      <c r="BT21" s="70">
        <v>-62.3</v>
      </c>
      <c r="BU21" s="58">
        <v>151.6</v>
      </c>
      <c r="BV21" s="71">
        <v>-56.2</v>
      </c>
      <c r="BW21" s="58">
        <v>107.6</v>
      </c>
      <c r="BX21" s="58">
        <v>-111.6</v>
      </c>
      <c r="BY21" s="58">
        <v>111.8</v>
      </c>
      <c r="BZ21" s="107">
        <v>-749.1</v>
      </c>
      <c r="CA21" s="107">
        <v>107.7</v>
      </c>
      <c r="CB21" s="71">
        <v>-69.5</v>
      </c>
      <c r="CC21" s="58">
        <v>106.2</v>
      </c>
      <c r="CD21" s="71">
        <v>-72.3</v>
      </c>
      <c r="CE21" s="58">
        <v>116.2</v>
      </c>
      <c r="CF21" s="58">
        <v>-61.7</v>
      </c>
      <c r="CG21" s="58">
        <v>116.5</v>
      </c>
      <c r="CH21" s="71">
        <v>-42</v>
      </c>
      <c r="CI21" s="58">
        <v>63.1</v>
      </c>
      <c r="CJ21" s="72">
        <v>-31.5</v>
      </c>
      <c r="CK21" s="58">
        <v>65.400000000000006</v>
      </c>
      <c r="CL21" s="73">
        <v>-40.799999999999997</v>
      </c>
      <c r="CM21" s="58">
        <v>66.900000000000006</v>
      </c>
      <c r="CN21" s="58">
        <v>-35.200000000000003</v>
      </c>
      <c r="CO21" s="71">
        <v>60</v>
      </c>
      <c r="CP21" s="74">
        <v>-56.2</v>
      </c>
      <c r="CQ21" s="71">
        <v>101.1</v>
      </c>
      <c r="CR21" s="75">
        <v>-60.1</v>
      </c>
      <c r="CS21" s="71">
        <v>124.1</v>
      </c>
      <c r="CT21" s="76">
        <v>-56.1</v>
      </c>
      <c r="CU21" s="71">
        <v>89.9</v>
      </c>
      <c r="CV21" s="71">
        <v>-85</v>
      </c>
      <c r="CW21" s="71">
        <v>151.19999999999999</v>
      </c>
      <c r="CX21" s="71">
        <v>-103.3</v>
      </c>
      <c r="CY21" s="71">
        <v>92.6</v>
      </c>
      <c r="CZ21" s="108">
        <v>-713.7</v>
      </c>
      <c r="DA21" s="108">
        <v>95.3</v>
      </c>
      <c r="DB21" s="71">
        <v>-62.9</v>
      </c>
      <c r="DC21" s="51">
        <v>90.7</v>
      </c>
      <c r="DD21" s="52">
        <v>-59</v>
      </c>
      <c r="DE21" s="51">
        <v>81.599999999999994</v>
      </c>
      <c r="DF21" s="52">
        <v>-64</v>
      </c>
      <c r="DG21" s="52">
        <v>103.8</v>
      </c>
      <c r="DH21" s="52">
        <v>-44.4</v>
      </c>
      <c r="DI21" s="52">
        <v>105.6</v>
      </c>
      <c r="DJ21" s="51">
        <v>-22.8</v>
      </c>
      <c r="DK21" s="52">
        <v>72.5</v>
      </c>
      <c r="DL21" s="51">
        <v>-12.4</v>
      </c>
      <c r="DM21" s="51">
        <v>30.5</v>
      </c>
      <c r="DN21" s="52">
        <v>-27.8</v>
      </c>
      <c r="DO21" s="51">
        <v>79.2</v>
      </c>
      <c r="DP21" s="51">
        <v>-41.6</v>
      </c>
      <c r="DQ21" s="52">
        <v>73.8</v>
      </c>
      <c r="DR21" s="51">
        <v>-41.1</v>
      </c>
      <c r="DS21" s="52">
        <v>68.400000000000006</v>
      </c>
      <c r="DT21" s="52">
        <v>-32.299999999999997</v>
      </c>
      <c r="DU21" s="52">
        <v>57.7</v>
      </c>
      <c r="DV21" s="51">
        <v>-54.2</v>
      </c>
      <c r="DW21" s="52">
        <v>63.7</v>
      </c>
      <c r="DX21" s="51">
        <v>-63.3</v>
      </c>
      <c r="DY21" s="51">
        <v>61.2</v>
      </c>
      <c r="DZ21" s="79">
        <v>-525.79999999999995</v>
      </c>
      <c r="EA21" s="79">
        <v>73.7</v>
      </c>
      <c r="EB21" s="52">
        <v>-54.4</v>
      </c>
      <c r="EC21" s="52">
        <v>86.3</v>
      </c>
      <c r="ED21" s="51">
        <v>-51.8</v>
      </c>
      <c r="EE21" s="51">
        <v>87.8</v>
      </c>
      <c r="EF21" s="63">
        <v>-59.3</v>
      </c>
      <c r="EG21" s="51">
        <v>92.7</v>
      </c>
      <c r="EH21" s="51">
        <v>-45.7</v>
      </c>
      <c r="EI21" s="52">
        <v>102.9</v>
      </c>
      <c r="EJ21" s="52">
        <v>-43.3</v>
      </c>
      <c r="EK21" s="52">
        <v>190.4</v>
      </c>
      <c r="EL21" s="52">
        <v>-30.3</v>
      </c>
      <c r="EM21" s="52">
        <v>243.6</v>
      </c>
      <c r="EN21" s="51">
        <v>-40.299999999999997</v>
      </c>
      <c r="EO21" s="52">
        <v>144.69999999999999</v>
      </c>
      <c r="EP21" s="52">
        <v>-43.1</v>
      </c>
      <c r="EQ21" s="52">
        <v>103.7</v>
      </c>
      <c r="ER21" s="52">
        <v>-60</v>
      </c>
      <c r="ES21" s="52">
        <v>146</v>
      </c>
      <c r="ET21" s="52">
        <v>-56.3</v>
      </c>
      <c r="EU21" s="52">
        <v>174.2</v>
      </c>
      <c r="EV21" s="52">
        <v>-55.1</v>
      </c>
      <c r="EW21" s="52">
        <v>101.7</v>
      </c>
      <c r="EX21" s="52">
        <v>-73.5</v>
      </c>
      <c r="EY21" s="52">
        <v>116.3</v>
      </c>
      <c r="EZ21" s="60">
        <v>-613.20000000000005</v>
      </c>
      <c r="FA21" s="60">
        <v>116.6</v>
      </c>
      <c r="FB21" s="52">
        <v>-49.1</v>
      </c>
      <c r="FC21" s="52">
        <v>90.2</v>
      </c>
      <c r="FD21" s="52">
        <v>-57.3</v>
      </c>
      <c r="FE21" s="52">
        <v>110.7</v>
      </c>
      <c r="FF21" s="52">
        <v>-59</v>
      </c>
      <c r="FG21" s="52">
        <v>99.6</v>
      </c>
      <c r="FH21" s="52">
        <v>-56.1</v>
      </c>
      <c r="FI21" s="52">
        <v>122.5</v>
      </c>
      <c r="FJ21" s="52">
        <v>-54.3</v>
      </c>
      <c r="FK21" s="52">
        <v>125.2</v>
      </c>
      <c r="FL21" s="52">
        <v>-50.2</v>
      </c>
      <c r="FM21" s="52">
        <v>165.7</v>
      </c>
      <c r="FN21" s="52">
        <v>-54.1</v>
      </c>
      <c r="FO21" s="52">
        <v>134.30000000000001</v>
      </c>
      <c r="FP21" s="52">
        <v>-64.599999999999994</v>
      </c>
      <c r="FQ21" s="52">
        <v>150.1</v>
      </c>
      <c r="FR21" s="52">
        <v>-69.5</v>
      </c>
      <c r="FS21" s="52">
        <v>115.9</v>
      </c>
      <c r="FT21" s="52">
        <v>-70.2</v>
      </c>
      <c r="FU21" s="52">
        <v>124.7</v>
      </c>
      <c r="FV21" s="52">
        <v>-69.5</v>
      </c>
      <c r="FW21" s="52">
        <v>126</v>
      </c>
      <c r="FX21" s="52">
        <v>-89.4</v>
      </c>
      <c r="FY21" s="52">
        <v>121.5</v>
      </c>
      <c r="FZ21" s="60">
        <v>-743.2</v>
      </c>
      <c r="GA21" s="60">
        <v>121.2</v>
      </c>
      <c r="GB21" s="52">
        <v>-60.2</v>
      </c>
      <c r="GC21" s="52">
        <v>122.6</v>
      </c>
      <c r="GD21" s="52">
        <v>-67.599999999999994</v>
      </c>
      <c r="GE21" s="52">
        <v>117.9</v>
      </c>
      <c r="GF21" s="52">
        <v>-91.2</v>
      </c>
      <c r="GG21" s="52">
        <v>154.5</v>
      </c>
      <c r="GH21" s="52">
        <v>-62.1</v>
      </c>
      <c r="GI21" s="52">
        <v>110.9</v>
      </c>
      <c r="GJ21" s="57">
        <v>-74.599999999999994</v>
      </c>
      <c r="GK21" s="52">
        <v>137.4</v>
      </c>
      <c r="GL21" s="57">
        <v>-73.599999999999994</v>
      </c>
      <c r="GM21" s="52">
        <v>146.6</v>
      </c>
      <c r="GN21" s="57">
        <v>-85.3</v>
      </c>
      <c r="GO21" s="52">
        <v>157.6</v>
      </c>
      <c r="GP21" s="92">
        <v>-98</v>
      </c>
      <c r="GQ21" s="93">
        <v>151.5</v>
      </c>
      <c r="GR21" s="57">
        <v>-94.6</v>
      </c>
      <c r="GS21" s="52">
        <v>136.1</v>
      </c>
      <c r="GT21" s="57">
        <v>-89.999999999999986</v>
      </c>
      <c r="GU21" s="93">
        <v>128</v>
      </c>
      <c r="GV21" s="57">
        <v>-115.99999999999999</v>
      </c>
      <c r="GW21" s="92">
        <v>167</v>
      </c>
      <c r="GX21" s="57">
        <v>-120.10000000000001</v>
      </c>
      <c r="GY21" s="102">
        <v>134.4</v>
      </c>
      <c r="GZ21" s="95">
        <v>-1033.1999999999998</v>
      </c>
      <c r="HA21" s="97">
        <v>139</v>
      </c>
      <c r="HB21" s="92">
        <v>-78</v>
      </c>
      <c r="HC21" s="92">
        <f>IF(-60134.18068="","-",-78072.6551/-60134.18068*100)</f>
        <v>129.83074553798014</v>
      </c>
      <c r="HD21" s="92">
        <v>-82.9</v>
      </c>
      <c r="HE21" s="92">
        <f>IF(-67588.8307="","-",-82987.83316/-67588.8307*100)</f>
        <v>122.78335384784218</v>
      </c>
      <c r="HF21" s="92">
        <v>-104.3</v>
      </c>
      <c r="HG21" s="92">
        <f>IF(-91157.58477="","-",-104335.96908/-91157.58477*100)</f>
        <v>114.45670631056144</v>
      </c>
      <c r="HH21" s="92">
        <v>-94.7</v>
      </c>
      <c r="HI21" s="92">
        <f>IF(-62117.93412="","-",-94630.38265/-62117.93412*100)</f>
        <v>152.33987412909153</v>
      </c>
      <c r="HJ21" s="92">
        <v>-69.599999999999994</v>
      </c>
      <c r="HK21" s="92">
        <f>IF(-74608.70473="","-",-69543.00601/-74608.70473*100)</f>
        <v>93.210311399544921</v>
      </c>
      <c r="HL21" s="92">
        <v>-64.5</v>
      </c>
      <c r="HM21" s="92">
        <f>IF(-73579.2759="","-",-64541.71765/-73579.2759*100)</f>
        <v>87.717250354185666</v>
      </c>
      <c r="HN21" s="92">
        <v>-81.900000000000006</v>
      </c>
      <c r="HO21" s="92">
        <f>IF(-85326.55316="","-",-81917.10951/-85326.55316*100)</f>
        <v>96.004240738979831</v>
      </c>
      <c r="HP21" s="92">
        <v>-80.7</v>
      </c>
      <c r="HQ21" s="92">
        <f>IF(-97950.02064="","-",-80640.97341/-97950.02064*100)</f>
        <v>82.328694657843215</v>
      </c>
      <c r="HR21" s="92">
        <v>-73.2</v>
      </c>
      <c r="HS21" s="92">
        <f>IF(-94626.36574="","-",-73251.00199/-94626.36574*100)</f>
        <v>77.410773854792254</v>
      </c>
      <c r="HT21" s="92">
        <v>-67.900000000000006</v>
      </c>
      <c r="HU21" s="92">
        <f>IF(-89953.44616="","-",-67941.16153/-89953.44616*100)</f>
        <v>75.529248105907129</v>
      </c>
      <c r="HV21" s="92">
        <v>-75.5</v>
      </c>
      <c r="HW21" s="92">
        <f>IF(-115997.3869="","-",-75502.25422/-115997.3869*100)</f>
        <v>65.089616445489085</v>
      </c>
      <c r="HX21" s="92">
        <v>-109</v>
      </c>
      <c r="HY21" s="92">
        <f>IF(-120116.2352="","-",-108911.00522/-120116.2352*100)</f>
        <v>90.671344334641617</v>
      </c>
      <c r="HZ21" s="97">
        <v>-982.2</v>
      </c>
      <c r="IA21" s="97">
        <f>IF(-1033156.5187="","-",-982275.06953/-1033156.5187*100)</f>
        <v>95.075146093640967</v>
      </c>
      <c r="IB21" s="57">
        <v>-73</v>
      </c>
      <c r="IC21" s="92">
        <f>IF(-78072.6551="","-",-72987.02785/-78072.6551*100)</f>
        <v>93.486032666000625</v>
      </c>
      <c r="ID21" s="57">
        <v>-88.3</v>
      </c>
      <c r="IE21" s="92">
        <f>IF(-82987.83316="","-",-88280.60763/-82987.83316*100)</f>
        <v>106.37777161839563</v>
      </c>
      <c r="IF21" s="57">
        <v>-85.1</v>
      </c>
      <c r="IG21" s="92">
        <f>IF(-104335.96908="","-",-85129.52107/-104335.96908*100)</f>
        <v>81.591728931684742</v>
      </c>
      <c r="IH21" s="57">
        <v>-36.6</v>
      </c>
      <c r="II21" s="92">
        <f>IF(-94630.38265="","-",-36564.38796/-94630.38265*100)</f>
        <v>38.639163169441119</v>
      </c>
      <c r="IJ21" s="57">
        <v>-45.3</v>
      </c>
      <c r="IK21" s="92">
        <f>IF(-69543.00601="","-",-45240.06831/-69543.00601*100)</f>
        <v>65.05336899514333</v>
      </c>
      <c r="IL21" s="92">
        <v>-63.6</v>
      </c>
      <c r="IM21" s="92">
        <f>IF(-64541.71765="","-",-63601.76238/-64541.71765*100)</f>
        <v>98.543646955450996</v>
      </c>
      <c r="IN21" s="57">
        <v>-121.2</v>
      </c>
      <c r="IO21" s="92">
        <f>IF(-81917.10951="","-",-121214.76089/-81917.10951*100)</f>
        <v>147.97245851942904</v>
      </c>
      <c r="IP21" s="57">
        <v>-83</v>
      </c>
      <c r="IQ21" s="92">
        <f>IF(-80640.97341="","-",-83005.12751/-80640.97341*100)</f>
        <v>102.93170332652114</v>
      </c>
      <c r="IR21" s="92">
        <v>-85.5</v>
      </c>
      <c r="IS21" s="92">
        <f>IF(-73251.00199="","-",-85514.32419/-73251.00199*100)</f>
        <v>116.74150778398109</v>
      </c>
      <c r="IT21" s="92">
        <v>-79.7</v>
      </c>
      <c r="IU21" s="92">
        <f>IF(-67941.16153="","-",-79689.59091/-67941.16153*100)</f>
        <v>117.29206436191465</v>
      </c>
      <c r="IV21" s="92">
        <v>-81.599999999999994</v>
      </c>
      <c r="IW21" s="92">
        <f>IF(-75502.25422="","-",-81633.92754/-75502.25422*100)</f>
        <v>108.12117914007362</v>
      </c>
      <c r="IX21" s="92">
        <v>-97.9</v>
      </c>
      <c r="IY21" s="93">
        <f>IF(-108911.00522="","-",-97898.54924/-108911.00522*100)</f>
        <v>89.888573741694074</v>
      </c>
      <c r="IZ21" s="97">
        <v>-940.8</v>
      </c>
      <c r="JA21" s="97">
        <f>IF(-982275.06953="","-",-940759.65548/-982275.06953*100)</f>
        <v>95.773544973521069</v>
      </c>
      <c r="JB21" s="145">
        <v>-71.099999999999994</v>
      </c>
      <c r="JC21" s="92">
        <f>IF(-72987.02785="","-",-71049.57462/-72987.02785*100)</f>
        <v>97.345482769922114</v>
      </c>
      <c r="JD21" s="145">
        <v>-81.5</v>
      </c>
      <c r="JE21" s="92">
        <f>IF(-88280.60763="","-",-81550.83173/-88280.60763*100)</f>
        <v>92.376835546708406</v>
      </c>
      <c r="JF21" s="145">
        <v>-96</v>
      </c>
      <c r="JG21" s="92">
        <f>IF(-85129.52107="","-",-95963.17101/-85129.52107*100)</f>
        <v>112.7260788077167</v>
      </c>
      <c r="JH21" s="145">
        <v>-97.7</v>
      </c>
      <c r="JI21" s="92">
        <f>IF(-36564.38796="","-",-97699.25958/-36564.38796*100)</f>
        <v>267.19785296797289</v>
      </c>
      <c r="JJ21" s="145">
        <v>-92.6</v>
      </c>
      <c r="JK21" s="92">
        <f>IF(-45240.06831="","-",-92567.7426/-45240.06831*100)</f>
        <v>204.61450669281714</v>
      </c>
      <c r="JL21" s="145">
        <v>-95.3</v>
      </c>
      <c r="JM21" s="92">
        <f>IF(-63601.76238="","-",-95351.78485/-63601.76238*100)</f>
        <v>149.9200356749611</v>
      </c>
      <c r="JN21" s="145">
        <v>-108.1</v>
      </c>
      <c r="JO21" s="92">
        <f>IF(-121214.76089="","-",-108079.41239/-121214.76089*100)</f>
        <v>89.163573476071875</v>
      </c>
      <c r="JP21" s="145">
        <v>-126.5</v>
      </c>
      <c r="JQ21" s="92">
        <f>IF(-83005.12751="","-",-126488.56987/-83005.12751*100)</f>
        <v>152.38645330044383</v>
      </c>
      <c r="JR21" s="145">
        <v>-142</v>
      </c>
      <c r="JS21" s="92">
        <f>IF(-85514.32419="","-",-141973.23237/-85514.32419*100)</f>
        <v>166.02274965601879</v>
      </c>
      <c r="JT21" s="148">
        <v>-153.1</v>
      </c>
      <c r="JU21" s="92">
        <f>IF(-79689.59091="","-",-153107.2449/-79689.59091*100)</f>
        <v>192.12954057314283</v>
      </c>
      <c r="JV21" s="148">
        <v>-185.1</v>
      </c>
      <c r="JW21" s="92">
        <f>IF(-81633.92754="","-",-185026.80771/-81633.92754*100)</f>
        <v>226.65430083507653</v>
      </c>
      <c r="JX21" s="148">
        <v>-190.6</v>
      </c>
      <c r="JY21" s="93">
        <f>IF(-97898.54924="","-",-190536.93196/-97898.54924*100)</f>
        <v>194.62692086773973</v>
      </c>
      <c r="JZ21" s="95">
        <v>-1439.4</v>
      </c>
      <c r="KA21" s="97">
        <f>IF(-940759.65548="","-",-1439394.56359/-940759.65548*100)</f>
        <v>153.00343240756681</v>
      </c>
      <c r="KB21" s="57">
        <v>-193</v>
      </c>
      <c r="KC21" s="92">
        <f>IF(-71049.57462="","-",-193103.96755/-71049.57462*100)</f>
        <v>271.78764768514532</v>
      </c>
      <c r="KD21" s="57">
        <v>-164.2</v>
      </c>
      <c r="KE21" s="92">
        <f>IF(-81550.83173="","-",-164221.94527/-81550.83173*100)</f>
        <v>201.37372211445864</v>
      </c>
      <c r="KF21" s="57">
        <v>-170.10000000000002</v>
      </c>
      <c r="KG21" s="93">
        <f>IF(-95963.17101="","-",-170107.16667/-95963.17101*100)</f>
        <v>177.26296961599331</v>
      </c>
      <c r="KH21" s="57">
        <v>-130.9</v>
      </c>
      <c r="KI21" s="93">
        <f>IF(-97699.25958="","-",-130903.85351/-97699.25958*100)</f>
        <v>133.98653589878106</v>
      </c>
      <c r="KJ21" s="57">
        <v>-60.7</v>
      </c>
      <c r="KK21" s="93">
        <f>IF(-92567.7426="","-",-60709.51119/-92567.7426*100)</f>
        <v>65.583873479917827</v>
      </c>
      <c r="KL21" s="57">
        <v>-24.7</v>
      </c>
      <c r="KM21" s="92">
        <f>IF(-95351.78485="","-",-24691.05652/-95351.78485*100)</f>
        <v>25.894697785512928</v>
      </c>
      <c r="KN21" s="57">
        <v>-60.7</v>
      </c>
      <c r="KO21" s="92">
        <f>IF(-108079.41239="","-",-60660.90406/-108079.41239*100)</f>
        <v>56.126234144489693</v>
      </c>
      <c r="KP21" s="57">
        <v>-67.400000000000006</v>
      </c>
      <c r="KQ21" s="92">
        <f>IF(-126488.56987="","-",-67319.4166/-126488.56987*100)</f>
        <v>53.221739062421413</v>
      </c>
      <c r="KR21" s="57">
        <v>-115.9</v>
      </c>
      <c r="KS21" s="92">
        <f>IF(-141973.23237="","-",-115973.92798/-141973.23237*100)</f>
        <v>81.68717866319858</v>
      </c>
      <c r="KT21" s="57">
        <v>-49.9</v>
      </c>
      <c r="KU21" s="93">
        <f>IF(-153107.2449="","-",-49935.73253/-153107.2449*100)</f>
        <v>32.614872380869294</v>
      </c>
      <c r="KV21" s="57">
        <v>-91.4</v>
      </c>
      <c r="KW21" s="93">
        <f>IF(-185026.80771="","-",-91374.20466/-185026.80771*100)</f>
        <v>49.384305869457847</v>
      </c>
      <c r="KX21" s="57">
        <v>-13.5</v>
      </c>
      <c r="KY21" s="93">
        <f>IF(-190536.93196="","-",-13507.63665/-190536.93196*100)</f>
        <v>7.0892485310069446</v>
      </c>
      <c r="KZ21" s="95">
        <v>-1142.5999999999999</v>
      </c>
      <c r="LA21" s="179">
        <f>IF(-1439394.56359="","-",-1142509.32319/-1439394.56359*100)</f>
        <v>79.374297506061339</v>
      </c>
      <c r="LB21" s="57">
        <v>-130.4</v>
      </c>
      <c r="LC21" s="92">
        <f>IF(-193103.96755="","-",-130373.27916/-193103.96755*100)</f>
        <v>67.514552297452269</v>
      </c>
      <c r="LD21" s="57">
        <v>-51</v>
      </c>
      <c r="LE21" s="92">
        <f>IF(-164221.94527="","-",-50956.37383/-164221.94527*100)</f>
        <v>31.028967380834388</v>
      </c>
      <c r="LF21" s="57">
        <v>-77.2</v>
      </c>
      <c r="LG21" s="93">
        <f>IF(-170107.16667="","-",-77273.45144/-170107.16667*100)</f>
        <v>45.426335029086054</v>
      </c>
      <c r="LH21" s="57">
        <v>-63.1</v>
      </c>
      <c r="LI21" s="92">
        <f>IF(-130903.85351="","-",-63074.77662/-130903.85351*100)</f>
        <v>48.184048772239997</v>
      </c>
      <c r="LJ21" s="57">
        <v>-24.7</v>
      </c>
      <c r="LK21" s="92">
        <f>IF(-60709.51119="","-",-24678.8605/-60709.51119*100)</f>
        <v>40.650731683151939</v>
      </c>
      <c r="LL21" s="57">
        <v>-20.300000000000011</v>
      </c>
      <c r="LM21" s="92">
        <f>IF(-24691.05652="","-",-20283.15015/-24691.05652*100)</f>
        <v>82.147761208883267</v>
      </c>
      <c r="LN21" s="57">
        <v>-20.9</v>
      </c>
      <c r="LO21" s="93">
        <f>IF(-60660.90406="","-",-20969.28026/-60660.90406*100)</f>
        <v>34.568031230228911</v>
      </c>
      <c r="LP21" s="57">
        <v>-36.1</v>
      </c>
      <c r="LQ21" s="93">
        <f>IF(-67319.4166="","-",-36067.8845/-67319.4166*100)</f>
        <v>53.577238665493724</v>
      </c>
      <c r="LR21" s="57">
        <v>-38.6</v>
      </c>
      <c r="LS21" s="92">
        <f>IF(-115973.92798="","-",-38547.1083/-115973.92798*100)</f>
        <v>33.237736249346966</v>
      </c>
      <c r="LT21" s="57">
        <v>-35.799999999999997</v>
      </c>
      <c r="LU21" s="92">
        <f>IF(-49935.73253="","-",-35732.44592/-49935.73253*100)</f>
        <v>71.5568674165998</v>
      </c>
      <c r="LV21" s="57">
        <v>-80.2</v>
      </c>
      <c r="LW21" s="92">
        <f>IF(-91374.20466="","-",-80172.17097/-91374.20466*100)</f>
        <v>87.740485696502262</v>
      </c>
      <c r="LX21" s="92">
        <v>-135.19999999999999</v>
      </c>
      <c r="LY21" s="92">
        <f>IF(-13507.63665="","-",-135208.92012/-13507.63665*100)</f>
        <v>1000.9813235537396</v>
      </c>
      <c r="LZ21" s="95">
        <v>-713.3</v>
      </c>
      <c r="MA21" s="97">
        <f>IF(-1142509.32319="","-",-713337.73279/-1142509.32319*100)</f>
        <v>62.436053545566693</v>
      </c>
      <c r="MB21" s="57">
        <v>-7.9</v>
      </c>
      <c r="MC21" s="93">
        <f>IF(-85051.53104="","-",-7931.25641/-85051.53104*100)</f>
        <v>9.3252364925328681</v>
      </c>
      <c r="MD21" s="92">
        <v>-2.6000000000000014</v>
      </c>
      <c r="ME21" s="92">
        <f>IF(-17458.42391="","-",-2550.35794/-17458.42391*100)</f>
        <v>14.608179713972817</v>
      </c>
      <c r="MF21" s="92">
        <v>-11.699999999999996</v>
      </c>
      <c r="MG21" s="92">
        <f>IF(-36728.24588="","-",-11781.74832/-36728.24588*100)</f>
        <v>32.078167736335139</v>
      </c>
      <c r="MH21" s="92">
        <v>-9.8999999999999986</v>
      </c>
      <c r="MI21" s="93">
        <f>IF(-8955.14239="","-",-9845.16117/-8955.14239*100)</f>
        <v>109.93863348274463</v>
      </c>
      <c r="MJ21" s="92">
        <v>2.2999999999999972</v>
      </c>
      <c r="MK21" s="92" t="s">
        <v>411</v>
      </c>
      <c r="ML21" s="93">
        <v>3.5</v>
      </c>
      <c r="MM21" s="93" t="s">
        <v>411</v>
      </c>
      <c r="MN21" s="93">
        <v>-9</v>
      </c>
      <c r="MO21" s="93">
        <f>IF(-1622.41345="","-",-8968.76593/-1622.41345*100)</f>
        <v>552.80396806375097</v>
      </c>
      <c r="MP21" s="93">
        <v>-13.599999999999998</v>
      </c>
      <c r="MQ21" s="93">
        <f>IF(-15595.70399="","-",-13616.0704/-15595.70399*100)</f>
        <v>87.306545499521249</v>
      </c>
    </row>
    <row r="22" spans="1:420" ht="18.75">
      <c r="A22" s="37" t="s">
        <v>315</v>
      </c>
      <c r="B22" s="8">
        <v>-33.5</v>
      </c>
      <c r="C22" s="8">
        <v>136.80000000000001</v>
      </c>
      <c r="D22" s="8">
        <v>-59.1</v>
      </c>
      <c r="E22" s="8">
        <v>131.19999999999999</v>
      </c>
      <c r="F22" s="8">
        <v>-114</v>
      </c>
      <c r="G22" s="8">
        <v>138.30000000000001</v>
      </c>
      <c r="H22" s="8">
        <v>-109.4</v>
      </c>
      <c r="I22" s="8">
        <v>116.1</v>
      </c>
      <c r="J22" s="8">
        <v>-128.1</v>
      </c>
      <c r="K22" s="8">
        <v>134.30000000000001</v>
      </c>
      <c r="L22" s="8">
        <v>-118.2</v>
      </c>
      <c r="M22" s="8">
        <v>117.4</v>
      </c>
      <c r="N22" s="8">
        <v>-109.3</v>
      </c>
      <c r="O22" s="8">
        <v>118.4</v>
      </c>
      <c r="P22" s="52">
        <v>-81.2</v>
      </c>
      <c r="Q22" s="52">
        <v>97</v>
      </c>
      <c r="R22" s="52">
        <v>-119.8</v>
      </c>
      <c r="S22" s="52">
        <v>126.1</v>
      </c>
      <c r="T22" s="52">
        <v>-105.6</v>
      </c>
      <c r="U22" s="52">
        <v>129</v>
      </c>
      <c r="V22" s="52">
        <v>-81</v>
      </c>
      <c r="W22" s="52">
        <v>95.2</v>
      </c>
      <c r="X22" s="52">
        <v>-114.1</v>
      </c>
      <c r="Y22" s="52">
        <v>119.9</v>
      </c>
      <c r="Z22" s="60">
        <v>-1173.3</v>
      </c>
      <c r="AA22" s="60">
        <v>120.3</v>
      </c>
      <c r="AB22" s="51">
        <v>-41.4</v>
      </c>
      <c r="AC22" s="52">
        <v>123.4</v>
      </c>
      <c r="AD22" s="52">
        <v>-74.8</v>
      </c>
      <c r="AE22" s="52">
        <v>126.5</v>
      </c>
      <c r="AF22" s="52">
        <v>-99.8</v>
      </c>
      <c r="AG22" s="52">
        <v>87.5</v>
      </c>
      <c r="AH22" s="52">
        <v>-113.8</v>
      </c>
      <c r="AI22" s="52">
        <v>104.1</v>
      </c>
      <c r="AJ22" s="52">
        <v>-121.6</v>
      </c>
      <c r="AK22" s="52">
        <v>94.9</v>
      </c>
      <c r="AL22" s="52">
        <v>-106</v>
      </c>
      <c r="AM22" s="52">
        <v>89.8</v>
      </c>
      <c r="AN22" s="52">
        <v>-133.4</v>
      </c>
      <c r="AO22" s="52">
        <v>122.1</v>
      </c>
      <c r="AP22" s="51">
        <v>-123.8</v>
      </c>
      <c r="AQ22" s="63">
        <v>152.5</v>
      </c>
      <c r="AR22" s="51">
        <v>-116</v>
      </c>
      <c r="AS22" s="52">
        <v>96.8</v>
      </c>
      <c r="AT22" s="51">
        <v>-138.80000000000001</v>
      </c>
      <c r="AU22" s="52">
        <v>131.4</v>
      </c>
      <c r="AV22" s="51">
        <v>-122.5</v>
      </c>
      <c r="AW22" s="52">
        <v>151.1</v>
      </c>
      <c r="AX22" s="51">
        <v>-113.3</v>
      </c>
      <c r="AY22" s="52">
        <v>99.4</v>
      </c>
      <c r="AZ22" s="79">
        <v>-1305.2</v>
      </c>
      <c r="BA22" s="60">
        <v>111.2</v>
      </c>
      <c r="BB22" s="52">
        <v>-44.2</v>
      </c>
      <c r="BC22" s="52">
        <v>106.8</v>
      </c>
      <c r="BD22" s="52">
        <v>-82.5</v>
      </c>
      <c r="BE22" s="52">
        <v>110.1</v>
      </c>
      <c r="BF22" s="52">
        <v>-126.5</v>
      </c>
      <c r="BG22" s="52">
        <v>126.5</v>
      </c>
      <c r="BH22" s="52">
        <v>-139.9</v>
      </c>
      <c r="BI22" s="52">
        <v>122.8</v>
      </c>
      <c r="BJ22" s="52">
        <v>-117</v>
      </c>
      <c r="BK22" s="52">
        <v>95.9</v>
      </c>
      <c r="BL22" s="52">
        <v>-122.6</v>
      </c>
      <c r="BM22" s="52">
        <v>115.6</v>
      </c>
      <c r="BN22" s="52">
        <v>-126.1</v>
      </c>
      <c r="BO22" s="52">
        <v>94.4</v>
      </c>
      <c r="BP22" s="52">
        <v>-103.8</v>
      </c>
      <c r="BQ22" s="52">
        <v>83.8</v>
      </c>
      <c r="BR22" s="52">
        <v>-125.8</v>
      </c>
      <c r="BS22" s="52">
        <v>108.3</v>
      </c>
      <c r="BT22" s="63">
        <v>-110.7</v>
      </c>
      <c r="BU22" s="63">
        <v>79.8</v>
      </c>
      <c r="BV22" s="52">
        <v>-99.1</v>
      </c>
      <c r="BW22" s="63">
        <v>80.8</v>
      </c>
      <c r="BX22" s="63">
        <v>-136.6</v>
      </c>
      <c r="BY22" s="63">
        <v>120.5</v>
      </c>
      <c r="BZ22" s="109">
        <v>-1334.8</v>
      </c>
      <c r="CA22" s="109">
        <v>102.2</v>
      </c>
      <c r="CB22" s="52">
        <v>-33.200000000000003</v>
      </c>
      <c r="CC22" s="63">
        <v>75.2</v>
      </c>
      <c r="CD22" s="52">
        <v>-79.2</v>
      </c>
      <c r="CE22" s="63">
        <v>95.9</v>
      </c>
      <c r="CF22" s="63">
        <v>-117.9</v>
      </c>
      <c r="CG22" s="63">
        <v>93.2</v>
      </c>
      <c r="CH22" s="51">
        <v>-139.4</v>
      </c>
      <c r="CI22" s="63">
        <v>99.6</v>
      </c>
      <c r="CJ22" s="51">
        <v>-120.8</v>
      </c>
      <c r="CK22" s="63">
        <v>103.3</v>
      </c>
      <c r="CL22" s="52">
        <v>-131.69999999999999</v>
      </c>
      <c r="CM22" s="63">
        <v>107.4</v>
      </c>
      <c r="CN22" s="63">
        <v>-136.69999999999999</v>
      </c>
      <c r="CO22" s="52">
        <v>108.4</v>
      </c>
      <c r="CP22" s="51">
        <v>-117.7</v>
      </c>
      <c r="CQ22" s="52">
        <v>113.3</v>
      </c>
      <c r="CR22" s="52">
        <v>-131.69999999999999</v>
      </c>
      <c r="CS22" s="52">
        <v>104.6</v>
      </c>
      <c r="CT22" s="51">
        <v>-127.5</v>
      </c>
      <c r="CU22" s="52">
        <v>115.3</v>
      </c>
      <c r="CV22" s="51">
        <v>-78.400000000000006</v>
      </c>
      <c r="CW22" s="52">
        <v>79.2</v>
      </c>
      <c r="CX22" s="52">
        <v>-107.5</v>
      </c>
      <c r="CY22" s="52">
        <v>78.8</v>
      </c>
      <c r="CZ22" s="60">
        <v>-1321.7</v>
      </c>
      <c r="DA22" s="60">
        <v>99</v>
      </c>
      <c r="DB22" s="52">
        <v>-8.6999999999999993</v>
      </c>
      <c r="DC22" s="51">
        <v>26.2</v>
      </c>
      <c r="DD22" s="52">
        <v>-22.8</v>
      </c>
      <c r="DE22" s="51">
        <v>28.8</v>
      </c>
      <c r="DF22" s="51">
        <v>-81.900000000000006</v>
      </c>
      <c r="DG22" s="52">
        <v>69.5</v>
      </c>
      <c r="DH22" s="52">
        <v>-79.3</v>
      </c>
      <c r="DI22" s="52">
        <v>56.9</v>
      </c>
      <c r="DJ22" s="51">
        <v>-61.5</v>
      </c>
      <c r="DK22" s="52">
        <v>51</v>
      </c>
      <c r="DL22" s="51">
        <v>-82.3</v>
      </c>
      <c r="DM22" s="51">
        <v>62.4</v>
      </c>
      <c r="DN22" s="52">
        <v>-81.400000000000006</v>
      </c>
      <c r="DO22" s="51">
        <v>59.5</v>
      </c>
      <c r="DP22" s="52">
        <v>-77</v>
      </c>
      <c r="DQ22" s="52">
        <v>65.400000000000006</v>
      </c>
      <c r="DR22" s="51">
        <v>-67.8</v>
      </c>
      <c r="DS22" s="52">
        <v>51.5</v>
      </c>
      <c r="DT22" s="52">
        <v>-57.2</v>
      </c>
      <c r="DU22" s="52">
        <v>44.7</v>
      </c>
      <c r="DV22" s="52">
        <v>-58.3</v>
      </c>
      <c r="DW22" s="52">
        <v>74.3</v>
      </c>
      <c r="DX22" s="51">
        <v>-58.5</v>
      </c>
      <c r="DY22" s="51">
        <v>54.5</v>
      </c>
      <c r="DZ22" s="60">
        <v>-736.7</v>
      </c>
      <c r="EA22" s="60">
        <v>55.7</v>
      </c>
      <c r="EB22" s="52">
        <v>-6.8</v>
      </c>
      <c r="EC22" s="52">
        <v>79.7</v>
      </c>
      <c r="ED22" s="51">
        <v>-42.6</v>
      </c>
      <c r="EE22" s="52">
        <v>187</v>
      </c>
      <c r="EF22" s="63">
        <v>-83.4</v>
      </c>
      <c r="EG22" s="51">
        <v>101.8</v>
      </c>
      <c r="EH22" s="51">
        <v>-77.3</v>
      </c>
      <c r="EI22" s="52">
        <v>97.5</v>
      </c>
      <c r="EJ22" s="52">
        <v>-68.400000000000006</v>
      </c>
      <c r="EK22" s="52">
        <v>111.2</v>
      </c>
      <c r="EL22" s="52">
        <v>-70.599999999999994</v>
      </c>
      <c r="EM22" s="52">
        <v>85.9</v>
      </c>
      <c r="EN22" s="51">
        <v>-57.1</v>
      </c>
      <c r="EO22" s="52">
        <v>70.2</v>
      </c>
      <c r="EP22" s="52">
        <v>-71.400000000000006</v>
      </c>
      <c r="EQ22" s="52">
        <v>92.8</v>
      </c>
      <c r="ER22" s="52">
        <v>-42.8</v>
      </c>
      <c r="ES22" s="52">
        <v>63.3</v>
      </c>
      <c r="ET22" s="52">
        <v>-58.3</v>
      </c>
      <c r="EU22" s="52">
        <v>120.1</v>
      </c>
      <c r="EV22" s="52">
        <v>-16.5</v>
      </c>
      <c r="EW22" s="52">
        <v>28.3</v>
      </c>
      <c r="EX22" s="52">
        <v>-46.3</v>
      </c>
      <c r="EY22" s="52">
        <v>78.3</v>
      </c>
      <c r="EZ22" s="60">
        <v>-641.79999999999995</v>
      </c>
      <c r="FA22" s="60">
        <v>87.1</v>
      </c>
      <c r="FB22" s="52">
        <v>-27.8</v>
      </c>
      <c r="FC22" s="52">
        <v>401.1</v>
      </c>
      <c r="FD22" s="52">
        <v>-36.4</v>
      </c>
      <c r="FE22" s="52">
        <v>85.2</v>
      </c>
      <c r="FF22" s="52">
        <v>-90.9</v>
      </c>
      <c r="FG22" s="52">
        <v>109.1</v>
      </c>
      <c r="FH22" s="52">
        <v>-87.9</v>
      </c>
      <c r="FI22" s="52">
        <v>113.7</v>
      </c>
      <c r="FJ22" s="52">
        <v>-92.6</v>
      </c>
      <c r="FK22" s="52">
        <v>135.4</v>
      </c>
      <c r="FL22" s="52">
        <v>-85</v>
      </c>
      <c r="FM22" s="52">
        <v>120.4</v>
      </c>
      <c r="FN22" s="52">
        <v>-83</v>
      </c>
      <c r="FO22" s="52">
        <v>145.30000000000001</v>
      </c>
      <c r="FP22" s="52">
        <v>-79.400000000000006</v>
      </c>
      <c r="FQ22" s="52">
        <v>111.1</v>
      </c>
      <c r="FR22" s="52">
        <v>-64.3</v>
      </c>
      <c r="FS22" s="52">
        <v>149.5</v>
      </c>
      <c r="FT22" s="52">
        <v>-43.4</v>
      </c>
      <c r="FU22" s="52">
        <v>74.5</v>
      </c>
      <c r="FV22" s="52">
        <v>-39.5</v>
      </c>
      <c r="FW22" s="52">
        <v>238.6</v>
      </c>
      <c r="FX22" s="52">
        <v>-62.1</v>
      </c>
      <c r="FY22" s="52">
        <v>134.19999999999999</v>
      </c>
      <c r="FZ22" s="60">
        <v>-792.3</v>
      </c>
      <c r="GA22" s="60">
        <v>123.5</v>
      </c>
      <c r="GB22" s="52">
        <v>-25.1</v>
      </c>
      <c r="GC22" s="52">
        <v>90.1</v>
      </c>
      <c r="GD22" s="52">
        <v>-69.3</v>
      </c>
      <c r="GE22" s="52">
        <v>190.8</v>
      </c>
      <c r="GF22" s="52">
        <v>-94.7</v>
      </c>
      <c r="GG22" s="52">
        <v>104.2</v>
      </c>
      <c r="GH22" s="52">
        <v>-104.5</v>
      </c>
      <c r="GI22" s="52">
        <v>118.8</v>
      </c>
      <c r="GJ22" s="57">
        <v>-110</v>
      </c>
      <c r="GK22" s="52">
        <v>118.8</v>
      </c>
      <c r="GL22" s="57">
        <v>-91.7</v>
      </c>
      <c r="GM22" s="52">
        <v>107.8</v>
      </c>
      <c r="GN22" s="57">
        <v>-97.7</v>
      </c>
      <c r="GO22" s="52">
        <v>117.7</v>
      </c>
      <c r="GP22" s="92">
        <v>-67.099999999999994</v>
      </c>
      <c r="GQ22" s="93">
        <v>84.5</v>
      </c>
      <c r="GR22" s="57">
        <v>-83.5</v>
      </c>
      <c r="GS22" s="52">
        <v>129.80000000000001</v>
      </c>
      <c r="GT22" s="57">
        <v>-91.499999999999972</v>
      </c>
      <c r="GU22" s="93">
        <v>211</v>
      </c>
      <c r="GV22" s="57">
        <v>-52.400000000000006</v>
      </c>
      <c r="GW22" s="92">
        <v>132.80000000000001</v>
      </c>
      <c r="GX22" s="57">
        <v>-101.5</v>
      </c>
      <c r="GY22" s="102">
        <v>163.30000000000001</v>
      </c>
      <c r="GZ22" s="95">
        <v>-988.90000000000009</v>
      </c>
      <c r="HA22" s="97">
        <v>124.8</v>
      </c>
      <c r="HB22" s="92">
        <v>-11.2</v>
      </c>
      <c r="HC22" s="92">
        <f>IF(-25057.99842="","-",-11098.79763/-25057.99842*100)</f>
        <v>44.292434870382593</v>
      </c>
      <c r="HD22" s="92">
        <v>-69.900000000000006</v>
      </c>
      <c r="HE22" s="92">
        <f>IF(-69324.57283="","-",-69882.63049/-69324.57283*100)</f>
        <v>100.80499256932815</v>
      </c>
      <c r="HF22" s="92">
        <v>-101.4</v>
      </c>
      <c r="HG22" s="92">
        <f>IF(-94710.56177="","-",-101423.08074/-94710.56177*100)</f>
        <v>107.08740276116305</v>
      </c>
      <c r="HH22" s="92">
        <v>-132.4</v>
      </c>
      <c r="HI22" s="92">
        <f>IF(-104519.03937="","-",-132462.08009/-104519.03937*100)</f>
        <v>126.73488092545601</v>
      </c>
      <c r="HJ22" s="92">
        <v>-108</v>
      </c>
      <c r="HK22" s="92">
        <f>IF(-109999.51734="","-",-107991.5694/-109999.51734*100)</f>
        <v>98.174584772228044</v>
      </c>
      <c r="HL22" s="92">
        <v>-99.9</v>
      </c>
      <c r="HM22" s="92">
        <f>IF(-91671.33084="","-",-99855.42731/-91671.33084*100)</f>
        <v>108.92765098423655</v>
      </c>
      <c r="HN22" s="92">
        <v>-105.4</v>
      </c>
      <c r="HO22" s="92">
        <f>IF(-97669.84975="","-",-105417.7183/-97669.84975*100)</f>
        <v>107.93271267420988</v>
      </c>
      <c r="HP22" s="92">
        <v>-84.9</v>
      </c>
      <c r="HQ22" s="92">
        <f>IF(-67080.16738="","-",-84927.72818/-67080.16738*100)</f>
        <v>126.60631524500529</v>
      </c>
      <c r="HR22" s="92">
        <v>-93.3</v>
      </c>
      <c r="HS22" s="92">
        <f>IF(-83465.49124="","-",-93299.41764/-83465.49124*100)</f>
        <v>111.7820266243005</v>
      </c>
      <c r="HT22" s="92">
        <v>-81.599999999999994</v>
      </c>
      <c r="HU22" s="92">
        <f>IF(-91578.62372="","-",-81603.41454/-91578.62372*100)</f>
        <v>89.107491710621218</v>
      </c>
      <c r="HV22" s="92">
        <v>-70.5</v>
      </c>
      <c r="HW22" s="92">
        <f>IF(-52410.8604="","-",-70460.50638/-52410.8604*100)</f>
        <v>134.43875151494368</v>
      </c>
      <c r="HX22" s="92">
        <v>-101</v>
      </c>
      <c r="HY22" s="92">
        <f>IF(-101448.35447="","-",-101009.95115/-101448.35447*100)</f>
        <v>99.567855661838607</v>
      </c>
      <c r="HZ22" s="97">
        <v>-1059.5</v>
      </c>
      <c r="IA22" s="97">
        <f>IF(-988936.36753="","-",-1059432.32185/-988936.36753*100)</f>
        <v>107.12846211693812</v>
      </c>
      <c r="IB22" s="57">
        <v>-23.3</v>
      </c>
      <c r="IC22" s="92">
        <f>IF(-11177.34057="","-",-23336.76307/-11177.34057*100)</f>
        <v>208.78636491256168</v>
      </c>
      <c r="ID22" s="57">
        <v>-67.3</v>
      </c>
      <c r="IE22" s="92">
        <f>IF(-68483.0751="","-",-67288.38935/-68483.0751*100)</f>
        <v>98.255502183195617</v>
      </c>
      <c r="IF22" s="57">
        <v>-109.3</v>
      </c>
      <c r="IG22" s="92">
        <f>IF(-100127.87055="","-",-109283.02979/-100127.87055*100)</f>
        <v>109.1434674378981</v>
      </c>
      <c r="IH22" s="57">
        <v>-48</v>
      </c>
      <c r="II22" s="92">
        <f>IF(-132293.99105="","-",-48035.09394/-132293.99105*100)</f>
        <v>36.309354309104876</v>
      </c>
      <c r="IJ22" s="57">
        <v>-60.3</v>
      </c>
      <c r="IK22" s="92">
        <f>IF(-108704.09508="","-",-60322.27586/-108704.09508*100)</f>
        <v>55.49218345050042</v>
      </c>
      <c r="IL22" s="92">
        <v>-67.5</v>
      </c>
      <c r="IM22" s="92">
        <f>IF(-100528.06844="","-",-67551.46413/-100528.06844*100)</f>
        <v>67.196619987101386</v>
      </c>
      <c r="IN22" s="57">
        <v>-75.400000000000006</v>
      </c>
      <c r="IO22" s="92">
        <f>IF(-105879.03392="","-",-75348.26649/-105879.03392*100)</f>
        <v>71.16448242900627</v>
      </c>
      <c r="IP22" s="57">
        <v>-79</v>
      </c>
      <c r="IQ22" s="92">
        <f>IF(-83530.86424="","-",-79026.44019/-83530.86424*100)</f>
        <v>94.607473427955995</v>
      </c>
      <c r="IR22" s="92">
        <v>-80.5</v>
      </c>
      <c r="IS22" s="92">
        <f>IF(-91611.67729="","-",-80529.63458/-91611.67729*100)</f>
        <v>87.90324220904786</v>
      </c>
      <c r="IT22" s="92">
        <v>-49.4</v>
      </c>
      <c r="IU22" s="92">
        <f>IF(-80781.47412="","-",-49419.49917/-80781.47412*100)</f>
        <v>61.176773150472442</v>
      </c>
      <c r="IV22" s="92">
        <v>-60.7</v>
      </c>
      <c r="IW22" s="92">
        <f>IF(-68928.08047="","-",-60624.45411/-68928.08047*100)</f>
        <v>87.953202376476966</v>
      </c>
      <c r="IX22" s="92">
        <v>-109.6</v>
      </c>
      <c r="IY22" s="93">
        <f>IF(-98588.99527="","-",-109612.26839/-98588.99527*100)</f>
        <v>111.18103809640336</v>
      </c>
      <c r="IZ22" s="95">
        <v>-830.4</v>
      </c>
      <c r="JA22" s="97">
        <f>IF(-1050634.5661="","-",-830377.57907/-1050634.5661*100)</f>
        <v>79.035813770376578</v>
      </c>
      <c r="JB22" s="145">
        <v>-43.7</v>
      </c>
      <c r="JC22" s="92">
        <f>IF(-23336.76307="","-",-43684.75288/-23336.76307*100)</f>
        <v>187.19285424874479</v>
      </c>
      <c r="JD22" s="145">
        <v>-111.5</v>
      </c>
      <c r="JE22" s="92">
        <f>IF(-67288.38935="","-",-111430.90994/-67288.38935*100)</f>
        <v>165.6019872319919</v>
      </c>
      <c r="JF22" s="145">
        <v>-136.5</v>
      </c>
      <c r="JG22" s="92">
        <f>IF(-109283.02979="","-",-136490.72499/-109283.02979*100)</f>
        <v>124.89654180734439</v>
      </c>
      <c r="JH22" s="145">
        <v>-131.4</v>
      </c>
      <c r="JI22" s="92">
        <f>IF(-48035.09394="","-",-131320.21766/-48035.09394*100)</f>
        <v>273.383909322693</v>
      </c>
      <c r="JJ22" s="145">
        <v>-123.1</v>
      </c>
      <c r="JK22" s="92">
        <f>IF(-60322.27586="","-",-123158.5159/-60322.27586*100)</f>
        <v>204.16755525907968</v>
      </c>
      <c r="JL22" s="145">
        <v>-143</v>
      </c>
      <c r="JM22" s="92">
        <f>IF(-67551.46413="","-",-142998.46428/-67551.46413*100)</f>
        <v>211.68817896353121</v>
      </c>
      <c r="JN22" s="145">
        <v>-108.8</v>
      </c>
      <c r="JO22" s="92">
        <f>IF(-75348.26649="","-",-108803.56167/-75348.26649*100)</f>
        <v>144.40088238053903</v>
      </c>
      <c r="JP22" s="145">
        <v>-119.8</v>
      </c>
      <c r="JQ22" s="92">
        <f>IF(-79026.44019="","-",-119815.85101/-79026.44019*100)</f>
        <v>151.61489081620243</v>
      </c>
      <c r="JR22" s="145">
        <v>-116.2</v>
      </c>
      <c r="JS22" s="92">
        <f>IF(-80529.63458="","-",-116215.79289/-80529.63458*100)</f>
        <v>144.31431794782148</v>
      </c>
      <c r="JT22" s="148">
        <v>-45.5</v>
      </c>
      <c r="JU22" s="92">
        <f>IF(-49419.49917="","-",-45531.18373/-49419.49917*100)</f>
        <v>92.13202176204895</v>
      </c>
      <c r="JV22" s="148">
        <v>-46.8</v>
      </c>
      <c r="JW22" s="92">
        <f>IF(-60624.45411="","-",-46858.73717/-60624.45411*100)</f>
        <v>77.293458321252999</v>
      </c>
      <c r="JX22" s="148">
        <v>-103.1</v>
      </c>
      <c r="JY22" s="93">
        <f>IF(-109612.26839="","-",-103124.22982/-109612.26839*100)</f>
        <v>94.08091934844775</v>
      </c>
      <c r="JZ22" s="95">
        <v>-1229.5</v>
      </c>
      <c r="KA22" s="179">
        <f>IF(-830377.57907="","-",-1229458.58627/-830377.57907*100)</f>
        <v>148.06018578282905</v>
      </c>
      <c r="KB22" s="57">
        <v>-32.799999999999997</v>
      </c>
      <c r="KC22" s="93">
        <f>IF(-43684.75288="","-",-32729.83983/-43684.75288*100)</f>
        <v>74.922799540396539</v>
      </c>
      <c r="KD22" s="57">
        <v>-91.199999999999989</v>
      </c>
      <c r="KE22" s="93">
        <f>IF(-111430.90994="","-",-91191.122/-111430.90994*100)</f>
        <v>81.836468937660015</v>
      </c>
      <c r="KF22" s="57">
        <v>-66.400000000000034</v>
      </c>
      <c r="KG22" s="93">
        <f>IF(-136490.72499="","-",-66421.20063/-136490.72499*100)</f>
        <v>48.663526869584992</v>
      </c>
      <c r="KH22" s="57">
        <v>-80.099999999999994</v>
      </c>
      <c r="KI22" s="93">
        <f>IF(-131320.21766="","-",-80120.66891/-131320.21766*100)</f>
        <v>61.011678428252161</v>
      </c>
      <c r="KJ22" s="57">
        <v>-130.30000000000001</v>
      </c>
      <c r="KK22" s="93">
        <f>IF(-123158.5159="","-",-130233.55497/-123158.5159*100)</f>
        <v>105.74466086920424</v>
      </c>
      <c r="KL22" s="57">
        <v>-186.5</v>
      </c>
      <c r="KM22" s="93">
        <f>IF(-142998.46428="","-",-186485.50097/-142998.46428*100)</f>
        <v>130.41084175900636</v>
      </c>
      <c r="KN22" s="57">
        <v>-188.7</v>
      </c>
      <c r="KO22" s="93">
        <f>IF(-108803.56167="","-",-188718.60193/-108803.56167*100)</f>
        <v>173.44891934914909</v>
      </c>
      <c r="KP22" s="57">
        <v>-182.5</v>
      </c>
      <c r="KQ22" s="93">
        <f>IF(-119815.85101="","-",-182551.68475/-119815.85101*100)</f>
        <v>152.36021211814784</v>
      </c>
      <c r="KR22" s="57">
        <v>-181.6</v>
      </c>
      <c r="KS22" s="92">
        <f>IF(-116215.79289="","-",-181583.18997/-116215.79289*100)</f>
        <v>156.24656981161866</v>
      </c>
      <c r="KT22" s="57">
        <v>-174.5</v>
      </c>
      <c r="KU22" s="93">
        <f>IF(-45531.18373="","-",-174493.1848/-45531.18373*100)</f>
        <v>383.23884974031182</v>
      </c>
      <c r="KV22" s="57">
        <v>-221.8</v>
      </c>
      <c r="KW22" s="93">
        <f>IF(-46884.3815="","-",-221786.4707/-46884.3815*100)</f>
        <v>473.04979527137402</v>
      </c>
      <c r="KX22" s="57">
        <v>-291</v>
      </c>
      <c r="KY22" s="93">
        <f>IF(-103124.22982="","-",-291002.40139/-103124.22982*100)</f>
        <v>282.18625428566622</v>
      </c>
      <c r="KZ22" s="95">
        <v>-1827.3</v>
      </c>
      <c r="LA22" s="179">
        <f>IF(-1229458.58627="","-",-1827317.42085/-1229458.58627*100)</f>
        <v>148.62781400338318</v>
      </c>
      <c r="LB22" s="57">
        <v>-111</v>
      </c>
      <c r="LC22" s="92">
        <f>IF(-32729.83983="","-",-111089.54871/-32729.83983*100)</f>
        <v>339.41366437172695</v>
      </c>
      <c r="LD22" s="57">
        <v>-176</v>
      </c>
      <c r="LE22" s="92">
        <f>IF(-91191.122="","-",-176005.6326/-91191.122*100)</f>
        <v>193.00742083204111</v>
      </c>
      <c r="LF22" s="57">
        <v>-159.5</v>
      </c>
      <c r="LG22" s="93">
        <f>IF(-66421.20063="","-",-159432.48996/-66421.20063*100)</f>
        <v>240.03253245619626</v>
      </c>
      <c r="LH22" s="57">
        <v>-135.80000000000001</v>
      </c>
      <c r="LI22" s="92">
        <f>IF(-80120.66891="","-",-135879.12243/-80120.66891*100)</f>
        <v>169.59309536298778</v>
      </c>
      <c r="LJ22" s="57">
        <v>-151.5</v>
      </c>
      <c r="LK22" s="92">
        <f>IF(-130233.55497="","-",-151416.77349/-130233.55497*100)</f>
        <v>116.26556114887569</v>
      </c>
      <c r="LL22" s="57">
        <v>-128.5</v>
      </c>
      <c r="LM22" s="92">
        <f>IF(-186485.50097="","-",-128456.10617/-186485.50097*100)</f>
        <v>68.882623851097563</v>
      </c>
      <c r="LN22" s="57">
        <v>-127.99999999999997</v>
      </c>
      <c r="LO22" s="93">
        <f>IF(-188718.60193="","-",-128039.84316/-188718.60193*100)</f>
        <v>67.846964660904433</v>
      </c>
      <c r="LP22" s="57">
        <v>-112.1</v>
      </c>
      <c r="LQ22" s="92">
        <f>IF(-182551.68475="","-",-112137.91969/-182551.68475*100)</f>
        <v>61.428038773550675</v>
      </c>
      <c r="LR22" s="57">
        <v>-79.5</v>
      </c>
      <c r="LS22" s="92">
        <f>IF(-181583.18997="","-",-79563.49809/-181583.18997*100)</f>
        <v>43.81655488216996</v>
      </c>
      <c r="LT22" s="57">
        <v>-105.2</v>
      </c>
      <c r="LU22" s="92">
        <f>IF(-174493.1848="","-",-105233.26798/-174493.1848*100)</f>
        <v>60.307953058806227</v>
      </c>
      <c r="LV22" s="57">
        <v>-94.6</v>
      </c>
      <c r="LW22" s="92">
        <f>IF(-221786.4707="","-",-94611.71693/-221786.4707*100)</f>
        <v>42.658921723848863</v>
      </c>
      <c r="LX22" s="92">
        <v>-159.5</v>
      </c>
      <c r="LY22" s="92">
        <f>IF(-291002.40139="","-",-159475.28939/-291002.40139*100)</f>
        <v>54.80205270755549</v>
      </c>
      <c r="LZ22" s="95">
        <v>-1541.3</v>
      </c>
      <c r="MA22" s="97">
        <f>IF(-1827317.42085="","-",-1541341.2086/-1827317.42085*100)</f>
        <v>84.349943311054602</v>
      </c>
      <c r="MB22" s="57">
        <v>-84.6</v>
      </c>
      <c r="MC22" s="92">
        <f>IF(-111089.54871="","-",-84561.79521/-111089.54871*100)</f>
        <v>76.120387733997475</v>
      </c>
      <c r="MD22" s="92">
        <v>-163.80000000000001</v>
      </c>
      <c r="ME22" s="92">
        <f>IF(-176005.6326="","-",-163800.95905/-176005.6326*100)</f>
        <v>93.065748311738972</v>
      </c>
      <c r="MF22" s="92">
        <v>-164</v>
      </c>
      <c r="MG22" s="92">
        <f>IF(-159432.48996="","-",-164028.18107/-159432.48996*100)</f>
        <v>102.88253110213168</v>
      </c>
      <c r="MH22" s="92">
        <v>-198.3</v>
      </c>
      <c r="MI22" s="92">
        <f>IF(-135879.12243="","-",-198294.60018/-135879.12243*100)</f>
        <v>145.93456053718202</v>
      </c>
      <c r="MJ22" s="92">
        <v>-153.4</v>
      </c>
      <c r="MK22" s="92">
        <f>IF(-151416.77349="","-",-153313.19933/-151416.77349*100)</f>
        <v>101.25245426665049</v>
      </c>
      <c r="ML22" s="93">
        <v>-189.9</v>
      </c>
      <c r="MM22" s="93">
        <f>IF(-128456.10617="","-",-189897.59144/-128456.10617*100)</f>
        <v>147.83072374051864</v>
      </c>
      <c r="MN22" s="93">
        <v>-218</v>
      </c>
      <c r="MO22" s="93">
        <f>IF(-128039.84316="","-",-217998.65241/-128039.84316*100)</f>
        <v>170.25845004947914</v>
      </c>
      <c r="MP22" s="93">
        <v>-166.6</v>
      </c>
      <c r="MQ22" s="93">
        <f>IF(-112137.91969="","-",-166600.22808/-112137.91969*100)</f>
        <v>148.56725409260176</v>
      </c>
    </row>
    <row r="23" spans="1:420">
      <c r="A23" s="37" t="s">
        <v>172</v>
      </c>
      <c r="B23" s="8">
        <v>-39.1</v>
      </c>
      <c r="C23" s="8">
        <v>116</v>
      </c>
      <c r="D23" s="8">
        <v>-57.4</v>
      </c>
      <c r="E23" s="8">
        <v>129.30000000000001</v>
      </c>
      <c r="F23" s="8">
        <v>-86.2</v>
      </c>
      <c r="G23" s="8">
        <v>146</v>
      </c>
      <c r="H23" s="8">
        <v>-76.900000000000006</v>
      </c>
      <c r="I23" s="8">
        <v>141.4</v>
      </c>
      <c r="J23" s="8">
        <v>-87.5</v>
      </c>
      <c r="K23" s="8">
        <v>175.2</v>
      </c>
      <c r="L23" s="8">
        <v>-80.3</v>
      </c>
      <c r="M23" s="8">
        <v>94</v>
      </c>
      <c r="N23" s="8">
        <v>-86.3</v>
      </c>
      <c r="O23" s="8">
        <v>152.9</v>
      </c>
      <c r="P23" s="52">
        <v>-89.7</v>
      </c>
      <c r="Q23" s="52">
        <v>171.5</v>
      </c>
      <c r="R23" s="52">
        <v>-107.5</v>
      </c>
      <c r="S23" s="52">
        <v>189.5</v>
      </c>
      <c r="T23" s="52">
        <v>-95.7</v>
      </c>
      <c r="U23" s="52">
        <v>142.5</v>
      </c>
      <c r="V23" s="52">
        <v>-95.7</v>
      </c>
      <c r="W23" s="52">
        <v>140.30000000000001</v>
      </c>
      <c r="X23" s="52">
        <v>-104.8</v>
      </c>
      <c r="Y23" s="52">
        <v>134.30000000000001</v>
      </c>
      <c r="Z23" s="60">
        <v>-1007.1</v>
      </c>
      <c r="AA23" s="60">
        <v>142.69999999999999</v>
      </c>
      <c r="AB23" s="51">
        <v>-64.7</v>
      </c>
      <c r="AC23" s="52">
        <v>166</v>
      </c>
      <c r="AD23" s="52">
        <v>-60.1</v>
      </c>
      <c r="AE23" s="52">
        <v>104.6</v>
      </c>
      <c r="AF23" s="52">
        <v>-105.7</v>
      </c>
      <c r="AG23" s="52">
        <v>122.5</v>
      </c>
      <c r="AH23" s="52">
        <v>-90.2</v>
      </c>
      <c r="AI23" s="52">
        <v>117.3</v>
      </c>
      <c r="AJ23" s="52">
        <v>-87.2</v>
      </c>
      <c r="AK23" s="52">
        <v>99.8</v>
      </c>
      <c r="AL23" s="52">
        <v>-83.1</v>
      </c>
      <c r="AM23" s="52">
        <v>103.5</v>
      </c>
      <c r="AN23" s="52">
        <v>-79.7</v>
      </c>
      <c r="AO23" s="52">
        <v>92.4</v>
      </c>
      <c r="AP23" s="51">
        <v>-83.3</v>
      </c>
      <c r="AQ23" s="63">
        <v>93</v>
      </c>
      <c r="AR23" s="51">
        <v>-97.9</v>
      </c>
      <c r="AS23" s="52">
        <v>91</v>
      </c>
      <c r="AT23" s="51">
        <v>-106.9</v>
      </c>
      <c r="AU23" s="52">
        <v>111.6</v>
      </c>
      <c r="AV23" s="52">
        <v>-87.3</v>
      </c>
      <c r="AW23" s="52">
        <v>91.3</v>
      </c>
      <c r="AX23" s="51">
        <v>-104</v>
      </c>
      <c r="AY23" s="52">
        <v>99.3</v>
      </c>
      <c r="AZ23" s="60">
        <v>-1050.2</v>
      </c>
      <c r="BA23" s="60">
        <v>104.3</v>
      </c>
      <c r="BB23" s="52">
        <v>-73.2</v>
      </c>
      <c r="BC23" s="52">
        <v>113</v>
      </c>
      <c r="BD23" s="52">
        <v>-61</v>
      </c>
      <c r="BE23" s="52">
        <v>101.6</v>
      </c>
      <c r="BF23" s="52">
        <v>-85</v>
      </c>
      <c r="BG23" s="52">
        <v>80.599999999999994</v>
      </c>
      <c r="BH23" s="52">
        <v>-86.6</v>
      </c>
      <c r="BI23" s="52">
        <v>96.1</v>
      </c>
      <c r="BJ23" s="52">
        <v>-76.900000000000006</v>
      </c>
      <c r="BK23" s="52">
        <v>88.5</v>
      </c>
      <c r="BL23" s="52">
        <v>-86.1</v>
      </c>
      <c r="BM23" s="52">
        <v>103.7</v>
      </c>
      <c r="BN23" s="52">
        <v>-86.4</v>
      </c>
      <c r="BO23" s="52">
        <v>108.5</v>
      </c>
      <c r="BP23" s="52">
        <v>-82</v>
      </c>
      <c r="BQ23" s="52">
        <v>98.4</v>
      </c>
      <c r="BR23" s="52">
        <v>-84.4</v>
      </c>
      <c r="BS23" s="52">
        <v>86.5</v>
      </c>
      <c r="BT23" s="63">
        <v>-79.8</v>
      </c>
      <c r="BU23" s="63">
        <v>74.599999999999994</v>
      </c>
      <c r="BV23" s="52">
        <v>-76.8</v>
      </c>
      <c r="BW23" s="63">
        <v>88</v>
      </c>
      <c r="BX23" s="63">
        <v>-102</v>
      </c>
      <c r="BY23" s="63">
        <v>98.1</v>
      </c>
      <c r="BZ23" s="109">
        <v>-980.2</v>
      </c>
      <c r="CA23" s="109">
        <v>93.4</v>
      </c>
      <c r="CB23" s="52">
        <v>-46.1</v>
      </c>
      <c r="CC23" s="63">
        <v>62.9</v>
      </c>
      <c r="CD23" s="52">
        <v>-76</v>
      </c>
      <c r="CE23" s="63">
        <v>124.9</v>
      </c>
      <c r="CF23" s="63">
        <v>-89.3</v>
      </c>
      <c r="CG23" s="63">
        <v>105.2</v>
      </c>
      <c r="CH23" s="51">
        <v>-67.3</v>
      </c>
      <c r="CI23" s="63">
        <v>77.7</v>
      </c>
      <c r="CJ23" s="51">
        <v>-79.5</v>
      </c>
      <c r="CK23" s="63">
        <v>103.6</v>
      </c>
      <c r="CL23" s="52">
        <v>-76.599999999999994</v>
      </c>
      <c r="CM23" s="63">
        <v>88.9</v>
      </c>
      <c r="CN23" s="63">
        <v>-70.8</v>
      </c>
      <c r="CO23" s="52">
        <v>81.900000000000006</v>
      </c>
      <c r="CP23" s="51">
        <v>-62.9</v>
      </c>
      <c r="CQ23" s="52">
        <v>76.599999999999994</v>
      </c>
      <c r="CR23" s="52">
        <v>-82.3</v>
      </c>
      <c r="CS23" s="52">
        <v>97.4</v>
      </c>
      <c r="CT23" s="51">
        <v>-85.7</v>
      </c>
      <c r="CU23" s="52">
        <v>107.4</v>
      </c>
      <c r="CV23" s="51">
        <v>-92.6</v>
      </c>
      <c r="CW23" s="52">
        <v>120.6</v>
      </c>
      <c r="CX23" s="52">
        <v>-113</v>
      </c>
      <c r="CY23" s="52">
        <v>110.7</v>
      </c>
      <c r="CZ23" s="60">
        <v>-942.1</v>
      </c>
      <c r="DA23" s="60">
        <v>96.1</v>
      </c>
      <c r="DB23" s="52">
        <v>-50</v>
      </c>
      <c r="DC23" s="51">
        <v>108.3</v>
      </c>
      <c r="DD23" s="52">
        <v>-57</v>
      </c>
      <c r="DE23" s="52">
        <v>75</v>
      </c>
      <c r="DF23" s="52">
        <v>-82</v>
      </c>
      <c r="DG23" s="52">
        <v>91.6</v>
      </c>
      <c r="DH23" s="52">
        <v>-54.5</v>
      </c>
      <c r="DI23" s="52">
        <v>81</v>
      </c>
      <c r="DJ23" s="51">
        <v>-70.8</v>
      </c>
      <c r="DK23" s="52">
        <v>88.9</v>
      </c>
      <c r="DL23" s="51">
        <v>-76.400000000000006</v>
      </c>
      <c r="DM23" s="51">
        <v>99.8</v>
      </c>
      <c r="DN23" s="52">
        <v>-66.900000000000006</v>
      </c>
      <c r="DO23" s="51">
        <v>94.5</v>
      </c>
      <c r="DP23" s="51">
        <v>-53.2</v>
      </c>
      <c r="DQ23" s="52">
        <v>84.7</v>
      </c>
      <c r="DR23" s="51">
        <v>-65.400000000000006</v>
      </c>
      <c r="DS23" s="52">
        <v>79.5</v>
      </c>
      <c r="DT23" s="52">
        <v>-59.1</v>
      </c>
      <c r="DU23" s="52">
        <v>69.2</v>
      </c>
      <c r="DV23" s="52">
        <v>-54.9</v>
      </c>
      <c r="DW23" s="52">
        <v>59.2</v>
      </c>
      <c r="DX23" s="51">
        <v>-67.3</v>
      </c>
      <c r="DY23" s="51">
        <v>59.7</v>
      </c>
      <c r="DZ23" s="60">
        <v>-757.5</v>
      </c>
      <c r="EA23" s="60">
        <v>80.400000000000006</v>
      </c>
      <c r="EB23" s="52">
        <v>-29.3</v>
      </c>
      <c r="EC23" s="52">
        <v>58.8</v>
      </c>
      <c r="ED23" s="51">
        <v>-54.1</v>
      </c>
      <c r="EE23" s="52">
        <v>95</v>
      </c>
      <c r="EF23" s="63">
        <v>-62.9</v>
      </c>
      <c r="EG23" s="51">
        <v>76.7</v>
      </c>
      <c r="EH23" s="51">
        <v>-53.4</v>
      </c>
      <c r="EI23" s="52">
        <v>98.3</v>
      </c>
      <c r="EJ23" s="52">
        <v>-63</v>
      </c>
      <c r="EK23" s="52">
        <v>89.3</v>
      </c>
      <c r="EL23" s="52">
        <v>-66.3</v>
      </c>
      <c r="EM23" s="52">
        <v>86.9</v>
      </c>
      <c r="EN23" s="51">
        <v>-51.1</v>
      </c>
      <c r="EO23" s="52">
        <v>76.3</v>
      </c>
      <c r="EP23" s="52">
        <v>-68.599999999999994</v>
      </c>
      <c r="EQ23" s="52">
        <v>128.69999999999999</v>
      </c>
      <c r="ER23" s="52">
        <v>-65.2</v>
      </c>
      <c r="ES23" s="52">
        <v>99.7</v>
      </c>
      <c r="ET23" s="52">
        <v>-64.8</v>
      </c>
      <c r="EU23" s="52">
        <v>109.6</v>
      </c>
      <c r="EV23" s="52">
        <v>-64.3</v>
      </c>
      <c r="EW23" s="52">
        <v>117</v>
      </c>
      <c r="EX23" s="52">
        <v>-78.099999999999994</v>
      </c>
      <c r="EY23" s="52">
        <v>115.8</v>
      </c>
      <c r="EZ23" s="60">
        <v>-720.8</v>
      </c>
      <c r="FA23" s="60">
        <v>95.1</v>
      </c>
      <c r="FB23" s="52">
        <v>-50.4</v>
      </c>
      <c r="FC23" s="52">
        <v>172.3</v>
      </c>
      <c r="FD23" s="52">
        <v>-62.4</v>
      </c>
      <c r="FE23" s="52">
        <v>115.4</v>
      </c>
      <c r="FF23" s="52">
        <v>-69.2</v>
      </c>
      <c r="FG23" s="52">
        <v>110.1</v>
      </c>
      <c r="FH23" s="52">
        <v>-63.3</v>
      </c>
      <c r="FI23" s="52">
        <v>118.6</v>
      </c>
      <c r="FJ23" s="52">
        <v>-78.8</v>
      </c>
      <c r="FK23" s="52">
        <v>125.2</v>
      </c>
      <c r="FL23" s="52">
        <v>-82.5</v>
      </c>
      <c r="FM23" s="52">
        <v>124.5</v>
      </c>
      <c r="FN23" s="52">
        <v>-68.2</v>
      </c>
      <c r="FO23" s="52">
        <v>133.5</v>
      </c>
      <c r="FP23" s="52">
        <v>-77.8</v>
      </c>
      <c r="FQ23" s="52">
        <v>113.5</v>
      </c>
      <c r="FR23" s="52">
        <v>-73.099999999999994</v>
      </c>
      <c r="FS23" s="52">
        <v>112.1</v>
      </c>
      <c r="FT23" s="52">
        <v>-84.1</v>
      </c>
      <c r="FU23" s="52">
        <v>129.69999999999999</v>
      </c>
      <c r="FV23" s="52">
        <v>-74.2</v>
      </c>
      <c r="FW23" s="52">
        <v>115.5</v>
      </c>
      <c r="FX23" s="52">
        <v>-86.8</v>
      </c>
      <c r="FY23" s="52">
        <v>111.2</v>
      </c>
      <c r="FZ23" s="60">
        <v>-870.8</v>
      </c>
      <c r="GA23" s="60">
        <v>120.8</v>
      </c>
      <c r="GB23" s="52">
        <v>-68.7</v>
      </c>
      <c r="GC23" s="52">
        <v>136.19999999999999</v>
      </c>
      <c r="GD23" s="52">
        <v>-75.2</v>
      </c>
      <c r="GE23" s="52">
        <v>120.5</v>
      </c>
      <c r="GF23" s="52">
        <v>-96.1</v>
      </c>
      <c r="GG23" s="52">
        <v>139</v>
      </c>
      <c r="GH23" s="52">
        <v>-78.3</v>
      </c>
      <c r="GI23" s="52">
        <v>123.5</v>
      </c>
      <c r="GJ23" s="57">
        <v>-98</v>
      </c>
      <c r="GK23" s="52">
        <v>124.3</v>
      </c>
      <c r="GL23" s="57">
        <v>-79.3</v>
      </c>
      <c r="GM23" s="52">
        <v>96.2</v>
      </c>
      <c r="GN23" s="57">
        <v>-86.2</v>
      </c>
      <c r="GO23" s="52">
        <v>126.4</v>
      </c>
      <c r="GP23" s="92">
        <v>-97</v>
      </c>
      <c r="GQ23" s="93">
        <v>124.7</v>
      </c>
      <c r="GR23" s="57">
        <v>-88.6</v>
      </c>
      <c r="GS23" s="52">
        <v>121.2</v>
      </c>
      <c r="GT23" s="57">
        <v>-100.1</v>
      </c>
      <c r="GU23" s="93">
        <v>119.1</v>
      </c>
      <c r="GV23" s="57">
        <v>-85.3</v>
      </c>
      <c r="GW23" s="92">
        <v>114.9</v>
      </c>
      <c r="GX23" s="57">
        <v>-78.900000000000006</v>
      </c>
      <c r="GY23" s="102">
        <v>90.9</v>
      </c>
      <c r="GZ23" s="95">
        <v>-1031.8000000000002</v>
      </c>
      <c r="HA23" s="97">
        <v>118.5</v>
      </c>
      <c r="HB23" s="92">
        <v>-49.1</v>
      </c>
      <c r="HC23" s="92">
        <f>IF(-68743.34088="","-",-49122.95173/-68743.34088*100)</f>
        <v>71.458487616640838</v>
      </c>
      <c r="HD23" s="92">
        <v>-65.099999999999994</v>
      </c>
      <c r="HE23" s="92">
        <f>IF(-75215.17058="","-",-64968.68272/-75215.17058*100)</f>
        <v>86.377099485400109</v>
      </c>
      <c r="HF23" s="92">
        <v>-70.900000000000006</v>
      </c>
      <c r="HG23" s="92">
        <f>IF(-96162.1251="","-",-70856.71823/-96162.1251*100)</f>
        <v>73.684642634837104</v>
      </c>
      <c r="HH23" s="92">
        <v>-72.900000000000006</v>
      </c>
      <c r="HI23" s="92">
        <f>IF(-78229.275="","-",-72928.06877/-78229.275*100)</f>
        <v>93.223500754672727</v>
      </c>
      <c r="HJ23" s="92">
        <v>-93.5</v>
      </c>
      <c r="HK23" s="92">
        <f>IF(-97963.42227="","-",-93537.90914/-97963.42227*100)</f>
        <v>95.482484148213302</v>
      </c>
      <c r="HL23" s="92">
        <v>-78.8</v>
      </c>
      <c r="HM23" s="92">
        <f>IF(-79308.57679="","-",-78829.42844/-79308.57679*100)</f>
        <v>99.395842960000749</v>
      </c>
      <c r="HN23" s="92">
        <v>-91.6</v>
      </c>
      <c r="HO23" s="92">
        <f>IF(-86212.09604="","-",-91604.65455/-86212.09604*100)</f>
        <v>106.25499060769616</v>
      </c>
      <c r="HP23" s="92">
        <v>-92.9</v>
      </c>
      <c r="HQ23" s="92">
        <f>IF(-97018.75686="","-",-92897.56943/-97018.75686*100)</f>
        <v>95.752174565638953</v>
      </c>
      <c r="HR23" s="92">
        <v>-96.4</v>
      </c>
      <c r="HS23" s="92">
        <f>IF(-88577.83328="","-",-96349.75914/-88577.83328*100)</f>
        <v>108.77412053581448</v>
      </c>
      <c r="HT23" s="92">
        <v>-107.5</v>
      </c>
      <c r="HU23" s="92">
        <f>IF(-100116.58741="","-",-107453.08418/-100116.58741*100)</f>
        <v>107.32795329904266</v>
      </c>
      <c r="HV23" s="92">
        <v>-91.5</v>
      </c>
      <c r="HW23" s="92">
        <f>IF(-85318.91506="","-",-91606.51968/-85318.91506*100)</f>
        <v>107.36953185067846</v>
      </c>
      <c r="HX23" s="92">
        <v>-111.4</v>
      </c>
      <c r="HY23" s="92">
        <f>IF(-78924.7642="","-",-111457.13723/-78924.7642*100)</f>
        <v>141.21947447009288</v>
      </c>
      <c r="HZ23" s="97">
        <v>-1021.6</v>
      </c>
      <c r="IA23" s="97">
        <f>IF(-1031790.86347="","-",-1021612.48324/-1031790.86347*100)</f>
        <v>99.013522934699267</v>
      </c>
      <c r="IB23" s="57">
        <v>-64</v>
      </c>
      <c r="IC23" s="92">
        <f>IF(-49044.40879="","-",-64035.70411/-49044.40879*100)</f>
        <v>130.56677751829005</v>
      </c>
      <c r="ID23" s="57">
        <v>-83.9</v>
      </c>
      <c r="IE23" s="92">
        <f>IF(-66368.23811="","-",-83891.62637/-66368.23811*100)</f>
        <v>126.403274757658</v>
      </c>
      <c r="IF23" s="57">
        <v>-95.9</v>
      </c>
      <c r="IG23" s="92">
        <f>IF(-72151.92842="","-",-95853.5491/-72151.92842*100)</f>
        <v>132.84960111118815</v>
      </c>
      <c r="IH23" s="57">
        <v>-51.2</v>
      </c>
      <c r="II23" s="92">
        <f>IF(-73096.15781="","-",-51144.8719/-73096.15781*100)</f>
        <v>69.969302672435489</v>
      </c>
      <c r="IJ23" s="57">
        <v>-68.099999999999994</v>
      </c>
      <c r="IK23" s="92">
        <f>IF(-92825.38346="","-",-68086.9722/-92825.38346*100)</f>
        <v>73.34951891616997</v>
      </c>
      <c r="IL23" s="92">
        <v>-92.8</v>
      </c>
      <c r="IM23" s="92">
        <f>IF(-78156.78731="","-",-92807.16812/-78156.78731*100)</f>
        <v>118.74486057351734</v>
      </c>
      <c r="IN23" s="57">
        <v>-108.9</v>
      </c>
      <c r="IO23" s="92">
        <f>IF(-91143.33893="","-",-108945.60756/-91143.33893*100)</f>
        <v>119.53216640842237</v>
      </c>
      <c r="IP23" s="57">
        <v>-107.7</v>
      </c>
      <c r="IQ23" s="92">
        <f>IF(-94294.43337="","-",-107684.47106/-94294.43337*100)</f>
        <v>114.20024195644625</v>
      </c>
      <c r="IR23" s="92">
        <v>-130</v>
      </c>
      <c r="IS23" s="92">
        <f>IF(-98037.49949="","-",-130034.49246/-98037.49949*100)</f>
        <v>132.63750415550302</v>
      </c>
      <c r="IT23" s="92">
        <v>-115.1</v>
      </c>
      <c r="IU23" s="92">
        <f>IF(-108275.0246="","-",-115117.98899/-108275.0246*100)</f>
        <v>106.3199841471105</v>
      </c>
      <c r="IV23" s="92">
        <v>-118.6</v>
      </c>
      <c r="IW23" s="92">
        <f>IF(-93138.94559="","-",-118593.51189/-93138.94559*100)</f>
        <v>127.32966981616008</v>
      </c>
      <c r="IX23" s="92">
        <v>-141.5</v>
      </c>
      <c r="IY23" s="93">
        <f>IF(-113878.09311="","-",-141549.01985/-113878.09311*100)</f>
        <v>124.29872680891434</v>
      </c>
      <c r="IZ23" s="97">
        <v>-1177.7</v>
      </c>
      <c r="JA23" s="97">
        <f>IF(-1030410.23899="","-",-1177744.98361/-1030410.23899*100)</f>
        <v>114.29864912487831</v>
      </c>
      <c r="JB23" s="145">
        <v>-86.2</v>
      </c>
      <c r="JC23" s="92">
        <f>IF(-64035.70411="","-",-86197.26964/-64035.70411*100)</f>
        <v>134.60813906556106</v>
      </c>
      <c r="JD23" s="145">
        <v>-101.4</v>
      </c>
      <c r="JE23" s="92">
        <f>IF(-83891.62637="","-",-101421.83386/-83891.62637*100)</f>
        <v>120.89625418952288</v>
      </c>
      <c r="JF23" s="148">
        <v>-138.30000000000001</v>
      </c>
      <c r="JG23" s="92">
        <f>IF(-95853.5491="","-",-138314.56267/-95853.5491*100)</f>
        <v>144.29780010096675</v>
      </c>
      <c r="JH23" s="148">
        <v>-114.9</v>
      </c>
      <c r="JI23" s="92">
        <f>IF(-51144.8719="","-",-114950.5408/-51144.8719*100)</f>
        <v>224.75477311734159</v>
      </c>
      <c r="JJ23" s="145">
        <v>-146</v>
      </c>
      <c r="JK23" s="92">
        <f>IF(-68086.9722="","-",-145970.82571/-68086.9722*100)</f>
        <v>214.38877511137147</v>
      </c>
      <c r="JL23" s="145">
        <v>-124.5</v>
      </c>
      <c r="JM23" s="92">
        <f>IF(-92807.16812="","-",-124490.46428/-92807.16812*100)</f>
        <v>134.13884595533975</v>
      </c>
      <c r="JN23" s="145">
        <v>-104.4</v>
      </c>
      <c r="JO23" s="92">
        <f>IF(-108945.60756="","-",-104389.59188/-108945.60756*100)</f>
        <v>95.818082268722165</v>
      </c>
      <c r="JP23" s="145">
        <v>-92.3</v>
      </c>
      <c r="JQ23" s="92">
        <f>IF(-107684.47106="","-",-92331.67783/-107684.47106*100)</f>
        <v>85.742797379349454</v>
      </c>
      <c r="JR23" s="145">
        <v>-118.1</v>
      </c>
      <c r="JS23" s="92">
        <f>IF(-130034.49246="","-",-118113.91604/-130034.49246*100)</f>
        <v>90.832758144023302</v>
      </c>
      <c r="JT23" s="148">
        <v>-96</v>
      </c>
      <c r="JU23" s="92">
        <f>IF(-115117.98899="","-",-95939.43327/-115117.98899*100)</f>
        <v>83.340087949533242</v>
      </c>
      <c r="JV23" s="57">
        <v>-105.69999999999999</v>
      </c>
      <c r="JW23" s="93">
        <f>IF(-118593.51189="","-",-105718.43764/-118593.51189*100)</f>
        <v>89.143525607082026</v>
      </c>
      <c r="JX23" s="148">
        <v>-135.5</v>
      </c>
      <c r="JY23" s="93">
        <f>IF(-141549.01985="","-",-135564.94296/-141549.01985*100)</f>
        <v>95.77243495126892</v>
      </c>
      <c r="JZ23" s="95">
        <v>-1363.4</v>
      </c>
      <c r="KA23" s="179">
        <f>IF(-1177744.98361="","-",-1363403.49658/-1177744.98361*100)</f>
        <v>115.7638975800112</v>
      </c>
      <c r="KB23" s="57">
        <v>-65.5</v>
      </c>
      <c r="KC23" s="93">
        <f>IF(-86197.26964="","-",-65479.19188/-86197.26964*100)</f>
        <v>75.964345684581019</v>
      </c>
      <c r="KD23" s="57">
        <v>-77.200000000000017</v>
      </c>
      <c r="KE23" s="93">
        <f>IF(-101421.83386="","-",-77215.84938/-101421.83386*100)</f>
        <v>76.133359495931316</v>
      </c>
      <c r="KF23" s="57">
        <v>-116</v>
      </c>
      <c r="KG23" s="93">
        <f>IF(-138314.56267="","-",-115933.33578/-138314.56267*100)</f>
        <v>83.81860415999823</v>
      </c>
      <c r="KH23" s="57">
        <v>-163.1</v>
      </c>
      <c r="KI23" s="93">
        <f>IF(-114950.5408="","-",-163073.19473/-114950.5408*100)</f>
        <v>141.86379080523645</v>
      </c>
      <c r="KJ23" s="57">
        <v>-165.7</v>
      </c>
      <c r="KK23" s="93">
        <f>IF(-145970.82571="","-",-165760.1403/-145970.82571*100)</f>
        <v>113.55703408112208</v>
      </c>
      <c r="KL23" s="57">
        <v>-140.80000000000001</v>
      </c>
      <c r="KM23" s="93">
        <f>IF(-124490.46428="","-",-140804.53494/-124490.46428*100)</f>
        <v>113.10467492779762</v>
      </c>
      <c r="KN23" s="57">
        <v>-173.5</v>
      </c>
      <c r="KO23" s="93">
        <f>IF(-104389.59188="","-",-173456.28149/-104389.59188*100)</f>
        <v>166.16242899904705</v>
      </c>
      <c r="KP23" s="57">
        <v>-200.7</v>
      </c>
      <c r="KQ23" s="93">
        <f>IF(-92331.67783="","-",-200680.16339/-92331.67783*100)</f>
        <v>217.34703419934593</v>
      </c>
      <c r="KR23" s="57">
        <v>-227.79999999999998</v>
      </c>
      <c r="KS23" s="92">
        <f>IF(-118113.91604="","-",-227793.06627/-118113.91604*100)</f>
        <v>192.8587874377618</v>
      </c>
      <c r="KT23" s="57">
        <v>-174.8</v>
      </c>
      <c r="KU23" s="93">
        <f>IF(-95939.43327="","-",-174788.91753/-95939.43327*100)</f>
        <v>182.18673132881224</v>
      </c>
      <c r="KV23" s="57">
        <v>-189.7</v>
      </c>
      <c r="KW23" s="93">
        <f>IF(-105718.43764="","-",-189739.43582/-105718.43764*100)</f>
        <v>179.47620117704949</v>
      </c>
      <c r="KX23" s="57">
        <v>-222.3</v>
      </c>
      <c r="KY23" s="93">
        <f>IF(-135564.94296="","-",-222282.79674/-135564.94296*100)</f>
        <v>163.96775736156738</v>
      </c>
      <c r="KZ23" s="95">
        <v>-1917</v>
      </c>
      <c r="LA23" s="179">
        <f>IF(-1363403.49658="","-",-1917006.90825/-1363403.49658*100)</f>
        <v>140.60451752241173</v>
      </c>
      <c r="LB23" s="57">
        <v>-160.79999999999998</v>
      </c>
      <c r="LC23" s="92">
        <f>IF(-65479.19188="","-",-160766.12833/-65479.19188*100)</f>
        <v>245.52246861052743</v>
      </c>
      <c r="LD23" s="57">
        <v>-169.5</v>
      </c>
      <c r="LE23" s="92">
        <f>IF(-77215.84938="","-",-169468.25542/-77215.84938*100)</f>
        <v>219.47340705403766</v>
      </c>
      <c r="LF23" s="57">
        <v>-199.5</v>
      </c>
      <c r="LG23" s="93">
        <f>IF(-115933.33578="","-",-199499.51726/-115933.33578*100)</f>
        <v>172.08123609811307</v>
      </c>
      <c r="LH23" s="57">
        <v>-174.3</v>
      </c>
      <c r="LI23" s="93">
        <f>IF(-LO26="","-",-174289.776/-163073.19473*100)</f>
        <v>106.87824954222016</v>
      </c>
      <c r="LJ23" s="57">
        <v>-196.5</v>
      </c>
      <c r="LK23" s="93">
        <f>IF(-165760.1403="","-",-196572.20308/-165760.1403*100)</f>
        <v>118.58834260409949</v>
      </c>
      <c r="LL23" s="57">
        <v>-200.2</v>
      </c>
      <c r="LM23" s="93">
        <f>IF(-140804.53494="","-",-200198.65383/-140804.53494*100)</f>
        <v>142.18196446251477</v>
      </c>
      <c r="LN23" s="57">
        <v>-186.39999999999998</v>
      </c>
      <c r="LO23" s="93">
        <f>IF(-173456.28149="","-",-186348.85659/-173456.28149*100)</f>
        <v>107.43275192414596</v>
      </c>
      <c r="LP23" s="57">
        <v>-229.1</v>
      </c>
      <c r="LQ23" s="93">
        <f>IF(-200680.16339="","-",-229102.20259/-200680.16339*100)</f>
        <v>114.16285432495133</v>
      </c>
      <c r="LR23" s="57">
        <v>-237.1</v>
      </c>
      <c r="LS23" s="92">
        <f>IF(-227793.06627="","-",-237127.14638/-227793.06627*100)</f>
        <v>104.09761379608298</v>
      </c>
      <c r="LT23" s="57">
        <v>-231.3</v>
      </c>
      <c r="LU23" s="92">
        <f>IF(-174788.91753="","-",-231384.96071/-174788.91753*100)</f>
        <v>132.37965197094726</v>
      </c>
      <c r="LV23" s="57">
        <v>-183.2</v>
      </c>
      <c r="LW23" s="92">
        <f>IF(-189739.43582="","-",-183271.50946/-189739.43582*100)</f>
        <v>96.591153371966413</v>
      </c>
      <c r="LX23" s="92">
        <v>-204.1</v>
      </c>
      <c r="LY23" s="92">
        <f>IF(-222282.79674="","-",-204137.27887/-222282.79674*100)</f>
        <v>91.836742142836883</v>
      </c>
      <c r="LZ23" s="95">
        <v>-2372.1999999999998</v>
      </c>
      <c r="MA23" s="97">
        <f>IF(-1917006.90825="","-",-2372166.48852/-1917006.90825*100)</f>
        <v>123.74324152464879</v>
      </c>
      <c r="MB23" s="57">
        <v>-256.7</v>
      </c>
      <c r="MC23" s="92">
        <f>IF(-206087.87645="","-",-256758.00713/-206087.87645*100)</f>
        <v>124.58666252126352</v>
      </c>
      <c r="MD23" s="92">
        <v>-258.8</v>
      </c>
      <c r="ME23" s="92">
        <f>IF(-202966.20527="","-",-258796.10628/-202966.20527*100)</f>
        <v>127.50699355872132</v>
      </c>
      <c r="MF23" s="92">
        <v>-283.39999999999998</v>
      </c>
      <c r="MG23" s="92">
        <f>IF(-240044.72506="","-",-283378.9814/-240044.72506*100)</f>
        <v>118.05257596440349</v>
      </c>
      <c r="MH23" s="92">
        <v>-275.90000000000003</v>
      </c>
      <c r="MI23" s="92">
        <f>IF(-228409.40102="","-",-275913.27143/-228409.40102*100)</f>
        <v>120.79768617135005</v>
      </c>
      <c r="MJ23" s="92">
        <v>-262.5</v>
      </c>
      <c r="MK23" s="92">
        <f>IF(-218523.67996="","-",-262601.27312/-218523.67996*100)</f>
        <v>120.17062552125621</v>
      </c>
      <c r="ML23" s="93">
        <v>-218.09999999999997</v>
      </c>
      <c r="MM23" s="93">
        <f>IF(-215969.45142="","-",-218060.28003/-215969.45142*100)</f>
        <v>100.96811312722831</v>
      </c>
      <c r="MN23" s="93">
        <v>-276.5</v>
      </c>
      <c r="MO23" s="93">
        <f>IF(-205695.7557="","-",-276478.18235/-205695.7557*100)</f>
        <v>134.41122370713069</v>
      </c>
      <c r="MP23" s="93">
        <v>-283.10000000000002</v>
      </c>
      <c r="MQ23" s="93">
        <f>IF(-249574.3831="","-",-283141.27104/-249574.3831*100)</f>
        <v>113.44965277407913</v>
      </c>
    </row>
    <row r="24" spans="1:420">
      <c r="A24" s="3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60"/>
      <c r="AA24" s="60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39"/>
      <c r="AQ24" s="52"/>
      <c r="AR24" s="52"/>
      <c r="AS24" s="52"/>
      <c r="AT24" s="52"/>
      <c r="AU24" s="52"/>
      <c r="AV24" s="52"/>
      <c r="AW24" s="52"/>
      <c r="AX24" s="52"/>
      <c r="AY24" s="52"/>
      <c r="AZ24" s="60"/>
      <c r="BA24" s="60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60"/>
      <c r="CA24" s="60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60"/>
      <c r="DA24" s="60"/>
      <c r="DB24" s="52"/>
      <c r="DC24" s="50"/>
      <c r="DD24" s="51"/>
      <c r="DE24" s="51"/>
      <c r="DF24" s="50"/>
      <c r="DG24" s="51"/>
      <c r="DH24" s="52"/>
      <c r="DI24" s="54"/>
      <c r="DJ24" s="51"/>
      <c r="DK24" s="51"/>
      <c r="DL24" s="51"/>
      <c r="DM24" s="51"/>
      <c r="DN24" s="39"/>
      <c r="DO24" s="51"/>
      <c r="DP24" s="51"/>
      <c r="DQ24" s="51"/>
      <c r="DR24" s="50"/>
      <c r="DS24" s="50"/>
      <c r="DT24" s="53"/>
      <c r="DU24" s="50"/>
      <c r="DV24" s="54"/>
      <c r="DW24" s="51"/>
      <c r="DX24" s="50"/>
      <c r="DY24" s="50"/>
      <c r="DZ24" s="104"/>
      <c r="EA24" s="104"/>
      <c r="EB24" s="53"/>
      <c r="EC24" s="50"/>
      <c r="ED24" s="51"/>
      <c r="EE24" s="51"/>
      <c r="EF24" s="54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77"/>
      <c r="FA24" s="77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77"/>
      <c r="GA24" s="77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77"/>
      <c r="HA24" s="77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95"/>
      <c r="IA24" s="95"/>
      <c r="IB24" s="57"/>
      <c r="IC24" s="57"/>
      <c r="ID24" s="57"/>
      <c r="IE24" s="57"/>
      <c r="IF24" s="57"/>
      <c r="IG24" s="57"/>
      <c r="IH24" s="114"/>
      <c r="II24" s="119"/>
      <c r="IJ24" s="92"/>
      <c r="IK24" s="119"/>
      <c r="IL24" s="119"/>
      <c r="IM24" s="119"/>
      <c r="IN24" s="119"/>
      <c r="IO24" s="119"/>
      <c r="IP24" s="119"/>
      <c r="IQ24" s="119"/>
      <c r="IR24" s="114"/>
      <c r="IS24" s="119"/>
      <c r="IT24" s="114"/>
      <c r="IU24" s="119"/>
      <c r="IV24" s="114"/>
      <c r="IW24" s="119"/>
      <c r="IX24" s="114"/>
      <c r="IY24" s="119"/>
      <c r="IZ24" s="118"/>
      <c r="JA24" s="120"/>
      <c r="JB24" s="163"/>
      <c r="JC24" s="163"/>
      <c r="JD24" s="163"/>
      <c r="JE24" s="163"/>
      <c r="JF24" s="163"/>
      <c r="JG24" s="163"/>
      <c r="JH24" s="146"/>
      <c r="JI24" s="147"/>
      <c r="JJ24" s="147"/>
      <c r="JK24" s="147"/>
      <c r="JL24" s="147"/>
      <c r="JM24" s="147"/>
      <c r="JN24" s="147"/>
      <c r="JO24" s="147"/>
      <c r="JP24" s="147"/>
      <c r="JQ24" s="147"/>
      <c r="JR24" s="147"/>
      <c r="JS24" s="147"/>
      <c r="JT24" s="147"/>
      <c r="JU24" s="147"/>
      <c r="JV24" s="147"/>
      <c r="JW24" s="147"/>
      <c r="JX24" s="147"/>
      <c r="JY24" s="147"/>
      <c r="JZ24" s="169"/>
      <c r="KA24" s="169"/>
      <c r="KB24" s="147"/>
      <c r="KC24" s="147"/>
      <c r="KD24" s="147"/>
      <c r="KE24" s="147"/>
      <c r="KF24" s="147"/>
      <c r="KG24" s="147"/>
      <c r="KH24" s="147"/>
      <c r="KI24" s="147"/>
      <c r="KJ24" s="147"/>
      <c r="KK24" s="147"/>
      <c r="KL24" s="147"/>
      <c r="KM24" s="147"/>
      <c r="KN24" s="147"/>
      <c r="KO24" s="147"/>
      <c r="KP24" s="147"/>
      <c r="KQ24" s="147"/>
      <c r="KR24" s="147"/>
      <c r="KS24" s="147"/>
      <c r="KT24" s="147"/>
      <c r="KU24" s="147"/>
      <c r="KV24" s="147"/>
      <c r="KW24" s="147"/>
      <c r="KX24" s="147"/>
      <c r="KY24" s="147"/>
      <c r="KZ24" s="169"/>
      <c r="LA24" s="169"/>
      <c r="LB24" s="187"/>
      <c r="LC24" s="187"/>
      <c r="LD24" s="187"/>
      <c r="LE24" s="187"/>
      <c r="LF24" s="187"/>
      <c r="LG24" s="187"/>
      <c r="LH24" s="147"/>
      <c r="LI24" s="147"/>
      <c r="LJ24" s="147"/>
      <c r="LK24" s="147"/>
      <c r="LL24" s="147"/>
      <c r="LM24" s="147"/>
      <c r="LN24" s="147"/>
      <c r="LO24" s="119"/>
      <c r="LP24" s="119"/>
      <c r="LQ24" s="119"/>
      <c r="LR24" s="119"/>
      <c r="LS24" s="119"/>
      <c r="LT24" s="119"/>
      <c r="LU24" s="119"/>
      <c r="LV24" s="119"/>
      <c r="LW24" s="119"/>
      <c r="LX24" s="119"/>
      <c r="LY24" s="119"/>
      <c r="LZ24" s="120"/>
      <c r="MA24" s="132"/>
      <c r="MB24" s="119"/>
      <c r="MC24" s="119"/>
      <c r="MD24" s="119"/>
      <c r="ME24" s="119"/>
      <c r="MF24" s="119"/>
      <c r="MG24" s="119"/>
      <c r="MH24" s="119"/>
      <c r="MI24" s="119"/>
      <c r="MJ24" s="119"/>
      <c r="MK24" s="119"/>
      <c r="ML24" s="202"/>
      <c r="MM24" s="202"/>
      <c r="MN24" s="202"/>
      <c r="MO24" s="202"/>
      <c r="MP24" s="202"/>
      <c r="MQ24" s="93"/>
    </row>
    <row r="25" spans="1:420" ht="18.75" customHeight="1">
      <c r="A25" s="36" t="s">
        <v>123</v>
      </c>
      <c r="B25" s="7">
        <v>47.2</v>
      </c>
      <c r="C25" s="8"/>
      <c r="D25" s="7">
        <v>45.2</v>
      </c>
      <c r="E25" s="8"/>
      <c r="F25" s="7">
        <v>38.9</v>
      </c>
      <c r="G25" s="8"/>
      <c r="H25" s="7">
        <v>41.8</v>
      </c>
      <c r="I25" s="8"/>
      <c r="J25" s="7">
        <v>39.700000000000003</v>
      </c>
      <c r="K25" s="9"/>
      <c r="L25" s="7">
        <v>41.3</v>
      </c>
      <c r="M25" s="8"/>
      <c r="N25" s="7">
        <v>43.6</v>
      </c>
      <c r="O25" s="8"/>
      <c r="P25" s="39">
        <v>44.2</v>
      </c>
      <c r="Q25" s="52"/>
      <c r="R25" s="39">
        <v>37.700000000000003</v>
      </c>
      <c r="S25" s="52"/>
      <c r="T25" s="39">
        <v>45.1</v>
      </c>
      <c r="U25" s="52"/>
      <c r="V25" s="39">
        <v>49</v>
      </c>
      <c r="W25" s="52"/>
      <c r="X25" s="39">
        <v>40.799999999999997</v>
      </c>
      <c r="Y25" s="52"/>
      <c r="Z25" s="47">
        <v>42.7</v>
      </c>
      <c r="AA25" s="60"/>
      <c r="AB25" s="39">
        <v>43.5</v>
      </c>
      <c r="AC25" s="52"/>
      <c r="AD25" s="39">
        <v>40.6</v>
      </c>
      <c r="AE25" s="52"/>
      <c r="AF25" s="39">
        <v>41.9</v>
      </c>
      <c r="AG25" s="52"/>
      <c r="AH25" s="39">
        <v>42.6</v>
      </c>
      <c r="AI25" s="52"/>
      <c r="AJ25" s="39">
        <v>41.2</v>
      </c>
      <c r="AK25" s="52"/>
      <c r="AL25" s="39">
        <v>44.5</v>
      </c>
      <c r="AM25" s="52"/>
      <c r="AN25" s="39">
        <v>39.1</v>
      </c>
      <c r="AO25" s="52"/>
      <c r="AP25" s="43">
        <v>38.5</v>
      </c>
      <c r="AQ25" s="52"/>
      <c r="AR25" s="39">
        <v>41.6</v>
      </c>
      <c r="AS25" s="52"/>
      <c r="AT25" s="39">
        <v>42.3</v>
      </c>
      <c r="AU25" s="52"/>
      <c r="AV25" s="39">
        <v>45.2</v>
      </c>
      <c r="AW25" s="52"/>
      <c r="AX25" s="39">
        <v>37.1</v>
      </c>
      <c r="AY25" s="52"/>
      <c r="AZ25" s="47">
        <v>41.5</v>
      </c>
      <c r="BA25" s="60"/>
      <c r="BB25" s="39">
        <v>47.5</v>
      </c>
      <c r="BC25" s="52"/>
      <c r="BD25" s="39">
        <v>49.4</v>
      </c>
      <c r="BE25" s="52"/>
      <c r="BF25" s="39">
        <v>45.8</v>
      </c>
      <c r="BG25" s="52"/>
      <c r="BH25" s="39">
        <v>39.700000000000003</v>
      </c>
      <c r="BI25" s="52"/>
      <c r="BJ25" s="39">
        <v>41</v>
      </c>
      <c r="BK25" s="52"/>
      <c r="BL25" s="39">
        <v>40.700000000000003</v>
      </c>
      <c r="BM25" s="52"/>
      <c r="BN25" s="39">
        <v>43</v>
      </c>
      <c r="BO25" s="52"/>
      <c r="BP25" s="39">
        <v>45.7</v>
      </c>
      <c r="BQ25" s="52"/>
      <c r="BR25" s="39">
        <v>43.2</v>
      </c>
      <c r="BS25" s="52"/>
      <c r="BT25" s="42">
        <v>47.4</v>
      </c>
      <c r="BU25" s="52"/>
      <c r="BV25" s="39">
        <v>52.4</v>
      </c>
      <c r="BW25" s="52"/>
      <c r="BX25" s="39">
        <v>36.9</v>
      </c>
      <c r="BY25" s="52"/>
      <c r="BZ25" s="47">
        <v>44.2</v>
      </c>
      <c r="CA25" s="60"/>
      <c r="CB25" s="39">
        <v>53.4</v>
      </c>
      <c r="CC25" s="52"/>
      <c r="CD25" s="39">
        <v>45.3</v>
      </c>
      <c r="CE25" s="52"/>
      <c r="CF25" s="39">
        <v>44.3</v>
      </c>
      <c r="CG25" s="52"/>
      <c r="CH25" s="39">
        <v>43.9</v>
      </c>
      <c r="CI25" s="52"/>
      <c r="CJ25" s="39">
        <v>46.5</v>
      </c>
      <c r="CK25" s="52"/>
      <c r="CL25" s="39">
        <v>44.9</v>
      </c>
      <c r="CM25" s="52"/>
      <c r="CN25" s="39">
        <v>45.7</v>
      </c>
      <c r="CO25" s="52"/>
      <c r="CP25" s="39">
        <v>42.7</v>
      </c>
      <c r="CQ25" s="52"/>
      <c r="CR25" s="39">
        <v>40.299999999999997</v>
      </c>
      <c r="CS25" s="52"/>
      <c r="CT25" s="39">
        <v>44.1</v>
      </c>
      <c r="CU25" s="52"/>
      <c r="CV25" s="39">
        <v>44.9</v>
      </c>
      <c r="CW25" s="52"/>
      <c r="CX25" s="39">
        <v>35.9</v>
      </c>
      <c r="CY25" s="52"/>
      <c r="CZ25" s="47">
        <v>44</v>
      </c>
      <c r="DA25" s="60"/>
      <c r="DB25" s="39">
        <v>54.8</v>
      </c>
      <c r="DC25" s="50"/>
      <c r="DD25" s="45">
        <v>54.4</v>
      </c>
      <c r="DE25" s="51"/>
      <c r="DF25" s="45">
        <v>43.4</v>
      </c>
      <c r="DG25" s="51"/>
      <c r="DH25" s="39">
        <v>45.9</v>
      </c>
      <c r="DI25" s="54"/>
      <c r="DJ25" s="45">
        <v>52.7</v>
      </c>
      <c r="DK25" s="51"/>
      <c r="DL25" s="45">
        <v>51.4</v>
      </c>
      <c r="DM25" s="45"/>
      <c r="DN25" s="45">
        <v>48.4</v>
      </c>
      <c r="DO25" s="45"/>
      <c r="DP25" s="39">
        <v>42.5</v>
      </c>
      <c r="DQ25" s="50"/>
      <c r="DR25" s="45">
        <v>48.4</v>
      </c>
      <c r="DS25" s="50"/>
      <c r="DT25" s="39">
        <v>55.9</v>
      </c>
      <c r="DU25" s="50"/>
      <c r="DV25" s="39">
        <v>50</v>
      </c>
      <c r="DW25" s="51"/>
      <c r="DX25" s="45">
        <v>46.4</v>
      </c>
      <c r="DY25" s="50"/>
      <c r="DZ25" s="78">
        <v>49.3</v>
      </c>
      <c r="EA25" s="104"/>
      <c r="EB25" s="45">
        <v>56.3</v>
      </c>
      <c r="EC25" s="50"/>
      <c r="ED25" s="45">
        <v>48.2</v>
      </c>
      <c r="EE25" s="51"/>
      <c r="EF25" s="39">
        <v>44</v>
      </c>
      <c r="EG25" s="50"/>
      <c r="EH25" s="45">
        <v>50.3</v>
      </c>
      <c r="EI25" s="50"/>
      <c r="EJ25" s="45">
        <v>46.6</v>
      </c>
      <c r="EK25" s="50"/>
      <c r="EL25" s="45">
        <v>48.5</v>
      </c>
      <c r="EM25" s="50"/>
      <c r="EN25" s="45">
        <v>52.8</v>
      </c>
      <c r="EO25" s="50"/>
      <c r="EP25" s="45">
        <v>47.9</v>
      </c>
      <c r="EQ25" s="50"/>
      <c r="ER25" s="45">
        <v>53.5</v>
      </c>
      <c r="ES25" s="50"/>
      <c r="ET25" s="45">
        <v>52.8</v>
      </c>
      <c r="EU25" s="50"/>
      <c r="EV25" s="45">
        <v>61.6</v>
      </c>
      <c r="EW25" s="50"/>
      <c r="EX25" s="45">
        <v>49.6</v>
      </c>
      <c r="EY25" s="50"/>
      <c r="EZ25" s="78">
        <v>50.9</v>
      </c>
      <c r="FA25" s="77"/>
      <c r="FB25" s="39">
        <v>52.3</v>
      </c>
      <c r="FC25" s="50"/>
      <c r="FD25" s="45">
        <v>53.1</v>
      </c>
      <c r="FE25" s="50"/>
      <c r="FF25" s="45">
        <v>49.2</v>
      </c>
      <c r="FG25" s="50"/>
      <c r="FH25" s="45">
        <v>42.7</v>
      </c>
      <c r="FI25" s="50"/>
      <c r="FJ25" s="45">
        <v>43.6</v>
      </c>
      <c r="FK25" s="50"/>
      <c r="FL25" s="39">
        <v>44</v>
      </c>
      <c r="FM25" s="50"/>
      <c r="FN25" s="45">
        <v>48.3</v>
      </c>
      <c r="FO25" s="50"/>
      <c r="FP25" s="45">
        <v>48.4</v>
      </c>
      <c r="FQ25" s="50"/>
      <c r="FR25" s="39">
        <v>52</v>
      </c>
      <c r="FS25" s="50"/>
      <c r="FT25" s="45">
        <v>57.6</v>
      </c>
      <c r="FU25" s="50"/>
      <c r="FV25" s="45">
        <v>59.8</v>
      </c>
      <c r="FW25" s="50"/>
      <c r="FX25" s="45">
        <v>49.4</v>
      </c>
      <c r="FY25" s="50"/>
      <c r="FZ25" s="78">
        <v>50.2</v>
      </c>
      <c r="GA25" s="77"/>
      <c r="GB25" s="39">
        <v>58.9</v>
      </c>
      <c r="GC25" s="50"/>
      <c r="GD25" s="39">
        <v>50.4</v>
      </c>
      <c r="GE25" s="50"/>
      <c r="GF25" s="45">
        <v>46.2</v>
      </c>
      <c r="GG25" s="50"/>
      <c r="GH25" s="39">
        <v>44.9</v>
      </c>
      <c r="GI25" s="50"/>
      <c r="GJ25" s="45">
        <v>44.1</v>
      </c>
      <c r="GK25" s="51"/>
      <c r="GL25" s="45">
        <v>46.7</v>
      </c>
      <c r="GM25" s="51"/>
      <c r="GN25" s="45">
        <v>44.8</v>
      </c>
      <c r="GO25" s="51"/>
      <c r="GP25" s="45">
        <v>45.5</v>
      </c>
      <c r="GQ25" s="51"/>
      <c r="GR25" s="45">
        <v>43.7</v>
      </c>
      <c r="GS25" s="51"/>
      <c r="GT25" s="45">
        <v>47.9</v>
      </c>
      <c r="GU25" s="51"/>
      <c r="GV25" s="45">
        <v>51.4</v>
      </c>
      <c r="GW25" s="51"/>
      <c r="GX25" s="45">
        <v>42.1</v>
      </c>
      <c r="GY25" s="51"/>
      <c r="GZ25" s="47">
        <v>47</v>
      </c>
      <c r="HA25" s="79"/>
      <c r="HB25" s="48">
        <v>62.9</v>
      </c>
      <c r="HC25" s="116"/>
      <c r="HD25" s="48">
        <v>52.6</v>
      </c>
      <c r="HE25" s="116"/>
      <c r="HF25" s="48">
        <v>48.2</v>
      </c>
      <c r="HG25" s="116"/>
      <c r="HH25" s="48">
        <v>41.8</v>
      </c>
      <c r="HI25" s="116"/>
      <c r="HJ25" s="48">
        <v>43.7</v>
      </c>
      <c r="HK25" s="116"/>
      <c r="HL25" s="48">
        <v>45.4</v>
      </c>
      <c r="HM25" s="116"/>
      <c r="HN25" s="48">
        <v>44.1</v>
      </c>
      <c r="HO25" s="116"/>
      <c r="HP25" s="48">
        <v>44.3</v>
      </c>
      <c r="HQ25" s="116"/>
      <c r="HR25" s="48">
        <v>47.6</v>
      </c>
      <c r="HS25" s="116"/>
      <c r="HT25" s="48">
        <v>51.1</v>
      </c>
      <c r="HU25" s="116"/>
      <c r="HV25" s="48">
        <v>52.9</v>
      </c>
      <c r="HW25" s="116"/>
      <c r="HX25" s="48">
        <v>40.4</v>
      </c>
      <c r="HY25" s="116"/>
      <c r="HZ25" s="94">
        <v>47.6</v>
      </c>
      <c r="IA25" s="117"/>
      <c r="IB25" s="48">
        <v>57.781423329068978</v>
      </c>
      <c r="IC25" s="127"/>
      <c r="ID25" s="48">
        <v>50.604786805836419</v>
      </c>
      <c r="IE25" s="116"/>
      <c r="IF25" s="48">
        <v>42</v>
      </c>
      <c r="IG25" s="116"/>
      <c r="IH25" s="48">
        <v>52.5</v>
      </c>
      <c r="II25" s="116"/>
      <c r="IJ25" s="48">
        <v>47.3</v>
      </c>
      <c r="IK25" s="116"/>
      <c r="IL25" s="48">
        <v>45.843003853583717</v>
      </c>
      <c r="IM25" s="116"/>
      <c r="IN25" s="48">
        <v>38.484763357812632</v>
      </c>
      <c r="IO25" s="116"/>
      <c r="IP25" s="48">
        <v>37.799792611777129</v>
      </c>
      <c r="IQ25" s="116"/>
      <c r="IR25" s="48">
        <v>41.755545860765366</v>
      </c>
      <c r="IS25" s="119"/>
      <c r="IT25" s="48">
        <v>50.519282215127895</v>
      </c>
      <c r="IU25" s="48"/>
      <c r="IV25" s="48">
        <v>50.11312998338682</v>
      </c>
      <c r="IW25" s="48"/>
      <c r="IX25" s="48">
        <v>38.470204319621239</v>
      </c>
      <c r="IY25" s="48"/>
      <c r="IZ25" s="96">
        <v>45.552278624086561</v>
      </c>
      <c r="JA25" s="94"/>
      <c r="JB25" s="157">
        <v>49.687715611663222</v>
      </c>
      <c r="JC25" s="152"/>
      <c r="JD25" s="142">
        <v>43.540123298693842</v>
      </c>
      <c r="JE25" s="152"/>
      <c r="JF25" s="142">
        <v>41.153056623670494</v>
      </c>
      <c r="JG25" s="152"/>
      <c r="JH25" s="142">
        <v>38.817703654966365</v>
      </c>
      <c r="JI25" s="142"/>
      <c r="JJ25" s="142">
        <v>35.800342316945951</v>
      </c>
      <c r="JK25" s="152"/>
      <c r="JL25" s="142">
        <v>38.465228151564887</v>
      </c>
      <c r="JM25" s="152"/>
      <c r="JN25" s="142">
        <v>42.833397645496028</v>
      </c>
      <c r="JO25" s="152"/>
      <c r="JP25" s="142">
        <v>41.089951860025025</v>
      </c>
      <c r="JQ25" s="152"/>
      <c r="JR25" s="142">
        <v>43.935101329946484</v>
      </c>
      <c r="JS25" s="147"/>
      <c r="JT25" s="157">
        <v>54.454154892337229</v>
      </c>
      <c r="JU25" s="147"/>
      <c r="JV25" s="157">
        <v>51.872546021272761</v>
      </c>
      <c r="JW25" s="147"/>
      <c r="JX25" s="157">
        <v>43.099308652163728</v>
      </c>
      <c r="JY25" s="147"/>
      <c r="JZ25" s="170">
        <v>43.815319722377879</v>
      </c>
      <c r="KA25" s="169"/>
      <c r="KB25" s="157">
        <v>53.140266764484934</v>
      </c>
      <c r="KC25" s="147"/>
      <c r="KD25" s="157">
        <v>50.286612967164189</v>
      </c>
      <c r="KE25" s="147"/>
      <c r="KF25" s="157">
        <v>52.897741995879443</v>
      </c>
      <c r="KG25" s="147"/>
      <c r="KH25" s="157">
        <v>51.443362646674075</v>
      </c>
      <c r="KI25" s="147"/>
      <c r="KJ25" s="157">
        <v>53.834940145394064</v>
      </c>
      <c r="KK25" s="147"/>
      <c r="KL25" s="157">
        <v>54.193917246966862</v>
      </c>
      <c r="KM25" s="147"/>
      <c r="KN25" s="157">
        <v>44.441211047979351</v>
      </c>
      <c r="KO25" s="147"/>
      <c r="KP25" s="157">
        <v>42.234619402320234</v>
      </c>
      <c r="KQ25" s="147"/>
      <c r="KR25" s="157">
        <v>37.765323254037661</v>
      </c>
      <c r="KS25" s="147"/>
      <c r="KT25" s="157">
        <v>46.852237854287274</v>
      </c>
      <c r="KU25" s="147"/>
      <c r="KV25" s="157">
        <v>41.408389687527034</v>
      </c>
      <c r="KW25" s="147"/>
      <c r="KX25" s="157">
        <v>39.710452917884119</v>
      </c>
      <c r="KY25" s="147"/>
      <c r="KZ25" s="170">
        <v>46.99159446879829</v>
      </c>
      <c r="LA25" s="169"/>
      <c r="LB25" s="48">
        <v>45.150111199017367</v>
      </c>
      <c r="LC25" s="188"/>
      <c r="LD25" s="48">
        <v>47.316412147538863</v>
      </c>
      <c r="LE25" s="188"/>
      <c r="LF25" s="48">
        <v>46.876055765161027</v>
      </c>
      <c r="LG25" s="188"/>
      <c r="LH25" s="48">
        <v>45.955703890018142</v>
      </c>
      <c r="LI25" s="190"/>
      <c r="LJ25" s="48">
        <v>47.451984701584479</v>
      </c>
      <c r="LK25" s="190"/>
      <c r="LL25" s="48">
        <v>47.574703727750034</v>
      </c>
      <c r="LM25" s="190"/>
      <c r="LN25" s="48">
        <v>47.562865190538609</v>
      </c>
      <c r="LO25" s="119"/>
      <c r="LP25" s="48">
        <v>46.011007880866167</v>
      </c>
      <c r="LQ25" s="119"/>
      <c r="LR25" s="48">
        <v>49.482386942540771</v>
      </c>
      <c r="LS25" s="119"/>
      <c r="LT25" s="48">
        <v>47.859021160360939</v>
      </c>
      <c r="LU25" s="119"/>
      <c r="LV25" s="48">
        <v>51.433256639568484</v>
      </c>
      <c r="LW25" s="119"/>
      <c r="LX25" s="90">
        <v>38.429479889548212</v>
      </c>
      <c r="LY25" s="119"/>
      <c r="LZ25" s="94">
        <v>46.667374595634271</v>
      </c>
      <c r="MA25" s="120"/>
      <c r="MB25" s="48">
        <v>43.970417357341169</v>
      </c>
      <c r="MC25" s="119"/>
      <c r="MD25" s="90">
        <v>43.485097597135358</v>
      </c>
      <c r="ME25" s="119"/>
      <c r="MF25" s="90">
        <v>41.08908765661036</v>
      </c>
      <c r="MG25" s="119"/>
      <c r="MH25" s="90">
        <v>37.682425285490545</v>
      </c>
      <c r="MI25" s="119"/>
      <c r="MJ25" s="90">
        <v>40.18443797256991</v>
      </c>
      <c r="MK25" s="119"/>
      <c r="ML25" s="91">
        <v>41.634199815792741</v>
      </c>
      <c r="MM25" s="202"/>
      <c r="MN25" s="91">
        <v>36.142497236996476</v>
      </c>
      <c r="MO25" s="202"/>
      <c r="MP25" s="91">
        <v>37.045301000487406</v>
      </c>
      <c r="MQ25" s="202"/>
    </row>
    <row r="26" spans="1:420">
      <c r="A26" s="36" t="s">
        <v>120</v>
      </c>
      <c r="B26" s="8"/>
      <c r="C26" s="8"/>
      <c r="D26" s="8"/>
      <c r="E26" s="8"/>
      <c r="F26" s="8"/>
      <c r="G26" s="8"/>
      <c r="H26" s="8"/>
      <c r="I26" s="8"/>
      <c r="J26" s="8"/>
      <c r="K26" s="9"/>
      <c r="L26" s="8"/>
      <c r="M26" s="8"/>
      <c r="N26" s="8"/>
      <c r="O26" s="8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60"/>
      <c r="AA26" s="60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60"/>
      <c r="BA26" s="60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60"/>
      <c r="CA26" s="60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60"/>
      <c r="DA26" s="60"/>
      <c r="DB26" s="52"/>
      <c r="DC26" s="50"/>
      <c r="DD26" s="51"/>
      <c r="DE26" s="51"/>
      <c r="DF26" s="51"/>
      <c r="DG26" s="51"/>
      <c r="DH26" s="52"/>
      <c r="DI26" s="54"/>
      <c r="DJ26" s="51"/>
      <c r="DK26" s="51"/>
      <c r="DL26" s="45"/>
      <c r="DM26" s="45"/>
      <c r="DN26" s="45"/>
      <c r="DO26" s="45"/>
      <c r="DP26" s="39"/>
      <c r="DQ26" s="50"/>
      <c r="DR26" s="51"/>
      <c r="DS26" s="50"/>
      <c r="DT26" s="53"/>
      <c r="DU26" s="50"/>
      <c r="DV26" s="51"/>
      <c r="DW26" s="51"/>
      <c r="DX26" s="51"/>
      <c r="DY26" s="50"/>
      <c r="DZ26" s="79"/>
      <c r="EA26" s="104"/>
      <c r="EB26" s="53"/>
      <c r="EC26" s="50"/>
      <c r="ED26" s="51"/>
      <c r="EE26" s="51"/>
      <c r="EF26" s="54"/>
      <c r="EG26" s="50"/>
      <c r="EH26" s="51"/>
      <c r="EI26" s="50"/>
      <c r="EJ26" s="51"/>
      <c r="EK26" s="50"/>
      <c r="EL26" s="51"/>
      <c r="EM26" s="50"/>
      <c r="EN26" s="51"/>
      <c r="EO26" s="50"/>
      <c r="EP26" s="51"/>
      <c r="EQ26" s="50"/>
      <c r="ER26" s="45"/>
      <c r="ES26" s="50"/>
      <c r="ET26" s="50"/>
      <c r="EU26" s="50"/>
      <c r="EV26" s="51"/>
      <c r="EW26" s="50"/>
      <c r="EX26" s="51"/>
      <c r="EY26" s="51"/>
      <c r="EZ26" s="79"/>
      <c r="FA26" s="79"/>
      <c r="FB26" s="52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0"/>
      <c r="FZ26" s="79"/>
      <c r="GA26" s="79"/>
      <c r="GB26" s="52"/>
      <c r="GC26" s="51"/>
      <c r="GD26" s="52"/>
      <c r="GE26" s="51"/>
      <c r="GF26" s="51"/>
      <c r="GG26" s="51"/>
      <c r="GH26" s="51"/>
      <c r="GI26" s="50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79"/>
      <c r="HA26" s="79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7"/>
      <c r="IA26" s="95"/>
      <c r="IB26" s="116"/>
      <c r="IC26" s="128"/>
      <c r="ID26" s="57"/>
      <c r="IE26" s="57"/>
      <c r="IF26" s="57"/>
      <c r="IG26" s="57"/>
      <c r="IH26" s="57"/>
      <c r="II26" s="57"/>
      <c r="IJ26" s="116"/>
      <c r="IK26" s="116"/>
      <c r="IL26" s="116"/>
      <c r="IM26" s="116"/>
      <c r="IN26" s="116"/>
      <c r="IO26" s="116"/>
      <c r="IP26" s="116"/>
      <c r="IQ26" s="116"/>
      <c r="IR26" s="116"/>
      <c r="IS26" s="119"/>
      <c r="IT26" s="131"/>
      <c r="IU26" s="131"/>
      <c r="IV26" s="131"/>
      <c r="IW26" s="131"/>
      <c r="IX26" s="131"/>
      <c r="IY26" s="131"/>
      <c r="IZ26" s="132"/>
      <c r="JA26" s="132"/>
      <c r="JB26" s="157"/>
      <c r="JC26" s="151"/>
      <c r="JD26" s="151"/>
      <c r="JE26" s="151"/>
      <c r="JF26" s="151"/>
      <c r="JG26" s="151"/>
      <c r="JH26" s="141"/>
      <c r="JI26" s="151"/>
      <c r="JJ26" s="141"/>
      <c r="JK26" s="151"/>
      <c r="JL26" s="141"/>
      <c r="JM26" s="151"/>
      <c r="JN26" s="141"/>
      <c r="JO26" s="151"/>
      <c r="JP26" s="151"/>
      <c r="JQ26" s="151"/>
      <c r="JR26" s="151"/>
      <c r="JS26" s="147"/>
      <c r="JT26" s="145"/>
      <c r="JU26" s="147"/>
      <c r="JV26" s="145"/>
      <c r="JW26" s="147"/>
      <c r="JX26" s="145"/>
      <c r="JY26" s="147"/>
      <c r="JZ26" s="171"/>
      <c r="KA26" s="169"/>
      <c r="KB26" s="145"/>
      <c r="KC26" s="147"/>
      <c r="KD26" s="145"/>
      <c r="KE26" s="147"/>
      <c r="KF26" s="145"/>
      <c r="KG26" s="147"/>
      <c r="KH26" s="145"/>
      <c r="KI26" s="147"/>
      <c r="KJ26" s="145"/>
      <c r="KK26" s="147"/>
      <c r="KL26" s="145"/>
      <c r="KM26" s="147"/>
      <c r="KN26" s="145"/>
      <c r="KO26" s="147"/>
      <c r="KP26" s="145"/>
      <c r="KQ26" s="147"/>
      <c r="KR26" s="145"/>
      <c r="KS26" s="147"/>
      <c r="KT26" s="145"/>
      <c r="KU26" s="147"/>
      <c r="KV26" s="145"/>
      <c r="KW26" s="147"/>
      <c r="KX26" s="145"/>
      <c r="KY26" s="147"/>
      <c r="KZ26" s="171"/>
      <c r="LA26" s="169"/>
      <c r="LB26" s="189"/>
      <c r="LC26" s="188"/>
      <c r="LD26" s="189"/>
      <c r="LE26" s="188"/>
      <c r="LF26" s="189"/>
      <c r="LG26" s="188"/>
      <c r="LH26" s="92"/>
      <c r="LI26" s="190"/>
      <c r="LJ26" s="92"/>
      <c r="LK26" s="190"/>
      <c r="LL26" s="92"/>
      <c r="LM26" s="190"/>
      <c r="LN26" s="92"/>
      <c r="LO26" s="119"/>
      <c r="LP26" s="92"/>
      <c r="LQ26" s="119"/>
      <c r="LR26" s="92"/>
      <c r="LS26" s="119"/>
      <c r="LT26" s="92"/>
      <c r="LU26" s="119"/>
      <c r="LV26" s="92"/>
      <c r="LW26" s="119"/>
      <c r="LX26" s="119"/>
      <c r="LY26" s="119"/>
      <c r="LZ26" s="97"/>
      <c r="MA26" s="120"/>
      <c r="MB26" s="92"/>
      <c r="MC26" s="119"/>
      <c r="MD26" s="119"/>
      <c r="ME26" s="119"/>
      <c r="MF26" s="119"/>
      <c r="MG26" s="119"/>
      <c r="MH26" s="119"/>
      <c r="MI26" s="119"/>
      <c r="MJ26" s="119"/>
      <c r="MK26" s="119"/>
      <c r="ML26" s="93"/>
      <c r="MM26" s="202"/>
      <c r="MN26" s="93"/>
      <c r="MO26" s="202"/>
      <c r="MP26" s="93"/>
      <c r="MQ26" s="202"/>
    </row>
    <row r="27" spans="1:420" ht="18.75">
      <c r="A27" s="37" t="s">
        <v>404</v>
      </c>
      <c r="B27" s="8">
        <v>35.4</v>
      </c>
      <c r="C27" s="8"/>
      <c r="D27" s="8">
        <v>42</v>
      </c>
      <c r="E27" s="8"/>
      <c r="F27" s="8">
        <v>49.2</v>
      </c>
      <c r="G27" s="8"/>
      <c r="H27" s="8">
        <v>54.6</v>
      </c>
      <c r="I27" s="8"/>
      <c r="J27" s="8">
        <v>59</v>
      </c>
      <c r="K27" s="9"/>
      <c r="L27" s="8">
        <v>60.9</v>
      </c>
      <c r="M27" s="8"/>
      <c r="N27" s="8">
        <v>67.3</v>
      </c>
      <c r="O27" s="8"/>
      <c r="P27" s="52">
        <v>54.7</v>
      </c>
      <c r="Q27" s="52"/>
      <c r="R27" s="52">
        <v>52.5</v>
      </c>
      <c r="S27" s="52"/>
      <c r="T27" s="52">
        <v>63.8</v>
      </c>
      <c r="U27" s="52"/>
      <c r="V27" s="52">
        <v>57.2</v>
      </c>
      <c r="W27" s="52"/>
      <c r="X27" s="52">
        <v>49</v>
      </c>
      <c r="Y27" s="52"/>
      <c r="Z27" s="60">
        <v>53.7</v>
      </c>
      <c r="AA27" s="60"/>
      <c r="AB27" s="52">
        <v>38.9</v>
      </c>
      <c r="AC27" s="52"/>
      <c r="AD27" s="52">
        <v>40.6</v>
      </c>
      <c r="AE27" s="52"/>
      <c r="AF27" s="52">
        <v>53.1</v>
      </c>
      <c r="AG27" s="52"/>
      <c r="AH27" s="52">
        <v>65.599999999999994</v>
      </c>
      <c r="AI27" s="52"/>
      <c r="AJ27" s="52">
        <v>62.8</v>
      </c>
      <c r="AK27" s="52"/>
      <c r="AL27" s="52">
        <v>69.5</v>
      </c>
      <c r="AM27" s="52"/>
      <c r="AN27" s="52">
        <v>66.099999999999994</v>
      </c>
      <c r="AO27" s="52"/>
      <c r="AP27" s="71">
        <v>63.8</v>
      </c>
      <c r="AQ27" s="52"/>
      <c r="AR27" s="52">
        <v>63.4</v>
      </c>
      <c r="AS27" s="52"/>
      <c r="AT27" s="52">
        <v>69.8</v>
      </c>
      <c r="AU27" s="52"/>
      <c r="AV27" s="52">
        <v>63.6</v>
      </c>
      <c r="AW27" s="52"/>
      <c r="AX27" s="52">
        <v>42.9</v>
      </c>
      <c r="AY27" s="52"/>
      <c r="AZ27" s="60">
        <v>57.2</v>
      </c>
      <c r="BA27" s="60"/>
      <c r="BB27" s="52">
        <v>49.4</v>
      </c>
      <c r="BC27" s="52"/>
      <c r="BD27" s="52">
        <v>55.9</v>
      </c>
      <c r="BE27" s="52"/>
      <c r="BF27" s="52">
        <v>66.2</v>
      </c>
      <c r="BG27" s="52"/>
      <c r="BH27" s="52">
        <v>51.4</v>
      </c>
      <c r="BI27" s="52"/>
      <c r="BJ27" s="52">
        <v>56.6</v>
      </c>
      <c r="BK27" s="52"/>
      <c r="BL27" s="52">
        <v>55.1</v>
      </c>
      <c r="BM27" s="52"/>
      <c r="BN27" s="52">
        <v>57.5</v>
      </c>
      <c r="BO27" s="52"/>
      <c r="BP27" s="52">
        <v>58</v>
      </c>
      <c r="BQ27" s="52"/>
      <c r="BR27" s="52">
        <v>61.8</v>
      </c>
      <c r="BS27" s="52"/>
      <c r="BT27" s="70">
        <v>55.9</v>
      </c>
      <c r="BU27" s="52"/>
      <c r="BV27" s="52">
        <v>60.1</v>
      </c>
      <c r="BW27" s="52"/>
      <c r="BX27" s="52">
        <v>38.700000000000003</v>
      </c>
      <c r="BY27" s="52"/>
      <c r="BZ27" s="60">
        <v>55.2</v>
      </c>
      <c r="CA27" s="60"/>
      <c r="CB27" s="52">
        <v>44.7</v>
      </c>
      <c r="CC27" s="52"/>
      <c r="CD27" s="52">
        <v>45.1</v>
      </c>
      <c r="CE27" s="52"/>
      <c r="CF27" s="52">
        <v>51.4</v>
      </c>
      <c r="CG27" s="52"/>
      <c r="CH27" s="52">
        <v>60</v>
      </c>
      <c r="CI27" s="52"/>
      <c r="CJ27" s="52">
        <v>67.2</v>
      </c>
      <c r="CK27" s="52"/>
      <c r="CL27" s="52">
        <v>65.400000000000006</v>
      </c>
      <c r="CM27" s="52"/>
      <c r="CN27" s="52">
        <v>67.400000000000006</v>
      </c>
      <c r="CO27" s="52"/>
      <c r="CP27" s="52">
        <v>48.4</v>
      </c>
      <c r="CQ27" s="52"/>
      <c r="CR27" s="52">
        <v>49.6</v>
      </c>
      <c r="CS27" s="52"/>
      <c r="CT27" s="52">
        <v>55.5</v>
      </c>
      <c r="CU27" s="52"/>
      <c r="CV27" s="52">
        <v>38.4</v>
      </c>
      <c r="CW27" s="52"/>
      <c r="CX27" s="52">
        <v>29.5</v>
      </c>
      <c r="CY27" s="52"/>
      <c r="CZ27" s="60">
        <v>50.8</v>
      </c>
      <c r="DA27" s="60"/>
      <c r="DB27" s="52">
        <v>31.5</v>
      </c>
      <c r="DC27" s="50"/>
      <c r="DD27" s="51">
        <v>36.200000000000003</v>
      </c>
      <c r="DE27" s="51"/>
      <c r="DF27" s="51">
        <v>39.4</v>
      </c>
      <c r="DG27" s="51"/>
      <c r="DH27" s="52">
        <v>43.3</v>
      </c>
      <c r="DI27" s="54"/>
      <c r="DJ27" s="51">
        <v>66.099999999999994</v>
      </c>
      <c r="DK27" s="51"/>
      <c r="DL27" s="51">
        <v>82.6</v>
      </c>
      <c r="DM27" s="51"/>
      <c r="DN27" s="51">
        <v>64.8</v>
      </c>
      <c r="DO27" s="51"/>
      <c r="DP27" s="52">
        <v>46.3</v>
      </c>
      <c r="DQ27" s="50"/>
      <c r="DR27" s="51">
        <v>48.2</v>
      </c>
      <c r="DS27" s="50"/>
      <c r="DT27" s="52">
        <v>60.2</v>
      </c>
      <c r="DU27" s="50"/>
      <c r="DV27" s="51">
        <v>41.6</v>
      </c>
      <c r="DW27" s="51"/>
      <c r="DX27" s="51">
        <v>37.6</v>
      </c>
      <c r="DY27" s="50"/>
      <c r="DZ27" s="79">
        <v>48.4</v>
      </c>
      <c r="EA27" s="104"/>
      <c r="EB27" s="51">
        <v>26.6</v>
      </c>
      <c r="EC27" s="50"/>
      <c r="ED27" s="52">
        <v>35.6</v>
      </c>
      <c r="EE27" s="51"/>
      <c r="EF27" s="80">
        <v>38.200000000000003</v>
      </c>
      <c r="EG27" s="50"/>
      <c r="EH27" s="51">
        <v>45.8</v>
      </c>
      <c r="EI27" s="50"/>
      <c r="EJ27" s="51">
        <v>40.700000000000003</v>
      </c>
      <c r="EK27" s="50"/>
      <c r="EL27" s="51">
        <v>53.1</v>
      </c>
      <c r="EM27" s="50"/>
      <c r="EN27" s="51">
        <v>46.6</v>
      </c>
      <c r="EO27" s="50"/>
      <c r="EP27" s="52">
        <v>48.7</v>
      </c>
      <c r="EQ27" s="50"/>
      <c r="ER27" s="51">
        <v>38.299999999999997</v>
      </c>
      <c r="ES27" s="50"/>
      <c r="ET27" s="52">
        <v>43</v>
      </c>
      <c r="EU27" s="50"/>
      <c r="EV27" s="51">
        <v>40.200000000000003</v>
      </c>
      <c r="EW27" s="50"/>
      <c r="EX27" s="51">
        <v>31.4</v>
      </c>
      <c r="EY27" s="50"/>
      <c r="EZ27" s="79">
        <v>40.299999999999997</v>
      </c>
      <c r="FA27" s="77"/>
      <c r="FB27" s="52">
        <v>35.200000000000003</v>
      </c>
      <c r="FC27" s="50"/>
      <c r="FD27" s="51">
        <v>37.6</v>
      </c>
      <c r="FE27" s="50"/>
      <c r="FF27" s="51">
        <v>43.2</v>
      </c>
      <c r="FG27" s="50"/>
      <c r="FH27" s="52">
        <v>40</v>
      </c>
      <c r="FI27" s="50"/>
      <c r="FJ27" s="51">
        <v>38.9</v>
      </c>
      <c r="FK27" s="50"/>
      <c r="FL27" s="51">
        <v>43.8</v>
      </c>
      <c r="FM27" s="50"/>
      <c r="FN27" s="51">
        <v>41.4</v>
      </c>
      <c r="FO27" s="50"/>
      <c r="FP27" s="51">
        <v>39.5</v>
      </c>
      <c r="FQ27" s="50"/>
      <c r="FR27" s="51">
        <v>35.9</v>
      </c>
      <c r="FS27" s="50"/>
      <c r="FT27" s="51">
        <v>38.299999999999997</v>
      </c>
      <c r="FU27" s="50"/>
      <c r="FV27" s="51">
        <v>40.700000000000003</v>
      </c>
      <c r="FW27" s="50"/>
      <c r="FX27" s="51">
        <v>28.2</v>
      </c>
      <c r="FY27" s="50"/>
      <c r="FZ27" s="79">
        <v>38.4</v>
      </c>
      <c r="GA27" s="77"/>
      <c r="GB27" s="52">
        <v>35.9</v>
      </c>
      <c r="GC27" s="50"/>
      <c r="GD27" s="52">
        <v>35.4</v>
      </c>
      <c r="GE27" s="50"/>
      <c r="GF27" s="52">
        <v>32</v>
      </c>
      <c r="GG27" s="50"/>
      <c r="GH27" s="51">
        <v>31.9</v>
      </c>
      <c r="GI27" s="50"/>
      <c r="GJ27" s="51">
        <v>31.8</v>
      </c>
      <c r="GK27" s="51"/>
      <c r="GL27" s="51">
        <v>29.5</v>
      </c>
      <c r="GM27" s="51"/>
      <c r="GN27" s="51">
        <v>30.2</v>
      </c>
      <c r="GO27" s="51"/>
      <c r="GP27" s="51">
        <v>24.7</v>
      </c>
      <c r="GQ27" s="51"/>
      <c r="GR27" s="51">
        <v>23.8</v>
      </c>
      <c r="GS27" s="51"/>
      <c r="GT27" s="51">
        <v>31.7</v>
      </c>
      <c r="GU27" s="51"/>
      <c r="GV27" s="51">
        <v>24.5</v>
      </c>
      <c r="GW27" s="51"/>
      <c r="GX27" s="51">
        <v>19.8</v>
      </c>
      <c r="GY27" s="51"/>
      <c r="GZ27" s="79">
        <v>28.7</v>
      </c>
      <c r="HA27" s="79"/>
      <c r="HB27" s="57">
        <v>27</v>
      </c>
      <c r="HC27" s="116"/>
      <c r="HD27" s="57">
        <v>30.2</v>
      </c>
      <c r="HE27" s="116"/>
      <c r="HF27" s="57">
        <v>26.4</v>
      </c>
      <c r="HG27" s="116"/>
      <c r="HH27" s="57">
        <v>28</v>
      </c>
      <c r="HI27" s="116"/>
      <c r="HJ27" s="57">
        <v>31</v>
      </c>
      <c r="HK27" s="116"/>
      <c r="HL27" s="57">
        <v>33.299999999999997</v>
      </c>
      <c r="HM27" s="116"/>
      <c r="HN27" s="57">
        <v>27.1</v>
      </c>
      <c r="HO27" s="116"/>
      <c r="HP27" s="57">
        <v>26.2</v>
      </c>
      <c r="HQ27" s="116"/>
      <c r="HR27" s="57">
        <v>35.5</v>
      </c>
      <c r="HS27" s="116"/>
      <c r="HT27" s="57">
        <v>43.8</v>
      </c>
      <c r="HU27" s="116"/>
      <c r="HV27" s="57">
        <v>39.700000000000003</v>
      </c>
      <c r="HW27" s="112"/>
      <c r="HX27" s="57">
        <v>21.9</v>
      </c>
      <c r="HY27" s="112"/>
      <c r="HZ27" s="95">
        <v>30.7</v>
      </c>
      <c r="IA27" s="97"/>
      <c r="IB27" s="57">
        <v>28.040054196905274</v>
      </c>
      <c r="IC27" s="127"/>
      <c r="ID27" s="57">
        <v>26.252798243669318</v>
      </c>
      <c r="IE27" s="116"/>
      <c r="IF27" s="57">
        <v>29.1</v>
      </c>
      <c r="IG27" s="116"/>
      <c r="IH27" s="57">
        <v>48.3</v>
      </c>
      <c r="II27" s="116"/>
      <c r="IJ27" s="57">
        <v>41.9</v>
      </c>
      <c r="IK27" s="116"/>
      <c r="IL27" s="57">
        <v>33.646355793673074</v>
      </c>
      <c r="IM27" s="116"/>
      <c r="IN27" s="57">
        <v>18.231662747855975</v>
      </c>
      <c r="IO27" s="116"/>
      <c r="IP27" s="57">
        <v>23.970517269550708</v>
      </c>
      <c r="IQ27" s="116"/>
      <c r="IR27" s="57">
        <v>24.69399511810494</v>
      </c>
      <c r="IS27" s="119"/>
      <c r="IT27" s="92">
        <v>27.366580091873587</v>
      </c>
      <c r="IU27" s="92"/>
      <c r="IV27" s="92">
        <v>29.937520556556251</v>
      </c>
      <c r="IW27" s="92"/>
      <c r="IX27" s="92">
        <v>27.423511887561137</v>
      </c>
      <c r="IY27" s="92"/>
      <c r="IZ27" s="97">
        <v>28.607136041890534</v>
      </c>
      <c r="JA27" s="97"/>
      <c r="JB27" s="148">
        <v>27.201128617998489</v>
      </c>
      <c r="JC27" s="151"/>
      <c r="JD27" s="141">
        <v>33.381539851929809</v>
      </c>
      <c r="JE27" s="151"/>
      <c r="JF27" s="141">
        <v>31.733615073119164</v>
      </c>
      <c r="JG27" s="151"/>
      <c r="JH27" s="141">
        <v>24.814179472059564</v>
      </c>
      <c r="JI27" s="141"/>
      <c r="JJ27" s="141">
        <v>23.923381896958524</v>
      </c>
      <c r="JK27" s="151"/>
      <c r="JL27" s="141">
        <v>26.884320155957354</v>
      </c>
      <c r="JM27" s="151"/>
      <c r="JN27" s="141">
        <v>24.449836080903353</v>
      </c>
      <c r="JO27" s="151"/>
      <c r="JP27" s="141">
        <v>23.569886745218618</v>
      </c>
      <c r="JQ27" s="151"/>
      <c r="JR27" s="141">
        <v>22.213649992637404</v>
      </c>
      <c r="JS27" s="147"/>
      <c r="JT27" s="145">
        <v>24.393145532863905</v>
      </c>
      <c r="JU27" s="147"/>
      <c r="JV27" s="145">
        <v>21.497016703410736</v>
      </c>
      <c r="JW27" s="147"/>
      <c r="JX27" s="145">
        <v>18.505250062682457</v>
      </c>
      <c r="JY27" s="147"/>
      <c r="JZ27" s="171">
        <v>24.469409703019988</v>
      </c>
      <c r="KA27" s="169"/>
      <c r="KB27" s="145">
        <v>17.168883246058051</v>
      </c>
      <c r="KC27" s="147"/>
      <c r="KD27" s="145">
        <v>18.944659230919225</v>
      </c>
      <c r="KE27" s="147"/>
      <c r="KF27" s="145">
        <v>12.449708200750678</v>
      </c>
      <c r="KG27" s="147"/>
      <c r="KH27" s="145">
        <v>36.705478483037687</v>
      </c>
      <c r="KI27" s="147"/>
      <c r="KJ27" s="145">
        <v>63.679205473131894</v>
      </c>
      <c r="KK27" s="147"/>
      <c r="KL27" s="145">
        <v>83.626022618646644</v>
      </c>
      <c r="KM27" s="147"/>
      <c r="KN27" s="145">
        <v>63.642912551612852</v>
      </c>
      <c r="KO27" s="147"/>
      <c r="KP27" s="145">
        <v>60.992986113892719</v>
      </c>
      <c r="KQ27" s="147"/>
      <c r="KR27" s="145">
        <v>47.485731064175226</v>
      </c>
      <c r="KS27" s="147"/>
      <c r="KT27" s="145">
        <v>66.85083328250397</v>
      </c>
      <c r="KU27" s="147"/>
      <c r="KV27" s="145">
        <v>52.54281043629291</v>
      </c>
      <c r="KW27" s="147"/>
      <c r="KX27" s="145">
        <v>89.38980005583096</v>
      </c>
      <c r="KY27" s="147"/>
      <c r="KZ27" s="171">
        <v>47.724437335444811</v>
      </c>
      <c r="LA27" s="169"/>
      <c r="LB27" s="92">
        <v>39.298281694866922</v>
      </c>
      <c r="LC27" s="188"/>
      <c r="LD27" s="92">
        <v>62.797396413068043</v>
      </c>
      <c r="LE27" s="188"/>
      <c r="LF27" s="92">
        <v>55.362897058627411</v>
      </c>
      <c r="LG27" s="188"/>
      <c r="LH27" s="92">
        <v>56.000894693078671</v>
      </c>
      <c r="LI27" s="190"/>
      <c r="LJ27" s="57">
        <v>78.223290373209949</v>
      </c>
      <c r="LK27" s="190"/>
      <c r="LL27" s="57">
        <v>81.371986845962297</v>
      </c>
      <c r="LM27" s="190"/>
      <c r="LN27" s="57">
        <v>74.569846088288685</v>
      </c>
      <c r="LO27" s="119"/>
      <c r="LP27" s="57">
        <v>64.911372352066323</v>
      </c>
      <c r="LQ27" s="119"/>
      <c r="LR27" s="57">
        <v>64.005655913865596</v>
      </c>
      <c r="LS27" s="119"/>
      <c r="LT27" s="57">
        <v>61.689073165506748</v>
      </c>
      <c r="LU27" s="119"/>
      <c r="LV27" s="57">
        <v>46.724658371998956</v>
      </c>
      <c r="LW27" s="119"/>
      <c r="LX27" s="92">
        <v>26.443779430054214</v>
      </c>
      <c r="LY27" s="119"/>
      <c r="LZ27" s="95">
        <v>55.702742103270467</v>
      </c>
      <c r="MA27" s="120"/>
      <c r="MB27" s="57">
        <v>68.302604979239604</v>
      </c>
      <c r="MC27" s="119"/>
      <c r="MD27" s="92">
        <v>90.578872865074672</v>
      </c>
      <c r="ME27" s="119"/>
      <c r="MF27" s="92">
        <v>67.599337273874909</v>
      </c>
      <c r="MG27" s="119"/>
      <c r="MH27" s="92">
        <v>68.713101296133203</v>
      </c>
      <c r="MI27" s="119"/>
      <c r="MJ27" s="92">
        <v>109.96607601948195</v>
      </c>
      <c r="MK27" s="119"/>
      <c r="ML27" s="93">
        <v>114.88200800634026</v>
      </c>
      <c r="MM27" s="202"/>
      <c r="MN27" s="93">
        <v>69.047253284277744</v>
      </c>
      <c r="MO27" s="202"/>
      <c r="MP27" s="93">
        <v>55.254128513782796</v>
      </c>
      <c r="MQ27" s="202"/>
    </row>
    <row r="28" spans="1:420" ht="18.75">
      <c r="A28" s="37" t="s">
        <v>315</v>
      </c>
      <c r="B28" s="8">
        <v>67.599999999999994</v>
      </c>
      <c r="C28" s="8"/>
      <c r="D28" s="8">
        <v>58.7</v>
      </c>
      <c r="E28" s="8"/>
      <c r="F28" s="8">
        <v>42.6</v>
      </c>
      <c r="G28" s="8"/>
      <c r="H28" s="8">
        <v>44.7</v>
      </c>
      <c r="I28" s="8"/>
      <c r="J28" s="8">
        <v>39.700000000000003</v>
      </c>
      <c r="K28" s="9"/>
      <c r="L28" s="8">
        <v>41.1</v>
      </c>
      <c r="M28" s="8"/>
      <c r="N28" s="8">
        <v>45.2</v>
      </c>
      <c r="O28" s="8"/>
      <c r="P28" s="52">
        <v>54.6</v>
      </c>
      <c r="Q28" s="52"/>
      <c r="R28" s="52">
        <v>42.4</v>
      </c>
      <c r="S28" s="52"/>
      <c r="T28" s="52">
        <v>47.8</v>
      </c>
      <c r="U28" s="52"/>
      <c r="V28" s="52">
        <v>58.9</v>
      </c>
      <c r="W28" s="52"/>
      <c r="X28" s="52">
        <v>46.8</v>
      </c>
      <c r="Y28" s="52"/>
      <c r="Z28" s="60">
        <v>48</v>
      </c>
      <c r="AA28" s="60"/>
      <c r="AB28" s="52">
        <v>64.400000000000006</v>
      </c>
      <c r="AC28" s="52"/>
      <c r="AD28" s="52">
        <v>50.7</v>
      </c>
      <c r="AE28" s="52"/>
      <c r="AF28" s="52">
        <v>50.1</v>
      </c>
      <c r="AG28" s="52"/>
      <c r="AH28" s="52">
        <v>42.6</v>
      </c>
      <c r="AI28" s="52"/>
      <c r="AJ28" s="52">
        <v>41.3</v>
      </c>
      <c r="AK28" s="52"/>
      <c r="AL28" s="52">
        <v>44.7</v>
      </c>
      <c r="AM28" s="52"/>
      <c r="AN28" s="52">
        <v>34.1</v>
      </c>
      <c r="AO28" s="52"/>
      <c r="AP28" s="71">
        <v>33.9</v>
      </c>
      <c r="AQ28" s="52"/>
      <c r="AR28" s="52">
        <v>41</v>
      </c>
      <c r="AS28" s="52"/>
      <c r="AT28" s="52">
        <v>41.2</v>
      </c>
      <c r="AU28" s="52"/>
      <c r="AV28" s="52">
        <v>45.8</v>
      </c>
      <c r="AW28" s="52"/>
      <c r="AX28" s="52">
        <v>44.7</v>
      </c>
      <c r="AY28" s="52"/>
      <c r="AZ28" s="60">
        <v>43.7</v>
      </c>
      <c r="BA28" s="60"/>
      <c r="BB28" s="52">
        <v>65.099999999999994</v>
      </c>
      <c r="BC28" s="52"/>
      <c r="BD28" s="52">
        <v>52.1</v>
      </c>
      <c r="BE28" s="52"/>
      <c r="BF28" s="52">
        <v>41.1</v>
      </c>
      <c r="BG28" s="52"/>
      <c r="BH28" s="52">
        <v>38.6</v>
      </c>
      <c r="BI28" s="52"/>
      <c r="BJ28" s="52">
        <v>40</v>
      </c>
      <c r="BK28" s="52"/>
      <c r="BL28" s="52">
        <v>41</v>
      </c>
      <c r="BM28" s="52"/>
      <c r="BN28" s="52">
        <v>43</v>
      </c>
      <c r="BO28" s="52"/>
      <c r="BP28" s="52">
        <v>47.4</v>
      </c>
      <c r="BQ28" s="52"/>
      <c r="BR28" s="52">
        <v>40.9</v>
      </c>
      <c r="BS28" s="52"/>
      <c r="BT28" s="70">
        <v>51.3</v>
      </c>
      <c r="BU28" s="52"/>
      <c r="BV28" s="52">
        <v>57.1</v>
      </c>
      <c r="BW28" s="52"/>
      <c r="BX28" s="52">
        <v>42.7</v>
      </c>
      <c r="BY28" s="52"/>
      <c r="BZ28" s="60">
        <v>46</v>
      </c>
      <c r="CA28" s="60"/>
      <c r="CB28" s="52">
        <v>73.5</v>
      </c>
      <c r="CC28" s="52"/>
      <c r="CD28" s="52">
        <v>57.1</v>
      </c>
      <c r="CE28" s="52"/>
      <c r="CF28" s="52">
        <v>50.7</v>
      </c>
      <c r="CG28" s="52"/>
      <c r="CH28" s="52">
        <v>40.4</v>
      </c>
      <c r="CI28" s="52"/>
      <c r="CJ28" s="52">
        <v>47.3</v>
      </c>
      <c r="CK28" s="52"/>
      <c r="CL28" s="52">
        <v>42.9</v>
      </c>
      <c r="CM28" s="52"/>
      <c r="CN28" s="52">
        <v>42</v>
      </c>
      <c r="CO28" s="52"/>
      <c r="CP28" s="52">
        <v>43.5</v>
      </c>
      <c r="CQ28" s="52"/>
      <c r="CR28" s="52">
        <v>41.7</v>
      </c>
      <c r="CS28" s="52"/>
      <c r="CT28" s="52">
        <v>47</v>
      </c>
      <c r="CU28" s="52"/>
      <c r="CV28" s="52">
        <v>61.9</v>
      </c>
      <c r="CW28" s="52"/>
      <c r="CX28" s="52">
        <v>48.3</v>
      </c>
      <c r="CY28" s="52"/>
      <c r="CZ28" s="60">
        <v>48.5</v>
      </c>
      <c r="DA28" s="60"/>
      <c r="DB28" s="52">
        <v>92</v>
      </c>
      <c r="DC28" s="50"/>
      <c r="DD28" s="51">
        <v>82.9</v>
      </c>
      <c r="DE28" s="51"/>
      <c r="DF28" s="51">
        <v>57.1</v>
      </c>
      <c r="DG28" s="51"/>
      <c r="DH28" s="52">
        <v>54.4</v>
      </c>
      <c r="DI28" s="54"/>
      <c r="DJ28" s="51">
        <v>64.099999999999994</v>
      </c>
      <c r="DK28" s="51"/>
      <c r="DL28" s="51">
        <v>55.3</v>
      </c>
      <c r="DM28" s="51"/>
      <c r="DN28" s="51">
        <v>54.1</v>
      </c>
      <c r="DO28" s="51"/>
      <c r="DP28" s="52">
        <v>48.8</v>
      </c>
      <c r="DQ28" s="50"/>
      <c r="DR28" s="51">
        <v>60.5</v>
      </c>
      <c r="DS28" s="50"/>
      <c r="DT28" s="52">
        <v>67</v>
      </c>
      <c r="DU28" s="50"/>
      <c r="DV28" s="51">
        <v>64.2</v>
      </c>
      <c r="DW28" s="51"/>
      <c r="DX28" s="51">
        <v>62.6</v>
      </c>
      <c r="DY28" s="50"/>
      <c r="DZ28" s="79">
        <v>62.3</v>
      </c>
      <c r="EA28" s="104"/>
      <c r="EB28" s="51">
        <v>91.8</v>
      </c>
      <c r="EC28" s="50"/>
      <c r="ED28" s="52">
        <v>67.8</v>
      </c>
      <c r="EE28" s="51"/>
      <c r="EF28" s="80">
        <v>54</v>
      </c>
      <c r="EG28" s="50"/>
      <c r="EH28" s="51">
        <v>57.8</v>
      </c>
      <c r="EI28" s="50"/>
      <c r="EJ28" s="51">
        <v>58.9</v>
      </c>
      <c r="EK28" s="50"/>
      <c r="EL28" s="51">
        <v>59.5</v>
      </c>
      <c r="EM28" s="50"/>
      <c r="EN28" s="51">
        <v>65.400000000000006</v>
      </c>
      <c r="EO28" s="50"/>
      <c r="EP28" s="52">
        <v>59.1</v>
      </c>
      <c r="EQ28" s="50"/>
      <c r="ER28" s="51">
        <v>75.2</v>
      </c>
      <c r="ES28" s="50"/>
      <c r="ET28" s="51">
        <v>69.400000000000006</v>
      </c>
      <c r="EU28" s="50"/>
      <c r="EV28" s="51">
        <v>90.3</v>
      </c>
      <c r="EW28" s="50"/>
      <c r="EX28" s="51">
        <v>74.3</v>
      </c>
      <c r="EY28" s="50"/>
      <c r="EZ28" s="79">
        <v>67.5</v>
      </c>
      <c r="FA28" s="77"/>
      <c r="FB28" s="52">
        <v>76.900000000000006</v>
      </c>
      <c r="FC28" s="50"/>
      <c r="FD28" s="51">
        <v>76.3</v>
      </c>
      <c r="FE28" s="50"/>
      <c r="FF28" s="51">
        <v>58.2</v>
      </c>
      <c r="FG28" s="50"/>
      <c r="FH28" s="51">
        <v>51.7</v>
      </c>
      <c r="FI28" s="50"/>
      <c r="FJ28" s="51">
        <v>54.8</v>
      </c>
      <c r="FK28" s="50"/>
      <c r="FL28" s="51">
        <v>56.4</v>
      </c>
      <c r="FM28" s="50"/>
      <c r="FN28" s="51">
        <v>60.3</v>
      </c>
      <c r="FO28" s="50"/>
      <c r="FP28" s="51">
        <v>63.4</v>
      </c>
      <c r="FQ28" s="50"/>
      <c r="FR28" s="51">
        <v>70.2</v>
      </c>
      <c r="FS28" s="50"/>
      <c r="FT28" s="51">
        <v>81.2</v>
      </c>
      <c r="FU28" s="50"/>
      <c r="FV28" s="51">
        <v>82.4</v>
      </c>
      <c r="FW28" s="50"/>
      <c r="FX28" s="51">
        <v>71.7</v>
      </c>
      <c r="FY28" s="50"/>
      <c r="FZ28" s="79">
        <v>66.8</v>
      </c>
      <c r="GA28" s="77"/>
      <c r="GB28" s="52">
        <v>85.8</v>
      </c>
      <c r="GC28" s="50"/>
      <c r="GD28" s="52">
        <v>67.2</v>
      </c>
      <c r="GE28" s="50"/>
      <c r="GF28" s="52">
        <v>63</v>
      </c>
      <c r="GG28" s="50"/>
      <c r="GH28" s="51">
        <v>57.3</v>
      </c>
      <c r="GI28" s="50"/>
      <c r="GJ28" s="52">
        <v>58</v>
      </c>
      <c r="GK28" s="51"/>
      <c r="GL28" s="52">
        <v>62.6</v>
      </c>
      <c r="GM28" s="51"/>
      <c r="GN28" s="52">
        <v>61</v>
      </c>
      <c r="GO28" s="51"/>
      <c r="GP28" s="52">
        <v>70.5</v>
      </c>
      <c r="GQ28" s="51"/>
      <c r="GR28" s="51">
        <v>64.3</v>
      </c>
      <c r="GS28" s="51"/>
      <c r="GT28" s="52">
        <v>66</v>
      </c>
      <c r="GU28" s="51"/>
      <c r="GV28" s="51">
        <v>77.900000000000006</v>
      </c>
      <c r="GW28" s="51"/>
      <c r="GX28" s="51">
        <v>57.3</v>
      </c>
      <c r="GY28" s="51"/>
      <c r="GZ28" s="79">
        <v>65.3</v>
      </c>
      <c r="HA28" s="79"/>
      <c r="HB28" s="57">
        <v>93.3</v>
      </c>
      <c r="HC28" s="116"/>
      <c r="HD28" s="57">
        <v>68.400000000000006</v>
      </c>
      <c r="HE28" s="116"/>
      <c r="HF28" s="57">
        <v>61.8</v>
      </c>
      <c r="HG28" s="116"/>
      <c r="HH28" s="57">
        <v>49.8</v>
      </c>
      <c r="HI28" s="116"/>
      <c r="HJ28" s="57">
        <v>56.4</v>
      </c>
      <c r="HK28" s="116"/>
      <c r="HL28" s="57">
        <v>58</v>
      </c>
      <c r="HM28" s="116"/>
      <c r="HN28" s="57">
        <v>59.3</v>
      </c>
      <c r="HO28" s="116"/>
      <c r="HP28" s="57">
        <v>62.2</v>
      </c>
      <c r="HQ28" s="116"/>
      <c r="HR28" s="57">
        <v>62.4</v>
      </c>
      <c r="HS28" s="116"/>
      <c r="HT28" s="57">
        <v>68.2</v>
      </c>
      <c r="HU28" s="116"/>
      <c r="HV28" s="57">
        <v>71.8</v>
      </c>
      <c r="HW28" s="112"/>
      <c r="HX28" s="57">
        <v>59.4</v>
      </c>
      <c r="HY28" s="112"/>
      <c r="HZ28" s="95">
        <v>63.3</v>
      </c>
      <c r="IA28" s="97"/>
      <c r="IB28" s="57">
        <v>86.383855193508012</v>
      </c>
      <c r="IC28" s="127"/>
      <c r="ID28" s="57">
        <v>70.666401830494479</v>
      </c>
      <c r="IE28" s="116"/>
      <c r="IF28" s="57">
        <v>55.7</v>
      </c>
      <c r="IG28" s="116"/>
      <c r="IH28" s="57">
        <v>63.1</v>
      </c>
      <c r="II28" s="116"/>
      <c r="IJ28" s="57">
        <v>59.6</v>
      </c>
      <c r="IK28" s="116"/>
      <c r="IL28" s="57">
        <v>64.781623171749985</v>
      </c>
      <c r="IM28" s="116"/>
      <c r="IN28" s="57">
        <v>63.825714518049267</v>
      </c>
      <c r="IO28" s="116"/>
      <c r="IP28" s="57">
        <v>59.3818451818223</v>
      </c>
      <c r="IQ28" s="116"/>
      <c r="IR28" s="57">
        <v>65.074098167181432</v>
      </c>
      <c r="IS28" s="119"/>
      <c r="IT28" s="92">
        <v>78.58539656975411</v>
      </c>
      <c r="IU28" s="92"/>
      <c r="IV28" s="57">
        <v>74.798265860163298</v>
      </c>
      <c r="IW28" s="92"/>
      <c r="IX28" s="92">
        <v>55.72899619260825</v>
      </c>
      <c r="IY28" s="92"/>
      <c r="IZ28" s="97">
        <v>66.391612899133776</v>
      </c>
      <c r="JA28" s="97"/>
      <c r="JB28" s="148">
        <v>74.953787728265382</v>
      </c>
      <c r="JC28" s="151"/>
      <c r="JD28" s="141">
        <v>55.656400321484902</v>
      </c>
      <c r="JE28" s="151"/>
      <c r="JF28" s="141">
        <v>55.339809130597793</v>
      </c>
      <c r="JG28" s="151"/>
      <c r="JH28" s="141">
        <v>51.994592953038641</v>
      </c>
      <c r="JI28" s="141"/>
      <c r="JJ28" s="141">
        <v>53.014353694066799</v>
      </c>
      <c r="JK28" s="151"/>
      <c r="JL28" s="141">
        <v>49.185897307932585</v>
      </c>
      <c r="JM28" s="151"/>
      <c r="JN28" s="141">
        <v>58.03621871247897</v>
      </c>
      <c r="JO28" s="151"/>
      <c r="JP28" s="141">
        <v>50.462327281653508</v>
      </c>
      <c r="JQ28" s="151"/>
      <c r="JR28" s="141">
        <v>57.49302022356342</v>
      </c>
      <c r="JS28" s="147"/>
      <c r="JT28" s="145">
        <v>82.8519240050787</v>
      </c>
      <c r="JU28" s="147"/>
      <c r="JV28" s="145">
        <v>82.359381113139492</v>
      </c>
      <c r="JW28" s="147"/>
      <c r="JX28" s="145">
        <v>64.923967842698175</v>
      </c>
      <c r="JY28" s="147"/>
      <c r="JZ28" s="171">
        <v>60.951941894689064</v>
      </c>
      <c r="KA28" s="169"/>
      <c r="KB28" s="145">
        <v>85.918858389480704</v>
      </c>
      <c r="KC28" s="147"/>
      <c r="KD28" s="145">
        <v>70.220084414385681</v>
      </c>
      <c r="KE28" s="147"/>
      <c r="KF28" s="145">
        <v>81.83348285496092</v>
      </c>
      <c r="KG28" s="147"/>
      <c r="KH28" s="145">
        <v>76.262521777526032</v>
      </c>
      <c r="KI28" s="147"/>
      <c r="KJ28" s="145">
        <v>64.558006840803586</v>
      </c>
      <c r="KK28" s="147"/>
      <c r="KL28" s="145">
        <v>51.959761860693021</v>
      </c>
      <c r="KM28" s="147"/>
      <c r="KN28" s="145">
        <v>48.366970067428994</v>
      </c>
      <c r="KO28" s="147"/>
      <c r="KP28" s="145">
        <v>48.536572675082937</v>
      </c>
      <c r="KQ28" s="147"/>
      <c r="KR28" s="145">
        <v>50.063875759647757</v>
      </c>
      <c r="KS28" s="147"/>
      <c r="KT28" s="145">
        <v>54.286851122080726</v>
      </c>
      <c r="KU28" s="147"/>
      <c r="KV28" s="145">
        <v>48.079592435146701</v>
      </c>
      <c r="KW28" s="147"/>
      <c r="KX28" s="145">
        <v>38.690669684276166</v>
      </c>
      <c r="KY28" s="147"/>
      <c r="KZ28" s="171">
        <v>58.135388470932234</v>
      </c>
      <c r="LA28" s="169"/>
      <c r="LB28" s="92">
        <v>64.830079340638932</v>
      </c>
      <c r="LC28" s="188"/>
      <c r="LD28" s="92">
        <v>56.02544242572214</v>
      </c>
      <c r="LE28" s="188"/>
      <c r="LF28" s="92">
        <v>59.918062820611929</v>
      </c>
      <c r="LG28" s="188"/>
      <c r="LH28" s="92">
        <v>58.902127449277373</v>
      </c>
      <c r="LI28" s="190"/>
      <c r="LJ28" s="57">
        <v>56.331540984649529</v>
      </c>
      <c r="LK28" s="190"/>
      <c r="LL28" s="57">
        <v>60.146508518225097</v>
      </c>
      <c r="LM28" s="190"/>
      <c r="LN28" s="57">
        <v>62.107260934030109</v>
      </c>
      <c r="LO28" s="119"/>
      <c r="LP28" s="57">
        <v>66.414041469339836</v>
      </c>
      <c r="LQ28" s="119"/>
      <c r="LR28" s="57">
        <v>75.445292841589648</v>
      </c>
      <c r="LS28" s="119"/>
      <c r="LT28" s="57">
        <v>70.038632996724786</v>
      </c>
      <c r="LU28" s="119"/>
      <c r="LV28" s="57">
        <v>73.482359737777273</v>
      </c>
      <c r="LW28" s="119"/>
      <c r="LX28" s="92">
        <v>56.970265294375778</v>
      </c>
      <c r="LY28" s="119"/>
      <c r="LZ28" s="95">
        <v>63.196253721639181</v>
      </c>
      <c r="MA28" s="120"/>
      <c r="MB28" s="57">
        <v>69.558537059953935</v>
      </c>
      <c r="MC28" s="119"/>
      <c r="MD28" s="92">
        <v>56.029034048558735</v>
      </c>
      <c r="ME28" s="119"/>
      <c r="MF28" s="92">
        <v>55.351291424398454</v>
      </c>
      <c r="MG28" s="119"/>
      <c r="MH28" s="92">
        <v>49.43714818307383</v>
      </c>
      <c r="MI28" s="119"/>
      <c r="MJ28" s="92">
        <v>53.941088553242508</v>
      </c>
      <c r="MK28" s="119"/>
      <c r="ML28" s="93">
        <v>48.537902186107068</v>
      </c>
      <c r="MM28" s="202"/>
      <c r="MN28" s="93">
        <v>46.290721019584637</v>
      </c>
      <c r="MO28" s="202"/>
      <c r="MP28" s="93">
        <v>53.46253211951997</v>
      </c>
      <c r="MQ28" s="202"/>
    </row>
    <row r="29" spans="1:420">
      <c r="A29" s="38" t="s">
        <v>172</v>
      </c>
      <c r="B29" s="10">
        <v>36</v>
      </c>
      <c r="C29" s="10"/>
      <c r="D29" s="10">
        <v>26.1</v>
      </c>
      <c r="E29" s="10"/>
      <c r="F29" s="10">
        <v>16.2</v>
      </c>
      <c r="G29" s="10"/>
      <c r="H29" s="10">
        <v>17.7</v>
      </c>
      <c r="I29" s="10"/>
      <c r="J29" s="10">
        <v>18.3</v>
      </c>
      <c r="K29" s="17"/>
      <c r="L29" s="10">
        <v>18.3</v>
      </c>
      <c r="M29" s="10"/>
      <c r="N29" s="10">
        <v>12</v>
      </c>
      <c r="O29" s="10"/>
      <c r="P29" s="81">
        <v>11.1</v>
      </c>
      <c r="Q29" s="81"/>
      <c r="R29" s="81">
        <v>10.4</v>
      </c>
      <c r="S29" s="81"/>
      <c r="T29" s="81">
        <v>15.2</v>
      </c>
      <c r="U29" s="81"/>
      <c r="V29" s="81">
        <v>21.1</v>
      </c>
      <c r="W29" s="81"/>
      <c r="X29" s="81">
        <v>18.3</v>
      </c>
      <c r="Y29" s="81"/>
      <c r="Z29" s="98">
        <v>17.600000000000001</v>
      </c>
      <c r="AA29" s="98"/>
      <c r="AB29" s="81">
        <v>22</v>
      </c>
      <c r="AC29" s="81"/>
      <c r="AD29" s="81">
        <v>20</v>
      </c>
      <c r="AE29" s="81"/>
      <c r="AF29" s="81">
        <v>14.7</v>
      </c>
      <c r="AG29" s="81"/>
      <c r="AH29" s="81">
        <v>17.8</v>
      </c>
      <c r="AI29" s="81"/>
      <c r="AJ29" s="81">
        <v>17.399999999999999</v>
      </c>
      <c r="AK29" s="81"/>
      <c r="AL29" s="81">
        <v>16.2</v>
      </c>
      <c r="AM29" s="81"/>
      <c r="AN29" s="81">
        <v>15.7</v>
      </c>
      <c r="AO29" s="81"/>
      <c r="AP29" s="82">
        <v>17.2</v>
      </c>
      <c r="AQ29" s="81"/>
      <c r="AR29" s="81">
        <v>18.600000000000001</v>
      </c>
      <c r="AS29" s="81"/>
      <c r="AT29" s="81">
        <v>14.4</v>
      </c>
      <c r="AU29" s="81"/>
      <c r="AV29" s="81">
        <v>19.7</v>
      </c>
      <c r="AW29" s="81"/>
      <c r="AX29" s="81">
        <v>16.7</v>
      </c>
      <c r="AY29" s="81"/>
      <c r="AZ29" s="98">
        <v>17.3</v>
      </c>
      <c r="BA29" s="98"/>
      <c r="BB29" s="81">
        <v>20.9</v>
      </c>
      <c r="BC29" s="81"/>
      <c r="BD29" s="81">
        <v>34.4</v>
      </c>
      <c r="BE29" s="81"/>
      <c r="BF29" s="81">
        <v>27.2</v>
      </c>
      <c r="BG29" s="81"/>
      <c r="BH29" s="81">
        <v>28.5</v>
      </c>
      <c r="BI29" s="81"/>
      <c r="BJ29" s="81">
        <v>26.4</v>
      </c>
      <c r="BK29" s="81"/>
      <c r="BL29" s="81">
        <v>22.7</v>
      </c>
      <c r="BM29" s="81"/>
      <c r="BN29" s="81">
        <v>26</v>
      </c>
      <c r="BO29" s="81"/>
      <c r="BP29" s="81">
        <v>28.4</v>
      </c>
      <c r="BQ29" s="81"/>
      <c r="BR29" s="81">
        <v>27.3</v>
      </c>
      <c r="BS29" s="81"/>
      <c r="BT29" s="83">
        <v>28.7</v>
      </c>
      <c r="BU29" s="81"/>
      <c r="BV29" s="81">
        <v>33.5</v>
      </c>
      <c r="BW29" s="81"/>
      <c r="BX29" s="81">
        <v>24</v>
      </c>
      <c r="BY29" s="81"/>
      <c r="BZ29" s="98">
        <v>27.3</v>
      </c>
      <c r="CA29" s="98"/>
      <c r="CB29" s="81">
        <v>32.799999999999997</v>
      </c>
      <c r="CC29" s="81"/>
      <c r="CD29" s="81">
        <v>23.4</v>
      </c>
      <c r="CE29" s="81"/>
      <c r="CF29" s="81">
        <v>23.6</v>
      </c>
      <c r="CG29" s="81"/>
      <c r="CH29" s="81">
        <v>35.5</v>
      </c>
      <c r="CI29" s="81"/>
      <c r="CJ29" s="81">
        <v>26.5</v>
      </c>
      <c r="CK29" s="81"/>
      <c r="CL29" s="81">
        <v>26.1</v>
      </c>
      <c r="CM29" s="81"/>
      <c r="CN29" s="81">
        <v>31.7</v>
      </c>
      <c r="CO29" s="81"/>
      <c r="CP29" s="81">
        <v>34.200000000000003</v>
      </c>
      <c r="CQ29" s="81"/>
      <c r="CR29" s="81">
        <v>27.6</v>
      </c>
      <c r="CS29" s="81"/>
      <c r="CT29" s="81">
        <v>25.5</v>
      </c>
      <c r="CU29" s="81"/>
      <c r="CV29" s="81">
        <v>23.2</v>
      </c>
      <c r="CW29" s="81"/>
      <c r="CX29" s="81">
        <v>24.9</v>
      </c>
      <c r="CY29" s="81"/>
      <c r="CZ29" s="98">
        <v>27.5</v>
      </c>
      <c r="DA29" s="98"/>
      <c r="DB29" s="81">
        <v>27.5</v>
      </c>
      <c r="DC29" s="84"/>
      <c r="DD29" s="85">
        <v>27.1</v>
      </c>
      <c r="DE29" s="85"/>
      <c r="DF29" s="85">
        <v>22.7</v>
      </c>
      <c r="DG29" s="85"/>
      <c r="DH29" s="81">
        <v>29.3</v>
      </c>
      <c r="DI29" s="86"/>
      <c r="DJ29" s="85">
        <v>20.9</v>
      </c>
      <c r="DK29" s="85"/>
      <c r="DL29" s="85">
        <v>20.7</v>
      </c>
      <c r="DM29" s="85"/>
      <c r="DN29" s="85">
        <v>20.8</v>
      </c>
      <c r="DO29" s="85"/>
      <c r="DP29" s="81">
        <v>24.9</v>
      </c>
      <c r="DQ29" s="84"/>
      <c r="DR29" s="85">
        <v>24.7</v>
      </c>
      <c r="DS29" s="84"/>
      <c r="DT29" s="81">
        <v>28.7</v>
      </c>
      <c r="DU29" s="84"/>
      <c r="DV29" s="85">
        <v>30.5</v>
      </c>
      <c r="DW29" s="85"/>
      <c r="DX29" s="85">
        <v>28.7</v>
      </c>
      <c r="DY29" s="84"/>
      <c r="DZ29" s="88">
        <v>25.3</v>
      </c>
      <c r="EA29" s="105"/>
      <c r="EB29" s="85">
        <v>39.299999999999997</v>
      </c>
      <c r="EC29" s="84"/>
      <c r="ED29" s="81">
        <v>27</v>
      </c>
      <c r="EE29" s="85"/>
      <c r="EF29" s="87">
        <v>30</v>
      </c>
      <c r="EG29" s="84"/>
      <c r="EH29" s="85">
        <v>38.799999999999997</v>
      </c>
      <c r="EI29" s="84"/>
      <c r="EJ29" s="85">
        <v>28.4</v>
      </c>
      <c r="EK29" s="84"/>
      <c r="EL29" s="85">
        <v>22.4</v>
      </c>
      <c r="EM29" s="84"/>
      <c r="EN29" s="85">
        <v>30.8</v>
      </c>
      <c r="EO29" s="84"/>
      <c r="EP29" s="81">
        <v>26</v>
      </c>
      <c r="EQ29" s="84"/>
      <c r="ER29" s="85">
        <v>28.8</v>
      </c>
      <c r="ES29" s="84"/>
      <c r="ET29" s="85">
        <v>28.8</v>
      </c>
      <c r="EU29" s="84"/>
      <c r="EV29" s="85">
        <v>30.1</v>
      </c>
      <c r="EW29" s="84"/>
      <c r="EX29" s="85">
        <v>26.1</v>
      </c>
      <c r="EY29" s="84"/>
      <c r="EZ29" s="88">
        <v>29.3</v>
      </c>
      <c r="FA29" s="89"/>
      <c r="FB29" s="81">
        <v>29</v>
      </c>
      <c r="FC29" s="84"/>
      <c r="FD29" s="85">
        <v>28.7</v>
      </c>
      <c r="FE29" s="84"/>
      <c r="FF29" s="85">
        <v>37.1</v>
      </c>
      <c r="FG29" s="84"/>
      <c r="FH29" s="85">
        <v>26.6</v>
      </c>
      <c r="FI29" s="84"/>
      <c r="FJ29" s="85">
        <v>26.2</v>
      </c>
      <c r="FK29" s="84"/>
      <c r="FL29" s="85">
        <v>20.9</v>
      </c>
      <c r="FM29" s="84"/>
      <c r="FN29" s="85">
        <v>28.5</v>
      </c>
      <c r="FO29" s="84"/>
      <c r="FP29" s="85">
        <v>26.7</v>
      </c>
      <c r="FQ29" s="84"/>
      <c r="FR29" s="85">
        <v>31.8</v>
      </c>
      <c r="FS29" s="84"/>
      <c r="FT29" s="85">
        <v>30.4</v>
      </c>
      <c r="FU29" s="84"/>
      <c r="FV29" s="85">
        <v>34.5</v>
      </c>
      <c r="FW29" s="84"/>
      <c r="FX29" s="85">
        <v>31.9</v>
      </c>
      <c r="FY29" s="84"/>
      <c r="FZ29" s="88">
        <v>29.6</v>
      </c>
      <c r="GA29" s="89"/>
      <c r="GB29" s="81">
        <v>34.200000000000003</v>
      </c>
      <c r="GC29" s="84"/>
      <c r="GD29" s="81">
        <v>32.6</v>
      </c>
      <c r="GE29" s="84"/>
      <c r="GF29" s="81">
        <v>28.2</v>
      </c>
      <c r="GG29" s="84"/>
      <c r="GH29" s="81">
        <v>27.9</v>
      </c>
      <c r="GI29" s="84"/>
      <c r="GJ29" s="81">
        <v>27</v>
      </c>
      <c r="GK29" s="85"/>
      <c r="GL29" s="85">
        <v>27.2</v>
      </c>
      <c r="GM29" s="85"/>
      <c r="GN29" s="85">
        <v>25.1</v>
      </c>
      <c r="GO29" s="85"/>
      <c r="GP29" s="85">
        <v>21.3</v>
      </c>
      <c r="GQ29" s="85"/>
      <c r="GR29" s="85">
        <v>23.8</v>
      </c>
      <c r="GS29" s="85"/>
      <c r="GT29" s="81">
        <v>28.2</v>
      </c>
      <c r="GU29" s="85"/>
      <c r="GV29" s="81">
        <v>35.4</v>
      </c>
      <c r="GW29" s="85"/>
      <c r="GX29" s="85">
        <v>40.200000000000003</v>
      </c>
      <c r="GY29" s="85"/>
      <c r="GZ29" s="98">
        <v>29.3</v>
      </c>
      <c r="HA29" s="88"/>
      <c r="HB29" s="121">
        <v>50.4</v>
      </c>
      <c r="HC29" s="121"/>
      <c r="HD29" s="121">
        <v>45.6</v>
      </c>
      <c r="HE29" s="121"/>
      <c r="HF29" s="121">
        <v>44</v>
      </c>
      <c r="HG29" s="121"/>
      <c r="HH29" s="121">
        <v>39.4</v>
      </c>
      <c r="HI29" s="121"/>
      <c r="HJ29" s="121">
        <v>29.6</v>
      </c>
      <c r="HK29" s="121"/>
      <c r="HL29" s="121">
        <v>28.8</v>
      </c>
      <c r="HM29" s="121"/>
      <c r="HN29" s="121">
        <v>28.1</v>
      </c>
      <c r="HO29" s="121"/>
      <c r="HP29" s="121">
        <v>28.7</v>
      </c>
      <c r="HQ29" s="126"/>
      <c r="HR29" s="121">
        <v>31.3</v>
      </c>
      <c r="HS29" s="121"/>
      <c r="HT29" s="121">
        <v>27.4</v>
      </c>
      <c r="HU29" s="121"/>
      <c r="HV29" s="121">
        <v>28.9</v>
      </c>
      <c r="HW29" s="123"/>
      <c r="HX29" s="121">
        <v>26.5</v>
      </c>
      <c r="HY29" s="123"/>
      <c r="HZ29" s="124">
        <v>33.5</v>
      </c>
      <c r="IA29" s="125"/>
      <c r="IB29" s="121">
        <v>40.161330563970047</v>
      </c>
      <c r="IC29" s="129"/>
      <c r="ID29" s="121">
        <v>38.173075516865786</v>
      </c>
      <c r="IE29" s="130"/>
      <c r="IF29" s="121">
        <v>28.4</v>
      </c>
      <c r="IG29" s="130"/>
      <c r="IH29" s="121">
        <v>39.6</v>
      </c>
      <c r="II29" s="130"/>
      <c r="IJ29" s="121">
        <v>33.5</v>
      </c>
      <c r="IK29" s="130"/>
      <c r="IL29" s="121">
        <v>26.272738046735711</v>
      </c>
      <c r="IM29" s="130"/>
      <c r="IN29" s="121">
        <v>22.239994725256597</v>
      </c>
      <c r="IO29" s="130"/>
      <c r="IP29" s="121">
        <v>17.096471885836483</v>
      </c>
      <c r="IQ29" s="130"/>
      <c r="IR29" s="121">
        <v>20.811585873816373</v>
      </c>
      <c r="IS29" s="122"/>
      <c r="IT29" s="123">
        <v>24.804099659976011</v>
      </c>
      <c r="IU29" s="123"/>
      <c r="IV29" s="123">
        <v>28.478113669507156</v>
      </c>
      <c r="IW29" s="123"/>
      <c r="IX29" s="123">
        <v>23.411725685023434</v>
      </c>
      <c r="IY29" s="123"/>
      <c r="IZ29" s="125">
        <v>27.635647896867127</v>
      </c>
      <c r="JA29" s="125"/>
      <c r="JB29" s="164">
        <v>32.317418590396748</v>
      </c>
      <c r="JC29" s="165"/>
      <c r="JD29" s="166">
        <v>31.348384663712114</v>
      </c>
      <c r="JE29" s="165"/>
      <c r="JF29" s="167">
        <v>24.773195777782654</v>
      </c>
      <c r="JG29" s="165"/>
      <c r="JH29" s="167">
        <v>27.573320208792328</v>
      </c>
      <c r="JI29" s="167"/>
      <c r="JJ29" s="167">
        <v>18.723425618057803</v>
      </c>
      <c r="JK29" s="165"/>
      <c r="JL29" s="167">
        <v>29.992462541100657</v>
      </c>
      <c r="JM29" s="165"/>
      <c r="JN29" s="167">
        <v>34.625929342054498</v>
      </c>
      <c r="JO29" s="165"/>
      <c r="JP29" s="167">
        <v>44.855311897286363</v>
      </c>
      <c r="JQ29" s="165"/>
      <c r="JR29" s="167">
        <v>45.132238632506251</v>
      </c>
      <c r="JS29" s="168"/>
      <c r="JT29" s="156">
        <v>46.298188116390179</v>
      </c>
      <c r="JU29" s="168"/>
      <c r="JV29" s="156">
        <v>47.059933983995855</v>
      </c>
      <c r="JW29" s="168"/>
      <c r="JX29" s="156">
        <v>40.112361945335749</v>
      </c>
      <c r="JY29" s="168"/>
      <c r="JZ29" s="172">
        <v>35.754794228014561</v>
      </c>
      <c r="KA29" s="173"/>
      <c r="KB29" s="156">
        <v>58.053870632583624</v>
      </c>
      <c r="KC29" s="168"/>
      <c r="KD29" s="156">
        <v>51.82189811247747</v>
      </c>
      <c r="KE29" s="168"/>
      <c r="KF29" s="156">
        <v>38.454343517451434</v>
      </c>
      <c r="KG29" s="168"/>
      <c r="KH29" s="156">
        <v>27.872641058447456</v>
      </c>
      <c r="KI29" s="168"/>
      <c r="KJ29" s="156">
        <v>30.372082698493024</v>
      </c>
      <c r="KK29" s="168"/>
      <c r="KL29" s="156">
        <v>38.629899651411478</v>
      </c>
      <c r="KM29" s="168"/>
      <c r="KN29" s="156">
        <v>24.159792477400877</v>
      </c>
      <c r="KO29" s="168"/>
      <c r="KP29" s="156">
        <v>20.574161146040492</v>
      </c>
      <c r="KQ29" s="168"/>
      <c r="KR29" s="156">
        <v>12.276010835410068</v>
      </c>
      <c r="KS29" s="168"/>
      <c r="KT29" s="156">
        <v>20.112640825550411</v>
      </c>
      <c r="KU29" s="168"/>
      <c r="KV29" s="156">
        <v>20.480572226662051</v>
      </c>
      <c r="KW29" s="168"/>
      <c r="KX29" s="156">
        <v>18.223425640750357</v>
      </c>
      <c r="KY29" s="168"/>
      <c r="KZ29" s="172">
        <v>28.164358864340965</v>
      </c>
      <c r="LA29" s="173"/>
      <c r="LB29" s="123">
        <v>20.681664989445007</v>
      </c>
      <c r="LC29" s="186"/>
      <c r="LD29" s="123">
        <v>21.272678516297226</v>
      </c>
      <c r="LE29" s="186"/>
      <c r="LF29" s="123">
        <v>20.272800025577283</v>
      </c>
      <c r="LG29" s="186"/>
      <c r="LH29" s="123">
        <v>19.566422372823407</v>
      </c>
      <c r="LI29" s="191"/>
      <c r="LJ29" s="121">
        <v>21.095361033558124</v>
      </c>
      <c r="LK29" s="191"/>
      <c r="LL29" s="121">
        <v>14.585438313523893</v>
      </c>
      <c r="LM29" s="191"/>
      <c r="LN29" s="121">
        <v>14.980571783975924</v>
      </c>
      <c r="LO29" s="122"/>
      <c r="LP29" s="121">
        <v>12.618727119912338</v>
      </c>
      <c r="LQ29" s="122"/>
      <c r="LR29" s="121">
        <v>12.845981887727287</v>
      </c>
      <c r="LS29" s="122"/>
      <c r="LT29" s="121">
        <v>14.183418096932257</v>
      </c>
      <c r="LU29" s="122"/>
      <c r="LV29" s="121">
        <v>20.306261513563673</v>
      </c>
      <c r="LW29" s="122"/>
      <c r="LX29" s="123">
        <v>20.174532117819862</v>
      </c>
      <c r="LY29" s="122"/>
      <c r="LZ29" s="124">
        <v>17.550275114922034</v>
      </c>
      <c r="MA29" s="194"/>
      <c r="MB29" s="121">
        <v>19.894946584127027</v>
      </c>
      <c r="MC29" s="122"/>
      <c r="MD29" s="123">
        <v>26.620874359643913</v>
      </c>
      <c r="ME29" s="122"/>
      <c r="MF29" s="123">
        <v>24.57820737909778</v>
      </c>
      <c r="MG29" s="122"/>
      <c r="MH29" s="123">
        <v>21.861993707063995</v>
      </c>
      <c r="MI29" s="122"/>
      <c r="MJ29" s="123">
        <v>21.625009261365989</v>
      </c>
      <c r="MK29" s="122"/>
      <c r="ML29" s="198">
        <v>27.412820626460523</v>
      </c>
      <c r="MM29" s="203"/>
      <c r="MN29" s="198">
        <v>21.794335822039979</v>
      </c>
      <c r="MO29" s="203"/>
      <c r="MP29" s="198">
        <v>18.543015717460666</v>
      </c>
      <c r="MQ29" s="203"/>
    </row>
    <row r="30" spans="1:420" s="12" customFormat="1" ht="15.75" customHeight="1">
      <c r="A30" s="137" t="s">
        <v>317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H30" s="6"/>
      <c r="DI30" s="6"/>
      <c r="DK30" s="6"/>
      <c r="DP30" s="30"/>
      <c r="DV30" s="6"/>
      <c r="DW30" s="5"/>
      <c r="DZ30" s="5"/>
      <c r="ED30" s="5"/>
      <c r="EE30" s="6"/>
      <c r="EX30" s="32"/>
      <c r="EY30" s="32"/>
      <c r="EZ30" s="33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28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57"/>
      <c r="IH30" s="32"/>
      <c r="II30" s="32"/>
      <c r="IJ30" s="32"/>
      <c r="IK30" s="32"/>
      <c r="IL30" s="32"/>
      <c r="IM30" s="32"/>
      <c r="IN30" s="32"/>
      <c r="IO30" s="32"/>
      <c r="IP30" s="32"/>
      <c r="IQ30" s="32"/>
      <c r="IR30" s="32"/>
      <c r="IS30" s="32"/>
      <c r="IT30" s="32"/>
      <c r="IU30" s="32"/>
      <c r="IV30" s="32"/>
      <c r="IW30" s="32"/>
      <c r="IX30" s="32"/>
      <c r="IY30" s="32"/>
      <c r="IZ30" s="32"/>
      <c r="JA30" s="32"/>
      <c r="JB30" s="32"/>
      <c r="JC30" s="32"/>
      <c r="JD30" s="32"/>
      <c r="JE30" s="32"/>
      <c r="JF30" s="32"/>
      <c r="JG30" s="32"/>
      <c r="JH30" s="32"/>
      <c r="JI30" s="32"/>
      <c r="JJ30" s="32"/>
      <c r="JK30" s="32"/>
      <c r="JL30" s="32"/>
      <c r="JM30" s="32"/>
      <c r="JN30" s="32"/>
      <c r="JO30" s="32"/>
      <c r="JP30" s="32"/>
      <c r="JQ30" s="32"/>
      <c r="JR30" s="32"/>
      <c r="JS30" s="32"/>
      <c r="JT30" s="32"/>
      <c r="JU30" s="32"/>
      <c r="JV30" s="32"/>
      <c r="JW30" s="32"/>
      <c r="JX30" s="32"/>
      <c r="JY30" s="32"/>
      <c r="JZ30" s="32"/>
      <c r="KA30" s="32"/>
      <c r="KB30" s="174"/>
      <c r="KC30" s="174"/>
      <c r="KD30" s="174"/>
      <c r="KE30" s="174"/>
      <c r="KF30" s="174"/>
      <c r="KG30" s="174"/>
      <c r="KH30" s="174"/>
      <c r="KI30" s="174"/>
      <c r="KJ30" s="174"/>
      <c r="KK30" s="174"/>
      <c r="KL30" s="174"/>
      <c r="KM30" s="174"/>
      <c r="KN30" s="174"/>
      <c r="KO30" s="174"/>
      <c r="KP30" s="174"/>
      <c r="KQ30" s="174"/>
      <c r="KR30" s="174"/>
      <c r="KS30" s="174"/>
      <c r="KT30" s="174"/>
      <c r="KU30" s="174"/>
      <c r="KV30" s="174"/>
      <c r="KW30" s="174"/>
      <c r="KX30" s="174"/>
      <c r="KY30" s="174"/>
      <c r="KZ30" s="174"/>
      <c r="LA30" s="174"/>
      <c r="LB30" s="174"/>
      <c r="LC30" s="174"/>
      <c r="LD30" s="174"/>
      <c r="LE30" s="174"/>
      <c r="LF30" s="174"/>
      <c r="LG30" s="174"/>
      <c r="LH30" s="174"/>
      <c r="LI30" s="174"/>
      <c r="LJ30" s="174"/>
      <c r="LK30" s="174"/>
      <c r="LL30" s="174"/>
      <c r="LM30" s="174"/>
      <c r="LN30" s="174"/>
      <c r="LO30" s="174"/>
      <c r="LP30" s="174"/>
      <c r="LQ30" s="174"/>
      <c r="LR30" s="174"/>
      <c r="LS30" s="174"/>
      <c r="LT30" s="174"/>
      <c r="LU30" s="174"/>
      <c r="LV30" s="174"/>
      <c r="LW30" s="174"/>
      <c r="LX30" s="174"/>
      <c r="LY30" s="174"/>
    </row>
    <row r="31" spans="1:420" ht="15.75" customHeight="1">
      <c r="A31" s="227" t="s">
        <v>366</v>
      </c>
      <c r="B31" s="227"/>
      <c r="C31" s="227"/>
      <c r="D31" s="227"/>
      <c r="E31" s="227"/>
      <c r="F31" s="227"/>
      <c r="G31" s="227"/>
      <c r="H31" s="227"/>
      <c r="I31" s="227"/>
      <c r="J31" s="25"/>
      <c r="K31" s="25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6"/>
      <c r="AA31" s="26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7"/>
      <c r="AW31" s="27"/>
      <c r="AX31"/>
      <c r="AY31"/>
      <c r="AZ31"/>
      <c r="BA31" s="1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5"/>
      <c r="BT31" s="5"/>
      <c r="BU31" s="5"/>
      <c r="BV31" s="5"/>
      <c r="BW31" s="5"/>
      <c r="BX31" s="23"/>
      <c r="BY31" s="23"/>
      <c r="BZ31" s="5"/>
      <c r="CA31" s="5"/>
      <c r="CZ31" s="6"/>
      <c r="DA31" s="6"/>
      <c r="DB31" s="6"/>
      <c r="DC31" s="6"/>
      <c r="DE31" s="6"/>
      <c r="DF31" s="6"/>
      <c r="DG31" s="6"/>
      <c r="DJ31" s="6"/>
      <c r="DL31" s="6"/>
      <c r="DM31" s="6"/>
      <c r="DN31" s="6"/>
      <c r="DO31" s="6"/>
      <c r="DP31" s="6"/>
      <c r="DQ31" s="6"/>
      <c r="DR31" s="6"/>
      <c r="DS31" s="28"/>
      <c r="DU31" s="6"/>
      <c r="DX31" s="6"/>
      <c r="DY31" s="6"/>
      <c r="EA31" s="31"/>
      <c r="EC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175"/>
      <c r="KC31" s="175"/>
      <c r="KD31" s="175"/>
      <c r="KE31" s="175"/>
      <c r="KF31" s="175"/>
      <c r="KG31" s="175"/>
      <c r="KH31" s="175"/>
      <c r="KI31" s="175"/>
      <c r="KJ31" s="175"/>
      <c r="KK31" s="175"/>
      <c r="KL31" s="175"/>
      <c r="KM31" s="175"/>
      <c r="KN31" s="175"/>
      <c r="KO31" s="175"/>
      <c r="KP31" s="175"/>
      <c r="KQ31" s="175"/>
      <c r="KR31" s="175"/>
      <c r="KS31" s="175"/>
      <c r="KT31" s="175"/>
      <c r="KU31" s="175"/>
      <c r="KV31" s="175"/>
      <c r="KW31" s="175"/>
      <c r="KX31" s="175"/>
      <c r="KY31" s="175"/>
      <c r="KZ31" s="175"/>
      <c r="LA31" s="175"/>
      <c r="LB31" s="175"/>
      <c r="LC31" s="175"/>
      <c r="LD31" s="175"/>
      <c r="LE31" s="175"/>
      <c r="LF31" s="175"/>
      <c r="LG31" s="175"/>
      <c r="LH31" s="175"/>
      <c r="LI31" s="175"/>
      <c r="LJ31" s="175"/>
      <c r="LK31" s="175"/>
      <c r="LL31" s="175"/>
      <c r="LM31" s="175"/>
      <c r="LN31" s="175"/>
      <c r="LO31" s="175"/>
      <c r="LP31" s="175"/>
      <c r="LQ31" s="175"/>
      <c r="LR31" s="175"/>
      <c r="LS31" s="175"/>
      <c r="LT31" s="175"/>
      <c r="LU31" s="175"/>
      <c r="LV31" s="175"/>
      <c r="LW31" s="175"/>
      <c r="LX31" s="175"/>
      <c r="LY31" s="175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6"/>
      <c r="OY31" s="6"/>
      <c r="OZ31" s="6"/>
      <c r="PA31" s="6"/>
      <c r="PB31" s="6"/>
      <c r="PC31" s="6"/>
      <c r="PD31" s="6"/>
    </row>
    <row r="32" spans="1:420" ht="16.5">
      <c r="A32" s="228" t="s">
        <v>367</v>
      </c>
      <c r="B32" s="228"/>
      <c r="C32" s="228"/>
      <c r="D32" s="228"/>
      <c r="E32" s="228"/>
      <c r="F32" s="228"/>
      <c r="G32" s="228"/>
      <c r="H32" s="228"/>
      <c r="I32" s="228"/>
      <c r="J32" s="25"/>
      <c r="K32" s="25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6"/>
      <c r="AA32" s="26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7"/>
      <c r="AW32" s="27"/>
      <c r="AX32"/>
      <c r="AY32"/>
      <c r="AZ32"/>
      <c r="BA32" s="1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5"/>
      <c r="BT32" s="5"/>
      <c r="BU32" s="5"/>
      <c r="BV32" s="5"/>
      <c r="BW32" s="5"/>
      <c r="BX32" s="23"/>
      <c r="BY32" s="23"/>
      <c r="BZ32" s="5"/>
      <c r="CA32" s="5"/>
      <c r="CZ32" s="6"/>
      <c r="DA32" s="6"/>
      <c r="DB32" s="6"/>
      <c r="DC32" s="6"/>
      <c r="DE32" s="6"/>
      <c r="DF32" s="6"/>
      <c r="DG32" s="6"/>
      <c r="DJ32" s="6"/>
      <c r="DL32" s="6"/>
      <c r="DM32" s="6"/>
      <c r="DN32" s="6"/>
      <c r="DO32" s="6"/>
      <c r="DP32" s="6"/>
      <c r="DQ32" s="6"/>
      <c r="DR32" s="6"/>
      <c r="DS32" s="6"/>
      <c r="DU32" s="6"/>
      <c r="DX32" s="6"/>
      <c r="DY32" s="6"/>
      <c r="EA32" s="31"/>
      <c r="EC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175"/>
      <c r="KC32" s="175"/>
      <c r="KD32" s="175"/>
      <c r="KE32" s="175"/>
      <c r="KF32" s="175"/>
      <c r="KG32" s="175"/>
      <c r="KH32" s="175"/>
      <c r="KI32" s="175"/>
      <c r="KJ32" s="175"/>
      <c r="KK32" s="175"/>
      <c r="KL32" s="175"/>
      <c r="KM32" s="175"/>
      <c r="KN32" s="175"/>
      <c r="KO32" s="175"/>
      <c r="KP32" s="175"/>
      <c r="KQ32" s="175"/>
      <c r="KR32" s="175"/>
      <c r="KS32" s="175"/>
      <c r="KT32" s="175"/>
      <c r="KU32" s="175"/>
      <c r="KV32" s="175"/>
      <c r="KW32" s="175"/>
      <c r="KX32" s="175"/>
      <c r="KY32" s="175"/>
      <c r="KZ32" s="175"/>
      <c r="LA32" s="175"/>
      <c r="LB32" s="175"/>
      <c r="LC32" s="175"/>
      <c r="LD32" s="175"/>
      <c r="LE32" s="175"/>
      <c r="LF32" s="175"/>
      <c r="LG32" s="175"/>
      <c r="LH32" s="175"/>
      <c r="LI32" s="175"/>
      <c r="LJ32" s="175"/>
      <c r="LK32" s="175"/>
      <c r="LL32" s="175"/>
      <c r="LM32" s="175"/>
      <c r="LN32" s="175"/>
      <c r="LO32" s="175"/>
      <c r="LP32" s="175"/>
      <c r="LQ32" s="175"/>
      <c r="LR32" s="175"/>
      <c r="LS32" s="175"/>
      <c r="LT32" s="175"/>
      <c r="LU32" s="175"/>
      <c r="LV32" s="175"/>
      <c r="LW32" s="175"/>
      <c r="LX32" s="175"/>
      <c r="LY32" s="175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</row>
    <row r="33" spans="1:420" ht="15.75" customHeight="1">
      <c r="A33" s="228" t="s">
        <v>368</v>
      </c>
      <c r="B33" s="228"/>
      <c r="C33" s="228"/>
      <c r="D33" s="228"/>
      <c r="E33" s="228"/>
      <c r="F33" s="228"/>
      <c r="G33" s="228"/>
      <c r="H33" s="228"/>
      <c r="I33" s="228"/>
      <c r="J33" s="25"/>
      <c r="K33" s="25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6"/>
      <c r="AA33" s="26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7"/>
      <c r="AW33" s="27"/>
      <c r="AX33"/>
      <c r="AY33"/>
      <c r="AZ33"/>
      <c r="BA33" s="1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5"/>
      <c r="BT33" s="5"/>
      <c r="BU33" s="5"/>
      <c r="BV33" s="5"/>
      <c r="BW33" s="5"/>
      <c r="BX33" s="23"/>
      <c r="BY33" s="23"/>
      <c r="BZ33" s="5"/>
      <c r="CA33" s="5"/>
      <c r="CZ33" s="6"/>
      <c r="DA33" s="6"/>
      <c r="DB33" s="6"/>
      <c r="DC33" s="6"/>
      <c r="DE33" s="6"/>
      <c r="DF33" s="6"/>
      <c r="DG33" s="6"/>
      <c r="DJ33" s="6"/>
      <c r="DL33" s="6"/>
      <c r="DM33" s="6"/>
      <c r="DN33" s="6"/>
      <c r="DO33" s="6"/>
      <c r="DP33" s="6"/>
      <c r="DQ33" s="6"/>
      <c r="DR33" s="6"/>
      <c r="DS33" s="6"/>
      <c r="DU33" s="6"/>
      <c r="DX33" s="6"/>
      <c r="DY33" s="6"/>
      <c r="EA33" s="31"/>
      <c r="EC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T33" s="6"/>
      <c r="OU33" s="6"/>
      <c r="OV33" s="6"/>
      <c r="OW33" s="6"/>
      <c r="OX33" s="6"/>
      <c r="OY33" s="6"/>
      <c r="OZ33" s="6"/>
      <c r="PA33" s="6"/>
      <c r="PB33" s="6"/>
      <c r="PC33" s="6"/>
      <c r="PD33" s="6"/>
    </row>
    <row r="34" spans="1:420" ht="15.75" customHeight="1">
      <c r="A34" s="229" t="s">
        <v>369</v>
      </c>
      <c r="B34" s="229"/>
      <c r="C34" s="229"/>
      <c r="D34" s="229"/>
      <c r="E34" s="229"/>
      <c r="F34" s="229"/>
      <c r="G34" s="229"/>
      <c r="H34" s="229"/>
      <c r="I34" s="229"/>
      <c r="EA34" s="31"/>
    </row>
    <row r="35" spans="1:420" ht="15.75" customHeight="1">
      <c r="A35" s="229" t="s">
        <v>402</v>
      </c>
      <c r="B35" s="229"/>
      <c r="C35" s="229"/>
      <c r="D35" s="229"/>
      <c r="E35" s="229"/>
      <c r="F35" s="229"/>
      <c r="G35" s="229"/>
      <c r="H35" s="229"/>
      <c r="I35" s="229"/>
      <c r="EA35" s="31"/>
    </row>
    <row r="36" spans="1:420" ht="15.75" customHeight="1">
      <c r="A36" s="228" t="s">
        <v>403</v>
      </c>
      <c r="B36" s="228"/>
      <c r="C36" s="228"/>
      <c r="D36" s="228"/>
      <c r="E36" s="228"/>
      <c r="F36" s="228"/>
      <c r="G36" s="228"/>
      <c r="H36" s="228"/>
      <c r="I36" s="228"/>
      <c r="EA36" s="31"/>
    </row>
    <row r="37" spans="1:420">
      <c r="A37" s="138" t="s">
        <v>319</v>
      </c>
      <c r="EA37" s="31"/>
    </row>
    <row r="38" spans="1:420" ht="16.5">
      <c r="A38" s="139" t="s">
        <v>320</v>
      </c>
      <c r="EA38" s="31"/>
    </row>
    <row r="39" spans="1:420">
      <c r="EA39" s="31"/>
    </row>
    <row r="40" spans="1:420">
      <c r="A40" s="137" t="s">
        <v>318</v>
      </c>
    </row>
  </sheetData>
  <protectedRanges>
    <protectedRange sqref="A34:A36 A31:A32" name="Диапазон1_2"/>
  </protectedRanges>
  <mergeCells count="199">
    <mergeCell ref="MP5:MP6"/>
    <mergeCell ref="MB4:MQ4"/>
    <mergeCell ref="BB4:CA4"/>
    <mergeCell ref="GV5:GV6"/>
    <mergeCell ref="A31:I31"/>
    <mergeCell ref="A32:I32"/>
    <mergeCell ref="A33:I33"/>
    <mergeCell ref="A34:I34"/>
    <mergeCell ref="A35:I35"/>
    <mergeCell ref="A36:I36"/>
    <mergeCell ref="IR5:IR6"/>
    <mergeCell ref="HX5:HX6"/>
    <mergeCell ref="HL5:HL6"/>
    <mergeCell ref="IL5:IL6"/>
    <mergeCell ref="HF5:HF6"/>
    <mergeCell ref="AB5:AB6"/>
    <mergeCell ref="AJ5:AJ6"/>
    <mergeCell ref="AL5:AL6"/>
    <mergeCell ref="L5:L6"/>
    <mergeCell ref="AT5:AT6"/>
    <mergeCell ref="FT5:FT6"/>
    <mergeCell ref="FR5:FR6"/>
    <mergeCell ref="DD5:DD6"/>
    <mergeCell ref="DT5:DT6"/>
    <mergeCell ref="DH5:DH6"/>
    <mergeCell ref="CT5:CT6"/>
    <mergeCell ref="HB4:IA4"/>
    <mergeCell ref="HZ5:HZ6"/>
    <mergeCell ref="IP5:IP6"/>
    <mergeCell ref="IB5:IB6"/>
    <mergeCell ref="HV5:HV6"/>
    <mergeCell ref="HT5:HT6"/>
    <mergeCell ref="HP5:HP6"/>
    <mergeCell ref="HJ5:HJ6"/>
    <mergeCell ref="HH5:HH6"/>
    <mergeCell ref="HD5:HD6"/>
    <mergeCell ref="IJ5:IJ6"/>
    <mergeCell ref="IH5:IH6"/>
    <mergeCell ref="IN5:IN6"/>
    <mergeCell ref="IB4:JA4"/>
    <mergeCell ref="ID5:ID6"/>
    <mergeCell ref="CB5:CB6"/>
    <mergeCell ref="CP5:CP6"/>
    <mergeCell ref="CJ5:CJ6"/>
    <mergeCell ref="CL5:CL6"/>
    <mergeCell ref="BR5:BR6"/>
    <mergeCell ref="BZ5:BZ6"/>
    <mergeCell ref="CF5:CF6"/>
    <mergeCell ref="BJ5:BJ6"/>
    <mergeCell ref="BN5:BN6"/>
    <mergeCell ref="BV5:BV6"/>
    <mergeCell ref="CH5:CH6"/>
    <mergeCell ref="CD5:CD6"/>
    <mergeCell ref="BX5:BX6"/>
    <mergeCell ref="FB4:GA4"/>
    <mergeCell ref="FN5:FN6"/>
    <mergeCell ref="FJ5:FJ6"/>
    <mergeCell ref="FL5:FL6"/>
    <mergeCell ref="FH5:FH6"/>
    <mergeCell ref="EX5:EX6"/>
    <mergeCell ref="EZ5:EZ6"/>
    <mergeCell ref="EB4:FA4"/>
    <mergeCell ref="FF5:FF6"/>
    <mergeCell ref="FB5:FB6"/>
    <mergeCell ref="EV5:EV6"/>
    <mergeCell ref="FD5:FD6"/>
    <mergeCell ref="EH5:EH6"/>
    <mergeCell ref="ED5:ED6"/>
    <mergeCell ref="EL5:EL6"/>
    <mergeCell ref="EF5:EF6"/>
    <mergeCell ref="FP5:FP6"/>
    <mergeCell ref="FV5:FV6"/>
    <mergeCell ref="EJ5:EJ6"/>
    <mergeCell ref="EP5:EP6"/>
    <mergeCell ref="ER5:ER6"/>
    <mergeCell ref="CX5:CX6"/>
    <mergeCell ref="B4:AA4"/>
    <mergeCell ref="AB4:BA4"/>
    <mergeCell ref="H5:H6"/>
    <mergeCell ref="B5:B6"/>
    <mergeCell ref="T5:T6"/>
    <mergeCell ref="V5:V6"/>
    <mergeCell ref="Z5:Z6"/>
    <mergeCell ref="AN5:AN6"/>
    <mergeCell ref="AP5:AP6"/>
    <mergeCell ref="P5:P6"/>
    <mergeCell ref="N5:N6"/>
    <mergeCell ref="AF5:AF6"/>
    <mergeCell ref="AX5:AX6"/>
    <mergeCell ref="AR5:AR6"/>
    <mergeCell ref="F5:F6"/>
    <mergeCell ref="D5:D6"/>
    <mergeCell ref="AD5:AD6"/>
    <mergeCell ref="AV5:AV6"/>
    <mergeCell ref="X5:X6"/>
    <mergeCell ref="R5:R6"/>
    <mergeCell ref="J5:J6"/>
    <mergeCell ref="AH5:AH6"/>
    <mergeCell ref="AZ5:AZ6"/>
    <mergeCell ref="DF5:DF6"/>
    <mergeCell ref="KJ5:KJ6"/>
    <mergeCell ref="BF5:BF6"/>
    <mergeCell ref="BL5:BL6"/>
    <mergeCell ref="CN5:CN6"/>
    <mergeCell ref="BB5:BB6"/>
    <mergeCell ref="CB4:DA4"/>
    <mergeCell ref="BD5:BD6"/>
    <mergeCell ref="BH5:BH6"/>
    <mergeCell ref="CR5:CR6"/>
    <mergeCell ref="BP5:BP6"/>
    <mergeCell ref="CZ5:CZ6"/>
    <mergeCell ref="IV5:IV6"/>
    <mergeCell ref="ET5:ET6"/>
    <mergeCell ref="DB5:DB6"/>
    <mergeCell ref="BT5:BT6"/>
    <mergeCell ref="GZ5:GZ6"/>
    <mergeCell ref="CV5:CV6"/>
    <mergeCell ref="EB5:EB6"/>
    <mergeCell ref="GN5:GN6"/>
    <mergeCell ref="GL5:GL6"/>
    <mergeCell ref="DB4:EA4"/>
    <mergeCell ref="EN5:EN6"/>
    <mergeCell ref="GB4:HA4"/>
    <mergeCell ref="KX5:KX6"/>
    <mergeCell ref="KV5:KV6"/>
    <mergeCell ref="JJ5:JJ6"/>
    <mergeCell ref="JL5:JL6"/>
    <mergeCell ref="KB5:KB6"/>
    <mergeCell ref="JX5:JX6"/>
    <mergeCell ref="DX5:DX6"/>
    <mergeCell ref="DJ5:DJ6"/>
    <mergeCell ref="DV5:DV6"/>
    <mergeCell ref="DN5:DN6"/>
    <mergeCell ref="DR5:DR6"/>
    <mergeCell ref="DZ5:DZ6"/>
    <mergeCell ref="DP5:DP6"/>
    <mergeCell ref="DL5:DL6"/>
    <mergeCell ref="GH5:GH6"/>
    <mergeCell ref="GT5:GT6"/>
    <mergeCell ref="GR5:GR6"/>
    <mergeCell ref="GP5:GP6"/>
    <mergeCell ref="GJ5:GJ6"/>
    <mergeCell ref="GB5:GB6"/>
    <mergeCell ref="GD5:GD6"/>
    <mergeCell ref="FX5:FX6"/>
    <mergeCell ref="GF5:GF6"/>
    <mergeCell ref="FZ5:FZ6"/>
    <mergeCell ref="MB5:MB6"/>
    <mergeCell ref="MJ5:MJ6"/>
    <mergeCell ref="LV5:LV6"/>
    <mergeCell ref="LX5:LX6"/>
    <mergeCell ref="LT5:LT6"/>
    <mergeCell ref="LN5:LN6"/>
    <mergeCell ref="LL5:LL6"/>
    <mergeCell ref="LD5:LD6"/>
    <mergeCell ref="LB5:LB6"/>
    <mergeCell ref="LF5:LF6"/>
    <mergeCell ref="LZ5:LZ6"/>
    <mergeCell ref="MH5:MH6"/>
    <mergeCell ref="MF5:MF6"/>
    <mergeCell ref="MD5:MD6"/>
    <mergeCell ref="LR5:LR6"/>
    <mergeCell ref="LP5:LP6"/>
    <mergeCell ref="LJ5:LJ6"/>
    <mergeCell ref="LH5:LH6"/>
    <mergeCell ref="KD5:KD6"/>
    <mergeCell ref="JV5:JV6"/>
    <mergeCell ref="JR5:JR6"/>
    <mergeCell ref="JN5:JN6"/>
    <mergeCell ref="JZ5:JZ6"/>
    <mergeCell ref="IF5:IF6"/>
    <mergeCell ref="GX5:GX6"/>
    <mergeCell ref="IT5:IT6"/>
    <mergeCell ref="IZ5:IZ6"/>
    <mergeCell ref="IX5:IX6"/>
    <mergeCell ref="JB5:JB6"/>
    <mergeCell ref="A1:MO1"/>
    <mergeCell ref="A2:MO2"/>
    <mergeCell ref="MN5:MN6"/>
    <mergeCell ref="ML5:ML6"/>
    <mergeCell ref="HN5:HN6"/>
    <mergeCell ref="KP5:KP6"/>
    <mergeCell ref="JP5:JP6"/>
    <mergeCell ref="JD5:JD6"/>
    <mergeCell ref="KT5:KT6"/>
    <mergeCell ref="KN5:KN6"/>
    <mergeCell ref="JF5:JF6"/>
    <mergeCell ref="LB4:MA4"/>
    <mergeCell ref="KB4:LA4"/>
    <mergeCell ref="JB4:KA4"/>
    <mergeCell ref="KZ5:KZ6"/>
    <mergeCell ref="HB5:HB6"/>
    <mergeCell ref="HR5:HR6"/>
    <mergeCell ref="JT5:JT6"/>
    <mergeCell ref="KF5:KF6"/>
    <mergeCell ref="JH5:JH6"/>
    <mergeCell ref="KR5:KR6"/>
    <mergeCell ref="KL5:KL6"/>
    <mergeCell ref="KH5:KH6"/>
  </mergeCells>
  <phoneticPr fontId="4" type="noConversion"/>
  <pageMargins left="0.59055118110236227" right="0.39370078740157483" top="0.78740157480314965" bottom="0.59055118110236227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COM_EX_Luni</vt:lpstr>
    </vt:vector>
  </TitlesOfParts>
  <Company>Departamentul Statistica si Sociologie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Galina Ciobanu</cp:lastModifiedBy>
  <cp:lastPrinted>2019-07-04T11:22:23Z</cp:lastPrinted>
  <dcterms:created xsi:type="dcterms:W3CDTF">2008-02-06T09:04:59Z</dcterms:created>
  <dcterms:modified xsi:type="dcterms:W3CDTF">2024-10-11T13:28:20Z</dcterms:modified>
</cp:coreProperties>
</file>