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6_Tabele_EXPORT_IMPORT_2005-2023_Trimestre_Rus_Rev.4\"/>
    </mc:Choice>
  </mc:AlternateContent>
  <xr:revisionPtr revIDLastSave="0" documentId="13_ncr:1_{D0195DDF-4E06-4F5C-B2D6-7CE8FBA8B0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S" sheetId="1" r:id="rId1"/>
  </sheets>
  <definedNames>
    <definedName name="_xlnm._FilterDatabase" localSheetId="0" hidden="1">RUS!$A$6:$CU$123</definedName>
    <definedName name="_xlnm.Print_Titles" localSheetId="0">RUS!$5:$5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10" i="1" l="1"/>
  <c r="BF108" i="1"/>
  <c r="BF6" i="1"/>
  <c r="BO121" i="1" l="1"/>
  <c r="BN121" i="1"/>
  <c r="BM121" i="1"/>
  <c r="BL121" i="1"/>
  <c r="BK121" i="1"/>
  <c r="AK121" i="1"/>
  <c r="AA121" i="1"/>
  <c r="V121" i="1"/>
  <c r="L121" i="1"/>
  <c r="G121" i="1"/>
  <c r="BK120" i="1"/>
  <c r="AK120" i="1"/>
  <c r="AA120" i="1"/>
  <c r="V120" i="1"/>
  <c r="Q120" i="1"/>
  <c r="L120" i="1"/>
  <c r="G120" i="1"/>
  <c r="BO119" i="1"/>
  <c r="BN119" i="1"/>
  <c r="BM119" i="1"/>
  <c r="BL119" i="1"/>
  <c r="BK119" i="1"/>
  <c r="AK119" i="1"/>
  <c r="AA119" i="1"/>
  <c r="V119" i="1"/>
  <c r="Q119" i="1"/>
  <c r="L119" i="1"/>
  <c r="G119" i="1"/>
  <c r="BO118" i="1"/>
  <c r="BN118" i="1"/>
  <c r="BM118" i="1"/>
  <c r="BL118" i="1"/>
  <c r="BK118" i="1"/>
  <c r="AK118" i="1"/>
  <c r="AA118" i="1"/>
  <c r="V118" i="1"/>
  <c r="Q118" i="1"/>
  <c r="L118" i="1"/>
  <c r="G118" i="1"/>
  <c r="BK117" i="1"/>
  <c r="AK117" i="1"/>
  <c r="AA117" i="1"/>
  <c r="V117" i="1"/>
  <c r="Q117" i="1"/>
  <c r="L117" i="1"/>
  <c r="G117" i="1"/>
  <c r="BO116" i="1"/>
  <c r="BN116" i="1"/>
  <c r="BM116" i="1"/>
  <c r="BL116" i="1"/>
  <c r="BK116" i="1"/>
  <c r="AA116" i="1"/>
  <c r="V116" i="1"/>
  <c r="Q116" i="1"/>
  <c r="BO115" i="1"/>
  <c r="BN115" i="1"/>
  <c r="BM115" i="1"/>
  <c r="BL115" i="1"/>
  <c r="BK115" i="1"/>
  <c r="AK115" i="1"/>
  <c r="AA115" i="1"/>
  <c r="V115" i="1"/>
  <c r="Q115" i="1"/>
  <c r="L115" i="1"/>
  <c r="G115" i="1"/>
  <c r="BO114" i="1"/>
  <c r="BN114" i="1"/>
  <c r="BM114" i="1"/>
  <c r="BL114" i="1"/>
  <c r="BK114" i="1"/>
  <c r="AK114" i="1"/>
  <c r="AA114" i="1"/>
  <c r="V114" i="1"/>
  <c r="Q114" i="1"/>
  <c r="L114" i="1"/>
  <c r="G114" i="1"/>
  <c r="BO113" i="1"/>
  <c r="BN113" i="1"/>
  <c r="BM113" i="1"/>
  <c r="BL113" i="1"/>
  <c r="BK113" i="1"/>
  <c r="AK113" i="1"/>
  <c r="AA113" i="1"/>
  <c r="V113" i="1"/>
  <c r="Q113" i="1"/>
  <c r="L113" i="1"/>
  <c r="G113" i="1"/>
  <c r="BO112" i="1"/>
  <c r="BN112" i="1"/>
  <c r="BM112" i="1"/>
  <c r="BL112" i="1"/>
  <c r="BK112" i="1"/>
  <c r="AK112" i="1"/>
  <c r="V112" i="1"/>
  <c r="Q112" i="1"/>
  <c r="L112" i="1"/>
  <c r="G112" i="1"/>
  <c r="BO111" i="1"/>
  <c r="BN111" i="1"/>
  <c r="BM111" i="1"/>
  <c r="BL111" i="1"/>
  <c r="BK111" i="1"/>
  <c r="AK111" i="1"/>
  <c r="AA111" i="1"/>
  <c r="V111" i="1"/>
  <c r="Q111" i="1"/>
  <c r="L111" i="1"/>
  <c r="G111" i="1"/>
  <c r="BO110" i="1"/>
  <c r="BN110" i="1"/>
  <c r="BM110" i="1"/>
  <c r="BL110" i="1"/>
  <c r="BK110" i="1"/>
  <c r="AK110" i="1"/>
  <c r="AA110" i="1"/>
  <c r="V110" i="1"/>
  <c r="Q110" i="1"/>
  <c r="L110" i="1"/>
  <c r="G110" i="1"/>
  <c r="BO109" i="1"/>
  <c r="BN109" i="1"/>
  <c r="BM109" i="1"/>
  <c r="BL109" i="1"/>
  <c r="BK109" i="1"/>
  <c r="AK109" i="1"/>
  <c r="AA109" i="1"/>
  <c r="V109" i="1"/>
  <c r="Q109" i="1"/>
  <c r="L109" i="1"/>
  <c r="G109" i="1"/>
  <c r="BO108" i="1"/>
  <c r="BN108" i="1"/>
  <c r="BM108" i="1"/>
  <c r="BL108" i="1"/>
  <c r="BK108" i="1"/>
  <c r="AK108" i="1"/>
  <c r="AA108" i="1"/>
  <c r="V108" i="1"/>
  <c r="Q108" i="1"/>
  <c r="L108" i="1"/>
  <c r="G108" i="1"/>
  <c r="BM107" i="1"/>
  <c r="BL107" i="1"/>
  <c r="BK107" i="1"/>
  <c r="AK107" i="1"/>
  <c r="AA107" i="1"/>
  <c r="V107" i="1"/>
  <c r="Q107" i="1"/>
  <c r="L107" i="1"/>
  <c r="G107" i="1"/>
  <c r="BO106" i="1"/>
  <c r="BN106" i="1"/>
  <c r="BM106" i="1"/>
  <c r="BL106" i="1"/>
  <c r="BK106" i="1"/>
  <c r="AK106" i="1"/>
  <c r="AA106" i="1"/>
  <c r="V106" i="1"/>
  <c r="Q106" i="1"/>
  <c r="L106" i="1"/>
  <c r="G106" i="1"/>
  <c r="BM105" i="1"/>
  <c r="BL105" i="1"/>
  <c r="BK105" i="1"/>
  <c r="AK105" i="1"/>
  <c r="AA105" i="1"/>
  <c r="V105" i="1"/>
  <c r="Q105" i="1"/>
  <c r="L105" i="1"/>
  <c r="G105" i="1"/>
  <c r="BO104" i="1"/>
  <c r="BN104" i="1"/>
  <c r="BM104" i="1"/>
  <c r="BL104" i="1"/>
  <c r="BK104" i="1"/>
  <c r="AK104" i="1"/>
  <c r="AA104" i="1"/>
  <c r="V104" i="1"/>
  <c r="Q104" i="1"/>
  <c r="L104" i="1"/>
  <c r="G104" i="1"/>
  <c r="BO103" i="1"/>
  <c r="BN103" i="1"/>
  <c r="BM103" i="1"/>
  <c r="BL103" i="1"/>
  <c r="BK103" i="1"/>
  <c r="AK103" i="1"/>
  <c r="AA103" i="1"/>
  <c r="V103" i="1"/>
  <c r="Q103" i="1"/>
  <c r="L103" i="1"/>
  <c r="G103" i="1"/>
  <c r="BO102" i="1"/>
  <c r="BN102" i="1"/>
  <c r="BM102" i="1"/>
  <c r="BL102" i="1"/>
  <c r="BK102" i="1"/>
  <c r="AK102" i="1"/>
  <c r="AA102" i="1"/>
  <c r="V102" i="1"/>
  <c r="Q102" i="1"/>
  <c r="L102" i="1"/>
  <c r="BO101" i="1"/>
  <c r="BN101" i="1"/>
  <c r="BM101" i="1"/>
  <c r="BL101" i="1"/>
  <c r="V101" i="1"/>
  <c r="L101" i="1"/>
  <c r="BO100" i="1"/>
  <c r="BN100" i="1"/>
  <c r="BM100" i="1"/>
  <c r="BL100" i="1"/>
  <c r="BK100" i="1"/>
  <c r="AK100" i="1"/>
  <c r="AA100" i="1"/>
  <c r="V100" i="1"/>
  <c r="Q100" i="1"/>
  <c r="L100" i="1"/>
  <c r="Q99" i="1"/>
  <c r="L99" i="1"/>
  <c r="BO98" i="1"/>
  <c r="BN98" i="1"/>
  <c r="BM98" i="1"/>
  <c r="BL98" i="1"/>
  <c r="BK98" i="1"/>
  <c r="AK98" i="1"/>
  <c r="AA98" i="1"/>
  <c r="V98" i="1"/>
  <c r="Q98" i="1"/>
  <c r="L98" i="1"/>
  <c r="G98" i="1"/>
  <c r="BO97" i="1"/>
  <c r="BN97" i="1"/>
  <c r="BM97" i="1"/>
  <c r="BL97" i="1"/>
  <c r="BK97" i="1"/>
  <c r="AA97" i="1"/>
  <c r="V97" i="1"/>
  <c r="Q97" i="1"/>
  <c r="L97" i="1"/>
  <c r="BO96" i="1"/>
  <c r="BN96" i="1"/>
  <c r="BM96" i="1"/>
  <c r="BL96" i="1"/>
  <c r="BK96" i="1"/>
  <c r="AK96" i="1"/>
  <c r="AA96" i="1"/>
  <c r="V96" i="1"/>
  <c r="Q96" i="1"/>
  <c r="L96" i="1"/>
  <c r="G96" i="1"/>
  <c r="BO95" i="1"/>
  <c r="BN95" i="1"/>
  <c r="BM95" i="1"/>
  <c r="BL95" i="1"/>
  <c r="BK95" i="1"/>
  <c r="AK95" i="1"/>
  <c r="AA95" i="1"/>
  <c r="V95" i="1"/>
  <c r="Q95" i="1"/>
  <c r="L95" i="1"/>
  <c r="G95" i="1"/>
  <c r="BO94" i="1"/>
  <c r="BN94" i="1"/>
  <c r="BM94" i="1"/>
  <c r="BL94" i="1"/>
  <c r="BK94" i="1"/>
  <c r="AK94" i="1"/>
  <c r="AA94" i="1"/>
  <c r="V94" i="1"/>
  <c r="Q94" i="1"/>
  <c r="L94" i="1"/>
  <c r="G94" i="1"/>
  <c r="BO93" i="1"/>
  <c r="BN93" i="1"/>
  <c r="BM93" i="1"/>
  <c r="BL93" i="1"/>
  <c r="BK93" i="1"/>
  <c r="AK93" i="1"/>
  <c r="AA93" i="1"/>
  <c r="V93" i="1"/>
  <c r="Q93" i="1"/>
  <c r="L93" i="1"/>
  <c r="G93" i="1"/>
  <c r="BO92" i="1"/>
  <c r="BN92" i="1"/>
  <c r="BM92" i="1"/>
  <c r="BL92" i="1"/>
  <c r="BK92" i="1"/>
  <c r="AK92" i="1"/>
  <c r="AA92" i="1"/>
  <c r="V92" i="1"/>
  <c r="Q92" i="1"/>
  <c r="L92" i="1"/>
  <c r="G92" i="1"/>
  <c r="BO91" i="1"/>
  <c r="BN91" i="1"/>
  <c r="BM91" i="1"/>
  <c r="BL91" i="1"/>
  <c r="BK91" i="1"/>
  <c r="AK91" i="1"/>
  <c r="AA91" i="1"/>
  <c r="V91" i="1"/>
  <c r="Q91" i="1"/>
  <c r="L91" i="1"/>
  <c r="G91" i="1"/>
  <c r="BO90" i="1"/>
  <c r="BN90" i="1"/>
  <c r="BM90" i="1"/>
  <c r="BL90" i="1"/>
  <c r="BK90" i="1"/>
  <c r="AK90" i="1"/>
  <c r="AA90" i="1"/>
  <c r="V90" i="1"/>
  <c r="Q90" i="1"/>
  <c r="L90" i="1"/>
  <c r="G90" i="1"/>
  <c r="BO89" i="1"/>
  <c r="BN89" i="1"/>
  <c r="BM89" i="1"/>
  <c r="BL89" i="1"/>
  <c r="BK89" i="1"/>
  <c r="AK89" i="1"/>
  <c r="AA89" i="1"/>
  <c r="V89" i="1"/>
  <c r="Q89" i="1"/>
  <c r="L89" i="1"/>
  <c r="G89" i="1"/>
  <c r="BO88" i="1"/>
  <c r="BN88" i="1"/>
  <c r="BM88" i="1"/>
  <c r="BL88" i="1"/>
  <c r="BK88" i="1"/>
  <c r="AK88" i="1"/>
  <c r="AA88" i="1"/>
  <c r="V88" i="1"/>
  <c r="Q88" i="1"/>
  <c r="L88" i="1"/>
  <c r="G88" i="1"/>
  <c r="BO87" i="1"/>
  <c r="BN87" i="1"/>
  <c r="BM87" i="1"/>
  <c r="BL87" i="1"/>
  <c r="BK87" i="1"/>
  <c r="AK87" i="1"/>
  <c r="AA87" i="1"/>
  <c r="V87" i="1"/>
  <c r="Q87" i="1"/>
  <c r="L87" i="1"/>
  <c r="G87" i="1"/>
  <c r="BO86" i="1"/>
  <c r="BN86" i="1"/>
  <c r="BM86" i="1"/>
  <c r="BL86" i="1"/>
  <c r="BK86" i="1"/>
  <c r="AK86" i="1"/>
  <c r="V86" i="1"/>
  <c r="Q86" i="1"/>
  <c r="L86" i="1"/>
  <c r="BO85" i="1"/>
  <c r="BN85" i="1"/>
  <c r="BM85" i="1"/>
  <c r="BL85" i="1"/>
  <c r="BK85" i="1"/>
  <c r="AK85" i="1"/>
  <c r="AA85" i="1"/>
  <c r="V85" i="1"/>
  <c r="Q85" i="1"/>
  <c r="L85" i="1"/>
  <c r="G85" i="1"/>
  <c r="BO84" i="1"/>
  <c r="BN84" i="1"/>
  <c r="BM84" i="1"/>
  <c r="BL84" i="1"/>
  <c r="BK84" i="1"/>
  <c r="AK84" i="1"/>
  <c r="AA84" i="1"/>
  <c r="V84" i="1"/>
  <c r="Q84" i="1"/>
  <c r="L84" i="1"/>
  <c r="G84" i="1"/>
  <c r="BO83" i="1"/>
  <c r="BN83" i="1"/>
  <c r="BM83" i="1"/>
  <c r="BL83" i="1"/>
  <c r="BK83" i="1"/>
  <c r="AK83" i="1"/>
  <c r="AA83" i="1"/>
  <c r="V83" i="1"/>
  <c r="Q83" i="1"/>
  <c r="L83" i="1"/>
  <c r="G83" i="1"/>
  <c r="BO82" i="1"/>
  <c r="BN82" i="1"/>
  <c r="BM82" i="1"/>
  <c r="BL82" i="1"/>
  <c r="BK82" i="1"/>
  <c r="AK82" i="1"/>
  <c r="AA82" i="1"/>
  <c r="V82" i="1"/>
  <c r="Q82" i="1"/>
  <c r="L82" i="1"/>
  <c r="G82" i="1"/>
  <c r="BO81" i="1"/>
  <c r="BN81" i="1"/>
  <c r="BM81" i="1"/>
  <c r="BL81" i="1"/>
  <c r="BK81" i="1"/>
  <c r="AK81" i="1"/>
  <c r="AA81" i="1"/>
  <c r="V81" i="1"/>
  <c r="Q81" i="1"/>
  <c r="L81" i="1"/>
  <c r="G81" i="1"/>
  <c r="BM80" i="1"/>
  <c r="BL80" i="1"/>
  <c r="BK80" i="1"/>
  <c r="AK80" i="1"/>
  <c r="AA80" i="1"/>
  <c r="V80" i="1"/>
  <c r="Q80" i="1"/>
  <c r="L80" i="1"/>
  <c r="G80" i="1"/>
  <c r="BO79" i="1"/>
  <c r="BN79" i="1"/>
  <c r="BM79" i="1"/>
  <c r="BL79" i="1"/>
  <c r="BK79" i="1"/>
  <c r="AK79" i="1"/>
  <c r="AA79" i="1"/>
  <c r="V79" i="1"/>
  <c r="Q79" i="1"/>
  <c r="L79" i="1"/>
  <c r="G79" i="1"/>
  <c r="BO78" i="1"/>
  <c r="BN78" i="1"/>
  <c r="BM78" i="1"/>
  <c r="BL78" i="1"/>
  <c r="BK78" i="1"/>
  <c r="AK78" i="1"/>
  <c r="AA78" i="1"/>
  <c r="V78" i="1"/>
  <c r="Q78" i="1"/>
  <c r="L78" i="1"/>
  <c r="G78" i="1"/>
  <c r="BO77" i="1"/>
  <c r="BN77" i="1"/>
  <c r="BM77" i="1"/>
  <c r="BL77" i="1"/>
  <c r="BK77" i="1"/>
  <c r="AK77" i="1"/>
  <c r="AA77" i="1"/>
  <c r="V77" i="1"/>
  <c r="Q77" i="1"/>
  <c r="L77" i="1"/>
  <c r="G77" i="1"/>
  <c r="BO76" i="1"/>
  <c r="BN76" i="1"/>
  <c r="BM76" i="1"/>
  <c r="BL76" i="1"/>
  <c r="BK76" i="1"/>
  <c r="AK76" i="1"/>
  <c r="AA76" i="1"/>
  <c r="V76" i="1"/>
  <c r="Q76" i="1"/>
  <c r="L76" i="1"/>
  <c r="G76" i="1"/>
  <c r="BO75" i="1"/>
  <c r="BN75" i="1"/>
  <c r="BM75" i="1"/>
  <c r="BL75" i="1"/>
  <c r="BK75" i="1"/>
  <c r="AK75" i="1"/>
  <c r="AA75" i="1"/>
  <c r="V75" i="1"/>
  <c r="Q75" i="1"/>
  <c r="L75" i="1"/>
  <c r="G75" i="1"/>
  <c r="BO74" i="1"/>
  <c r="BN74" i="1"/>
  <c r="BM74" i="1"/>
  <c r="BL74" i="1"/>
  <c r="BK74" i="1"/>
  <c r="AK74" i="1"/>
  <c r="AA74" i="1"/>
  <c r="V74" i="1"/>
  <c r="Q74" i="1"/>
  <c r="L74" i="1"/>
  <c r="G74" i="1"/>
  <c r="BO73" i="1"/>
  <c r="BN73" i="1"/>
  <c r="BM73" i="1"/>
  <c r="BL73" i="1"/>
  <c r="BK73" i="1"/>
  <c r="AK73" i="1"/>
  <c r="AA73" i="1"/>
  <c r="V73" i="1"/>
  <c r="Q73" i="1"/>
  <c r="L73" i="1"/>
  <c r="G73" i="1"/>
  <c r="BO72" i="1"/>
  <c r="BN72" i="1"/>
  <c r="BM72" i="1"/>
  <c r="BL72" i="1"/>
  <c r="BK72" i="1"/>
  <c r="AK72" i="1"/>
  <c r="AA72" i="1"/>
  <c r="V72" i="1"/>
  <c r="Q72" i="1"/>
  <c r="L72" i="1"/>
  <c r="G72" i="1"/>
  <c r="BO71" i="1"/>
  <c r="BN71" i="1"/>
  <c r="BM71" i="1"/>
  <c r="BL71" i="1"/>
  <c r="BK71" i="1"/>
  <c r="AK71" i="1"/>
  <c r="AA71" i="1"/>
  <c r="V71" i="1"/>
  <c r="Q71" i="1"/>
  <c r="L71" i="1"/>
  <c r="G71" i="1"/>
  <c r="BO70" i="1"/>
  <c r="BN70" i="1"/>
  <c r="BM70" i="1"/>
  <c r="BL70" i="1"/>
  <c r="BK70" i="1"/>
  <c r="AK70" i="1"/>
  <c r="AA70" i="1"/>
  <c r="V70" i="1"/>
  <c r="Q70" i="1"/>
  <c r="L70" i="1"/>
  <c r="G70" i="1"/>
  <c r="BO69" i="1"/>
  <c r="BN69" i="1"/>
  <c r="BM69" i="1"/>
  <c r="BL69" i="1"/>
  <c r="BK69" i="1"/>
  <c r="AK69" i="1"/>
  <c r="AA69" i="1"/>
  <c r="V69" i="1"/>
  <c r="Q69" i="1"/>
  <c r="L69" i="1"/>
  <c r="G69" i="1"/>
  <c r="BO68" i="1"/>
  <c r="BL68" i="1"/>
  <c r="BK68" i="1"/>
  <c r="AK68" i="1"/>
  <c r="AA68" i="1"/>
  <c r="V68" i="1"/>
  <c r="Q68" i="1"/>
  <c r="G68" i="1"/>
  <c r="BM67" i="1"/>
  <c r="BL67" i="1"/>
  <c r="BK67" i="1"/>
  <c r="AK67" i="1"/>
  <c r="AA67" i="1"/>
  <c r="V67" i="1"/>
  <c r="Q67" i="1"/>
  <c r="L67" i="1"/>
  <c r="G67" i="1"/>
  <c r="BO66" i="1"/>
  <c r="BN66" i="1"/>
  <c r="BM66" i="1"/>
  <c r="BL66" i="1"/>
  <c r="BK66" i="1"/>
  <c r="AK66" i="1"/>
  <c r="AA66" i="1"/>
  <c r="V66" i="1"/>
  <c r="Q66" i="1"/>
  <c r="L66" i="1"/>
  <c r="G66" i="1"/>
  <c r="BO65" i="1"/>
  <c r="BN65" i="1"/>
  <c r="BM65" i="1"/>
  <c r="BL65" i="1"/>
  <c r="BK65" i="1"/>
  <c r="AK65" i="1"/>
  <c r="AA65" i="1"/>
  <c r="V65" i="1"/>
  <c r="Q65" i="1"/>
  <c r="L65" i="1"/>
  <c r="G65" i="1"/>
  <c r="BO64" i="1"/>
  <c r="BN64" i="1"/>
  <c r="BM64" i="1"/>
  <c r="BL64" i="1"/>
  <c r="BK64" i="1"/>
  <c r="AK64" i="1"/>
  <c r="AA64" i="1"/>
  <c r="V64" i="1"/>
  <c r="Q64" i="1"/>
  <c r="L64" i="1"/>
  <c r="G64" i="1"/>
  <c r="BO63" i="1"/>
  <c r="BN63" i="1"/>
  <c r="BM63" i="1"/>
  <c r="BL63" i="1"/>
  <c r="BK63" i="1"/>
  <c r="AK63" i="1"/>
  <c r="AA63" i="1"/>
  <c r="V63" i="1"/>
  <c r="Q63" i="1"/>
  <c r="L63" i="1"/>
  <c r="G63" i="1"/>
  <c r="BO62" i="1"/>
  <c r="BN62" i="1"/>
  <c r="BM62" i="1"/>
  <c r="BL62" i="1"/>
  <c r="BK62" i="1"/>
  <c r="AK62" i="1"/>
  <c r="AA62" i="1"/>
  <c r="V62" i="1"/>
  <c r="BO61" i="1"/>
  <c r="BN61" i="1"/>
  <c r="BM61" i="1"/>
  <c r="BL61" i="1"/>
  <c r="BK61" i="1"/>
  <c r="AK61" i="1"/>
  <c r="AA61" i="1"/>
  <c r="V61" i="1"/>
  <c r="Q61" i="1"/>
  <c r="L61" i="1"/>
  <c r="G61" i="1"/>
  <c r="BO60" i="1"/>
  <c r="BN60" i="1"/>
  <c r="BM60" i="1"/>
  <c r="BL60" i="1"/>
  <c r="BK60" i="1"/>
  <c r="AK60" i="1"/>
  <c r="AA60" i="1"/>
  <c r="V60" i="1"/>
  <c r="Q60" i="1"/>
  <c r="L60" i="1"/>
  <c r="G60" i="1"/>
  <c r="BO59" i="1"/>
  <c r="BN59" i="1"/>
  <c r="BM59" i="1"/>
  <c r="BL59" i="1"/>
  <c r="BK59" i="1"/>
  <c r="AK59" i="1"/>
  <c r="AA59" i="1"/>
  <c r="V59" i="1"/>
  <c r="Q59" i="1"/>
  <c r="L59" i="1"/>
  <c r="G59" i="1"/>
  <c r="BO58" i="1"/>
  <c r="BN58" i="1"/>
  <c r="BM58" i="1"/>
  <c r="BL58" i="1"/>
  <c r="BK58" i="1"/>
  <c r="AK58" i="1"/>
  <c r="AA58" i="1"/>
  <c r="V58" i="1"/>
  <c r="Q58" i="1"/>
  <c r="L58" i="1"/>
  <c r="G58" i="1"/>
  <c r="BO57" i="1"/>
  <c r="BN57" i="1"/>
  <c r="BM57" i="1"/>
  <c r="BL57" i="1"/>
  <c r="BK57" i="1"/>
  <c r="AK57" i="1"/>
  <c r="AA57" i="1"/>
  <c r="V57" i="1"/>
  <c r="Q57" i="1"/>
  <c r="L57" i="1"/>
  <c r="G57" i="1"/>
  <c r="BO56" i="1"/>
  <c r="BN56" i="1"/>
  <c r="BM56" i="1"/>
  <c r="BL56" i="1"/>
  <c r="BK56" i="1"/>
  <c r="AK56" i="1"/>
  <c r="AA56" i="1"/>
  <c r="V56" i="1"/>
  <c r="Q56" i="1"/>
  <c r="L56" i="1"/>
  <c r="G56" i="1"/>
  <c r="BO55" i="1"/>
  <c r="BN55" i="1"/>
  <c r="BM55" i="1"/>
  <c r="BL55" i="1"/>
  <c r="BK55" i="1"/>
  <c r="AK55" i="1"/>
  <c r="AA55" i="1"/>
  <c r="V55" i="1"/>
  <c r="Q55" i="1"/>
  <c r="L55" i="1"/>
  <c r="G55" i="1"/>
  <c r="BO54" i="1"/>
  <c r="BN54" i="1"/>
  <c r="BM54" i="1"/>
  <c r="BL54" i="1"/>
  <c r="BK54" i="1"/>
  <c r="AK54" i="1"/>
  <c r="AA54" i="1"/>
  <c r="V54" i="1"/>
  <c r="Q54" i="1"/>
  <c r="L54" i="1"/>
  <c r="G54" i="1"/>
  <c r="BO53" i="1"/>
  <c r="BN53" i="1"/>
  <c r="BM53" i="1"/>
  <c r="BL53" i="1"/>
  <c r="BK53" i="1"/>
  <c r="AK53" i="1"/>
  <c r="AA53" i="1"/>
  <c r="V53" i="1"/>
  <c r="Q53" i="1"/>
  <c r="L53" i="1"/>
  <c r="G53" i="1"/>
  <c r="BO52" i="1"/>
  <c r="BN52" i="1"/>
  <c r="BM52" i="1"/>
  <c r="BL52" i="1"/>
  <c r="BK52" i="1"/>
  <c r="AK52" i="1"/>
  <c r="AA52" i="1"/>
  <c r="V52" i="1"/>
  <c r="Q52" i="1"/>
  <c r="L52" i="1"/>
  <c r="G52" i="1"/>
  <c r="BO51" i="1"/>
  <c r="BN51" i="1"/>
  <c r="BM51" i="1"/>
  <c r="BL51" i="1"/>
  <c r="BK51" i="1"/>
  <c r="AK51" i="1"/>
  <c r="AA51" i="1"/>
  <c r="V51" i="1"/>
  <c r="Q51" i="1"/>
  <c r="L51" i="1"/>
  <c r="G51" i="1"/>
  <c r="BO50" i="1"/>
  <c r="BN50" i="1"/>
  <c r="BL50" i="1"/>
  <c r="BK50" i="1"/>
  <c r="AK50" i="1"/>
  <c r="AA50" i="1"/>
  <c r="V50" i="1"/>
  <c r="Q50" i="1"/>
  <c r="L50" i="1"/>
  <c r="G50" i="1"/>
  <c r="BO49" i="1"/>
  <c r="BN49" i="1"/>
  <c r="BM49" i="1"/>
  <c r="BL49" i="1"/>
  <c r="G49" i="1"/>
  <c r="BO48" i="1"/>
  <c r="BN48" i="1"/>
  <c r="BM48" i="1"/>
  <c r="BL48" i="1"/>
  <c r="BK48" i="1"/>
  <c r="AK48" i="1"/>
  <c r="AA48" i="1"/>
  <c r="V48" i="1"/>
  <c r="Q48" i="1"/>
  <c r="L48" i="1"/>
  <c r="G48" i="1"/>
  <c r="BO47" i="1"/>
  <c r="BN47" i="1"/>
  <c r="BM47" i="1"/>
  <c r="BL47" i="1"/>
  <c r="BK47" i="1"/>
  <c r="AK47" i="1"/>
  <c r="AA47" i="1"/>
  <c r="V47" i="1"/>
  <c r="Q47" i="1"/>
  <c r="L47" i="1"/>
  <c r="G47" i="1"/>
  <c r="BO46" i="1"/>
  <c r="BN46" i="1"/>
  <c r="BM46" i="1"/>
  <c r="BL46" i="1"/>
  <c r="BK46" i="1"/>
  <c r="AK46" i="1"/>
  <c r="AA46" i="1"/>
  <c r="V46" i="1"/>
  <c r="Q46" i="1"/>
  <c r="L46" i="1"/>
  <c r="G46" i="1"/>
  <c r="BO45" i="1"/>
  <c r="BN45" i="1"/>
  <c r="BM45" i="1"/>
  <c r="BL45" i="1"/>
  <c r="BK45" i="1"/>
  <c r="AK45" i="1"/>
  <c r="AA45" i="1"/>
  <c r="V45" i="1"/>
  <c r="Q45" i="1"/>
  <c r="L45" i="1"/>
  <c r="G45" i="1"/>
  <c r="BO44" i="1"/>
  <c r="BN44" i="1"/>
  <c r="BM44" i="1"/>
  <c r="BL44" i="1"/>
  <c r="BK44" i="1"/>
  <c r="AK44" i="1"/>
  <c r="AA44" i="1"/>
  <c r="V44" i="1"/>
  <c r="Q44" i="1"/>
  <c r="L44" i="1"/>
  <c r="G44" i="1"/>
  <c r="BO43" i="1"/>
  <c r="BN43" i="1"/>
  <c r="BM43" i="1"/>
  <c r="BL43" i="1"/>
  <c r="BK43" i="1"/>
  <c r="AK43" i="1"/>
  <c r="AA43" i="1"/>
  <c r="V43" i="1"/>
  <c r="Q43" i="1"/>
  <c r="L43" i="1"/>
  <c r="G43" i="1"/>
  <c r="BO42" i="1"/>
  <c r="BN42" i="1"/>
  <c r="BM42" i="1"/>
  <c r="BL42" i="1"/>
  <c r="BK42" i="1"/>
  <c r="AK42" i="1"/>
  <c r="AA42" i="1"/>
  <c r="V42" i="1"/>
  <c r="Q42" i="1"/>
  <c r="L42" i="1"/>
  <c r="G42" i="1"/>
  <c r="BO41" i="1"/>
  <c r="BN41" i="1"/>
  <c r="BM41" i="1"/>
  <c r="BL41" i="1"/>
  <c r="BK41" i="1"/>
  <c r="AK41" i="1"/>
  <c r="AA41" i="1"/>
  <c r="V41" i="1"/>
  <c r="Q41" i="1"/>
  <c r="L41" i="1"/>
  <c r="G41" i="1"/>
  <c r="BO40" i="1"/>
  <c r="BN40" i="1"/>
  <c r="BM40" i="1"/>
  <c r="BL40" i="1"/>
  <c r="BK40" i="1"/>
  <c r="AK40" i="1"/>
  <c r="AA40" i="1"/>
  <c r="V40" i="1"/>
  <c r="Q40" i="1"/>
  <c r="L40" i="1"/>
  <c r="G40" i="1"/>
  <c r="BO39" i="1"/>
  <c r="BN39" i="1"/>
  <c r="BM39" i="1"/>
  <c r="BL39" i="1"/>
  <c r="BK39" i="1"/>
  <c r="AK39" i="1"/>
  <c r="AA39" i="1"/>
  <c r="V39" i="1"/>
  <c r="Q39" i="1"/>
  <c r="L39" i="1"/>
  <c r="G39" i="1"/>
  <c r="BO38" i="1"/>
  <c r="AK38" i="1"/>
  <c r="V38" i="1"/>
  <c r="Q38" i="1"/>
  <c r="G38" i="1"/>
  <c r="BO37" i="1"/>
  <c r="BN37" i="1"/>
  <c r="BM37" i="1"/>
  <c r="BL37" i="1"/>
  <c r="BK37" i="1"/>
  <c r="AK37" i="1"/>
  <c r="AA37" i="1"/>
  <c r="V37" i="1"/>
  <c r="Q37" i="1"/>
  <c r="L37" i="1"/>
  <c r="G37" i="1"/>
  <c r="BO36" i="1"/>
  <c r="BN36" i="1"/>
  <c r="BM36" i="1"/>
  <c r="BL36" i="1"/>
  <c r="BK36" i="1"/>
  <c r="AK36" i="1"/>
  <c r="AA36" i="1"/>
  <c r="V36" i="1"/>
  <c r="Q36" i="1"/>
  <c r="L36" i="1"/>
  <c r="G36" i="1"/>
  <c r="BO35" i="1"/>
  <c r="BN35" i="1"/>
  <c r="BM35" i="1"/>
  <c r="BL35" i="1"/>
  <c r="BK35" i="1"/>
  <c r="AK35" i="1"/>
  <c r="AA35" i="1"/>
  <c r="V35" i="1"/>
  <c r="Q35" i="1"/>
  <c r="L35" i="1"/>
  <c r="G35" i="1"/>
  <c r="BO34" i="1"/>
  <c r="BN34" i="1"/>
  <c r="BM34" i="1"/>
  <c r="BL34" i="1"/>
  <c r="BK34" i="1"/>
  <c r="AK34" i="1"/>
  <c r="AA34" i="1"/>
  <c r="V34" i="1"/>
  <c r="Q34" i="1"/>
  <c r="L34" i="1"/>
  <c r="G34" i="1"/>
  <c r="BM33" i="1"/>
  <c r="BK33" i="1"/>
  <c r="AK33" i="1"/>
  <c r="AA33" i="1"/>
  <c r="V33" i="1"/>
  <c r="Q33" i="1"/>
  <c r="L33" i="1"/>
  <c r="G33" i="1"/>
  <c r="BO32" i="1"/>
  <c r="BN32" i="1"/>
  <c r="BM32" i="1"/>
  <c r="BL32" i="1"/>
  <c r="BK32" i="1"/>
  <c r="AK32" i="1"/>
  <c r="AA32" i="1"/>
  <c r="V32" i="1"/>
  <c r="Q32" i="1"/>
  <c r="L32" i="1"/>
  <c r="G32" i="1"/>
  <c r="BM31" i="1"/>
  <c r="BL31" i="1"/>
  <c r="BK31" i="1"/>
  <c r="AK31" i="1"/>
  <c r="AA31" i="1"/>
  <c r="V31" i="1"/>
  <c r="Q31" i="1"/>
  <c r="L31" i="1"/>
  <c r="G31" i="1"/>
  <c r="BO30" i="1"/>
  <c r="BN30" i="1"/>
  <c r="BM30" i="1"/>
  <c r="BL30" i="1"/>
  <c r="BK30" i="1"/>
  <c r="AK30" i="1"/>
  <c r="AA30" i="1"/>
  <c r="V30" i="1"/>
  <c r="Q30" i="1"/>
  <c r="L30" i="1"/>
  <c r="G30" i="1"/>
  <c r="BO29" i="1"/>
  <c r="BN29" i="1"/>
  <c r="BM29" i="1"/>
  <c r="BL29" i="1"/>
  <c r="BK29" i="1"/>
  <c r="AK29" i="1"/>
  <c r="AA29" i="1"/>
  <c r="V29" i="1"/>
  <c r="Q29" i="1"/>
  <c r="L29" i="1"/>
  <c r="G29" i="1"/>
  <c r="BO28" i="1"/>
  <c r="BN28" i="1"/>
  <c r="BM28" i="1"/>
  <c r="BL28" i="1"/>
  <c r="BK28" i="1"/>
  <c r="AK28" i="1"/>
  <c r="AA28" i="1"/>
  <c r="V28" i="1"/>
  <c r="Q28" i="1"/>
  <c r="L28" i="1"/>
  <c r="G28" i="1"/>
  <c r="BO27" i="1"/>
  <c r="BN27" i="1"/>
  <c r="BM27" i="1"/>
  <c r="BL27" i="1"/>
  <c r="BK27" i="1"/>
  <c r="AK27" i="1"/>
  <c r="AA27" i="1"/>
  <c r="V27" i="1"/>
  <c r="Q27" i="1"/>
  <c r="L27" i="1"/>
  <c r="G27" i="1"/>
  <c r="BM26" i="1"/>
  <c r="BK26" i="1"/>
  <c r="AK26" i="1"/>
  <c r="AA26" i="1"/>
  <c r="V26" i="1"/>
  <c r="Q26" i="1"/>
  <c r="L26" i="1"/>
  <c r="G26" i="1"/>
  <c r="BO25" i="1"/>
  <c r="BN25" i="1"/>
  <c r="BM25" i="1"/>
  <c r="BL25" i="1"/>
  <c r="BK25" i="1"/>
  <c r="AK25" i="1"/>
  <c r="AA25" i="1"/>
  <c r="V25" i="1"/>
  <c r="Q25" i="1"/>
  <c r="L25" i="1"/>
  <c r="G25" i="1"/>
  <c r="BO24" i="1"/>
  <c r="BN24" i="1"/>
  <c r="BM24" i="1"/>
  <c r="BL24" i="1"/>
  <c r="BK24" i="1"/>
  <c r="AK24" i="1"/>
  <c r="AA24" i="1"/>
  <c r="V24" i="1"/>
  <c r="Q24" i="1"/>
  <c r="L24" i="1"/>
  <c r="G24" i="1"/>
  <c r="BO23" i="1"/>
  <c r="BN23" i="1"/>
  <c r="BM23" i="1"/>
  <c r="BL23" i="1"/>
  <c r="BK23" i="1"/>
  <c r="AK23" i="1"/>
  <c r="AA23" i="1"/>
  <c r="V23" i="1"/>
  <c r="Q23" i="1"/>
  <c r="L23" i="1"/>
  <c r="G23" i="1"/>
  <c r="BO22" i="1"/>
  <c r="BN22" i="1"/>
  <c r="BM22" i="1"/>
  <c r="BL22" i="1"/>
  <c r="BK22" i="1"/>
  <c r="AK22" i="1"/>
  <c r="AA22" i="1"/>
  <c r="V22" i="1"/>
  <c r="Q22" i="1"/>
  <c r="L22" i="1"/>
  <c r="BO21" i="1"/>
  <c r="BN21" i="1"/>
  <c r="BM21" i="1"/>
  <c r="BL21" i="1"/>
  <c r="BK21" i="1"/>
  <c r="AK21" i="1"/>
  <c r="AA21" i="1"/>
  <c r="V21" i="1"/>
  <c r="Q21" i="1"/>
  <c r="L21" i="1"/>
  <c r="G21" i="1"/>
  <c r="BO20" i="1"/>
  <c r="BN20" i="1"/>
  <c r="BM20" i="1"/>
  <c r="BL20" i="1"/>
  <c r="BK20" i="1"/>
  <c r="AK20" i="1"/>
  <c r="AA20" i="1"/>
  <c r="V20" i="1"/>
  <c r="Q20" i="1"/>
  <c r="L20" i="1"/>
  <c r="G20" i="1"/>
  <c r="BM19" i="1"/>
  <c r="BL19" i="1"/>
  <c r="BK19" i="1"/>
  <c r="AK19" i="1"/>
  <c r="AA19" i="1"/>
  <c r="V19" i="1"/>
  <c r="Q19" i="1"/>
  <c r="L19" i="1"/>
  <c r="G19" i="1"/>
  <c r="BO18" i="1"/>
  <c r="BN18" i="1"/>
  <c r="BM18" i="1"/>
  <c r="BL18" i="1"/>
  <c r="BK18" i="1"/>
  <c r="AK18" i="1"/>
  <c r="AA18" i="1"/>
  <c r="V18" i="1"/>
  <c r="Q18" i="1"/>
  <c r="L18" i="1"/>
  <c r="G18" i="1"/>
  <c r="BN17" i="1"/>
  <c r="BM17" i="1"/>
  <c r="BL17" i="1"/>
  <c r="AK17" i="1"/>
  <c r="AA17" i="1"/>
  <c r="V17" i="1"/>
  <c r="Q17" i="1"/>
  <c r="L17" i="1"/>
  <c r="G17" i="1"/>
  <c r="BO16" i="1"/>
  <c r="BN16" i="1"/>
  <c r="BM16" i="1"/>
  <c r="BL16" i="1"/>
  <c r="BK16" i="1"/>
  <c r="AK16" i="1"/>
  <c r="AA16" i="1"/>
  <c r="V16" i="1"/>
  <c r="Q16" i="1"/>
  <c r="L16" i="1"/>
  <c r="G16" i="1"/>
  <c r="BO15" i="1"/>
  <c r="BN15" i="1"/>
  <c r="BM15" i="1"/>
  <c r="BL15" i="1"/>
  <c r="BK15" i="1"/>
  <c r="AK15" i="1"/>
  <c r="AA15" i="1"/>
  <c r="V15" i="1"/>
  <c r="Q15" i="1"/>
  <c r="L15" i="1"/>
  <c r="G15" i="1"/>
  <c r="BM14" i="1"/>
  <c r="BL14" i="1"/>
  <c r="AK14" i="1"/>
  <c r="AA14" i="1"/>
  <c r="V14" i="1"/>
  <c r="Q14" i="1"/>
  <c r="L14" i="1"/>
  <c r="G14" i="1"/>
  <c r="BO13" i="1"/>
  <c r="BN13" i="1"/>
  <c r="BM13" i="1"/>
  <c r="BL13" i="1"/>
  <c r="BK13" i="1"/>
  <c r="AK13" i="1"/>
  <c r="AA13" i="1"/>
  <c r="V13" i="1"/>
  <c r="Q13" i="1"/>
  <c r="L13" i="1"/>
  <c r="G13" i="1"/>
  <c r="BO12" i="1"/>
  <c r="BN12" i="1"/>
  <c r="BM12" i="1"/>
  <c r="BL12" i="1"/>
  <c r="BK12" i="1"/>
  <c r="AK12" i="1"/>
  <c r="AA12" i="1"/>
  <c r="V12" i="1"/>
  <c r="Q12" i="1"/>
  <c r="L12" i="1"/>
  <c r="G12" i="1"/>
  <c r="BO11" i="1"/>
  <c r="BN11" i="1"/>
  <c r="BM11" i="1"/>
  <c r="BL11" i="1"/>
  <c r="BK11" i="1"/>
  <c r="AK11" i="1"/>
  <c r="AA11" i="1"/>
  <c r="V11" i="1"/>
  <c r="Q11" i="1"/>
  <c r="L11" i="1"/>
  <c r="G11" i="1"/>
  <c r="BO10" i="1"/>
  <c r="BN10" i="1"/>
  <c r="BM10" i="1"/>
  <c r="BL10" i="1"/>
  <c r="BK10" i="1"/>
  <c r="AK10" i="1"/>
  <c r="AA10" i="1"/>
  <c r="V10" i="1"/>
  <c r="Q10" i="1"/>
  <c r="L10" i="1"/>
  <c r="G10" i="1"/>
  <c r="BO9" i="1"/>
  <c r="BN9" i="1"/>
  <c r="BM9" i="1"/>
  <c r="BL9" i="1"/>
  <c r="BK9" i="1"/>
  <c r="AK9" i="1"/>
  <c r="AA9" i="1"/>
  <c r="V9" i="1"/>
  <c r="Q9" i="1"/>
  <c r="L9" i="1"/>
  <c r="G9" i="1"/>
  <c r="BO8" i="1"/>
  <c r="BN8" i="1"/>
  <c r="BM8" i="1"/>
  <c r="BL8" i="1"/>
  <c r="BK8" i="1"/>
  <c r="AK8" i="1"/>
  <c r="AA8" i="1"/>
  <c r="V8" i="1"/>
  <c r="Q8" i="1"/>
  <c r="L8" i="1"/>
  <c r="G8" i="1"/>
  <c r="AK6" i="1"/>
  <c r="AF6" i="1"/>
  <c r="AA6" i="1"/>
  <c r="V6" i="1"/>
  <c r="Q6" i="1"/>
  <c r="L6" i="1"/>
  <c r="G6" i="1"/>
</calcChain>
</file>

<file path=xl/sharedStrings.xml><?xml version="1.0" encoding="utf-8"?>
<sst xmlns="http://schemas.openxmlformats.org/spreadsheetml/2006/main" count="1435" uniqueCount="266">
  <si>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</si>
  <si>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</si>
  <si>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</si>
  <si>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</si>
  <si>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</si>
  <si>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</si>
  <si>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</si>
  <si>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</si>
  <si>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</si>
  <si>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</si>
  <si>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</si>
  <si>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</si>
  <si>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</si>
  <si>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</si>
  <si>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</si>
  <si>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</si>
  <si>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</si>
  <si>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</si>
  <si>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</si>
  <si>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</si>
  <si>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</si>
  <si>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</si>
  <si>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</si>
  <si>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</si>
  <si>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</si>
  <si>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</si>
  <si>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</si>
  <si>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</si>
  <si>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</si>
  <si>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</si>
  <si>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</si>
  <si>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</si>
  <si>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</si>
  <si>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</si>
  <si>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</si>
  <si>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</si>
  <si>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</si>
  <si>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</si>
  <si>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</si>
  <si>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</si>
  <si>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</si>
  <si>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</si>
  <si>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</si>
  <si>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</si>
  <si>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</si>
  <si>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</si>
  <si>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</si>
  <si>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</si>
  <si>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</si>
  <si>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</si>
  <si>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</si>
  <si>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</si>
  <si>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</si>
  <si>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</si>
  <si>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</si>
  <si>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</si>
  <si>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</si>
  <si>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</si>
  <si>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</si>
  <si>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</si>
  <si>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</si>
  <si>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</si>
  <si>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</si>
  <si>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</si>
  <si>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</si>
  <si>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</si>
  <si>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</si>
  <si>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</si>
  <si>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</si>
  <si>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</si>
  <si>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</si>
  <si>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</si>
  <si>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</si>
  <si>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</si>
  <si>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</si>
  <si>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</si>
  <si>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</si>
  <si>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</si>
  <si>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</si>
  <si>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</si>
  <si>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</si>
  <si>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</si>
  <si>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</si>
  <si>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</si>
  <si>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</si>
  <si>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</si>
  <si>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</si>
  <si>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</si>
  <si>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</si>
  <si>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</si>
  <si>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</si>
  <si>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</si>
  <si>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</si>
  <si>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</si>
  <si>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</si>
  <si>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</si>
  <si>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</si>
  <si>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</si>
  <si>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</si>
  <si>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</si>
  <si>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</si>
  <si>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</si>
  <si>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</si>
  <si>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</si>
  <si>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</si>
  <si>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</si>
  <si>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</si>
  <si>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</si>
  <si>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</si>
  <si>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</si>
  <si>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</si>
  <si>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</si>
  <si>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</si>
  <si>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</si>
  <si>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 xml:space="preserve">   -</t>
  </si>
  <si>
    <t xml:space="preserve">  -</t>
  </si>
  <si>
    <t>46</t>
  </si>
  <si>
    <t>-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</si>
  <si>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</si>
  <si>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</si>
  <si>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</si>
  <si>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</si>
  <si>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</si>
  <si>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</si>
  <si>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</si>
  <si>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t xml:space="preserve"> I</t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</si>
  <si>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</si>
  <si>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</si>
  <si>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</si>
  <si>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`*-/</t>
  </si>
  <si>
    <t xml:space="preserve">II </t>
  </si>
  <si>
    <t xml:space="preserve">III </t>
  </si>
  <si>
    <t xml:space="preserve">IV </t>
  </si>
  <si>
    <t xml:space="preserve">I </t>
  </si>
  <si>
    <t xml:space="preserve"> тысяч долларов США</t>
  </si>
  <si>
    <t xml:space="preserve">                                                        тысяч долларов США</t>
  </si>
  <si>
    <t>ЭКСПОРТ - всего</t>
  </si>
  <si>
    <t>Живые животные</t>
  </si>
  <si>
    <t>Мясо и пищевые мясные субпродукты</t>
  </si>
  <si>
    <t>Рыбы и ракообразные; моллюски и другие водные беспозвоночные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</si>
  <si>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</si>
  <si>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</si>
  <si>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 xml:space="preserve">Продукты растительного происхождения 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</si>
  <si>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</si>
  <si>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</t>
  </si>
  <si>
    <t>Кофе, чай, мате и пряности</t>
  </si>
  <si>
    <t>Злаки</t>
  </si>
  <si>
    <t>Масличные семена и плоды; 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</si>
  <si>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</si>
  <si>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</si>
  <si>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</si>
  <si>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</si>
  <si>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</si>
  <si>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</si>
  <si>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</si>
  <si>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</si>
  <si>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</si>
  <si>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</si>
  <si>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</si>
  <si>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</si>
  <si>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Минеральные продукты</t>
  </si>
  <si>
    <t>Соль; сера; земли и камень; штукатурные материалы, известь и цемент</t>
  </si>
  <si>
    <t>Руды, шлак и зола</t>
  </si>
  <si>
    <t>Продукция химической и связной с ней отраслей промышленности</t>
  </si>
  <si>
    <t>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</si>
  <si>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Органические химические соединения</t>
  </si>
  <si>
    <t>Удобрения</t>
  </si>
  <si>
    <t>Эфирные масла и резиноиды; парфюмерные, косметические или туалетные средства</t>
  </si>
  <si>
    <t>Белковые вещества; модифицированные крахмалы; клеи; ферменты</t>
  </si>
  <si>
    <t>Взрывчатые вещества; пиротехнические изделия; спички; пирофорные сплавы; некоторые горючие вещества</t>
  </si>
  <si>
    <t>Прочие химические продукты</t>
  </si>
  <si>
    <t xml:space="preserve">Пластмассы и изделия из них; каучук, резина и изделия из них </t>
  </si>
  <si>
    <t>Пластмассы и изделия из них</t>
  </si>
  <si>
    <t>Каучук, резина и изделия из них</t>
  </si>
  <si>
    <t>Необработанные шкуры (кроме натурального меха) и выделанная кожа</t>
  </si>
  <si>
    <t>Изделия из кожи; шорно-седельные изделия и упряжь; дорожные принадлежности, дамские сумки и аналогичные им товары; изделия из кишок животных (кроме волокна из фиброина шелкопряда)</t>
  </si>
  <si>
    <t>Натуральный и искусственный мех;  изделия из него</t>
  </si>
  <si>
    <t>Древесина и изделия из нее; древесный уголь</t>
  </si>
  <si>
    <t>Пробка и изделия из нее</t>
  </si>
  <si>
    <t>Масса из древесины или из других волокнистых целлюлозных материалов; регенерируемые бумага или картон (макулатура и отходы)</t>
  </si>
  <si>
    <t>Бумага и картон; изделия из бумажной массы, бумаги или картона</t>
  </si>
  <si>
    <t>Печатные книги, газеты, репродукции и другие изделия полиграфической промышленности; рукописи, машинописные тексты и планы</t>
  </si>
  <si>
    <t>Текстильные материалы и текстильные изделия</t>
  </si>
  <si>
    <t>Шелк</t>
  </si>
  <si>
    <t>Шерсть, тонкий и грубый волос животных; пряжа и ткань из конского волоса</t>
  </si>
  <si>
    <t>Хлопок</t>
  </si>
  <si>
    <t>Прочие растительные текстильные волокна; бумажная пряжа и ткани из бумажной пряжи</t>
  </si>
  <si>
    <t>Химические волокна</t>
  </si>
  <si>
    <t>Ковры и прочие текстильные напольные покрытия</t>
  </si>
  <si>
    <t>Специальные ткани; тафтинговые текстильные материалы; кружева; гобелены; отделочные материалы; вышивки</t>
  </si>
  <si>
    <t> Текстильные материалы, пропитанные, с покрытием или дублированные; текстильные изделия технического назначения</t>
  </si>
  <si>
    <t>Трикотажные полотна машинного или ручного вязания</t>
  </si>
  <si>
    <t>Предметы одежда и принадлежности к одежде трикотажные машинного или ручного вязания</t>
  </si>
  <si>
    <t>Предметы одежда и принадлежности к одежде, кроме трикотажных машинного или ручного вязания</t>
  </si>
  <si>
    <t>Прочие готовые текстильные изделия; наборы; одежда и текстильные изделия, бывшие в употреблении, тряпье</t>
  </si>
  <si>
    <t>Обувь, гетры и аналогические изделия; их части</t>
  </si>
  <si>
    <t>Головные уборы и их части</t>
  </si>
  <si>
    <t>Обработанные перья и пух и изделия из перьев или пуха; искусственные цветы; изделия из человеческого волоса</t>
  </si>
  <si>
    <t>Изделия из камня, гипса, цемента, асбеста, слюды или аналогичных материалов; керамические изделия; стекло и изделия из него</t>
  </si>
  <si>
    <t>Изделия из камня, гипса, цемента, асбеста, слюды или аналогичных материалов</t>
  </si>
  <si>
    <t>Керамические изделия</t>
  </si>
  <si>
    <t>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</si>
  <si>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</si>
  <si>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</si>
  <si>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Черные металлы</t>
  </si>
  <si>
    <t>Изделия из черных металлов</t>
  </si>
  <si>
    <t>Медь и изделия из нее</t>
  </si>
  <si>
    <t>Никель и изделия из него</t>
  </si>
  <si>
    <t> Алюминий и изделия из него</t>
  </si>
  <si>
    <t>Свинец и изделия из него</t>
  </si>
  <si>
    <t>Цинк и изделия из него</t>
  </si>
  <si>
    <t>Олово и изделия из него</t>
  </si>
  <si>
    <t>Прочие недрагоценные металлы; металлокерамика; изделия из них</t>
  </si>
  <si>
    <t>Инструменты, приспособления, ножевые изделия, ложки и вилки из недрагоценных металлов; их части из недрагоценных металлов</t>
  </si>
  <si>
    <t>Прочие изделия из недрагоценных металлов</t>
  </si>
  <si>
    <t>Реакторы ядерные, котлы, оборудование и механические устройства; их части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</si>
  <si>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</si>
  <si>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Средства наземного транспорта, кроме железнодорожного или трамвайного подвижного состава, и их части и принадлежности</t>
  </si>
  <si>
    <t>Летательные аппараты, космические аппараты и их части</t>
  </si>
  <si>
    <t>Суда, лодки и плавучие конструкции</t>
  </si>
  <si>
    <t>Часы всех видов и их части</t>
  </si>
  <si>
    <t>Инструменты музыкальные; их части и принадлежности</t>
  </si>
  <si>
    <t>Разные промышленные товары</t>
  </si>
  <si>
    <t>Игрушки, игры и спортивный инвентарь; их части и принадлежности</t>
  </si>
  <si>
    <t>Разные готовые изделия</t>
  </si>
  <si>
    <t>Произведения искусства, предметы коллекционирования и антиквариат</t>
  </si>
  <si>
    <t>Код</t>
  </si>
  <si>
    <t xml:space="preserve">        в том числе:</t>
  </si>
  <si>
    <t>ВСЕГО</t>
  </si>
  <si>
    <t>Наименование раздела и товарной группы</t>
  </si>
  <si>
    <t>КТН</t>
  </si>
  <si>
    <t>Живые животные; продукты животного происхождения</t>
  </si>
  <si>
    <t>Съедобные фрукты и орехи; кожура цитрусовых плодов или корки дынь</t>
  </si>
  <si>
    <t>Продукция мукомольно-крупяной промышленности; солод; крахмалы; инулин; пшеничная клейковина</t>
  </si>
  <si>
    <t>Жиры и масла животного или растительного происхождения и продукты их расщепления; переработанные животные жиры; воски животного или растительного происхождения</t>
  </si>
  <si>
    <t>Готовые пищевые продукты; алкогольные и безалкогольные напитки и уксус; переработанный табак и его заменители</t>
  </si>
  <si>
    <t>Топливо минеральное, минеральные масла (нефть) и продукты их перегонки; битуминозные вещества; воски минеральные</t>
  </si>
  <si>
    <t>Фармацевтическая продукция</t>
  </si>
  <si>
    <t>Экстракты дубильные или красильные; танины и их производные; красители, пигменты и прочие красящие вещества; краски и лаки; шпатлевка и прочие мастики; типогпафическая краска, чернила, тушь</t>
  </si>
  <si>
    <t>Мыло;  поверхностно-активные органические вещества, моющие средства, смазочные материалы; искуственные и готовые воски, составы для тистки и полировки, свечи и аналогичные изделия,  пасты для лепки, пластилин; "зубоврачебный воск" и зубоврачебные составы на основе гипса</t>
  </si>
  <si>
    <t>Фото- и кинотовары</t>
  </si>
  <si>
    <t xml:space="preserve">Необработанные шкуры; выделанная кожа; натуральный мех изделия из них шорно-седельные изделия и упряжь; дорожные принадлежности, дамские сумки и аналогичные им товары; изделия из кишок животных (кроме волокна из фиброина и шелкопряда) </t>
  </si>
  <si>
    <t>Древесина и изделия из нее, древесный уголь; пробка и изделия из нее; изделия из соломы, волокна и прочие материалов для плетения; корзиночные и другие плетеные изделия</t>
  </si>
  <si>
    <t>Изделия из соломы, волокон или прочих материалов для плетения; корзиночные изделия и плетеные изделия</t>
  </si>
  <si>
    <t>Масса из древесины или из других волокнистых целлюлозных материалов; регенерируемые бумага или картон (макулатура и отходы); бумага, картон и изделия из них</t>
  </si>
  <si>
    <t xml:space="preserve">Химические нити, плоские и аналогичные нити из химических текстильных материалов
</t>
  </si>
  <si>
    <t>Вата, войлок или фетр и нетканые материалы; специальная пряжа; бечевки, веревки, канаты и тросы и изделия из них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</si>
  <si>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из них искусственные цветы; изделия из человеческого волоса </t>
  </si>
  <si>
    <t>Зонты, солнцезащитные зонты, трости, трости-сиденья, хлысты, кнуты и их части</t>
  </si>
  <si>
    <t xml:space="preserve">Машины, оборудования и механизмы; электротехническое оборудование; их части; 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</si>
  <si>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>Электрические машины и оборудование; их части; звукозаписывающая и звуковоспроизводящая аппаратура; аппаратура для записи и воспроизведения телевизионного изображения и звука, их части и принадлежности</t>
  </si>
  <si>
    <t>Железнодорожные транспортные средства, оборудование и их части; механическое (включая электромеханическое) сигнальное оборудование всех видов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</si>
  <si>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часы всех видов; музыкальные инструменты; их части и принадлежности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</si>
  <si>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их части и принадлежности</t>
  </si>
  <si>
    <t xml:space="preserve">Мебель; постельные принадлежности, матрацы, основы матрацные, диванные подушки и аналогичные набивные принадлежности к мебели;
лампы и осветительное оборудование,в другом месте не поименованные или не включенные; световые вывески с именеи или названием, или адресом и аналогичные изделия; сборные 
строительные конструкции
</t>
  </si>
  <si>
    <t>99</t>
  </si>
  <si>
    <t>Товары, поставляемые в качестве гуманитарной помощи и в соответствии с Венской конвенцией о дипломатических сношениях</t>
  </si>
  <si>
    <r>
      <t xml:space="preserve"> Источник данных: </t>
    </r>
    <r>
      <rPr>
        <sz val="10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</si>
  <si>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 xml:space="preserve">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</si>
  <si>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        </t>
    </r>
    <r>
      <rPr>
        <b/>
        <vertAlign val="superscript"/>
        <sz val="10"/>
        <rFont val="Times New Roman"/>
        <family val="1"/>
        <charset val="204"/>
      </rPr>
      <t xml:space="preserve">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</si>
  <si>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>ЭКСПОРТ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</si>
  <si>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   Примечание:  </t>
    </r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Информация не включает данные предприятий и организаций  левобережья Днестра и муниципия  Бендеры</t>
    </r>
  </si>
  <si>
    <t xml:space="preserve">ВСЕГО </t>
  </si>
  <si>
    <t xml:space="preserve">в 2005-2023 гг., в разбивке по кварталам,  разделам и товарным группам, согласно Комбинированной Товарной Номенклатуре (КТН)  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</si>
  <si>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 xml:space="preserve">п) 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</si>
  <si>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 xml:space="preserve">п)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</si>
</sst>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6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Arial Cyr"/>
    </font>
    <font>
      <i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i/>
      <sz val="12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CC"/>
      <family val="1"/>
      <charset val="238"/>
    </font>
    <font>
      <sz val="10"/>
      <name val="Arial Cyr"/>
    </font>
    <font>
      <b/>
      <sz val="10"/>
      <color indexed="8"/>
      <name val="Times New Roman CC"/>
      <family val="1"/>
      <charset val="238"/>
    </font>
    <font>
      <sz val="10"/>
      <name val="Arial Cyr"/>
    </font>
    <font>
      <b/>
      <i/>
      <sz val="10"/>
      <color indexed="8"/>
      <name val="Times New Roman CC"/>
      <family val="1"/>
      <charset val="238"/>
    </font>
    <font>
      <sz val="10"/>
      <name val="Arial Cyr"/>
    </font>
    <font>
      <sz val="10"/>
      <name val="Arial Cyr"/>
      <charset val="204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2"/>
      <name val="Times New Roman CC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charset val="204"/>
    </font>
    <font>
      <sz val="12"/>
      <name val="Times New Roman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3" fillId="0" borderId="0"/>
    <xf numFmtId="0" fontId="37" fillId="0" borderId="0"/>
    <xf numFmtId="0" fontId="58" fillId="0" borderId="0"/>
    <xf numFmtId="0" fontId="58" fillId="0" borderId="0"/>
  </cellStyleXfs>
  <cellXfs count="159">
    <xf numFmtId="0" fontId="0" fillId="0" borderId="0" xfId="0"/>
    <xf numFmtId="165" fontId="6" fillId="0" borderId="0" xfId="0" applyNumberFormat="1" applyFont="1" applyAlignment="1">
      <alignment vertical="top"/>
    </xf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8" fillId="0" borderId="0" xfId="0" applyFont="1"/>
    <xf numFmtId="0" fontId="1" fillId="0" borderId="1" xfId="0" applyFont="1" applyBorder="1"/>
    <xf numFmtId="0" fontId="9" fillId="0" borderId="0" xfId="0" applyFont="1"/>
    <xf numFmtId="0" fontId="11" fillId="0" borderId="0" xfId="0" applyFont="1"/>
    <xf numFmtId="0" fontId="17" fillId="0" borderId="0" xfId="0" applyFont="1"/>
    <xf numFmtId="165" fontId="18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vertical="top" wrapText="1"/>
    </xf>
    <xf numFmtId="165" fontId="19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165" fontId="1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65" fontId="24" fillId="0" borderId="0" xfId="0" applyNumberFormat="1" applyFont="1" applyAlignment="1">
      <alignment vertical="top"/>
    </xf>
    <xf numFmtId="165" fontId="25" fillId="0" borderId="0" xfId="0" applyNumberFormat="1" applyFont="1" applyAlignment="1">
      <alignment vertical="top"/>
    </xf>
    <xf numFmtId="165" fontId="25" fillId="0" borderId="0" xfId="0" applyNumberFormat="1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vertical="top" wrapText="1"/>
    </xf>
    <xf numFmtId="165" fontId="28" fillId="0" borderId="0" xfId="0" applyNumberFormat="1" applyFont="1" applyAlignment="1">
      <alignment horizontal="right" vertical="top"/>
    </xf>
    <xf numFmtId="0" fontId="15" fillId="0" borderId="6" xfId="0" applyFont="1" applyBorder="1" applyAlignment="1">
      <alignment horizontal="center"/>
    </xf>
    <xf numFmtId="165" fontId="31" fillId="0" borderId="0" xfId="0" applyNumberFormat="1" applyFont="1" applyAlignment="1">
      <alignment vertical="top"/>
    </xf>
    <xf numFmtId="0" fontId="32" fillId="0" borderId="0" xfId="0" applyFont="1"/>
    <xf numFmtId="165" fontId="33" fillId="0" borderId="0" xfId="0" applyNumberFormat="1" applyFont="1" applyAlignment="1">
      <alignment vertical="top"/>
    </xf>
    <xf numFmtId="0" fontId="34" fillId="0" borderId="0" xfId="0" applyFont="1"/>
    <xf numFmtId="0" fontId="32" fillId="0" borderId="0" xfId="0" applyFont="1" applyAlignment="1">
      <alignment horizontal="center"/>
    </xf>
    <xf numFmtId="49" fontId="35" fillId="0" borderId="0" xfId="0" applyNumberFormat="1" applyFont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29" fillId="0" borderId="0" xfId="2" applyFont="1"/>
    <xf numFmtId="0" fontId="29" fillId="0" borderId="0" xfId="2" applyFont="1" applyAlignment="1">
      <alignment horizontal="center"/>
    </xf>
    <xf numFmtId="165" fontId="15" fillId="0" borderId="0" xfId="0" applyNumberFormat="1" applyFont="1" applyAlignment="1">
      <alignment horizontal="right" vertical="top"/>
    </xf>
    <xf numFmtId="0" fontId="20" fillId="0" borderId="0" xfId="2" applyFont="1"/>
    <xf numFmtId="0" fontId="15" fillId="0" borderId="6" xfId="0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0" fontId="30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29" fillId="0" borderId="0" xfId="2" applyNumberFormat="1" applyFont="1"/>
    <xf numFmtId="0" fontId="30" fillId="0" borderId="0" xfId="0" applyFont="1" applyAlignment="1">
      <alignment horizontal="left" vertical="top"/>
    </xf>
    <xf numFmtId="165" fontId="12" fillId="0" borderId="0" xfId="0" applyNumberFormat="1" applyFont="1" applyAlignment="1">
      <alignment vertical="top"/>
    </xf>
    <xf numFmtId="0" fontId="29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20" fillId="0" borderId="0" xfId="2" applyFont="1" applyAlignment="1">
      <alignment horizontal="center"/>
    </xf>
    <xf numFmtId="4" fontId="1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4" fontId="49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" fontId="47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horizontal="right" vertical="top" wrapText="1"/>
    </xf>
    <xf numFmtId="4" fontId="49" fillId="0" borderId="8" xfId="0" applyNumberFormat="1" applyFont="1" applyBorder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4" fontId="55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8" fillId="0" borderId="7" xfId="0" applyNumberFormat="1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4" fontId="25" fillId="0" borderId="7" xfId="0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horizontal="right" vertical="top"/>
    </xf>
    <xf numFmtId="4" fontId="49" fillId="0" borderId="8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50" fillId="0" borderId="8" xfId="0" applyNumberFormat="1" applyFont="1" applyBorder="1" applyAlignment="1">
      <alignment horizontal="right" vertical="top" wrapText="1"/>
    </xf>
    <xf numFmtId="4" fontId="51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52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wrapText="1"/>
    </xf>
    <xf numFmtId="0" fontId="56" fillId="0" borderId="0" xfId="0" applyFont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59" fillId="0" borderId="8" xfId="0" applyNumberFormat="1" applyFont="1" applyBorder="1" applyAlignment="1">
      <alignment horizontal="right"/>
    </xf>
    <xf numFmtId="4" fontId="59" fillId="0" borderId="8" xfId="4" applyNumberFormat="1" applyFont="1" applyBorder="1" applyAlignment="1">
      <alignment horizontal="right"/>
    </xf>
    <xf numFmtId="4" fontId="60" fillId="0" borderId="0" xfId="0" applyNumberFormat="1" applyFont="1" applyAlignment="1">
      <alignment horizontal="right" vertical="top"/>
    </xf>
    <xf numFmtId="4" fontId="60" fillId="0" borderId="0" xfId="4" applyNumberFormat="1" applyFont="1" applyAlignment="1">
      <alignment horizontal="right" vertical="top"/>
    </xf>
    <xf numFmtId="4" fontId="61" fillId="0" borderId="0" xfId="0" applyNumberFormat="1" applyFont="1" applyAlignment="1">
      <alignment horizontal="right" vertical="top"/>
    </xf>
    <xf numFmtId="4" fontId="61" fillId="0" borderId="0" xfId="4" applyNumberFormat="1" applyFont="1" applyAlignment="1">
      <alignment horizontal="right" vertical="top"/>
    </xf>
    <xf numFmtId="164" fontId="12" fillId="0" borderId="0" xfId="0" applyNumberFormat="1" applyFont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0" fontId="54" fillId="0" borderId="7" xfId="0" applyFont="1" applyBorder="1" applyAlignment="1">
      <alignment horizontal="left" vertical="top" wrapText="1"/>
    </xf>
    <xf numFmtId="4" fontId="49" fillId="0" borderId="8" xfId="3" applyNumberFormat="1" applyFont="1" applyBorder="1" applyAlignment="1">
      <alignment horizontal="right"/>
    </xf>
    <xf numFmtId="4" fontId="10" fillId="0" borderId="0" xfId="3" applyNumberFormat="1" applyFont="1" applyAlignment="1">
      <alignment horizontal="right" vertical="top"/>
    </xf>
    <xf numFmtId="4" fontId="20" fillId="0" borderId="0" xfId="3" applyNumberFormat="1" applyFont="1" applyAlignment="1">
      <alignment horizontal="right" vertical="top"/>
    </xf>
    <xf numFmtId="4" fontId="20" fillId="0" borderId="7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center" vertical="center" wrapText="1"/>
    </xf>
    <xf numFmtId="4" fontId="64" fillId="0" borderId="0" xfId="0" applyNumberFormat="1" applyFont="1" applyAlignment="1">
      <alignment horizontal="right" vertical="top" wrapText="1"/>
    </xf>
    <xf numFmtId="4" fontId="65" fillId="0" borderId="0" xfId="0" applyNumberFormat="1" applyFont="1" applyAlignment="1">
      <alignment horizontal="right" vertical="top" wrapText="1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30" fillId="0" borderId="0" xfId="0" applyFont="1" applyAlignment="1">
      <alignment horizontal="left"/>
    </xf>
    <xf numFmtId="0" fontId="15" fillId="0" borderId="9" xfId="0" applyFont="1" applyBorder="1" applyAlignment="1">
      <alignment horizontal="center"/>
    </xf>
    <xf numFmtId="0" fontId="22" fillId="0" borderId="11" xfId="0" applyFont="1" applyBorder="1"/>
    <xf numFmtId="0" fontId="22" fillId="0" borderId="10" xfId="0" applyFont="1" applyBorder="1"/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38" fillId="0" borderId="9" xfId="0" applyNumberFormat="1" applyFont="1" applyBorder="1" applyAlignment="1">
      <alignment horizontal="center" vertical="top"/>
    </xf>
    <xf numFmtId="1" fontId="38" fillId="0" borderId="11" xfId="0" applyNumberFormat="1" applyFont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5">
    <cellStyle name="Normal" xfId="0" builtinId="0"/>
    <cellStyle name="Normal 2" xfId="3" xr:uid="{00000000-0005-0000-0000-000000000000}"/>
    <cellStyle name="Normal 3" xfId="4" xr:uid="{00000000-0005-0000-0000-000001000000}"/>
    <cellStyle name="Обычный 3" xfId="1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993"/>
  <sheetViews>
    <sheetView tabSelected="1" zoomScale="90" zoomScaleNormal="90" workbookViewId="0">
      <pane xSplit="1" topLeftCell="CD1" activePane="topRight" state="frozen"/>
      <selection pane="topRight" activeCell="A2" sqref="A2:CU2"/>
    </sheetView>
  </sheetViews>
  <sheetFormatPr defaultRowHeight="15"/>
  <cols>
    <col min="1" max="1" width="8.85546875" style="4" customWidth="1"/>
    <col min="2" max="2" width="68.140625" customWidth="1"/>
    <col min="3" max="3" width="13.42578125" customWidth="1"/>
    <col min="4" max="6" width="13.140625" bestFit="1" customWidth="1"/>
    <col min="7" max="7" width="15.140625" style="6" bestFit="1" customWidth="1"/>
    <col min="8" max="11" width="13.140625" bestFit="1" customWidth="1"/>
    <col min="12" max="12" width="15.140625" style="6" bestFit="1" customWidth="1"/>
    <col min="13" max="14" width="13.140625" bestFit="1" customWidth="1"/>
    <col min="15" max="15" width="12.7109375" customWidth="1"/>
    <col min="16" max="16" width="13.140625" bestFit="1" customWidth="1"/>
    <col min="17" max="17" width="15" style="6" bestFit="1" customWidth="1"/>
    <col min="18" max="18" width="13" customWidth="1"/>
    <col min="19" max="19" width="13.140625" bestFit="1" customWidth="1"/>
    <col min="20" max="20" width="14" customWidth="1"/>
    <col min="21" max="21" width="13" customWidth="1"/>
    <col min="22" max="22" width="15.140625" bestFit="1" customWidth="1"/>
    <col min="23" max="23" width="13.7109375" customWidth="1"/>
    <col min="24" max="24" width="14.28515625" customWidth="1"/>
    <col min="25" max="25" width="14.28515625" style="9" customWidth="1"/>
    <col min="26" max="26" width="13" customWidth="1"/>
    <col min="27" max="27" width="15.140625" bestFit="1" customWidth="1"/>
    <col min="28" max="31" width="14.28515625" customWidth="1"/>
    <col min="32" max="32" width="15.140625" style="9" bestFit="1" customWidth="1"/>
    <col min="33" max="36" width="14.28515625" style="9" customWidth="1"/>
    <col min="37" max="37" width="15.140625" style="9" bestFit="1" customWidth="1"/>
    <col min="38" max="41" width="14.28515625" style="9" customWidth="1"/>
    <col min="42" max="45" width="14.7109375" style="9" customWidth="1"/>
    <col min="46" max="46" width="14.28515625" style="9" customWidth="1"/>
    <col min="47" max="56" width="14.7109375" style="9" customWidth="1"/>
    <col min="57" max="57" width="15.5703125" style="9" customWidth="1"/>
    <col min="58" max="59" width="14.7109375" style="9" customWidth="1"/>
    <col min="60" max="60" width="15" style="9" bestFit="1" customWidth="1"/>
    <col min="61" max="61" width="15.28515625" style="9" customWidth="1"/>
    <col min="62" max="62" width="16.42578125" style="9" bestFit="1" customWidth="1"/>
    <col min="63" max="63" width="14.42578125" style="9" customWidth="1"/>
    <col min="64" max="64" width="14.7109375" style="9" customWidth="1"/>
    <col min="65" max="65" width="15" style="9" customWidth="1"/>
    <col min="66" max="66" width="14.85546875" style="9" customWidth="1"/>
    <col min="67" max="67" width="15.7109375" style="9" customWidth="1"/>
    <col min="68" max="68" width="15.28515625" style="9" customWidth="1"/>
    <col min="69" max="69" width="14.42578125" style="9" customWidth="1"/>
    <col min="70" max="72" width="15.42578125" style="9" customWidth="1"/>
    <col min="73" max="97" width="14.5703125" style="9" customWidth="1"/>
    <col min="98" max="98" width="7.85546875" customWidth="1"/>
    <col min="99" max="99" width="68" customWidth="1"/>
  </cols>
  <sheetData>
    <row r="1" spans="1:99" s="4" customFormat="1" ht="24" customHeight="1">
      <c r="A1" s="143" t="s">
        <v>260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</row>
    <row r="2" spans="1:99" s="4" customFormat="1" ht="23.25" customHeight="1">
      <c r="A2" s="143" t="s">
        <v>263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</row>
    <row r="3" spans="1:99" ht="18.75">
      <c r="A3" s="145" t="s">
        <v>134</v>
      </c>
      <c r="B3" s="145"/>
      <c r="C3" s="2"/>
      <c r="D3" s="2"/>
      <c r="E3" s="2"/>
      <c r="F3" s="2"/>
      <c r="G3" s="7"/>
      <c r="H3" s="2"/>
      <c r="I3" s="2"/>
      <c r="J3" s="2"/>
      <c r="K3" s="2"/>
      <c r="L3" s="7"/>
      <c r="M3" s="3"/>
      <c r="N3" s="3"/>
      <c r="O3" s="3"/>
      <c r="P3" s="3"/>
      <c r="Q3" s="5"/>
      <c r="R3" s="2"/>
      <c r="S3" s="156" t="s">
        <v>135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</row>
    <row r="4" spans="1:99" s="9" customFormat="1" ht="18.75">
      <c r="A4" s="18" t="s">
        <v>226</v>
      </c>
      <c r="B4" s="140" t="s">
        <v>229</v>
      </c>
      <c r="C4" s="134">
        <v>2005</v>
      </c>
      <c r="D4" s="142"/>
      <c r="E4" s="142"/>
      <c r="F4" s="142"/>
      <c r="G4" s="146"/>
      <c r="H4" s="134">
        <v>2006</v>
      </c>
      <c r="I4" s="142"/>
      <c r="J4" s="142"/>
      <c r="K4" s="142"/>
      <c r="L4" s="148"/>
      <c r="M4" s="134">
        <v>2007</v>
      </c>
      <c r="N4" s="142"/>
      <c r="O4" s="142"/>
      <c r="P4" s="142"/>
      <c r="Q4" s="144"/>
      <c r="R4" s="142">
        <v>2008</v>
      </c>
      <c r="S4" s="135"/>
      <c r="T4" s="135"/>
      <c r="U4" s="135"/>
      <c r="V4" s="135"/>
      <c r="W4" s="134">
        <v>2009</v>
      </c>
      <c r="X4" s="135"/>
      <c r="Y4" s="135"/>
      <c r="Z4" s="135"/>
      <c r="AA4" s="136"/>
      <c r="AB4" s="134">
        <v>2010</v>
      </c>
      <c r="AC4" s="142"/>
      <c r="AD4" s="142"/>
      <c r="AE4" s="142"/>
      <c r="AF4" s="142"/>
      <c r="AG4" s="134">
        <v>2011</v>
      </c>
      <c r="AH4" s="155"/>
      <c r="AI4" s="155"/>
      <c r="AJ4" s="155"/>
      <c r="AK4" s="148"/>
      <c r="AL4" s="142">
        <v>2012</v>
      </c>
      <c r="AM4" s="142"/>
      <c r="AN4" s="142"/>
      <c r="AO4" s="142"/>
      <c r="AP4" s="31"/>
      <c r="AQ4" s="134">
        <v>2013</v>
      </c>
      <c r="AR4" s="142"/>
      <c r="AS4" s="147"/>
      <c r="AT4" s="147"/>
      <c r="AU4" s="148"/>
      <c r="AV4" s="134">
        <v>2014</v>
      </c>
      <c r="AW4" s="142"/>
      <c r="AX4" s="142"/>
      <c r="AY4" s="147"/>
      <c r="AZ4" s="148"/>
      <c r="BA4" s="137">
        <v>2015</v>
      </c>
      <c r="BB4" s="138"/>
      <c r="BC4" s="138"/>
      <c r="BD4" s="138"/>
      <c r="BE4" s="139"/>
      <c r="BF4" s="149">
        <v>2016</v>
      </c>
      <c r="BG4" s="150"/>
      <c r="BH4" s="150"/>
      <c r="BI4" s="150"/>
      <c r="BJ4" s="151"/>
      <c r="BK4" s="128">
        <v>2017</v>
      </c>
      <c r="BL4" s="131"/>
      <c r="BM4" s="131"/>
      <c r="BN4" s="131"/>
      <c r="BO4" s="152"/>
      <c r="BP4" s="128">
        <v>2018</v>
      </c>
      <c r="BQ4" s="131"/>
      <c r="BR4" s="131"/>
      <c r="BS4" s="131"/>
      <c r="BT4" s="132"/>
      <c r="BU4" s="128">
        <v>2019</v>
      </c>
      <c r="BV4" s="129"/>
      <c r="BW4" s="129"/>
      <c r="BX4" s="129"/>
      <c r="BY4" s="130"/>
      <c r="BZ4" s="126">
        <v>2020</v>
      </c>
      <c r="CA4" s="127"/>
      <c r="CB4" s="127"/>
      <c r="CC4" s="127"/>
      <c r="CD4" s="125"/>
      <c r="CE4" s="126">
        <v>2021</v>
      </c>
      <c r="CF4" s="127"/>
      <c r="CG4" s="127"/>
      <c r="CH4" s="127"/>
      <c r="CI4" s="125"/>
      <c r="CJ4" s="123">
        <v>2022</v>
      </c>
      <c r="CK4" s="158"/>
      <c r="CL4" s="158"/>
      <c r="CM4" s="158"/>
      <c r="CN4" s="158"/>
      <c r="CO4" s="123">
        <v>2023</v>
      </c>
      <c r="CP4" s="124"/>
      <c r="CQ4" s="124"/>
      <c r="CR4" s="124"/>
      <c r="CS4" s="125"/>
      <c r="CT4" s="19" t="s">
        <v>226</v>
      </c>
      <c r="CU4" s="153" t="s">
        <v>229</v>
      </c>
    </row>
    <row r="5" spans="1:99" s="9" customFormat="1" ht="27" customHeight="1">
      <c r="A5" s="20" t="s">
        <v>230</v>
      </c>
      <c r="B5" s="141"/>
      <c r="C5" s="21" t="s">
        <v>94</v>
      </c>
      <c r="D5" s="21" t="s">
        <v>118</v>
      </c>
      <c r="E5" s="21" t="s">
        <v>119</v>
      </c>
      <c r="F5" s="21" t="s">
        <v>120</v>
      </c>
      <c r="G5" s="21" t="s">
        <v>228</v>
      </c>
      <c r="H5" s="21" t="s">
        <v>94</v>
      </c>
      <c r="I5" s="21" t="s">
        <v>118</v>
      </c>
      <c r="J5" s="21" t="s">
        <v>119</v>
      </c>
      <c r="K5" s="21" t="s">
        <v>120</v>
      </c>
      <c r="L5" s="21" t="s">
        <v>228</v>
      </c>
      <c r="M5" s="21" t="s">
        <v>94</v>
      </c>
      <c r="N5" s="21" t="s">
        <v>118</v>
      </c>
      <c r="O5" s="21" t="s">
        <v>119</v>
      </c>
      <c r="P5" s="21" t="s">
        <v>120</v>
      </c>
      <c r="Q5" s="21" t="s">
        <v>228</v>
      </c>
      <c r="R5" s="21" t="s">
        <v>94</v>
      </c>
      <c r="S5" s="21" t="s">
        <v>118</v>
      </c>
      <c r="T5" s="21" t="s">
        <v>119</v>
      </c>
      <c r="U5" s="21" t="s">
        <v>120</v>
      </c>
      <c r="V5" s="21" t="s">
        <v>228</v>
      </c>
      <c r="W5" s="21" t="s">
        <v>94</v>
      </c>
      <c r="X5" s="21" t="s">
        <v>118</v>
      </c>
      <c r="Y5" s="21" t="s">
        <v>119</v>
      </c>
      <c r="Z5" s="21" t="s">
        <v>120</v>
      </c>
      <c r="AA5" s="21" t="s">
        <v>228</v>
      </c>
      <c r="AB5" s="21" t="s">
        <v>94</v>
      </c>
      <c r="AC5" s="21" t="s">
        <v>118</v>
      </c>
      <c r="AD5" s="21" t="s">
        <v>119</v>
      </c>
      <c r="AE5" s="21" t="s">
        <v>120</v>
      </c>
      <c r="AF5" s="21" t="s">
        <v>228</v>
      </c>
      <c r="AG5" s="21" t="s">
        <v>94</v>
      </c>
      <c r="AH5" s="21" t="s">
        <v>118</v>
      </c>
      <c r="AI5" s="21" t="s">
        <v>119</v>
      </c>
      <c r="AJ5" s="21" t="s">
        <v>120</v>
      </c>
      <c r="AK5" s="21" t="s">
        <v>228</v>
      </c>
      <c r="AL5" s="21" t="s">
        <v>121</v>
      </c>
      <c r="AM5" s="21" t="s">
        <v>122</v>
      </c>
      <c r="AN5" s="21" t="s">
        <v>123</v>
      </c>
      <c r="AO5" s="21" t="s">
        <v>124</v>
      </c>
      <c r="AP5" s="21" t="s">
        <v>228</v>
      </c>
      <c r="AQ5" s="21" t="s">
        <v>125</v>
      </c>
      <c r="AR5" s="21" t="s">
        <v>126</v>
      </c>
      <c r="AS5" s="21" t="s">
        <v>127</v>
      </c>
      <c r="AT5" s="21" t="s">
        <v>128</v>
      </c>
      <c r="AU5" s="21" t="s">
        <v>228</v>
      </c>
      <c r="AV5" s="21" t="s">
        <v>94</v>
      </c>
      <c r="AW5" s="21" t="s">
        <v>130</v>
      </c>
      <c r="AX5" s="21" t="s">
        <v>131</v>
      </c>
      <c r="AY5" s="21" t="s">
        <v>132</v>
      </c>
      <c r="AZ5" s="21" t="s">
        <v>228</v>
      </c>
      <c r="BA5" s="21" t="s">
        <v>133</v>
      </c>
      <c r="BB5" s="21" t="s">
        <v>130</v>
      </c>
      <c r="BC5" s="44" t="s">
        <v>131</v>
      </c>
      <c r="BD5" s="21" t="s">
        <v>97</v>
      </c>
      <c r="BE5" s="21" t="s">
        <v>228</v>
      </c>
      <c r="BF5" s="21" t="s">
        <v>94</v>
      </c>
      <c r="BG5" s="21" t="s">
        <v>95</v>
      </c>
      <c r="BH5" s="21" t="s">
        <v>96</v>
      </c>
      <c r="BI5" s="21" t="s">
        <v>97</v>
      </c>
      <c r="BJ5" s="21" t="s">
        <v>228</v>
      </c>
      <c r="BK5" s="21" t="s">
        <v>133</v>
      </c>
      <c r="BL5" s="21" t="s">
        <v>95</v>
      </c>
      <c r="BM5" s="21" t="s">
        <v>96</v>
      </c>
      <c r="BN5" s="21" t="s">
        <v>97</v>
      </c>
      <c r="BO5" s="21" t="s">
        <v>228</v>
      </c>
      <c r="BP5" s="21" t="s">
        <v>94</v>
      </c>
      <c r="BQ5" s="21" t="s">
        <v>95</v>
      </c>
      <c r="BR5" s="21" t="s">
        <v>96</v>
      </c>
      <c r="BS5" s="21" t="s">
        <v>97</v>
      </c>
      <c r="BT5" s="21" t="s">
        <v>228</v>
      </c>
      <c r="BU5" s="44" t="s">
        <v>94</v>
      </c>
      <c r="BV5" s="44" t="s">
        <v>95</v>
      </c>
      <c r="BW5" s="44" t="s">
        <v>96</v>
      </c>
      <c r="BX5" s="44" t="s">
        <v>97</v>
      </c>
      <c r="BY5" s="44" t="s">
        <v>228</v>
      </c>
      <c r="BZ5" s="44" t="s">
        <v>94</v>
      </c>
      <c r="CA5" s="44" t="s">
        <v>130</v>
      </c>
      <c r="CB5" s="44" t="s">
        <v>96</v>
      </c>
      <c r="CC5" s="44" t="s">
        <v>132</v>
      </c>
      <c r="CD5" s="44" t="s">
        <v>228</v>
      </c>
      <c r="CE5" s="44" t="s">
        <v>94</v>
      </c>
      <c r="CF5" s="44" t="s">
        <v>130</v>
      </c>
      <c r="CG5" s="105" t="s">
        <v>131</v>
      </c>
      <c r="CH5" s="106" t="s">
        <v>132</v>
      </c>
      <c r="CI5" s="106" t="s">
        <v>262</v>
      </c>
      <c r="CJ5" s="106" t="s">
        <v>94</v>
      </c>
      <c r="CK5" s="106" t="s">
        <v>95</v>
      </c>
      <c r="CL5" s="106" t="s">
        <v>131</v>
      </c>
      <c r="CM5" s="106" t="s">
        <v>132</v>
      </c>
      <c r="CN5" s="106" t="s">
        <v>262</v>
      </c>
      <c r="CO5" s="106" t="s">
        <v>94</v>
      </c>
      <c r="CP5" s="120" t="s">
        <v>95</v>
      </c>
      <c r="CQ5" s="120" t="s">
        <v>96</v>
      </c>
      <c r="CR5" s="120" t="s">
        <v>264</v>
      </c>
      <c r="CS5" s="120" t="s">
        <v>265</v>
      </c>
      <c r="CT5" s="22" t="s">
        <v>230</v>
      </c>
      <c r="CU5" s="154"/>
    </row>
    <row r="6" spans="1:99" s="10" customFormat="1" ht="18">
      <c r="A6" s="63"/>
      <c r="B6" s="61" t="s">
        <v>136</v>
      </c>
      <c r="C6" s="67">
        <v>247902.3</v>
      </c>
      <c r="D6" s="67">
        <v>263184</v>
      </c>
      <c r="E6" s="67">
        <v>271279.8</v>
      </c>
      <c r="F6" s="67">
        <v>308552.40000000002</v>
      </c>
      <c r="G6" s="67">
        <f>SUM(C6:F6)</f>
        <v>1090918.5</v>
      </c>
      <c r="H6" s="67">
        <v>250622.9</v>
      </c>
      <c r="I6" s="67">
        <v>216570</v>
      </c>
      <c r="J6" s="67">
        <v>250388.4</v>
      </c>
      <c r="K6" s="67">
        <v>332780.40000000002</v>
      </c>
      <c r="L6" s="67">
        <f>SUM(H6:K6)</f>
        <v>1050361.7000000002</v>
      </c>
      <c r="M6" s="67">
        <v>274352.8</v>
      </c>
      <c r="N6" s="67">
        <v>324230.8</v>
      </c>
      <c r="O6" s="67">
        <v>322257.09999999998</v>
      </c>
      <c r="P6" s="67">
        <v>419209.7</v>
      </c>
      <c r="Q6" s="67">
        <f>SUM(M6:P6)</f>
        <v>1340050.3999999999</v>
      </c>
      <c r="R6" s="67">
        <v>341881.59999999998</v>
      </c>
      <c r="S6" s="67">
        <v>390146</v>
      </c>
      <c r="T6" s="67">
        <v>465057.6</v>
      </c>
      <c r="U6" s="67">
        <v>394027.9</v>
      </c>
      <c r="V6" s="67">
        <f>SUM(R6:U6)</f>
        <v>1591113.1</v>
      </c>
      <c r="W6" s="67">
        <v>279689.2</v>
      </c>
      <c r="X6" s="67">
        <v>300949.59999999998</v>
      </c>
      <c r="Y6" s="67">
        <v>315064.90000000002</v>
      </c>
      <c r="Z6" s="67">
        <v>387277</v>
      </c>
      <c r="AA6" s="67">
        <f>SUM(W6:Z6)</f>
        <v>1282980.7000000002</v>
      </c>
      <c r="AB6" s="67">
        <v>302465.2</v>
      </c>
      <c r="AC6" s="67">
        <v>304406.40000000002</v>
      </c>
      <c r="AD6" s="67">
        <v>380862.1</v>
      </c>
      <c r="AE6" s="67">
        <v>553752.9</v>
      </c>
      <c r="AF6" s="67">
        <f>SUM(AB6:AE6)</f>
        <v>1541486.6</v>
      </c>
      <c r="AG6" s="67">
        <v>473553.3</v>
      </c>
      <c r="AH6" s="67">
        <v>521932.2</v>
      </c>
      <c r="AI6" s="67">
        <v>549419.5</v>
      </c>
      <c r="AJ6" s="67">
        <v>671910</v>
      </c>
      <c r="AK6" s="67">
        <f>SUM(AG6:AJ6)</f>
        <v>2216815</v>
      </c>
      <c r="AL6" s="67">
        <v>504720.5</v>
      </c>
      <c r="AM6" s="67">
        <v>536978.5</v>
      </c>
      <c r="AN6" s="67">
        <v>506647.5</v>
      </c>
      <c r="AO6" s="67">
        <v>613533.5</v>
      </c>
      <c r="AP6" s="67">
        <v>2161880</v>
      </c>
      <c r="AQ6" s="67">
        <v>589717.30000000005</v>
      </c>
      <c r="AR6" s="67">
        <v>546484.5</v>
      </c>
      <c r="AS6" s="67">
        <v>604791</v>
      </c>
      <c r="AT6" s="67">
        <v>687310.2</v>
      </c>
      <c r="AU6" s="67">
        <v>2428303</v>
      </c>
      <c r="AV6" s="68">
        <v>573003.5</v>
      </c>
      <c r="AW6" s="67">
        <v>599244.5</v>
      </c>
      <c r="AX6" s="67">
        <v>565222.19999999995</v>
      </c>
      <c r="AY6" s="67">
        <v>602059.4</v>
      </c>
      <c r="AZ6" s="67">
        <v>2339529.6</v>
      </c>
      <c r="BA6" s="67">
        <v>487807.5</v>
      </c>
      <c r="BB6" s="67">
        <v>504779.8</v>
      </c>
      <c r="BC6" s="67">
        <v>454994</v>
      </c>
      <c r="BD6" s="67">
        <v>519255.9</v>
      </c>
      <c r="BE6" s="67">
        <v>1966837.2</v>
      </c>
      <c r="BF6" s="107">
        <f>IF(416443.41512="","-",416443.41512)</f>
        <v>416443.41512000002</v>
      </c>
      <c r="BG6" s="67">
        <v>488838.27259000001</v>
      </c>
      <c r="BH6" s="67">
        <v>527304.92131000001</v>
      </c>
      <c r="BI6" s="67">
        <v>611952.03850000002</v>
      </c>
      <c r="BJ6" s="108">
        <v>2044538.6475200001</v>
      </c>
      <c r="BK6" s="62">
        <v>528166.93000000005</v>
      </c>
      <c r="BL6" s="62">
        <v>500020.52</v>
      </c>
      <c r="BM6" s="67">
        <v>623353.39</v>
      </c>
      <c r="BN6" s="62">
        <v>773431.18</v>
      </c>
      <c r="BO6" s="62">
        <v>2424972.0299999998</v>
      </c>
      <c r="BP6" s="62">
        <v>677915.43357999995</v>
      </c>
      <c r="BQ6" s="97">
        <v>636882.10346000001</v>
      </c>
      <c r="BR6" s="97">
        <v>644738.67179000005</v>
      </c>
      <c r="BS6" s="62">
        <v>746637.09259000001</v>
      </c>
      <c r="BT6" s="62">
        <v>2706173.3014199999</v>
      </c>
      <c r="BU6" s="99">
        <v>732895.97598999995</v>
      </c>
      <c r="BV6" s="69">
        <v>628317.50179999997</v>
      </c>
      <c r="BW6" s="69">
        <v>664764.06686999998</v>
      </c>
      <c r="BX6" s="69">
        <v>753186.92052000004</v>
      </c>
      <c r="BY6" s="69">
        <v>2779164.4651799998</v>
      </c>
      <c r="BZ6" s="69">
        <v>675027.19328999997</v>
      </c>
      <c r="CA6" s="69">
        <v>495149.34334999998</v>
      </c>
      <c r="CB6" s="69">
        <v>567299.05123999994</v>
      </c>
      <c r="CC6" s="69">
        <v>729630.49179999996</v>
      </c>
      <c r="CD6" s="69">
        <v>2467106.07968</v>
      </c>
      <c r="CE6" s="62">
        <v>684759.39702999999</v>
      </c>
      <c r="CF6" s="62">
        <v>646742.94383999996</v>
      </c>
      <c r="CG6" s="116">
        <v>771918.86581999995</v>
      </c>
      <c r="CH6" s="69">
        <v>1041083.33198</v>
      </c>
      <c r="CI6" s="69">
        <v>3144504.5386700002</v>
      </c>
      <c r="CJ6" s="62">
        <v>1062650.2944499999</v>
      </c>
      <c r="CK6" s="62">
        <v>1228738.6151099999</v>
      </c>
      <c r="CL6" s="62">
        <v>986434.33790000004</v>
      </c>
      <c r="CM6" s="62">
        <v>1054321.87035</v>
      </c>
      <c r="CN6" s="62">
        <v>4332145.1178099997</v>
      </c>
      <c r="CO6" s="62">
        <v>1072045.03532</v>
      </c>
      <c r="CP6" s="62">
        <v>970561.66157</v>
      </c>
      <c r="CQ6" s="62">
        <v>973806.75581999996</v>
      </c>
      <c r="CR6" s="62">
        <v>1032203.06449</v>
      </c>
      <c r="CS6" s="62">
        <v>4048616.5172000001</v>
      </c>
      <c r="CT6" s="63"/>
      <c r="CU6" s="61" t="s">
        <v>136</v>
      </c>
    </row>
    <row r="7" spans="1:99" s="8" customFormat="1" ht="18.75">
      <c r="A7" s="64"/>
      <c r="B7" s="58" t="s">
        <v>227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  <c r="W7" s="72"/>
      <c r="X7" s="72"/>
      <c r="Y7" s="72"/>
      <c r="Z7" s="72"/>
      <c r="AA7" s="71"/>
      <c r="AB7" s="73"/>
      <c r="AC7" s="73"/>
      <c r="AD7" s="73"/>
      <c r="AE7" s="73"/>
      <c r="AF7" s="72"/>
      <c r="AG7" s="72"/>
      <c r="AH7" s="72"/>
      <c r="AI7" s="72"/>
      <c r="AJ7" s="72"/>
      <c r="AK7" s="74"/>
      <c r="AL7" s="75"/>
      <c r="AM7" s="75"/>
      <c r="AN7" s="75"/>
      <c r="AO7" s="75"/>
      <c r="AP7" s="75"/>
      <c r="AQ7" s="70"/>
      <c r="AR7" s="70"/>
      <c r="AS7" s="70"/>
      <c r="AT7" s="70"/>
      <c r="AU7" s="70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7"/>
      <c r="BG7" s="77"/>
      <c r="BH7" s="77"/>
      <c r="BI7" s="77"/>
      <c r="BJ7" s="77"/>
      <c r="BK7" s="77"/>
      <c r="BL7" s="77"/>
      <c r="BM7" s="77"/>
      <c r="BN7" s="77"/>
      <c r="BO7" s="55"/>
      <c r="BP7" s="96"/>
      <c r="BQ7" s="98"/>
      <c r="BR7" s="98"/>
      <c r="BS7" s="96"/>
      <c r="BT7" s="45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64"/>
      <c r="CU7" s="58" t="s">
        <v>227</v>
      </c>
    </row>
    <row r="8" spans="1:99" s="9" customFormat="1" ht="18.75" customHeight="1">
      <c r="A8" s="65" t="s">
        <v>94</v>
      </c>
      <c r="B8" s="59" t="s">
        <v>137</v>
      </c>
      <c r="C8" s="72">
        <v>2864</v>
      </c>
      <c r="D8" s="72">
        <v>4831</v>
      </c>
      <c r="E8" s="72">
        <v>5878.1</v>
      </c>
      <c r="F8" s="72">
        <v>3630.9</v>
      </c>
      <c r="G8" s="72">
        <f t="shared" ref="G8:G21" si="0">SUM(C8:F8)</f>
        <v>17204</v>
      </c>
      <c r="H8" s="72">
        <v>2358.6</v>
      </c>
      <c r="I8" s="72">
        <v>3189</v>
      </c>
      <c r="J8" s="72">
        <v>4310</v>
      </c>
      <c r="K8" s="72">
        <v>6369.7</v>
      </c>
      <c r="L8" s="72">
        <f>SUM(H8:K8)</f>
        <v>16227.3</v>
      </c>
      <c r="M8" s="72">
        <v>1618.6</v>
      </c>
      <c r="N8" s="72">
        <v>3508.8</v>
      </c>
      <c r="O8" s="72">
        <v>2880.9</v>
      </c>
      <c r="P8" s="72">
        <v>5571.2</v>
      </c>
      <c r="Q8" s="72">
        <f>SUM(M8:P8)</f>
        <v>13579.5</v>
      </c>
      <c r="R8" s="72">
        <v>1284.7</v>
      </c>
      <c r="S8" s="72">
        <v>4899.5</v>
      </c>
      <c r="T8" s="72">
        <v>2216.9</v>
      </c>
      <c r="U8" s="72">
        <v>1732.3</v>
      </c>
      <c r="V8" s="70">
        <f t="shared" ref="V8:V70" si="1">SUM(R8:U8)</f>
        <v>10133.4</v>
      </c>
      <c r="W8" s="72">
        <v>819.9</v>
      </c>
      <c r="X8" s="72">
        <v>1564.4</v>
      </c>
      <c r="Y8" s="72">
        <v>3593.6</v>
      </c>
      <c r="Z8" s="72">
        <v>3167.9</v>
      </c>
      <c r="AA8" s="70">
        <f t="shared" ref="AA8:AA48" si="2">SUM(W8:Z8)</f>
        <v>9145.7999999999993</v>
      </c>
      <c r="AB8" s="72">
        <v>2071.1999999999998</v>
      </c>
      <c r="AC8" s="72">
        <v>4740.2</v>
      </c>
      <c r="AD8" s="72">
        <v>7673</v>
      </c>
      <c r="AE8" s="72">
        <v>12484.5</v>
      </c>
      <c r="AF8" s="72">
        <v>26968.9</v>
      </c>
      <c r="AG8" s="76">
        <v>3114.3</v>
      </c>
      <c r="AH8" s="76">
        <v>5980</v>
      </c>
      <c r="AI8" s="76">
        <v>14170.2</v>
      </c>
      <c r="AJ8" s="76">
        <v>14778.4</v>
      </c>
      <c r="AK8" s="75">
        <f t="shared" ref="AK8:AK70" si="3">SUM(AG8:AJ8)</f>
        <v>38042.9</v>
      </c>
      <c r="AL8" s="75">
        <v>4828.2</v>
      </c>
      <c r="AM8" s="75">
        <v>9679.7000000000007</v>
      </c>
      <c r="AN8" s="75">
        <v>12500.8</v>
      </c>
      <c r="AO8" s="75">
        <v>10808.3</v>
      </c>
      <c r="AP8" s="75">
        <v>37817</v>
      </c>
      <c r="AQ8" s="75">
        <v>7053.7</v>
      </c>
      <c r="AR8" s="75">
        <v>6459.8</v>
      </c>
      <c r="AS8" s="75">
        <v>10633.8</v>
      </c>
      <c r="AT8" s="75">
        <v>13019.2</v>
      </c>
      <c r="AU8" s="75">
        <v>37166.5</v>
      </c>
      <c r="AV8" s="76">
        <v>4392.8999999999996</v>
      </c>
      <c r="AW8" s="76">
        <v>17867.400000000001</v>
      </c>
      <c r="AX8" s="76">
        <v>23388.5</v>
      </c>
      <c r="AY8" s="78">
        <v>14083.7</v>
      </c>
      <c r="AZ8" s="76">
        <v>59732.5</v>
      </c>
      <c r="BA8" s="76">
        <v>6019</v>
      </c>
      <c r="BB8" s="76">
        <v>4139.2</v>
      </c>
      <c r="BC8" s="76">
        <v>9934</v>
      </c>
      <c r="BD8" s="79">
        <v>17418.7</v>
      </c>
      <c r="BE8" s="76">
        <v>37510.9</v>
      </c>
      <c r="BF8" s="76">
        <v>7121.5050499999998</v>
      </c>
      <c r="BG8" s="80">
        <v>9356.7155600000006</v>
      </c>
      <c r="BH8" s="55">
        <v>11605.35608</v>
      </c>
      <c r="BI8" s="55">
        <v>12077.48425</v>
      </c>
      <c r="BJ8" s="55">
        <v>40161.060940000003</v>
      </c>
      <c r="BK8" s="55">
        <f>IF(10054.20682="","-",10054.20682)</f>
        <v>10054.206819999999</v>
      </c>
      <c r="BL8" s="55">
        <f>IF(10199.00153="","-",10199.00153)</f>
        <v>10199.00153</v>
      </c>
      <c r="BM8" s="55">
        <f>IF(13802.31179="","-",13802.31179)</f>
        <v>13802.31179</v>
      </c>
      <c r="BN8" s="55">
        <f>IF(12995.96774="","-",12995.96774)</f>
        <v>12995.96774</v>
      </c>
      <c r="BO8" s="55">
        <f>IF(47051.48788="","-",47051.48788)</f>
        <v>47051.487880000001</v>
      </c>
      <c r="BP8" s="55">
        <v>9548.4880200000007</v>
      </c>
      <c r="BQ8" s="45">
        <v>10716.6065</v>
      </c>
      <c r="BR8" s="45">
        <v>13085.95342</v>
      </c>
      <c r="BS8" s="55">
        <v>12168.78089</v>
      </c>
      <c r="BT8" s="55">
        <v>45519.828829999999</v>
      </c>
      <c r="BU8" s="55">
        <v>7014.2538299999997</v>
      </c>
      <c r="BV8" s="55">
        <v>8251.7679200000002</v>
      </c>
      <c r="BW8" s="55">
        <v>12862.183059999999</v>
      </c>
      <c r="BX8" s="55">
        <v>10051.47372</v>
      </c>
      <c r="BY8" s="55">
        <v>38179.678529999997</v>
      </c>
      <c r="BZ8" s="55">
        <v>8779.7699499999999</v>
      </c>
      <c r="CA8" s="55">
        <v>7699.4228199999998</v>
      </c>
      <c r="CB8" s="55">
        <v>7824.4654</v>
      </c>
      <c r="CC8" s="55">
        <v>9638.3580999999995</v>
      </c>
      <c r="CD8" s="55">
        <v>33942.01627</v>
      </c>
      <c r="CE8" s="55">
        <v>7051.3503300000002</v>
      </c>
      <c r="CF8" s="55">
        <v>8257.0861700000005</v>
      </c>
      <c r="CG8" s="55">
        <v>9309.4483400000008</v>
      </c>
      <c r="CH8" s="55">
        <v>12239.038119999999</v>
      </c>
      <c r="CI8" s="55">
        <v>36856.922960000004</v>
      </c>
      <c r="CJ8" s="55">
        <v>7440.8615499999996</v>
      </c>
      <c r="CK8" s="55">
        <v>5825.95496</v>
      </c>
      <c r="CL8" s="55">
        <v>6166.6770800000004</v>
      </c>
      <c r="CM8" s="55">
        <v>10440.42273</v>
      </c>
      <c r="CN8" s="55">
        <v>29873.91632</v>
      </c>
      <c r="CO8" s="55">
        <v>9764.5487400000002</v>
      </c>
      <c r="CP8" s="55">
        <v>7243.1512400000001</v>
      </c>
      <c r="CQ8" s="55">
        <v>4148.54018</v>
      </c>
      <c r="CR8" s="55">
        <v>7019.3140899999999</v>
      </c>
      <c r="CS8" s="55">
        <v>28175.554250000001</v>
      </c>
      <c r="CT8" s="65" t="s">
        <v>94</v>
      </c>
      <c r="CU8" s="59" t="s">
        <v>137</v>
      </c>
    </row>
    <row r="9" spans="1:99" s="9" customFormat="1" ht="15.75">
      <c r="A9" s="66" t="s">
        <v>0</v>
      </c>
      <c r="B9" s="60" t="s">
        <v>231</v>
      </c>
      <c r="C9" s="81">
        <v>443.1</v>
      </c>
      <c r="D9" s="81">
        <v>538</v>
      </c>
      <c r="E9" s="81">
        <v>455.2</v>
      </c>
      <c r="F9" s="81">
        <v>520.5</v>
      </c>
      <c r="G9" s="82">
        <f t="shared" si="0"/>
        <v>1956.8</v>
      </c>
      <c r="H9" s="81">
        <v>595.79999999999995</v>
      </c>
      <c r="I9" s="81">
        <v>435.9</v>
      </c>
      <c r="J9" s="81">
        <v>658.9</v>
      </c>
      <c r="K9" s="81">
        <v>2178.6</v>
      </c>
      <c r="L9" s="82">
        <f t="shared" ref="L9:L73" si="4">SUM(H9:K9)</f>
        <v>3869.2</v>
      </c>
      <c r="M9" s="81">
        <v>496.8</v>
      </c>
      <c r="N9" s="81">
        <v>98.7</v>
      </c>
      <c r="O9" s="81">
        <v>381</v>
      </c>
      <c r="P9" s="81">
        <v>1203.4000000000001</v>
      </c>
      <c r="Q9" s="82">
        <f t="shared" ref="Q9:Q73" si="5">SUM(M9:P9)</f>
        <v>2179.9</v>
      </c>
      <c r="R9" s="81">
        <v>267.10000000000002</v>
      </c>
      <c r="S9" s="81">
        <v>24</v>
      </c>
      <c r="T9" s="81" t="s">
        <v>117</v>
      </c>
      <c r="U9" s="81">
        <v>76.2</v>
      </c>
      <c r="V9" s="83">
        <f t="shared" si="1"/>
        <v>367.3</v>
      </c>
      <c r="W9" s="81">
        <v>374</v>
      </c>
      <c r="X9" s="81">
        <v>1.8</v>
      </c>
      <c r="Y9" s="81">
        <v>1134</v>
      </c>
      <c r="Z9" s="81">
        <v>788.6</v>
      </c>
      <c r="AA9" s="83">
        <f t="shared" si="2"/>
        <v>2298.4</v>
      </c>
      <c r="AB9" s="81">
        <v>1122.3</v>
      </c>
      <c r="AC9" s="81">
        <v>1087.5999999999999</v>
      </c>
      <c r="AD9" s="81">
        <v>3858.5</v>
      </c>
      <c r="AE9" s="81">
        <v>5169.1000000000004</v>
      </c>
      <c r="AF9" s="81">
        <v>11237.5</v>
      </c>
      <c r="AG9" s="84">
        <v>1249</v>
      </c>
      <c r="AH9" s="84">
        <v>772.6</v>
      </c>
      <c r="AI9" s="84">
        <v>3629.9</v>
      </c>
      <c r="AJ9" s="84">
        <v>2518.1</v>
      </c>
      <c r="AK9" s="83">
        <f t="shared" si="3"/>
        <v>8169.6</v>
      </c>
      <c r="AL9" s="83">
        <v>1330.2</v>
      </c>
      <c r="AM9" s="83">
        <v>2475.9</v>
      </c>
      <c r="AN9" s="83">
        <v>2329.8000000000002</v>
      </c>
      <c r="AO9" s="83">
        <v>2585.8000000000002</v>
      </c>
      <c r="AP9" s="83">
        <v>8721.7000000000007</v>
      </c>
      <c r="AQ9" s="84">
        <v>1320.1</v>
      </c>
      <c r="AR9" s="84">
        <v>2408.6</v>
      </c>
      <c r="AS9" s="84">
        <v>1401.9</v>
      </c>
      <c r="AT9" s="84">
        <v>2044.3</v>
      </c>
      <c r="AU9" s="84">
        <v>7174.9</v>
      </c>
      <c r="AV9" s="84">
        <v>964.5</v>
      </c>
      <c r="AW9" s="84">
        <v>2690.5</v>
      </c>
      <c r="AX9" s="84">
        <v>1101.5</v>
      </c>
      <c r="AY9" s="85">
        <v>1659.7</v>
      </c>
      <c r="AZ9" s="84">
        <v>6416.2</v>
      </c>
      <c r="BA9" s="84">
        <v>1603.8</v>
      </c>
      <c r="BB9" s="84">
        <v>109.4</v>
      </c>
      <c r="BC9" s="84">
        <v>1564.2</v>
      </c>
      <c r="BD9" s="86">
        <v>6853.6</v>
      </c>
      <c r="BE9" s="84">
        <v>10131</v>
      </c>
      <c r="BF9" s="84">
        <v>2504.6968700000002</v>
      </c>
      <c r="BG9" s="87">
        <v>2762.6360500000001</v>
      </c>
      <c r="BH9" s="88">
        <v>2226.6961900000001</v>
      </c>
      <c r="BI9" s="56">
        <v>2585.99827</v>
      </c>
      <c r="BJ9" s="56">
        <v>10080.02738</v>
      </c>
      <c r="BK9" s="56">
        <f>IF(1966.22145="","-",1966.22145)</f>
        <v>1966.22145</v>
      </c>
      <c r="BL9" s="56">
        <f>IF(779.79085="","-",779.79085)</f>
        <v>779.79084999999998</v>
      </c>
      <c r="BM9" s="56">
        <f>IF(2729.4254="","-",2729.4254)</f>
        <v>2729.4254000000001</v>
      </c>
      <c r="BN9" s="56">
        <f>IF(2320.43901="","-",2320.43901)</f>
        <v>2320.4390100000001</v>
      </c>
      <c r="BO9" s="56">
        <f>IF(7795.87671="","-",7795.87671)</f>
        <v>7795.8767099999995</v>
      </c>
      <c r="BP9" s="56">
        <v>2741.4326999999998</v>
      </c>
      <c r="BQ9" s="46">
        <v>4366.25918</v>
      </c>
      <c r="BR9" s="46">
        <v>3334.8085000000001</v>
      </c>
      <c r="BS9" s="56">
        <v>1213.58872</v>
      </c>
      <c r="BT9" s="56">
        <v>11656.089099999999</v>
      </c>
      <c r="BU9" s="56">
        <v>1683.24035</v>
      </c>
      <c r="BV9" s="56">
        <v>3250.0524300000002</v>
      </c>
      <c r="BW9" s="56">
        <v>3393.7693399999998</v>
      </c>
      <c r="BX9" s="56">
        <v>1687.91536</v>
      </c>
      <c r="BY9" s="56">
        <v>10014.97748</v>
      </c>
      <c r="BZ9" s="56">
        <v>4372.5501299999996</v>
      </c>
      <c r="CA9" s="56">
        <v>2097.9864499999999</v>
      </c>
      <c r="CB9" s="56">
        <v>2010.97299</v>
      </c>
      <c r="CC9" s="56">
        <v>1466.2470000000001</v>
      </c>
      <c r="CD9" s="56">
        <v>9947.7565699999996</v>
      </c>
      <c r="CE9" s="56">
        <v>3107.1464900000001</v>
      </c>
      <c r="CF9" s="56">
        <v>3258.61805</v>
      </c>
      <c r="CG9" s="56">
        <v>96.191999999999993</v>
      </c>
      <c r="CH9" s="56">
        <v>724.14452000000006</v>
      </c>
      <c r="CI9" s="56">
        <v>7186.10106</v>
      </c>
      <c r="CJ9" s="56">
        <v>2336.7886600000002</v>
      </c>
      <c r="CK9" s="56">
        <v>1707.3719000000001</v>
      </c>
      <c r="CL9" s="56" t="s">
        <v>117</v>
      </c>
      <c r="CM9" s="56">
        <v>2081.7653</v>
      </c>
      <c r="CN9" s="56">
        <v>6125.9258600000003</v>
      </c>
      <c r="CO9" s="56">
        <v>3086.24</v>
      </c>
      <c r="CP9" s="56">
        <v>3228.0854399999998</v>
      </c>
      <c r="CQ9" s="56" t="s">
        <v>117</v>
      </c>
      <c r="CR9" s="56">
        <v>2437.7224000000001</v>
      </c>
      <c r="CS9" s="56">
        <v>8752.0478399999993</v>
      </c>
      <c r="CT9" s="66" t="s">
        <v>0</v>
      </c>
      <c r="CU9" s="60" t="s">
        <v>231</v>
      </c>
    </row>
    <row r="10" spans="1:99" s="9" customFormat="1" ht="15.75">
      <c r="A10" s="66" t="s">
        <v>1</v>
      </c>
      <c r="B10" s="60" t="s">
        <v>138</v>
      </c>
      <c r="C10" s="81">
        <v>823</v>
      </c>
      <c r="D10" s="81">
        <v>423.6</v>
      </c>
      <c r="E10" s="81">
        <v>317.7</v>
      </c>
      <c r="F10" s="81">
        <v>338.5</v>
      </c>
      <c r="G10" s="82">
        <f t="shared" si="0"/>
        <v>1902.8</v>
      </c>
      <c r="H10" s="81">
        <v>232.2</v>
      </c>
      <c r="I10" s="81">
        <v>140.80000000000001</v>
      </c>
      <c r="J10" s="81">
        <v>284.8</v>
      </c>
      <c r="K10" s="81">
        <v>1175.4000000000001</v>
      </c>
      <c r="L10" s="82">
        <f t="shared" si="4"/>
        <v>1833.2</v>
      </c>
      <c r="M10" s="81">
        <v>477.5</v>
      </c>
      <c r="N10" s="81">
        <v>788</v>
      </c>
      <c r="O10" s="81">
        <v>573.9</v>
      </c>
      <c r="P10" s="81">
        <v>2763.6</v>
      </c>
      <c r="Q10" s="82">
        <f t="shared" si="5"/>
        <v>4603</v>
      </c>
      <c r="R10" s="81">
        <v>501.4</v>
      </c>
      <c r="S10" s="81">
        <v>199.1</v>
      </c>
      <c r="T10" s="81">
        <v>379</v>
      </c>
      <c r="U10" s="81">
        <v>294.3</v>
      </c>
      <c r="V10" s="83">
        <f t="shared" si="1"/>
        <v>1373.8</v>
      </c>
      <c r="W10" s="81">
        <v>55.8</v>
      </c>
      <c r="X10" s="81">
        <v>31.4</v>
      </c>
      <c r="Y10" s="81">
        <v>322.39999999999998</v>
      </c>
      <c r="Z10" s="81">
        <v>1107.5999999999999</v>
      </c>
      <c r="AA10" s="83">
        <f t="shared" si="2"/>
        <v>1517.1999999999998</v>
      </c>
      <c r="AB10" s="81">
        <v>353.5</v>
      </c>
      <c r="AC10" s="81">
        <v>1625.3</v>
      </c>
      <c r="AD10" s="81">
        <v>2446.1</v>
      </c>
      <c r="AE10" s="81">
        <v>5802.8</v>
      </c>
      <c r="AF10" s="81">
        <v>10227.700000000001</v>
      </c>
      <c r="AG10" s="84">
        <v>1251</v>
      </c>
      <c r="AH10" s="84">
        <v>3085.6</v>
      </c>
      <c r="AI10" s="84">
        <v>7237.3</v>
      </c>
      <c r="AJ10" s="84">
        <v>9974.4</v>
      </c>
      <c r="AK10" s="83">
        <f t="shared" si="3"/>
        <v>21548.300000000003</v>
      </c>
      <c r="AL10" s="83">
        <v>2527</v>
      </c>
      <c r="AM10" s="83">
        <v>5373.3</v>
      </c>
      <c r="AN10" s="83">
        <v>7500</v>
      </c>
      <c r="AO10" s="83">
        <v>6151.7</v>
      </c>
      <c r="AP10" s="83">
        <v>21552</v>
      </c>
      <c r="AQ10" s="84">
        <v>5006</v>
      </c>
      <c r="AR10" s="83">
        <v>1969.8</v>
      </c>
      <c r="AS10" s="84">
        <v>4627.8999999999996</v>
      </c>
      <c r="AT10" s="83">
        <v>7167.1</v>
      </c>
      <c r="AU10" s="83">
        <v>18770.8</v>
      </c>
      <c r="AV10" s="84">
        <v>727.4</v>
      </c>
      <c r="AW10" s="84">
        <v>10711.8</v>
      </c>
      <c r="AX10" s="84">
        <v>17191.099999999999</v>
      </c>
      <c r="AY10" s="85">
        <v>6666.6</v>
      </c>
      <c r="AZ10" s="84">
        <v>35296.9</v>
      </c>
      <c r="BA10" s="84">
        <v>603.29999999999995</v>
      </c>
      <c r="BB10" s="84">
        <v>1270.8</v>
      </c>
      <c r="BC10" s="84">
        <v>2951.2</v>
      </c>
      <c r="BD10" s="86">
        <v>4059.8</v>
      </c>
      <c r="BE10" s="84">
        <v>8885.1</v>
      </c>
      <c r="BF10" s="84">
        <v>882.39381000000003</v>
      </c>
      <c r="BG10" s="87">
        <v>1380.2180000000001</v>
      </c>
      <c r="BH10" s="88">
        <v>2466.7206900000001</v>
      </c>
      <c r="BI10" s="56">
        <v>3737.76172</v>
      </c>
      <c r="BJ10" s="56">
        <v>8467.0942200000009</v>
      </c>
      <c r="BK10" s="56">
        <f>IF(1902.9879="","-",1902.9879)</f>
        <v>1902.9879000000001</v>
      </c>
      <c r="BL10" s="56">
        <f>IF(2377.02737="","-",2377.02737)</f>
        <v>2377.0273699999998</v>
      </c>
      <c r="BM10" s="56">
        <f>IF(3298.59264="","-",3298.59264)</f>
        <v>3298.5926399999998</v>
      </c>
      <c r="BN10" s="56">
        <f>IF(3258.236="","-",3258.236)</f>
        <v>3258.2359999999999</v>
      </c>
      <c r="BO10" s="56">
        <f>IF(10836.84391="","-",10836.84391)</f>
        <v>10836.84391</v>
      </c>
      <c r="BP10" s="56">
        <v>1497.6516200000001</v>
      </c>
      <c r="BQ10" s="46">
        <v>1297.9091900000001</v>
      </c>
      <c r="BR10" s="46">
        <v>2644.3602599999999</v>
      </c>
      <c r="BS10" s="56">
        <v>4280.3176800000001</v>
      </c>
      <c r="BT10" s="56">
        <v>9720.2387500000004</v>
      </c>
      <c r="BU10" s="56">
        <v>1653.3337100000001</v>
      </c>
      <c r="BV10" s="56">
        <v>1353.3035600000001</v>
      </c>
      <c r="BW10" s="56">
        <v>2059.1167</v>
      </c>
      <c r="BX10" s="56">
        <v>3662.1218899999999</v>
      </c>
      <c r="BY10" s="56">
        <v>8727.8758600000001</v>
      </c>
      <c r="BZ10" s="56">
        <v>845.95708999999999</v>
      </c>
      <c r="CA10" s="56">
        <v>851.87477999999999</v>
      </c>
      <c r="CB10" s="56">
        <v>1697.7745299999999</v>
      </c>
      <c r="CC10" s="56">
        <v>2675.7468199999998</v>
      </c>
      <c r="CD10" s="56">
        <v>6071.35322</v>
      </c>
      <c r="CE10" s="56">
        <v>1363.24918</v>
      </c>
      <c r="CF10" s="56">
        <v>1768.29179</v>
      </c>
      <c r="CG10" s="56">
        <v>2208.87158</v>
      </c>
      <c r="CH10" s="56">
        <v>2746.4809700000001</v>
      </c>
      <c r="CI10" s="56">
        <v>8086.8935199999996</v>
      </c>
      <c r="CJ10" s="56">
        <v>172.42531</v>
      </c>
      <c r="CK10" s="56">
        <v>775.02292</v>
      </c>
      <c r="CL10" s="56">
        <v>1181.75125</v>
      </c>
      <c r="CM10" s="56">
        <v>1681.1366599999999</v>
      </c>
      <c r="CN10" s="56">
        <v>3810.3361399999999</v>
      </c>
      <c r="CO10" s="56">
        <v>1096.8290199999999</v>
      </c>
      <c r="CP10" s="56">
        <v>605.65614000000005</v>
      </c>
      <c r="CQ10" s="56">
        <v>1169.9651799999999</v>
      </c>
      <c r="CR10" s="56">
        <v>1588.60637</v>
      </c>
      <c r="CS10" s="56">
        <v>4461.0567099999998</v>
      </c>
      <c r="CT10" s="66" t="s">
        <v>1</v>
      </c>
      <c r="CU10" s="60" t="s">
        <v>138</v>
      </c>
    </row>
    <row r="11" spans="1:99" s="9" customFormat="1" ht="20.25" customHeight="1">
      <c r="A11" s="66" t="s">
        <v>2</v>
      </c>
      <c r="B11" s="60" t="s">
        <v>139</v>
      </c>
      <c r="C11" s="82" t="s">
        <v>115</v>
      </c>
      <c r="D11" s="81">
        <v>165.9</v>
      </c>
      <c r="E11" s="81">
        <v>18.8</v>
      </c>
      <c r="F11" s="82" t="s">
        <v>115</v>
      </c>
      <c r="G11" s="82">
        <f t="shared" si="0"/>
        <v>184.70000000000002</v>
      </c>
      <c r="H11" s="82" t="s">
        <v>115</v>
      </c>
      <c r="I11" s="81">
        <v>125.6</v>
      </c>
      <c r="J11" s="82" t="s">
        <v>115</v>
      </c>
      <c r="K11" s="81">
        <v>8.6999999999999993</v>
      </c>
      <c r="L11" s="82">
        <f t="shared" si="4"/>
        <v>134.29999999999998</v>
      </c>
      <c r="M11" s="81">
        <v>18.100000000000001</v>
      </c>
      <c r="N11" s="81">
        <v>78.099999999999994</v>
      </c>
      <c r="O11" s="81" t="s">
        <v>117</v>
      </c>
      <c r="P11" s="81" t="s">
        <v>117</v>
      </c>
      <c r="Q11" s="82">
        <f t="shared" si="5"/>
        <v>96.199999999999989</v>
      </c>
      <c r="R11" s="81" t="s">
        <v>117</v>
      </c>
      <c r="S11" s="81">
        <v>105.7</v>
      </c>
      <c r="T11" s="81" t="s">
        <v>117</v>
      </c>
      <c r="U11" s="81" t="s">
        <v>117</v>
      </c>
      <c r="V11" s="83">
        <f t="shared" si="1"/>
        <v>105.7</v>
      </c>
      <c r="W11" s="81">
        <v>176</v>
      </c>
      <c r="X11" s="81">
        <v>92.6</v>
      </c>
      <c r="Y11" s="81">
        <v>6.6</v>
      </c>
      <c r="Z11" s="81" t="s">
        <v>117</v>
      </c>
      <c r="AA11" s="83">
        <f t="shared" si="2"/>
        <v>275.20000000000005</v>
      </c>
      <c r="AB11" s="81" t="s">
        <v>117</v>
      </c>
      <c r="AC11" s="81">
        <v>109.8</v>
      </c>
      <c r="AD11" s="81">
        <v>27</v>
      </c>
      <c r="AE11" s="81">
        <v>0.3</v>
      </c>
      <c r="AF11" s="81">
        <v>137.1</v>
      </c>
      <c r="AG11" s="84">
        <v>0.1</v>
      </c>
      <c r="AH11" s="84">
        <v>58.7</v>
      </c>
      <c r="AI11" s="84">
        <v>7.3</v>
      </c>
      <c r="AJ11" s="84">
        <v>1.2</v>
      </c>
      <c r="AK11" s="83">
        <f t="shared" si="3"/>
        <v>67.300000000000011</v>
      </c>
      <c r="AL11" s="83" t="s">
        <v>117</v>
      </c>
      <c r="AM11" s="83">
        <v>16.2</v>
      </c>
      <c r="AN11" s="83">
        <v>48</v>
      </c>
      <c r="AO11" s="83" t="s">
        <v>117</v>
      </c>
      <c r="AP11" s="83">
        <v>64.2</v>
      </c>
      <c r="AQ11" s="84" t="s">
        <v>117</v>
      </c>
      <c r="AR11" s="83">
        <v>9.4</v>
      </c>
      <c r="AS11" s="84" t="s">
        <v>117</v>
      </c>
      <c r="AT11" s="84" t="s">
        <v>117</v>
      </c>
      <c r="AU11" s="84">
        <v>9.4</v>
      </c>
      <c r="AV11" s="84">
        <v>0.1</v>
      </c>
      <c r="AW11" s="84">
        <v>8.1999999999999993</v>
      </c>
      <c r="AX11" s="84" t="s">
        <v>117</v>
      </c>
      <c r="AY11" s="84" t="s">
        <v>117</v>
      </c>
      <c r="AZ11" s="84">
        <v>8.3000000000000007</v>
      </c>
      <c r="BA11" s="84" t="s">
        <v>117</v>
      </c>
      <c r="BB11" s="84">
        <v>42.2</v>
      </c>
      <c r="BC11" s="84" t="s">
        <v>117</v>
      </c>
      <c r="BD11" s="86">
        <v>52.2</v>
      </c>
      <c r="BE11" s="84">
        <v>94.4</v>
      </c>
      <c r="BF11" s="84" t="s">
        <v>117</v>
      </c>
      <c r="BG11" s="87">
        <v>45.588270000000001</v>
      </c>
      <c r="BH11" s="88">
        <v>9.5315600000000007</v>
      </c>
      <c r="BI11" s="56">
        <v>0.21393000000000001</v>
      </c>
      <c r="BJ11" s="56">
        <v>55.333759999999998</v>
      </c>
      <c r="BK11" s="56" t="str">
        <f>IF(""="","-","")</f>
        <v>-</v>
      </c>
      <c r="BL11" s="56" t="str">
        <f>IF(""="","-","")</f>
        <v>-</v>
      </c>
      <c r="BM11" s="56">
        <f>IF(0.10596="","-",0.10596)</f>
        <v>0.10596</v>
      </c>
      <c r="BN11" s="56">
        <f>IF(0.35347="","-",0.35347)</f>
        <v>0.35347000000000001</v>
      </c>
      <c r="BO11" s="56">
        <f>IF(0.45943="","-",0.45943)</f>
        <v>0.45943000000000001</v>
      </c>
      <c r="BP11" s="56" t="s">
        <v>117</v>
      </c>
      <c r="BQ11" s="46" t="s">
        <v>117</v>
      </c>
      <c r="BR11" s="46">
        <v>0.31686999999999999</v>
      </c>
      <c r="BS11" s="56" t="s">
        <v>117</v>
      </c>
      <c r="BT11" s="56">
        <v>0.31686999999999999</v>
      </c>
      <c r="BU11" s="56" t="s">
        <v>117</v>
      </c>
      <c r="BV11" s="56" t="s">
        <v>117</v>
      </c>
      <c r="BW11" s="56" t="s">
        <v>117</v>
      </c>
      <c r="BX11" s="56" t="s">
        <v>117</v>
      </c>
      <c r="BY11" s="56" t="s">
        <v>117</v>
      </c>
      <c r="BZ11" s="56" t="s">
        <v>117</v>
      </c>
      <c r="CA11" s="56">
        <v>12.801170000000001</v>
      </c>
      <c r="CB11" s="56">
        <v>12.34831</v>
      </c>
      <c r="CC11" s="56">
        <v>6.4749999999999996</v>
      </c>
      <c r="CD11" s="56">
        <v>31.624479999999998</v>
      </c>
      <c r="CE11" s="56" t="s">
        <v>117</v>
      </c>
      <c r="CF11" s="56">
        <v>48.82423</v>
      </c>
      <c r="CG11" s="56">
        <v>11.235239999999999</v>
      </c>
      <c r="CH11" s="56">
        <v>0.34449000000000002</v>
      </c>
      <c r="CI11" s="56">
        <v>60.403959999999998</v>
      </c>
      <c r="CJ11" s="56">
        <v>0.15032000000000001</v>
      </c>
      <c r="CK11" s="56">
        <v>0.1381</v>
      </c>
      <c r="CL11" s="56">
        <v>4.9120299999999997</v>
      </c>
      <c r="CM11" s="56" t="s">
        <v>117</v>
      </c>
      <c r="CN11" s="56">
        <v>5.20045</v>
      </c>
      <c r="CO11" s="56" t="s">
        <v>117</v>
      </c>
      <c r="CP11" s="56" t="s">
        <v>117</v>
      </c>
      <c r="CQ11" s="56">
        <v>18.451879999999999</v>
      </c>
      <c r="CR11" s="56">
        <v>9.9900000000000003E-2</v>
      </c>
      <c r="CS11" s="56">
        <v>18.551780000000001</v>
      </c>
      <c r="CT11" s="66" t="s">
        <v>2</v>
      </c>
      <c r="CU11" s="60" t="s">
        <v>139</v>
      </c>
    </row>
    <row r="12" spans="1:99" s="9" customFormat="1" ht="47.25">
      <c r="A12" s="66" t="s">
        <v>3</v>
      </c>
      <c r="B12" s="60" t="s">
        <v>140</v>
      </c>
      <c r="C12" s="81">
        <v>1592.5</v>
      </c>
      <c r="D12" s="81">
        <v>3689.3</v>
      </c>
      <c r="E12" s="81">
        <v>5082.8999999999996</v>
      </c>
      <c r="F12" s="81">
        <v>2770.6</v>
      </c>
      <c r="G12" s="82">
        <f t="shared" si="0"/>
        <v>13135.300000000001</v>
      </c>
      <c r="H12" s="81">
        <v>1527.2</v>
      </c>
      <c r="I12" s="81">
        <v>2480.8000000000002</v>
      </c>
      <c r="J12" s="81">
        <v>3365.3</v>
      </c>
      <c r="K12" s="81">
        <v>3001.9</v>
      </c>
      <c r="L12" s="82">
        <f t="shared" si="4"/>
        <v>10375.200000000001</v>
      </c>
      <c r="M12" s="81">
        <v>615.70000000000005</v>
      </c>
      <c r="N12" s="81">
        <v>2530</v>
      </c>
      <c r="O12" s="81">
        <v>1917.8</v>
      </c>
      <c r="P12" s="81">
        <v>1573.9</v>
      </c>
      <c r="Q12" s="82">
        <f t="shared" si="5"/>
        <v>6637.4</v>
      </c>
      <c r="R12" s="81">
        <v>516.20000000000005</v>
      </c>
      <c r="S12" s="81">
        <v>4480.5</v>
      </c>
      <c r="T12" s="81">
        <v>1787.8</v>
      </c>
      <c r="U12" s="81">
        <v>1321.5</v>
      </c>
      <c r="V12" s="83">
        <f t="shared" si="1"/>
        <v>8106</v>
      </c>
      <c r="W12" s="81">
        <v>157</v>
      </c>
      <c r="X12" s="81">
        <v>1405.8</v>
      </c>
      <c r="Y12" s="81">
        <v>2115.6999999999998</v>
      </c>
      <c r="Z12" s="81">
        <v>1271.7</v>
      </c>
      <c r="AA12" s="83">
        <f t="shared" si="2"/>
        <v>4950.2</v>
      </c>
      <c r="AB12" s="81">
        <v>573.6</v>
      </c>
      <c r="AC12" s="81">
        <v>1897.5</v>
      </c>
      <c r="AD12" s="81">
        <v>1324.7</v>
      </c>
      <c r="AE12" s="81">
        <v>1488.1</v>
      </c>
      <c r="AF12" s="81">
        <v>5283.9</v>
      </c>
      <c r="AG12" s="84">
        <v>587.20000000000005</v>
      </c>
      <c r="AH12" s="84">
        <v>2057</v>
      </c>
      <c r="AI12" s="84">
        <v>3258.2</v>
      </c>
      <c r="AJ12" s="84">
        <v>2136</v>
      </c>
      <c r="AK12" s="83">
        <f t="shared" si="3"/>
        <v>8038.4</v>
      </c>
      <c r="AL12" s="83">
        <v>922.8</v>
      </c>
      <c r="AM12" s="83">
        <v>1780.3</v>
      </c>
      <c r="AN12" s="83">
        <v>2547.4</v>
      </c>
      <c r="AO12" s="83">
        <v>1992.9</v>
      </c>
      <c r="AP12" s="83">
        <v>7243.4</v>
      </c>
      <c r="AQ12" s="83">
        <v>630.20000000000005</v>
      </c>
      <c r="AR12" s="83">
        <v>2040.5</v>
      </c>
      <c r="AS12" s="83">
        <v>4566.6000000000004</v>
      </c>
      <c r="AT12" s="83">
        <v>3708.9</v>
      </c>
      <c r="AU12" s="83">
        <v>10946.2</v>
      </c>
      <c r="AV12" s="84">
        <v>2670.7</v>
      </c>
      <c r="AW12" s="84">
        <v>4417.1000000000004</v>
      </c>
      <c r="AX12" s="84">
        <v>5059</v>
      </c>
      <c r="AY12" s="83">
        <v>5746.5</v>
      </c>
      <c r="AZ12" s="83">
        <v>17893.3</v>
      </c>
      <c r="BA12" s="84">
        <v>3692.3</v>
      </c>
      <c r="BB12" s="84">
        <v>2656.3</v>
      </c>
      <c r="BC12" s="84">
        <v>5369.5</v>
      </c>
      <c r="BD12" s="86">
        <v>6389.2</v>
      </c>
      <c r="BE12" s="84">
        <v>18107.3</v>
      </c>
      <c r="BF12" s="84">
        <v>3721.6943200000001</v>
      </c>
      <c r="BG12" s="87">
        <v>5163.9276799999998</v>
      </c>
      <c r="BH12" s="88">
        <v>6888.7805799999996</v>
      </c>
      <c r="BI12" s="56">
        <v>5749.3759899999995</v>
      </c>
      <c r="BJ12" s="56">
        <v>21523.778569999999</v>
      </c>
      <c r="BK12" s="56">
        <f>IF(6178.62993="","-",6178.62993)</f>
        <v>6178.6299300000001</v>
      </c>
      <c r="BL12" s="56">
        <f>IF(7038.64504="","-",7038.64504)</f>
        <v>7038.6450400000003</v>
      </c>
      <c r="BM12" s="56">
        <f>IF(7654.17899="","-",7654.17899)</f>
        <v>7654.1789900000003</v>
      </c>
      <c r="BN12" s="56">
        <f>IF(7410.48415="","-",7410.48415)</f>
        <v>7410.4841500000002</v>
      </c>
      <c r="BO12" s="56">
        <f>IF(28281.93811="","-",28281.93811)</f>
        <v>28281.938109999999</v>
      </c>
      <c r="BP12" s="56">
        <v>5191.41921</v>
      </c>
      <c r="BQ12" s="46">
        <v>5014.6305499999999</v>
      </c>
      <c r="BR12" s="46">
        <v>7004.6390899999997</v>
      </c>
      <c r="BS12" s="56">
        <v>6403.8451699999996</v>
      </c>
      <c r="BT12" s="56">
        <v>23614.534019999999</v>
      </c>
      <c r="BU12" s="56">
        <v>3650.5008600000001</v>
      </c>
      <c r="BV12" s="56">
        <v>3358.4895299999998</v>
      </c>
      <c r="BW12" s="56">
        <v>7394.5620200000003</v>
      </c>
      <c r="BX12" s="56">
        <v>4584.9680699999999</v>
      </c>
      <c r="BY12" s="56">
        <v>18988.520479999999</v>
      </c>
      <c r="BZ12" s="56">
        <v>3532.14435</v>
      </c>
      <c r="CA12" s="56">
        <v>4552.3879299999999</v>
      </c>
      <c r="CB12" s="56">
        <v>3976.7360399999998</v>
      </c>
      <c r="CC12" s="56">
        <v>5328.9258099999997</v>
      </c>
      <c r="CD12" s="56">
        <v>17390.19413</v>
      </c>
      <c r="CE12" s="56">
        <v>2401.5483599999998</v>
      </c>
      <c r="CF12" s="56">
        <v>2985.6071000000002</v>
      </c>
      <c r="CG12" s="56">
        <v>6956.0495199999996</v>
      </c>
      <c r="CH12" s="56">
        <v>8601.4800599999999</v>
      </c>
      <c r="CI12" s="56">
        <v>20944.68504</v>
      </c>
      <c r="CJ12" s="56">
        <v>4883.9512599999998</v>
      </c>
      <c r="CK12" s="56">
        <v>3319.4820399999999</v>
      </c>
      <c r="CL12" s="56">
        <v>4717.3127999999997</v>
      </c>
      <c r="CM12" s="56">
        <v>6457.9957700000004</v>
      </c>
      <c r="CN12" s="56">
        <v>19378.741870000002</v>
      </c>
      <c r="CO12" s="56">
        <v>4887.6689299999998</v>
      </c>
      <c r="CP12" s="56">
        <v>3199.0330100000001</v>
      </c>
      <c r="CQ12" s="56">
        <v>2909.32384</v>
      </c>
      <c r="CR12" s="56">
        <v>2619.8232400000002</v>
      </c>
      <c r="CS12" s="56">
        <v>13615.84902</v>
      </c>
      <c r="CT12" s="66" t="s">
        <v>3</v>
      </c>
      <c r="CU12" s="60" t="s">
        <v>140</v>
      </c>
    </row>
    <row r="13" spans="1:99" s="9" customFormat="1" ht="31.5">
      <c r="A13" s="66" t="s">
        <v>4</v>
      </c>
      <c r="B13" s="60" t="s">
        <v>141</v>
      </c>
      <c r="C13" s="81">
        <v>5.4</v>
      </c>
      <c r="D13" s="81">
        <v>14.2</v>
      </c>
      <c r="E13" s="81">
        <v>3.5</v>
      </c>
      <c r="F13" s="81">
        <v>1.3</v>
      </c>
      <c r="G13" s="82">
        <f t="shared" si="0"/>
        <v>24.400000000000002</v>
      </c>
      <c r="H13" s="81">
        <v>3.4</v>
      </c>
      <c r="I13" s="81">
        <v>5.9</v>
      </c>
      <c r="J13" s="81">
        <v>1</v>
      </c>
      <c r="K13" s="81">
        <v>5.0999999999999996</v>
      </c>
      <c r="L13" s="82">
        <f t="shared" si="4"/>
        <v>15.4</v>
      </c>
      <c r="M13" s="81">
        <v>10.5</v>
      </c>
      <c r="N13" s="81">
        <v>14</v>
      </c>
      <c r="O13" s="81">
        <v>8.1999999999999993</v>
      </c>
      <c r="P13" s="81">
        <v>30.3</v>
      </c>
      <c r="Q13" s="82">
        <f t="shared" si="5"/>
        <v>63</v>
      </c>
      <c r="R13" s="81" t="s">
        <v>117</v>
      </c>
      <c r="S13" s="81">
        <v>90.2</v>
      </c>
      <c r="T13" s="81">
        <v>50.1</v>
      </c>
      <c r="U13" s="81">
        <v>40.299999999999997</v>
      </c>
      <c r="V13" s="83">
        <f t="shared" si="1"/>
        <v>180.60000000000002</v>
      </c>
      <c r="W13" s="81">
        <v>57.1</v>
      </c>
      <c r="X13" s="81">
        <v>32.799999999999997</v>
      </c>
      <c r="Y13" s="81">
        <v>14.9</v>
      </c>
      <c r="Z13" s="81" t="s">
        <v>117</v>
      </c>
      <c r="AA13" s="83">
        <f t="shared" si="2"/>
        <v>104.80000000000001</v>
      </c>
      <c r="AB13" s="81">
        <v>21.8</v>
      </c>
      <c r="AC13" s="81">
        <v>20</v>
      </c>
      <c r="AD13" s="81">
        <v>16.7</v>
      </c>
      <c r="AE13" s="81">
        <v>24.2</v>
      </c>
      <c r="AF13" s="81">
        <v>82.7</v>
      </c>
      <c r="AG13" s="84">
        <v>27</v>
      </c>
      <c r="AH13" s="84">
        <v>6.1</v>
      </c>
      <c r="AI13" s="84">
        <v>37.5</v>
      </c>
      <c r="AJ13" s="84">
        <v>148.69999999999999</v>
      </c>
      <c r="AK13" s="83">
        <f t="shared" si="3"/>
        <v>219.29999999999998</v>
      </c>
      <c r="AL13" s="83">
        <v>48.2</v>
      </c>
      <c r="AM13" s="83">
        <v>34</v>
      </c>
      <c r="AN13" s="83">
        <v>75.599999999999994</v>
      </c>
      <c r="AO13" s="83">
        <v>77.900000000000006</v>
      </c>
      <c r="AP13" s="83">
        <v>235.7</v>
      </c>
      <c r="AQ13" s="84">
        <v>97.4</v>
      </c>
      <c r="AR13" s="84">
        <v>31.5</v>
      </c>
      <c r="AS13" s="84">
        <v>37.4</v>
      </c>
      <c r="AT13" s="84">
        <v>98.9</v>
      </c>
      <c r="AU13" s="84">
        <v>265.2</v>
      </c>
      <c r="AV13" s="84">
        <v>30.2</v>
      </c>
      <c r="AW13" s="84">
        <v>39.799999999999997</v>
      </c>
      <c r="AX13" s="84">
        <v>36.9</v>
      </c>
      <c r="AY13" s="83">
        <v>10.9</v>
      </c>
      <c r="AZ13" s="83">
        <v>117.8</v>
      </c>
      <c r="BA13" s="84">
        <v>119.6</v>
      </c>
      <c r="BB13" s="84">
        <v>60.5</v>
      </c>
      <c r="BC13" s="84">
        <v>49.1</v>
      </c>
      <c r="BD13" s="86">
        <v>63.9</v>
      </c>
      <c r="BE13" s="84">
        <v>293.10000000000002</v>
      </c>
      <c r="BF13" s="84">
        <v>12.720050000000001</v>
      </c>
      <c r="BG13" s="87">
        <v>4.3455599999999999</v>
      </c>
      <c r="BH13" s="88">
        <v>13.62706</v>
      </c>
      <c r="BI13" s="56">
        <v>4.1343399999999999</v>
      </c>
      <c r="BJ13" s="56">
        <v>34.827010000000001</v>
      </c>
      <c r="BK13" s="56">
        <f>IF(6.36754="","-",6.36754)</f>
        <v>6.36754</v>
      </c>
      <c r="BL13" s="56">
        <f>IF(3.53827="","-",3.53827)</f>
        <v>3.5382699999999998</v>
      </c>
      <c r="BM13" s="56">
        <f>IF(120.0088="","-",120.0088)</f>
        <v>120.00879999999999</v>
      </c>
      <c r="BN13" s="56">
        <f>IF(6.45511="","-",6.45511)</f>
        <v>6.4551100000000003</v>
      </c>
      <c r="BO13" s="56">
        <f>IF(136.36972="","-",136.36972)</f>
        <v>136.36972</v>
      </c>
      <c r="BP13" s="56">
        <v>117.98448999999999</v>
      </c>
      <c r="BQ13" s="46">
        <v>37.807580000000002</v>
      </c>
      <c r="BR13" s="46">
        <v>101.8287</v>
      </c>
      <c r="BS13" s="56">
        <v>271.02931999999998</v>
      </c>
      <c r="BT13" s="56">
        <v>528.65008999999998</v>
      </c>
      <c r="BU13" s="56">
        <v>27.178909999999998</v>
      </c>
      <c r="BV13" s="56">
        <v>289.92239999999998</v>
      </c>
      <c r="BW13" s="56">
        <v>14.734999999999999</v>
      </c>
      <c r="BX13" s="56">
        <v>116.4684</v>
      </c>
      <c r="BY13" s="56">
        <v>448.30471</v>
      </c>
      <c r="BZ13" s="56">
        <v>29.118379999999998</v>
      </c>
      <c r="CA13" s="56">
        <v>184.37249</v>
      </c>
      <c r="CB13" s="56">
        <v>126.63352999999999</v>
      </c>
      <c r="CC13" s="56">
        <v>160.96347</v>
      </c>
      <c r="CD13" s="56">
        <v>501.08787000000001</v>
      </c>
      <c r="CE13" s="56">
        <v>179.40629999999999</v>
      </c>
      <c r="CF13" s="56">
        <v>195.745</v>
      </c>
      <c r="CG13" s="56">
        <v>37.1</v>
      </c>
      <c r="CH13" s="56">
        <v>166.58807999999999</v>
      </c>
      <c r="CI13" s="56">
        <v>578.83938000000001</v>
      </c>
      <c r="CJ13" s="56">
        <v>47.545999999999999</v>
      </c>
      <c r="CK13" s="56">
        <v>23.94</v>
      </c>
      <c r="CL13" s="56">
        <v>262.70100000000002</v>
      </c>
      <c r="CM13" s="56">
        <v>219.52500000000001</v>
      </c>
      <c r="CN13" s="56">
        <v>553.71199999999999</v>
      </c>
      <c r="CO13" s="56">
        <v>693.81079</v>
      </c>
      <c r="CP13" s="56">
        <v>210.37665000000001</v>
      </c>
      <c r="CQ13" s="56">
        <v>50.799280000000003</v>
      </c>
      <c r="CR13" s="56">
        <v>373.06218000000001</v>
      </c>
      <c r="CS13" s="56">
        <v>1328.0489</v>
      </c>
      <c r="CT13" s="66" t="s">
        <v>4</v>
      </c>
      <c r="CU13" s="60" t="s">
        <v>141</v>
      </c>
    </row>
    <row r="14" spans="1:99" s="9" customFormat="1" ht="15.75">
      <c r="A14" s="65" t="s">
        <v>95</v>
      </c>
      <c r="B14" s="59" t="s">
        <v>142</v>
      </c>
      <c r="C14" s="72">
        <v>38854.300000000003</v>
      </c>
      <c r="D14" s="72">
        <v>23000</v>
      </c>
      <c r="E14" s="72">
        <v>24896</v>
      </c>
      <c r="F14" s="72">
        <v>45020.1</v>
      </c>
      <c r="G14" s="72">
        <f t="shared" si="0"/>
        <v>131770.4</v>
      </c>
      <c r="H14" s="72">
        <v>33885.300000000003</v>
      </c>
      <c r="I14" s="72">
        <v>25142</v>
      </c>
      <c r="J14" s="72">
        <v>24970</v>
      </c>
      <c r="K14" s="72">
        <v>52467.9</v>
      </c>
      <c r="L14" s="72">
        <f t="shared" si="4"/>
        <v>136465.20000000001</v>
      </c>
      <c r="M14" s="72">
        <v>47938.400000000001</v>
      </c>
      <c r="N14" s="72">
        <v>32116.9</v>
      </c>
      <c r="O14" s="72">
        <v>31973</v>
      </c>
      <c r="P14" s="72">
        <v>50707.3</v>
      </c>
      <c r="Q14" s="72">
        <f t="shared" si="5"/>
        <v>162735.6</v>
      </c>
      <c r="R14" s="72">
        <v>26967.3</v>
      </c>
      <c r="S14" s="72">
        <v>17619</v>
      </c>
      <c r="T14" s="72">
        <v>81286.600000000006</v>
      </c>
      <c r="U14" s="72">
        <v>84217.3</v>
      </c>
      <c r="V14" s="70">
        <f t="shared" si="1"/>
        <v>210090.2</v>
      </c>
      <c r="W14" s="72">
        <v>63750.3</v>
      </c>
      <c r="X14" s="72">
        <v>45010.2</v>
      </c>
      <c r="Y14" s="72">
        <v>60829.1</v>
      </c>
      <c r="Z14" s="72">
        <v>94291.4</v>
      </c>
      <c r="AA14" s="70">
        <f t="shared" si="2"/>
        <v>263881</v>
      </c>
      <c r="AB14" s="72">
        <v>61186.5</v>
      </c>
      <c r="AC14" s="72">
        <v>43829.2</v>
      </c>
      <c r="AD14" s="72">
        <v>90279.8</v>
      </c>
      <c r="AE14" s="72">
        <v>145420.29999999999</v>
      </c>
      <c r="AF14" s="72">
        <v>340715.8</v>
      </c>
      <c r="AG14" s="76">
        <v>125604.5</v>
      </c>
      <c r="AH14" s="76">
        <v>72895.100000000006</v>
      </c>
      <c r="AI14" s="76">
        <v>110132.1</v>
      </c>
      <c r="AJ14" s="76">
        <v>162363.29999999999</v>
      </c>
      <c r="AK14" s="75">
        <f t="shared" si="3"/>
        <v>470995</v>
      </c>
      <c r="AL14" s="75">
        <v>93242.8</v>
      </c>
      <c r="AM14" s="75">
        <v>77866.899999999994</v>
      </c>
      <c r="AN14" s="75">
        <v>70735.399999999994</v>
      </c>
      <c r="AO14" s="75">
        <v>118624.5</v>
      </c>
      <c r="AP14" s="75">
        <v>360469.6</v>
      </c>
      <c r="AQ14" s="75">
        <v>121962.7</v>
      </c>
      <c r="AR14" s="75">
        <v>63815.3</v>
      </c>
      <c r="AS14" s="75">
        <v>128142.1</v>
      </c>
      <c r="AT14" s="75">
        <v>193125.4</v>
      </c>
      <c r="AU14" s="75">
        <v>507045.5</v>
      </c>
      <c r="AV14" s="76">
        <v>138506.5</v>
      </c>
      <c r="AW14" s="76">
        <v>117676.9</v>
      </c>
      <c r="AX14" s="70">
        <v>133075.9</v>
      </c>
      <c r="AY14" s="78">
        <v>160408</v>
      </c>
      <c r="AZ14" s="76">
        <v>549667.30000000005</v>
      </c>
      <c r="BA14" s="70">
        <v>148382</v>
      </c>
      <c r="BB14" s="70">
        <v>131473.60000000001</v>
      </c>
      <c r="BC14" s="70">
        <v>90648.4</v>
      </c>
      <c r="BD14" s="79">
        <v>131196.5</v>
      </c>
      <c r="BE14" s="70">
        <v>501700.5</v>
      </c>
      <c r="BF14" s="70">
        <v>92550.656090000004</v>
      </c>
      <c r="BG14" s="80">
        <v>113631.31836999999</v>
      </c>
      <c r="BH14" s="89">
        <v>137108.08128000001</v>
      </c>
      <c r="BI14" s="55">
        <v>186206.02817000001</v>
      </c>
      <c r="BJ14" s="55">
        <v>529496.08391000004</v>
      </c>
      <c r="BK14" s="55">
        <v>141522.72</v>
      </c>
      <c r="BL14" s="55">
        <f>IF(91608.99137="","-",91608.99137)</f>
        <v>91608.991370000003</v>
      </c>
      <c r="BM14" s="55">
        <f>IF(175706.75593="","-",175706.75593)</f>
        <v>175706.75593000001</v>
      </c>
      <c r="BN14" s="55">
        <v>253696.52</v>
      </c>
      <c r="BO14" s="55">
        <v>662534.98</v>
      </c>
      <c r="BP14" s="55">
        <v>199325.49098999999</v>
      </c>
      <c r="BQ14" s="45">
        <v>127118.54462</v>
      </c>
      <c r="BR14" s="45">
        <v>148941.02411999999</v>
      </c>
      <c r="BS14" s="55">
        <v>211384.68888999999</v>
      </c>
      <c r="BT14" s="55">
        <v>686769.74861999997</v>
      </c>
      <c r="BU14" s="55">
        <v>217620.06706999999</v>
      </c>
      <c r="BV14" s="55">
        <v>122264.30662</v>
      </c>
      <c r="BW14" s="55">
        <v>176569.11702999999</v>
      </c>
      <c r="BX14" s="55">
        <v>204605.25357999999</v>
      </c>
      <c r="BY14" s="55">
        <v>721058.74430000002</v>
      </c>
      <c r="BZ14" s="55">
        <v>204638.13709999999</v>
      </c>
      <c r="CA14" s="55">
        <v>117419.26278999999</v>
      </c>
      <c r="CB14" s="55">
        <v>85663.485530000005</v>
      </c>
      <c r="CC14" s="55">
        <v>163647.57573000001</v>
      </c>
      <c r="CD14" s="55">
        <v>571368.46114999999</v>
      </c>
      <c r="CE14" s="55">
        <v>140128.53844</v>
      </c>
      <c r="CF14" s="55">
        <v>93080.638640000005</v>
      </c>
      <c r="CG14" s="55">
        <v>270431.24200000003</v>
      </c>
      <c r="CH14" s="55">
        <v>366220.14929999999</v>
      </c>
      <c r="CI14" s="55">
        <v>869860.56837999995</v>
      </c>
      <c r="CJ14" s="55">
        <v>395564.60343000002</v>
      </c>
      <c r="CK14" s="55">
        <v>332454.77188999997</v>
      </c>
      <c r="CL14" s="55">
        <v>174445.68320999999</v>
      </c>
      <c r="CM14" s="55">
        <v>165195.49919999999</v>
      </c>
      <c r="CN14" s="55">
        <v>1067660.55773</v>
      </c>
      <c r="CO14" s="55">
        <v>224458.05825</v>
      </c>
      <c r="CP14" s="55">
        <v>158488.69667</v>
      </c>
      <c r="CQ14" s="55">
        <v>271159.74008000002</v>
      </c>
      <c r="CR14" s="55">
        <v>315953.93193000002</v>
      </c>
      <c r="CS14" s="55">
        <v>970060.42692999996</v>
      </c>
      <c r="CT14" s="65" t="s">
        <v>95</v>
      </c>
      <c r="CU14" s="59" t="s">
        <v>142</v>
      </c>
    </row>
    <row r="15" spans="1:99" s="9" customFormat="1" ht="34.5" customHeight="1">
      <c r="A15" s="66" t="s">
        <v>5</v>
      </c>
      <c r="B15" s="60" t="s">
        <v>143</v>
      </c>
      <c r="C15" s="81">
        <v>94.8</v>
      </c>
      <c r="D15" s="81">
        <v>97.3</v>
      </c>
      <c r="E15" s="81">
        <v>0.5</v>
      </c>
      <c r="F15" s="81">
        <v>85.8</v>
      </c>
      <c r="G15" s="82">
        <f t="shared" si="0"/>
        <v>278.39999999999998</v>
      </c>
      <c r="H15" s="81">
        <v>263.2</v>
      </c>
      <c r="I15" s="81">
        <v>239.2</v>
      </c>
      <c r="J15" s="81">
        <v>82.5</v>
      </c>
      <c r="K15" s="81">
        <v>92.4</v>
      </c>
      <c r="L15" s="82">
        <f t="shared" si="4"/>
        <v>677.3</v>
      </c>
      <c r="M15" s="81">
        <v>399.8</v>
      </c>
      <c r="N15" s="81">
        <v>762</v>
      </c>
      <c r="O15" s="81">
        <v>8.8000000000000007</v>
      </c>
      <c r="P15" s="81">
        <v>848.7</v>
      </c>
      <c r="Q15" s="82">
        <f t="shared" si="5"/>
        <v>2019.3</v>
      </c>
      <c r="R15" s="81">
        <v>466.5</v>
      </c>
      <c r="S15" s="81">
        <v>443.5</v>
      </c>
      <c r="T15" s="81">
        <v>16.100000000000001</v>
      </c>
      <c r="U15" s="81">
        <v>129.19999999999999</v>
      </c>
      <c r="V15" s="83">
        <f t="shared" si="1"/>
        <v>1055.3</v>
      </c>
      <c r="W15" s="81">
        <v>160.5</v>
      </c>
      <c r="X15" s="81">
        <v>209.4</v>
      </c>
      <c r="Y15" s="81" t="s">
        <v>117</v>
      </c>
      <c r="Z15" s="81">
        <v>170.4</v>
      </c>
      <c r="AA15" s="83">
        <f t="shared" si="2"/>
        <v>540.29999999999995</v>
      </c>
      <c r="AB15" s="81">
        <v>408.9</v>
      </c>
      <c r="AC15" s="81">
        <v>760.7</v>
      </c>
      <c r="AD15" s="81">
        <v>14.7</v>
      </c>
      <c r="AE15" s="81">
        <v>401.6</v>
      </c>
      <c r="AF15" s="81">
        <v>1585.9</v>
      </c>
      <c r="AG15" s="84">
        <v>273.2</v>
      </c>
      <c r="AH15" s="84">
        <v>943.3</v>
      </c>
      <c r="AI15" s="84">
        <v>1.7</v>
      </c>
      <c r="AJ15" s="84">
        <v>706.3</v>
      </c>
      <c r="AK15" s="83">
        <f t="shared" si="3"/>
        <v>1924.5</v>
      </c>
      <c r="AL15" s="83">
        <v>894.9</v>
      </c>
      <c r="AM15" s="83">
        <v>635.5</v>
      </c>
      <c r="AN15" s="83" t="s">
        <v>117</v>
      </c>
      <c r="AO15" s="83">
        <v>584.70000000000005</v>
      </c>
      <c r="AP15" s="83">
        <v>2115.1</v>
      </c>
      <c r="AQ15" s="84">
        <v>523.9</v>
      </c>
      <c r="AR15" s="84">
        <v>555.70000000000005</v>
      </c>
      <c r="AS15" s="84">
        <v>14.8</v>
      </c>
      <c r="AT15" s="84">
        <v>757.5</v>
      </c>
      <c r="AU15" s="84">
        <v>1851.9</v>
      </c>
      <c r="AV15" s="84">
        <v>304.2</v>
      </c>
      <c r="AW15" s="84">
        <v>126.6</v>
      </c>
      <c r="AX15" s="84">
        <v>0.2</v>
      </c>
      <c r="AY15" s="85">
        <v>739.2</v>
      </c>
      <c r="AZ15" s="84">
        <v>1170.2</v>
      </c>
      <c r="BA15" s="84">
        <v>1049.8</v>
      </c>
      <c r="BB15" s="84">
        <v>152.6</v>
      </c>
      <c r="BC15" s="84" t="s">
        <v>117</v>
      </c>
      <c r="BD15" s="86">
        <v>481.9</v>
      </c>
      <c r="BE15" s="84">
        <v>1684.3</v>
      </c>
      <c r="BF15" s="84">
        <v>389.89350000000002</v>
      </c>
      <c r="BG15" s="87">
        <v>193.75380999999999</v>
      </c>
      <c r="BH15" s="88">
        <v>3.1935099999999998</v>
      </c>
      <c r="BI15" s="56">
        <v>1421.03486</v>
      </c>
      <c r="BJ15" s="56">
        <v>2007.8756800000001</v>
      </c>
      <c r="BK15" s="56">
        <f>IF(632.425="","-",632.425)</f>
        <v>632.42499999999995</v>
      </c>
      <c r="BL15" s="56">
        <f>IF(26.27828="","-",26.27828)</f>
        <v>26.278279999999999</v>
      </c>
      <c r="BM15" s="56">
        <f>IF(20.14993="","-",20.14993)</f>
        <v>20.149930000000001</v>
      </c>
      <c r="BN15" s="56">
        <f>IF(1126.97691="","-",1126.97691)</f>
        <v>1126.9769100000001</v>
      </c>
      <c r="BO15" s="56">
        <f>IF(1805.83012="","-",1805.83012)</f>
        <v>1805.8301200000001</v>
      </c>
      <c r="BP15" s="56">
        <v>494.23867999999999</v>
      </c>
      <c r="BQ15" s="46">
        <v>227.68832</v>
      </c>
      <c r="BR15" s="46">
        <v>21.797630000000002</v>
      </c>
      <c r="BS15" s="56">
        <v>1055.62508</v>
      </c>
      <c r="BT15" s="56">
        <v>1799.34971</v>
      </c>
      <c r="BU15" s="56">
        <v>547.74554999999998</v>
      </c>
      <c r="BV15" s="56">
        <v>382.34429999999998</v>
      </c>
      <c r="BW15" s="56">
        <v>15.95</v>
      </c>
      <c r="BX15" s="56">
        <v>1089.6074100000001</v>
      </c>
      <c r="BY15" s="56">
        <v>2035.64726</v>
      </c>
      <c r="BZ15" s="56">
        <v>1074.7148500000001</v>
      </c>
      <c r="CA15" s="56">
        <v>409.69380999999998</v>
      </c>
      <c r="CB15" s="56">
        <v>3.78</v>
      </c>
      <c r="CC15" s="56">
        <v>695.07556999999997</v>
      </c>
      <c r="CD15" s="56">
        <v>2183.2642300000002</v>
      </c>
      <c r="CE15" s="56">
        <v>261.97165000000001</v>
      </c>
      <c r="CF15" s="56">
        <v>411.44229000000001</v>
      </c>
      <c r="CG15" s="56">
        <v>23.094000000000001</v>
      </c>
      <c r="CH15" s="56">
        <v>736.08826999999997</v>
      </c>
      <c r="CI15" s="56">
        <v>1432.5962099999999</v>
      </c>
      <c r="CJ15" s="56">
        <v>381.96463999999997</v>
      </c>
      <c r="CK15" s="56">
        <v>81.082759999999993</v>
      </c>
      <c r="CL15" s="56">
        <v>9.3748799999999992</v>
      </c>
      <c r="CM15" s="56">
        <v>740.91390000000001</v>
      </c>
      <c r="CN15" s="56">
        <v>1213.33618</v>
      </c>
      <c r="CO15" s="56">
        <v>564.77223000000004</v>
      </c>
      <c r="CP15" s="56">
        <v>338.51826</v>
      </c>
      <c r="CQ15" s="56" t="s">
        <v>117</v>
      </c>
      <c r="CR15" s="56">
        <v>540.22591</v>
      </c>
      <c r="CS15" s="56">
        <v>1443.5164</v>
      </c>
      <c r="CT15" s="66" t="s">
        <v>5</v>
      </c>
      <c r="CU15" s="60" t="s">
        <v>143</v>
      </c>
    </row>
    <row r="16" spans="1:99" s="9" customFormat="1" ht="15.75">
      <c r="A16" s="66" t="s">
        <v>6</v>
      </c>
      <c r="B16" s="60" t="s">
        <v>144</v>
      </c>
      <c r="C16" s="81">
        <v>688.8</v>
      </c>
      <c r="D16" s="81">
        <v>1154.8</v>
      </c>
      <c r="E16" s="81">
        <v>2040.5</v>
      </c>
      <c r="F16" s="81">
        <v>913</v>
      </c>
      <c r="G16" s="82">
        <f t="shared" si="0"/>
        <v>4797.1000000000004</v>
      </c>
      <c r="H16" s="81">
        <v>871.8</v>
      </c>
      <c r="I16" s="81">
        <v>930.1</v>
      </c>
      <c r="J16" s="81">
        <v>2705.2</v>
      </c>
      <c r="K16" s="81">
        <v>1187.7</v>
      </c>
      <c r="L16" s="82">
        <f t="shared" si="4"/>
        <v>5694.8</v>
      </c>
      <c r="M16" s="81">
        <v>824</v>
      </c>
      <c r="N16" s="81">
        <v>642.4</v>
      </c>
      <c r="O16" s="81">
        <v>765.6</v>
      </c>
      <c r="P16" s="81">
        <v>348.7</v>
      </c>
      <c r="Q16" s="82">
        <f t="shared" si="5"/>
        <v>2580.6999999999998</v>
      </c>
      <c r="R16" s="81">
        <v>574.20000000000005</v>
      </c>
      <c r="S16" s="81">
        <v>1119.9000000000001</v>
      </c>
      <c r="T16" s="81">
        <v>2079.6999999999998</v>
      </c>
      <c r="U16" s="81">
        <v>203.7</v>
      </c>
      <c r="V16" s="83">
        <f t="shared" si="1"/>
        <v>3977.5</v>
      </c>
      <c r="W16" s="81">
        <v>665.4</v>
      </c>
      <c r="X16" s="81">
        <v>976.8</v>
      </c>
      <c r="Y16" s="81">
        <v>1663.9</v>
      </c>
      <c r="Z16" s="81">
        <v>749.3</v>
      </c>
      <c r="AA16" s="83">
        <f t="shared" si="2"/>
        <v>4055.3999999999996</v>
      </c>
      <c r="AB16" s="81">
        <v>1072.9000000000001</v>
      </c>
      <c r="AC16" s="81">
        <v>1763.3</v>
      </c>
      <c r="AD16" s="81">
        <v>2406.6999999999998</v>
      </c>
      <c r="AE16" s="81">
        <v>3524.6</v>
      </c>
      <c r="AF16" s="81">
        <v>8767.5</v>
      </c>
      <c r="AG16" s="84">
        <v>10108.700000000001</v>
      </c>
      <c r="AH16" s="84">
        <v>8974.4</v>
      </c>
      <c r="AI16" s="84">
        <v>1877.1</v>
      </c>
      <c r="AJ16" s="84">
        <v>3893.2</v>
      </c>
      <c r="AK16" s="83">
        <f t="shared" si="3"/>
        <v>24853.399999999998</v>
      </c>
      <c r="AL16" s="83">
        <v>5813.1</v>
      </c>
      <c r="AM16" s="83">
        <v>6382.6</v>
      </c>
      <c r="AN16" s="83">
        <v>1060.8</v>
      </c>
      <c r="AO16" s="83">
        <v>3711.3</v>
      </c>
      <c r="AP16" s="83">
        <v>16967.8</v>
      </c>
      <c r="AQ16" s="84">
        <v>3990.1</v>
      </c>
      <c r="AR16" s="84">
        <v>4753.3</v>
      </c>
      <c r="AS16" s="83">
        <v>926.9</v>
      </c>
      <c r="AT16" s="84">
        <v>2884.5</v>
      </c>
      <c r="AU16" s="84">
        <v>12554.8</v>
      </c>
      <c r="AV16" s="84">
        <v>4924</v>
      </c>
      <c r="AW16" s="84">
        <v>5632.9</v>
      </c>
      <c r="AX16" s="83">
        <v>2117.1</v>
      </c>
      <c r="AY16" s="85">
        <v>2373.4</v>
      </c>
      <c r="AZ16" s="84">
        <v>15047.4</v>
      </c>
      <c r="BA16" s="84">
        <v>3431.7</v>
      </c>
      <c r="BB16" s="84">
        <v>3437.1</v>
      </c>
      <c r="BC16" s="84">
        <v>1134</v>
      </c>
      <c r="BD16" s="86">
        <v>1180.3</v>
      </c>
      <c r="BE16" s="84">
        <v>9183.1</v>
      </c>
      <c r="BF16" s="84">
        <v>991.37256000000002</v>
      </c>
      <c r="BG16" s="87">
        <v>1607.08825</v>
      </c>
      <c r="BH16" s="88">
        <v>4182.1918299999998</v>
      </c>
      <c r="BI16" s="56">
        <v>1436.2712100000001</v>
      </c>
      <c r="BJ16" s="56">
        <v>8216.9238499999992</v>
      </c>
      <c r="BK16" s="56">
        <f>IF(767.31982="","-",767.31982)</f>
        <v>767.31982000000005</v>
      </c>
      <c r="BL16" s="56">
        <f>IF(967.2612="","-",967.2612)</f>
        <v>967.26120000000003</v>
      </c>
      <c r="BM16" s="56">
        <f>IF(5580.69186="","-",5580.69186)</f>
        <v>5580.6918599999999</v>
      </c>
      <c r="BN16" s="56">
        <f>IF(1847.6379="","-",1847.6379)</f>
        <v>1847.6378999999999</v>
      </c>
      <c r="BO16" s="56">
        <f>IF(9162.91078="","-",9162.91078)</f>
        <v>9162.9107800000002</v>
      </c>
      <c r="BP16" s="56">
        <v>666.75490000000002</v>
      </c>
      <c r="BQ16" s="46">
        <v>1067.7932000000001</v>
      </c>
      <c r="BR16" s="46">
        <v>2756.2231099999999</v>
      </c>
      <c r="BS16" s="56">
        <v>2578.99854</v>
      </c>
      <c r="BT16" s="56">
        <v>7069.7697500000004</v>
      </c>
      <c r="BU16" s="56">
        <v>2382.89768</v>
      </c>
      <c r="BV16" s="56">
        <v>2057.4606600000002</v>
      </c>
      <c r="BW16" s="56">
        <v>4083.90425</v>
      </c>
      <c r="BX16" s="56">
        <v>834.01193000000001</v>
      </c>
      <c r="BY16" s="56">
        <v>9358.2745200000008</v>
      </c>
      <c r="BZ16" s="56">
        <v>1392.82023</v>
      </c>
      <c r="CA16" s="56">
        <v>353.53661</v>
      </c>
      <c r="CB16" s="56">
        <v>840.95654999999999</v>
      </c>
      <c r="CC16" s="56">
        <v>572.13804000000005</v>
      </c>
      <c r="CD16" s="56">
        <v>3159.4514300000001</v>
      </c>
      <c r="CE16" s="56">
        <v>1076.7511400000001</v>
      </c>
      <c r="CF16" s="56">
        <v>1231.8739</v>
      </c>
      <c r="CG16" s="56">
        <v>2178.2546000000002</v>
      </c>
      <c r="CH16" s="56">
        <v>1972.63139</v>
      </c>
      <c r="CI16" s="56">
        <v>6459.5110299999997</v>
      </c>
      <c r="CJ16" s="56">
        <v>1148.36501</v>
      </c>
      <c r="CK16" s="56">
        <v>1343.8013100000001</v>
      </c>
      <c r="CL16" s="56">
        <v>3197.3177099999998</v>
      </c>
      <c r="CM16" s="56">
        <v>2991.3912099999998</v>
      </c>
      <c r="CN16" s="56">
        <v>8680.8752399999994</v>
      </c>
      <c r="CO16" s="56">
        <v>3129.1875399999999</v>
      </c>
      <c r="CP16" s="56">
        <v>3390.52052</v>
      </c>
      <c r="CQ16" s="56">
        <v>1506.44253</v>
      </c>
      <c r="CR16" s="56">
        <v>2964.90681</v>
      </c>
      <c r="CS16" s="56">
        <v>10991.0574</v>
      </c>
      <c r="CT16" s="66" t="s">
        <v>6</v>
      </c>
      <c r="CU16" s="60" t="s">
        <v>144</v>
      </c>
    </row>
    <row r="17" spans="1:99" s="9" customFormat="1" ht="31.5">
      <c r="A17" s="66" t="s">
        <v>7</v>
      </c>
      <c r="B17" s="60" t="s">
        <v>232</v>
      </c>
      <c r="C17" s="81">
        <v>15618.5</v>
      </c>
      <c r="D17" s="81">
        <v>7394.1</v>
      </c>
      <c r="E17" s="81">
        <v>9211</v>
      </c>
      <c r="F17" s="81">
        <v>28654.2</v>
      </c>
      <c r="G17" s="82">
        <f t="shared" si="0"/>
        <v>60877.8</v>
      </c>
      <c r="H17" s="81">
        <v>18011.2</v>
      </c>
      <c r="I17" s="81">
        <v>7783.2</v>
      </c>
      <c r="J17" s="81">
        <v>12051.6</v>
      </c>
      <c r="K17" s="81">
        <v>26734.6</v>
      </c>
      <c r="L17" s="82">
        <f t="shared" si="4"/>
        <v>64580.6</v>
      </c>
      <c r="M17" s="81">
        <v>20629.5</v>
      </c>
      <c r="N17" s="81">
        <v>10236.200000000001</v>
      </c>
      <c r="O17" s="81">
        <v>19314.099999999999</v>
      </c>
      <c r="P17" s="81">
        <v>42654.6</v>
      </c>
      <c r="Q17" s="82">
        <f t="shared" si="5"/>
        <v>92834.4</v>
      </c>
      <c r="R17" s="81">
        <v>19604.7</v>
      </c>
      <c r="S17" s="81">
        <v>10080.799999999999</v>
      </c>
      <c r="T17" s="81">
        <v>19200.8</v>
      </c>
      <c r="U17" s="81">
        <v>36489.699999999997</v>
      </c>
      <c r="V17" s="83">
        <f t="shared" si="1"/>
        <v>85376</v>
      </c>
      <c r="W17" s="81">
        <v>23230.400000000001</v>
      </c>
      <c r="X17" s="81">
        <v>13310.4</v>
      </c>
      <c r="Y17" s="81">
        <v>26904.5</v>
      </c>
      <c r="Z17" s="81">
        <v>61983.3</v>
      </c>
      <c r="AA17" s="83">
        <f t="shared" si="2"/>
        <v>125428.6</v>
      </c>
      <c r="AB17" s="81">
        <v>29274.1</v>
      </c>
      <c r="AC17" s="81">
        <v>19995.900000000001</v>
      </c>
      <c r="AD17" s="81">
        <v>39683.199999999997</v>
      </c>
      <c r="AE17" s="81">
        <v>78671.5</v>
      </c>
      <c r="AF17" s="81">
        <v>167624.70000000001</v>
      </c>
      <c r="AG17" s="84">
        <v>31875.8</v>
      </c>
      <c r="AH17" s="84">
        <v>21234.2</v>
      </c>
      <c r="AI17" s="84">
        <v>44639.1</v>
      </c>
      <c r="AJ17" s="84">
        <v>89210.8</v>
      </c>
      <c r="AK17" s="83">
        <f t="shared" si="3"/>
        <v>186959.90000000002</v>
      </c>
      <c r="AL17" s="83">
        <v>51698.9</v>
      </c>
      <c r="AM17" s="83">
        <v>39273.9</v>
      </c>
      <c r="AN17" s="83">
        <v>39529.699999999997</v>
      </c>
      <c r="AO17" s="83">
        <v>71817.3</v>
      </c>
      <c r="AP17" s="83">
        <v>202319.8</v>
      </c>
      <c r="AQ17" s="84">
        <v>48425</v>
      </c>
      <c r="AR17" s="84">
        <v>28962.7</v>
      </c>
      <c r="AS17" s="83">
        <v>37253.800000000003</v>
      </c>
      <c r="AT17" s="84">
        <v>89325.2</v>
      </c>
      <c r="AU17" s="84">
        <v>203966.7</v>
      </c>
      <c r="AV17" s="84">
        <v>48678.5</v>
      </c>
      <c r="AW17" s="84">
        <v>35307.699999999997</v>
      </c>
      <c r="AX17" s="84">
        <v>29998.799999999999</v>
      </c>
      <c r="AY17" s="83">
        <v>80027.8</v>
      </c>
      <c r="AZ17" s="83">
        <v>194012.79999999999</v>
      </c>
      <c r="BA17" s="83">
        <v>56246.9</v>
      </c>
      <c r="BB17" s="84">
        <v>48691.7</v>
      </c>
      <c r="BC17" s="84">
        <v>28559.7</v>
      </c>
      <c r="BD17" s="86">
        <v>61160.4</v>
      </c>
      <c r="BE17" s="84">
        <v>194658.7</v>
      </c>
      <c r="BF17" s="83">
        <v>39948.125800000002</v>
      </c>
      <c r="BG17" s="87">
        <v>27148.27001</v>
      </c>
      <c r="BH17" s="88">
        <v>28691.55747</v>
      </c>
      <c r="BI17" s="56">
        <v>60035.887690000003</v>
      </c>
      <c r="BJ17" s="56">
        <v>155823.84096999999</v>
      </c>
      <c r="BK17" s="56">
        <v>48131.61</v>
      </c>
      <c r="BL17" s="56">
        <f>IF(24407.90508="","-",24407.90508)</f>
        <v>24407.90508</v>
      </c>
      <c r="BM17" s="56">
        <f>IF(38250.82145="","-",38250.82145)</f>
        <v>38250.821450000003</v>
      </c>
      <c r="BN17" s="56">
        <f>IF(110791.3658="","-",110791.3658)</f>
        <v>110791.3658</v>
      </c>
      <c r="BO17" s="56">
        <v>221581.7</v>
      </c>
      <c r="BP17" s="56">
        <v>70309.617119999995</v>
      </c>
      <c r="BQ17" s="46">
        <v>46639.601410000003</v>
      </c>
      <c r="BR17" s="46">
        <v>36184.27723</v>
      </c>
      <c r="BS17" s="56">
        <v>54365.294000000002</v>
      </c>
      <c r="BT17" s="56">
        <v>207498.78976000001</v>
      </c>
      <c r="BU17" s="100">
        <v>59845.116730000002</v>
      </c>
      <c r="BV17" s="56">
        <v>40055.45622</v>
      </c>
      <c r="BW17" s="56">
        <v>37671.077060000003</v>
      </c>
      <c r="BX17" s="56">
        <v>74036.86116</v>
      </c>
      <c r="BY17" s="56">
        <v>211608.51117000001</v>
      </c>
      <c r="BZ17" s="56">
        <v>72863.346430000005</v>
      </c>
      <c r="CA17" s="56">
        <v>53599.566700000003</v>
      </c>
      <c r="CB17" s="56">
        <v>40542.280859999999</v>
      </c>
      <c r="CC17" s="56">
        <v>59074.786160000003</v>
      </c>
      <c r="CD17" s="56">
        <v>226079.98014999999</v>
      </c>
      <c r="CE17" s="56">
        <v>55678.539369999999</v>
      </c>
      <c r="CF17" s="56">
        <v>46488.900280000002</v>
      </c>
      <c r="CG17" s="56">
        <v>51609.357790000002</v>
      </c>
      <c r="CH17" s="56">
        <v>78760.888399999996</v>
      </c>
      <c r="CI17" s="56">
        <v>232537.68583999999</v>
      </c>
      <c r="CJ17" s="56">
        <v>68171.246280000007</v>
      </c>
      <c r="CK17" s="56">
        <v>74885.267330000002</v>
      </c>
      <c r="CL17" s="56">
        <v>45087.839520000001</v>
      </c>
      <c r="CM17" s="56">
        <v>59041.063569999897</v>
      </c>
      <c r="CN17" s="56">
        <v>247185.4167</v>
      </c>
      <c r="CO17" s="56">
        <v>58755.113039999997</v>
      </c>
      <c r="CP17" s="56">
        <v>45328.606910000002</v>
      </c>
      <c r="CQ17" s="56">
        <v>60915.596140000001</v>
      </c>
      <c r="CR17" s="56">
        <v>101085.30981000001</v>
      </c>
      <c r="CS17" s="56">
        <v>266084.62589999998</v>
      </c>
      <c r="CT17" s="66" t="s">
        <v>7</v>
      </c>
      <c r="CU17" s="60" t="s">
        <v>232</v>
      </c>
    </row>
    <row r="18" spans="1:99" s="9" customFormat="1" ht="15.75">
      <c r="A18" s="66" t="s">
        <v>8</v>
      </c>
      <c r="B18" s="60" t="s">
        <v>145</v>
      </c>
      <c r="C18" s="81">
        <v>128.9</v>
      </c>
      <c r="D18" s="81">
        <v>66.5</v>
      </c>
      <c r="E18" s="81">
        <v>82.2</v>
      </c>
      <c r="F18" s="81">
        <v>155.9</v>
      </c>
      <c r="G18" s="82">
        <f t="shared" si="0"/>
        <v>433.5</v>
      </c>
      <c r="H18" s="81">
        <v>74.599999999999994</v>
      </c>
      <c r="I18" s="81">
        <v>73.099999999999994</v>
      </c>
      <c r="J18" s="81">
        <v>135.19999999999999</v>
      </c>
      <c r="K18" s="81">
        <v>266.2</v>
      </c>
      <c r="L18" s="82">
        <f t="shared" si="4"/>
        <v>549.09999999999991</v>
      </c>
      <c r="M18" s="81">
        <v>133.30000000000001</v>
      </c>
      <c r="N18" s="81">
        <v>106.3</v>
      </c>
      <c r="O18" s="81">
        <v>125.6</v>
      </c>
      <c r="P18" s="81">
        <v>232.8</v>
      </c>
      <c r="Q18" s="82">
        <f t="shared" si="5"/>
        <v>598</v>
      </c>
      <c r="R18" s="81">
        <v>176.5</v>
      </c>
      <c r="S18" s="81">
        <v>119.3</v>
      </c>
      <c r="T18" s="81">
        <v>101.4</v>
      </c>
      <c r="U18" s="81">
        <v>200.8</v>
      </c>
      <c r="V18" s="83">
        <f t="shared" si="1"/>
        <v>598</v>
      </c>
      <c r="W18" s="81">
        <v>104.2</v>
      </c>
      <c r="X18" s="81">
        <v>122</v>
      </c>
      <c r="Y18" s="81">
        <v>1.7</v>
      </c>
      <c r="Z18" s="81">
        <v>224.7</v>
      </c>
      <c r="AA18" s="83">
        <f t="shared" si="2"/>
        <v>452.59999999999997</v>
      </c>
      <c r="AB18" s="81">
        <v>153.69999999999999</v>
      </c>
      <c r="AC18" s="81">
        <v>78.5</v>
      </c>
      <c r="AD18" s="81">
        <v>85.6</v>
      </c>
      <c r="AE18" s="81">
        <v>177</v>
      </c>
      <c r="AF18" s="81">
        <v>494.8</v>
      </c>
      <c r="AG18" s="84">
        <v>109.6</v>
      </c>
      <c r="AH18" s="84">
        <v>124.7</v>
      </c>
      <c r="AI18" s="84" t="s">
        <v>117</v>
      </c>
      <c r="AJ18" s="84">
        <v>110.9</v>
      </c>
      <c r="AK18" s="83">
        <f t="shared" si="3"/>
        <v>345.20000000000005</v>
      </c>
      <c r="AL18" s="83" t="s">
        <v>117</v>
      </c>
      <c r="AM18" s="83" t="s">
        <v>117</v>
      </c>
      <c r="AN18" s="83" t="s">
        <v>117</v>
      </c>
      <c r="AO18" s="83">
        <v>12.7</v>
      </c>
      <c r="AP18" s="83">
        <v>12.7</v>
      </c>
      <c r="AQ18" s="83">
        <v>64.900000000000006</v>
      </c>
      <c r="AR18" s="83">
        <v>55.4</v>
      </c>
      <c r="AS18" s="83">
        <v>48.8</v>
      </c>
      <c r="AT18" s="83">
        <v>84.5</v>
      </c>
      <c r="AU18" s="83">
        <v>253.6</v>
      </c>
      <c r="AV18" s="84">
        <v>53.5</v>
      </c>
      <c r="AW18" s="84">
        <v>40.4</v>
      </c>
      <c r="AX18" s="84">
        <v>40.1</v>
      </c>
      <c r="AY18" s="85">
        <v>377.1</v>
      </c>
      <c r="AZ18" s="84">
        <v>511.1</v>
      </c>
      <c r="BA18" s="84">
        <v>599.5</v>
      </c>
      <c r="BB18" s="84">
        <v>414</v>
      </c>
      <c r="BC18" s="84">
        <v>255.6</v>
      </c>
      <c r="BD18" s="86">
        <v>236.7</v>
      </c>
      <c r="BE18" s="84">
        <v>1505.8</v>
      </c>
      <c r="BF18" s="84">
        <v>461.33911000000001</v>
      </c>
      <c r="BG18" s="87">
        <v>371.38896</v>
      </c>
      <c r="BH18" s="88">
        <v>265.30135999999999</v>
      </c>
      <c r="BI18" s="56">
        <v>428.30696</v>
      </c>
      <c r="BJ18" s="56">
        <v>1526.3363899999999</v>
      </c>
      <c r="BK18" s="56">
        <f>IF(572.1249="","-",572.1249)</f>
        <v>572.12490000000003</v>
      </c>
      <c r="BL18" s="56">
        <f>IF(483.48361="","-",483.48361)</f>
        <v>483.48361</v>
      </c>
      <c r="BM18" s="56">
        <f>IF(467.03489="","-",467.03489)</f>
        <v>467.03489000000002</v>
      </c>
      <c r="BN18" s="56">
        <f>IF(477.80343="","-",477.80343)</f>
        <v>477.80342999999999</v>
      </c>
      <c r="BO18" s="56">
        <f>IF(2000.44683="","-",2000.44683)</f>
        <v>2000.4468300000001</v>
      </c>
      <c r="BP18" s="56">
        <v>777.38419999999996</v>
      </c>
      <c r="BQ18" s="46">
        <v>379.59244999999999</v>
      </c>
      <c r="BR18" s="46">
        <v>430.65955000000002</v>
      </c>
      <c r="BS18" s="56">
        <v>980.55179999999996</v>
      </c>
      <c r="BT18" s="56">
        <v>2568.1880000000001</v>
      </c>
      <c r="BU18" s="56">
        <v>684.87927000000002</v>
      </c>
      <c r="BV18" s="56">
        <v>218.49743000000001</v>
      </c>
      <c r="BW18" s="56">
        <v>427.30856</v>
      </c>
      <c r="BX18" s="56">
        <v>413.11962999999997</v>
      </c>
      <c r="BY18" s="56">
        <v>1743.8048899999999</v>
      </c>
      <c r="BZ18" s="56">
        <v>435.48698999999999</v>
      </c>
      <c r="CA18" s="56">
        <v>98.97542</v>
      </c>
      <c r="CB18" s="56">
        <v>354.36376999999999</v>
      </c>
      <c r="CC18" s="56">
        <v>194.58685</v>
      </c>
      <c r="CD18" s="56">
        <v>1083.4130299999999</v>
      </c>
      <c r="CE18" s="56">
        <v>561.00971000000004</v>
      </c>
      <c r="CF18" s="56">
        <v>170.20138</v>
      </c>
      <c r="CG18" s="56">
        <v>242.96382</v>
      </c>
      <c r="CH18" s="56">
        <v>187.45653999999999</v>
      </c>
      <c r="CI18" s="56">
        <v>1161.6314500000001</v>
      </c>
      <c r="CJ18" s="56">
        <v>242.30037999999999</v>
      </c>
      <c r="CK18" s="56">
        <v>403.16188</v>
      </c>
      <c r="CL18" s="56">
        <v>196.41069999999999</v>
      </c>
      <c r="CM18" s="56">
        <v>246.88910999999999</v>
      </c>
      <c r="CN18" s="56">
        <v>1088.76207</v>
      </c>
      <c r="CO18" s="56">
        <v>202.03868</v>
      </c>
      <c r="CP18" s="56">
        <v>226.86696000000001</v>
      </c>
      <c r="CQ18" s="56">
        <v>325.91491000000002</v>
      </c>
      <c r="CR18" s="56">
        <v>309.79901999999998</v>
      </c>
      <c r="CS18" s="56">
        <v>1064.6195700000001</v>
      </c>
      <c r="CT18" s="66" t="s">
        <v>8</v>
      </c>
      <c r="CU18" s="60" t="s">
        <v>145</v>
      </c>
    </row>
    <row r="19" spans="1:99" s="9" customFormat="1" ht="15.75">
      <c r="A19" s="66" t="s">
        <v>9</v>
      </c>
      <c r="B19" s="60" t="s">
        <v>146</v>
      </c>
      <c r="C19" s="81">
        <v>13994.5</v>
      </c>
      <c r="D19" s="81">
        <v>8056.6</v>
      </c>
      <c r="E19" s="81">
        <v>11766.7</v>
      </c>
      <c r="F19" s="81">
        <v>9379.2999999999993</v>
      </c>
      <c r="G19" s="82">
        <f t="shared" si="0"/>
        <v>43197.100000000006</v>
      </c>
      <c r="H19" s="81">
        <v>6978.4</v>
      </c>
      <c r="I19" s="81">
        <v>9307.2000000000007</v>
      </c>
      <c r="J19" s="81">
        <v>9092.4</v>
      </c>
      <c r="K19" s="81">
        <v>16634.2</v>
      </c>
      <c r="L19" s="82">
        <f t="shared" si="4"/>
        <v>42012.2</v>
      </c>
      <c r="M19" s="81">
        <v>5380.3</v>
      </c>
      <c r="N19" s="81">
        <v>10570.2</v>
      </c>
      <c r="O19" s="81">
        <v>55.5</v>
      </c>
      <c r="P19" s="81">
        <v>1144</v>
      </c>
      <c r="Q19" s="82">
        <f t="shared" si="5"/>
        <v>17150</v>
      </c>
      <c r="R19" s="81">
        <v>1809</v>
      </c>
      <c r="S19" s="81">
        <v>3707.6</v>
      </c>
      <c r="T19" s="81">
        <v>26672.3</v>
      </c>
      <c r="U19" s="81">
        <v>18074.099999999999</v>
      </c>
      <c r="V19" s="83">
        <f t="shared" si="1"/>
        <v>50263</v>
      </c>
      <c r="W19" s="81">
        <v>17645.599999999999</v>
      </c>
      <c r="X19" s="81">
        <v>21208</v>
      </c>
      <c r="Y19" s="81">
        <v>12216.2</v>
      </c>
      <c r="Z19" s="81">
        <v>15407.1</v>
      </c>
      <c r="AA19" s="83">
        <f t="shared" si="2"/>
        <v>66476.900000000009</v>
      </c>
      <c r="AB19" s="81">
        <v>12373.4</v>
      </c>
      <c r="AC19" s="81">
        <v>5403.6</v>
      </c>
      <c r="AD19" s="81">
        <v>27304.9</v>
      </c>
      <c r="AE19" s="81">
        <v>25902.5</v>
      </c>
      <c r="AF19" s="81">
        <v>70984.399999999994</v>
      </c>
      <c r="AG19" s="84">
        <v>27373.5</v>
      </c>
      <c r="AH19" s="84">
        <v>7090.5</v>
      </c>
      <c r="AI19" s="84">
        <v>23845.9</v>
      </c>
      <c r="AJ19" s="84">
        <v>13642.2</v>
      </c>
      <c r="AK19" s="83">
        <f t="shared" si="3"/>
        <v>71952.100000000006</v>
      </c>
      <c r="AL19" s="83">
        <v>9314.2999999999993</v>
      </c>
      <c r="AM19" s="83">
        <v>4696.8999999999996</v>
      </c>
      <c r="AN19" s="83">
        <v>9588.7000000000007</v>
      </c>
      <c r="AO19" s="83">
        <v>12907.6</v>
      </c>
      <c r="AP19" s="83">
        <v>36507.5</v>
      </c>
      <c r="AQ19" s="84">
        <v>15599.2</v>
      </c>
      <c r="AR19" s="84">
        <v>1758.2</v>
      </c>
      <c r="AS19" s="83">
        <v>64149.3</v>
      </c>
      <c r="AT19" s="84">
        <v>39256.6</v>
      </c>
      <c r="AU19" s="84">
        <v>120763.3</v>
      </c>
      <c r="AV19" s="84">
        <v>41994.2</v>
      </c>
      <c r="AW19" s="84">
        <v>33084.199999999997</v>
      </c>
      <c r="AX19" s="84">
        <v>66024.600000000006</v>
      </c>
      <c r="AY19" s="85">
        <v>40140.1</v>
      </c>
      <c r="AZ19" s="84">
        <v>181243.1</v>
      </c>
      <c r="BA19" s="84">
        <v>34494.800000000003</v>
      </c>
      <c r="BB19" s="83">
        <v>25890</v>
      </c>
      <c r="BC19" s="83">
        <v>34026.1</v>
      </c>
      <c r="BD19" s="86">
        <v>19448.900000000001</v>
      </c>
      <c r="BE19" s="83">
        <v>113859.8</v>
      </c>
      <c r="BF19" s="84">
        <v>14181.6895</v>
      </c>
      <c r="BG19" s="87">
        <v>34279.845329999996</v>
      </c>
      <c r="BH19" s="88">
        <v>70309.653869999995</v>
      </c>
      <c r="BI19" s="56">
        <v>39402.236599999997</v>
      </c>
      <c r="BJ19" s="56">
        <v>158173.4253</v>
      </c>
      <c r="BK19" s="56">
        <f>IF(32868.13719="","-",32868.13719)</f>
        <v>32868.137190000001</v>
      </c>
      <c r="BL19" s="56">
        <f>IF(20522.00855="","-",20522.00855)</f>
        <v>20522.008549999999</v>
      </c>
      <c r="BM19" s="56">
        <f>IF(76372.32829="","-",76372.32829)</f>
        <v>76372.328290000005</v>
      </c>
      <c r="BN19" s="56">
        <v>53220.56</v>
      </c>
      <c r="BO19" s="56">
        <v>182983.04000000001</v>
      </c>
      <c r="BP19" s="56">
        <v>51390.199159999996</v>
      </c>
      <c r="BQ19" s="46">
        <v>33913.807399999998</v>
      </c>
      <c r="BR19" s="46">
        <v>66378.362529999999</v>
      </c>
      <c r="BS19" s="56">
        <v>70992.091450000007</v>
      </c>
      <c r="BT19" s="56">
        <v>222674.46054</v>
      </c>
      <c r="BU19" s="56">
        <v>67969.368040000001</v>
      </c>
      <c r="BV19" s="56">
        <v>35354.557889999996</v>
      </c>
      <c r="BW19" s="56">
        <v>75067.038260000001</v>
      </c>
      <c r="BX19" s="56">
        <v>53738.229339999998</v>
      </c>
      <c r="BY19" s="56">
        <v>232129.19352999999</v>
      </c>
      <c r="BZ19" s="56">
        <v>70887.651089999999</v>
      </c>
      <c r="CA19" s="56">
        <v>32025.055639999999</v>
      </c>
      <c r="CB19" s="56">
        <v>7581.3090599999996</v>
      </c>
      <c r="CC19" s="56">
        <v>2451.6907500000002</v>
      </c>
      <c r="CD19" s="56">
        <v>112945.70654</v>
      </c>
      <c r="CE19" s="56">
        <v>24628.56135</v>
      </c>
      <c r="CF19" s="56">
        <v>24079.87297</v>
      </c>
      <c r="CG19" s="56">
        <v>154954.90684000001</v>
      </c>
      <c r="CH19" s="56">
        <v>164068.80733000001</v>
      </c>
      <c r="CI19" s="56">
        <v>367732.14848999999</v>
      </c>
      <c r="CJ19" s="56">
        <v>177653.9252</v>
      </c>
      <c r="CK19" s="56">
        <v>143111.87942000001</v>
      </c>
      <c r="CL19" s="56">
        <v>56110.941200000001</v>
      </c>
      <c r="CM19" s="56">
        <v>32604.1145</v>
      </c>
      <c r="CN19" s="56">
        <v>409480.86031999998</v>
      </c>
      <c r="CO19" s="56">
        <v>110028.50347</v>
      </c>
      <c r="CP19" s="56">
        <v>62875.729930000001</v>
      </c>
      <c r="CQ19" s="56">
        <v>101111.94163</v>
      </c>
      <c r="CR19" s="56">
        <v>121785.9523</v>
      </c>
      <c r="CS19" s="56">
        <v>395802.12732999999</v>
      </c>
      <c r="CT19" s="66" t="s">
        <v>9</v>
      </c>
      <c r="CU19" s="60" t="s">
        <v>146</v>
      </c>
    </row>
    <row r="20" spans="1:99" s="9" customFormat="1" ht="31.5">
      <c r="A20" s="66" t="s">
        <v>10</v>
      </c>
      <c r="B20" s="60" t="s">
        <v>233</v>
      </c>
      <c r="C20" s="81">
        <v>57.7</v>
      </c>
      <c r="D20" s="81">
        <v>189</v>
      </c>
      <c r="E20" s="81">
        <v>288.3</v>
      </c>
      <c r="F20" s="81">
        <v>147.19999999999999</v>
      </c>
      <c r="G20" s="82">
        <f t="shared" si="0"/>
        <v>682.2</v>
      </c>
      <c r="H20" s="81">
        <v>76</v>
      </c>
      <c r="I20" s="81">
        <v>16.2</v>
      </c>
      <c r="J20" s="81">
        <v>86.1</v>
      </c>
      <c r="K20" s="81">
        <v>80.2</v>
      </c>
      <c r="L20" s="82">
        <f t="shared" si="4"/>
        <v>258.5</v>
      </c>
      <c r="M20" s="81">
        <v>14.2</v>
      </c>
      <c r="N20" s="81">
        <v>16.100000000000001</v>
      </c>
      <c r="O20" s="81">
        <v>16.2</v>
      </c>
      <c r="P20" s="81">
        <v>61.7</v>
      </c>
      <c r="Q20" s="82">
        <f t="shared" si="5"/>
        <v>108.2</v>
      </c>
      <c r="R20" s="81">
        <v>85.7</v>
      </c>
      <c r="S20" s="81">
        <v>117</v>
      </c>
      <c r="T20" s="81">
        <v>32.9</v>
      </c>
      <c r="U20" s="81">
        <v>31.3</v>
      </c>
      <c r="V20" s="83">
        <f t="shared" si="1"/>
        <v>266.89999999999998</v>
      </c>
      <c r="W20" s="81">
        <v>104.5</v>
      </c>
      <c r="X20" s="81">
        <v>277.89999999999998</v>
      </c>
      <c r="Y20" s="81">
        <v>37.799999999999997</v>
      </c>
      <c r="Z20" s="81">
        <v>507.4</v>
      </c>
      <c r="AA20" s="83">
        <f t="shared" si="2"/>
        <v>927.59999999999991</v>
      </c>
      <c r="AB20" s="81">
        <v>441.7</v>
      </c>
      <c r="AC20" s="81">
        <v>70.400000000000006</v>
      </c>
      <c r="AD20" s="81">
        <v>22.4</v>
      </c>
      <c r="AE20" s="81">
        <v>95.6</v>
      </c>
      <c r="AF20" s="81">
        <v>630.1</v>
      </c>
      <c r="AG20" s="84">
        <v>973.9</v>
      </c>
      <c r="AH20" s="84">
        <v>1789.7</v>
      </c>
      <c r="AI20" s="84">
        <v>302.39999999999998</v>
      </c>
      <c r="AJ20" s="84">
        <v>222.1</v>
      </c>
      <c r="AK20" s="83">
        <f t="shared" si="3"/>
        <v>3288.1</v>
      </c>
      <c r="AL20" s="83">
        <v>209</v>
      </c>
      <c r="AM20" s="83">
        <v>317.8</v>
      </c>
      <c r="AN20" s="83">
        <v>1035.0999999999999</v>
      </c>
      <c r="AO20" s="83">
        <v>700.6</v>
      </c>
      <c r="AP20" s="83">
        <v>2262.5</v>
      </c>
      <c r="AQ20" s="84">
        <v>240.8</v>
      </c>
      <c r="AR20" s="84">
        <v>100.9</v>
      </c>
      <c r="AS20" s="84">
        <v>217.2</v>
      </c>
      <c r="AT20" s="84">
        <v>410</v>
      </c>
      <c r="AU20" s="84">
        <v>968.9</v>
      </c>
      <c r="AV20" s="84">
        <v>325.2</v>
      </c>
      <c r="AW20" s="84">
        <v>823.9</v>
      </c>
      <c r="AX20" s="84">
        <v>536.79999999999995</v>
      </c>
      <c r="AY20" s="85">
        <v>876.4</v>
      </c>
      <c r="AZ20" s="84">
        <v>2562.3000000000002</v>
      </c>
      <c r="BA20" s="84">
        <v>667.8</v>
      </c>
      <c r="BB20" s="84">
        <v>431.5</v>
      </c>
      <c r="BC20" s="84">
        <v>314.89999999999998</v>
      </c>
      <c r="BD20" s="86">
        <v>262.5</v>
      </c>
      <c r="BE20" s="84">
        <v>1676.7</v>
      </c>
      <c r="BF20" s="84">
        <v>204.65812</v>
      </c>
      <c r="BG20" s="87">
        <v>210.94182000000001</v>
      </c>
      <c r="BH20" s="88">
        <v>222.37574000000001</v>
      </c>
      <c r="BI20" s="56">
        <v>144.60258999999999</v>
      </c>
      <c r="BJ20" s="56">
        <v>782.57826999999997</v>
      </c>
      <c r="BK20" s="56">
        <f>IF(222.70329="","-",222.70329)</f>
        <v>222.70329000000001</v>
      </c>
      <c r="BL20" s="56">
        <f>IF(248.56255="","-",248.56255)</f>
        <v>248.56254999999999</v>
      </c>
      <c r="BM20" s="56">
        <f>IF(592.14134="","-",592.14134)</f>
        <v>592.14134000000001</v>
      </c>
      <c r="BN20" s="56">
        <f>IF(730.46271="","-",730.46271)</f>
        <v>730.46271000000002</v>
      </c>
      <c r="BO20" s="56">
        <f>IF(1793.86989="","-",1793.86989)</f>
        <v>1793.8698899999999</v>
      </c>
      <c r="BP20" s="56">
        <v>623.39832999999999</v>
      </c>
      <c r="BQ20" s="46">
        <v>387.34152999999998</v>
      </c>
      <c r="BR20" s="46">
        <v>506.11639000000002</v>
      </c>
      <c r="BS20" s="56">
        <v>621.55222000000003</v>
      </c>
      <c r="BT20" s="56">
        <v>2138.4084699999999</v>
      </c>
      <c r="BU20" s="56">
        <v>607.86532999999997</v>
      </c>
      <c r="BV20" s="56">
        <v>406.75749999999999</v>
      </c>
      <c r="BW20" s="56">
        <v>253.92295999999999</v>
      </c>
      <c r="BX20" s="56">
        <v>254.57142999999999</v>
      </c>
      <c r="BY20" s="56">
        <v>1523.1172200000001</v>
      </c>
      <c r="BZ20" s="56">
        <v>409.82580000000002</v>
      </c>
      <c r="CA20" s="56">
        <v>441.85111000000001</v>
      </c>
      <c r="CB20" s="56">
        <v>264.08447999999999</v>
      </c>
      <c r="CC20" s="56">
        <v>364.73671999999999</v>
      </c>
      <c r="CD20" s="56">
        <v>1480.49811</v>
      </c>
      <c r="CE20" s="56">
        <v>353.73063999999999</v>
      </c>
      <c r="CF20" s="56">
        <v>341.81295</v>
      </c>
      <c r="CG20" s="56">
        <v>350.71082000000001</v>
      </c>
      <c r="CH20" s="56">
        <v>623.69674999999995</v>
      </c>
      <c r="CI20" s="56">
        <v>1669.9511600000001</v>
      </c>
      <c r="CJ20" s="56">
        <v>919.75332000000003</v>
      </c>
      <c r="CK20" s="56">
        <v>794.21400000000006</v>
      </c>
      <c r="CL20" s="56">
        <v>1517.39843</v>
      </c>
      <c r="CM20" s="56">
        <v>2377.9370699999999</v>
      </c>
      <c r="CN20" s="56">
        <v>5609.3028199999999</v>
      </c>
      <c r="CO20" s="56">
        <v>2622.9994700000002</v>
      </c>
      <c r="CP20" s="56">
        <v>2033.5917899999999</v>
      </c>
      <c r="CQ20" s="56">
        <v>2442.5904599999999</v>
      </c>
      <c r="CR20" s="56">
        <v>2367.1157600000001</v>
      </c>
      <c r="CS20" s="56">
        <v>9466.2974799999993</v>
      </c>
      <c r="CT20" s="66" t="s">
        <v>10</v>
      </c>
      <c r="CU20" s="60" t="s">
        <v>233</v>
      </c>
    </row>
    <row r="21" spans="1:99" s="9" customFormat="1" ht="47.25">
      <c r="A21" s="66" t="s">
        <v>11</v>
      </c>
      <c r="B21" s="60" t="s">
        <v>147</v>
      </c>
      <c r="C21" s="81">
        <v>8270.2999999999993</v>
      </c>
      <c r="D21" s="81">
        <v>6037.4</v>
      </c>
      <c r="E21" s="81">
        <v>1480.5</v>
      </c>
      <c r="F21" s="81">
        <v>5677.8</v>
      </c>
      <c r="G21" s="82">
        <f t="shared" si="0"/>
        <v>21466</v>
      </c>
      <c r="H21" s="81">
        <v>7600.1</v>
      </c>
      <c r="I21" s="81">
        <v>6771.5</v>
      </c>
      <c r="J21" s="81">
        <v>804.1</v>
      </c>
      <c r="K21" s="81">
        <v>7469.7</v>
      </c>
      <c r="L21" s="82">
        <f t="shared" si="4"/>
        <v>22645.4</v>
      </c>
      <c r="M21" s="81">
        <v>20524</v>
      </c>
      <c r="N21" s="81">
        <v>9721.7999999999993</v>
      </c>
      <c r="O21" s="81">
        <v>11567.3</v>
      </c>
      <c r="P21" s="81">
        <v>5381.7</v>
      </c>
      <c r="Q21" s="82">
        <f t="shared" si="5"/>
        <v>47194.799999999996</v>
      </c>
      <c r="R21" s="81">
        <v>4118.8</v>
      </c>
      <c r="S21" s="81">
        <v>1856.3</v>
      </c>
      <c r="T21" s="81">
        <v>33128</v>
      </c>
      <c r="U21" s="81">
        <v>29087.4</v>
      </c>
      <c r="V21" s="83">
        <f t="shared" si="1"/>
        <v>68190.5</v>
      </c>
      <c r="W21" s="81">
        <v>21809.9</v>
      </c>
      <c r="X21" s="81">
        <v>8760.7999999999993</v>
      </c>
      <c r="Y21" s="81">
        <v>19999.3</v>
      </c>
      <c r="Z21" s="81">
        <v>15118.5</v>
      </c>
      <c r="AA21" s="83">
        <f t="shared" si="2"/>
        <v>65688.5</v>
      </c>
      <c r="AB21" s="81">
        <v>17438.599999999999</v>
      </c>
      <c r="AC21" s="81">
        <v>15644.8</v>
      </c>
      <c r="AD21" s="81">
        <v>20708.400000000001</v>
      </c>
      <c r="AE21" s="81">
        <v>36580.400000000001</v>
      </c>
      <c r="AF21" s="81">
        <v>90372.2</v>
      </c>
      <c r="AG21" s="84">
        <v>54886.400000000001</v>
      </c>
      <c r="AH21" s="84">
        <v>32725.3</v>
      </c>
      <c r="AI21" s="84">
        <v>39461.199999999997</v>
      </c>
      <c r="AJ21" s="84">
        <v>54448</v>
      </c>
      <c r="AK21" s="83">
        <f t="shared" si="3"/>
        <v>181520.9</v>
      </c>
      <c r="AL21" s="83">
        <v>25222.2</v>
      </c>
      <c r="AM21" s="83">
        <v>26290.1</v>
      </c>
      <c r="AN21" s="83">
        <v>19511.2</v>
      </c>
      <c r="AO21" s="83">
        <v>28863.8</v>
      </c>
      <c r="AP21" s="83">
        <v>99887.3</v>
      </c>
      <c r="AQ21" s="84">
        <v>53094.5</v>
      </c>
      <c r="AR21" s="84">
        <v>27624.7</v>
      </c>
      <c r="AS21" s="84">
        <v>25527.9</v>
      </c>
      <c r="AT21" s="84">
        <v>60386.3</v>
      </c>
      <c r="AU21" s="84">
        <v>166633.4</v>
      </c>
      <c r="AV21" s="84">
        <v>41953.3</v>
      </c>
      <c r="AW21" s="84">
        <v>42350.1</v>
      </c>
      <c r="AX21" s="83">
        <v>34300.1</v>
      </c>
      <c r="AY21" s="85">
        <v>35606.699999999997</v>
      </c>
      <c r="AZ21" s="84">
        <v>154210.20000000001</v>
      </c>
      <c r="BA21" s="83">
        <v>51536.3</v>
      </c>
      <c r="BB21" s="84">
        <v>52097.4</v>
      </c>
      <c r="BC21" s="83">
        <v>26288</v>
      </c>
      <c r="BD21" s="86">
        <v>48260</v>
      </c>
      <c r="BE21" s="84">
        <v>178181.7</v>
      </c>
      <c r="BF21" s="84">
        <v>36332.275609999997</v>
      </c>
      <c r="BG21" s="87">
        <v>49765.098689999999</v>
      </c>
      <c r="BH21" s="88">
        <v>33386.501790000002</v>
      </c>
      <c r="BI21" s="56">
        <v>83309.904769999994</v>
      </c>
      <c r="BJ21" s="56">
        <v>202793.78086</v>
      </c>
      <c r="BK21" s="56">
        <f>IF(58290.98185="","-",58290.98185)</f>
        <v>58290.981849999996</v>
      </c>
      <c r="BL21" s="56">
        <f>IF(44904.43584="","-",44904.43584)</f>
        <v>44904.435839999998</v>
      </c>
      <c r="BM21" s="56">
        <f>IF(54360.50734="","-",54360.50734)</f>
        <v>54360.507339999996</v>
      </c>
      <c r="BN21" s="56">
        <f>IF(85211.01253="","-",85211.01253)</f>
        <v>85211.012530000007</v>
      </c>
      <c r="BO21" s="56">
        <f>IF(242766.93756="","-",242766.93756)</f>
        <v>242766.93755999999</v>
      </c>
      <c r="BP21" s="56">
        <v>74875.175000000003</v>
      </c>
      <c r="BQ21" s="46">
        <v>44201.319990000004</v>
      </c>
      <c r="BR21" s="46">
        <v>42470.945910000002</v>
      </c>
      <c r="BS21" s="56">
        <v>80578.27592</v>
      </c>
      <c r="BT21" s="56">
        <v>242125.71682</v>
      </c>
      <c r="BU21" s="100">
        <v>85147.681419999994</v>
      </c>
      <c r="BV21" s="56">
        <v>43495.472869999998</v>
      </c>
      <c r="BW21" s="56">
        <v>58920.951300000001</v>
      </c>
      <c r="BX21" s="56">
        <v>73952.985709999994</v>
      </c>
      <c r="BY21" s="56">
        <v>261517.0913</v>
      </c>
      <c r="BZ21" s="56">
        <v>57429.21286</v>
      </c>
      <c r="CA21" s="56">
        <v>30184.836759999998</v>
      </c>
      <c r="CB21" s="56">
        <v>36041.57993</v>
      </c>
      <c r="CC21" s="56">
        <v>99980.133560000002</v>
      </c>
      <c r="CD21" s="56">
        <v>223635.76311</v>
      </c>
      <c r="CE21" s="56">
        <v>57221.914510000002</v>
      </c>
      <c r="CF21" s="56">
        <v>20202.44714</v>
      </c>
      <c r="CG21" s="56">
        <v>61059.77044</v>
      </c>
      <c r="CH21" s="56">
        <v>119642.99950000001</v>
      </c>
      <c r="CI21" s="56">
        <v>258127.13159</v>
      </c>
      <c r="CJ21" s="56">
        <v>146701.98439</v>
      </c>
      <c r="CK21" s="56">
        <v>111524.80057000001</v>
      </c>
      <c r="CL21" s="56">
        <v>68043.977119999996</v>
      </c>
      <c r="CM21" s="56">
        <v>66883.88321</v>
      </c>
      <c r="CN21" s="56">
        <v>393154.64529000001</v>
      </c>
      <c r="CO21" s="56">
        <v>48825.578809999999</v>
      </c>
      <c r="CP21" s="56">
        <v>44120.641889999999</v>
      </c>
      <c r="CQ21" s="56">
        <v>104572.32266000001</v>
      </c>
      <c r="CR21" s="56">
        <v>86457.521890000004</v>
      </c>
      <c r="CS21" s="56">
        <v>283976.06524999999</v>
      </c>
      <c r="CT21" s="66" t="s">
        <v>11</v>
      </c>
      <c r="CU21" s="60" t="s">
        <v>147</v>
      </c>
    </row>
    <row r="22" spans="1:99" s="9" customFormat="1" ht="15.75" customHeight="1">
      <c r="A22" s="66" t="s">
        <v>12</v>
      </c>
      <c r="B22" s="60" t="s">
        <v>148</v>
      </c>
      <c r="C22" s="82" t="s">
        <v>115</v>
      </c>
      <c r="D22" s="82" t="s">
        <v>115</v>
      </c>
      <c r="E22" s="82" t="s">
        <v>115</v>
      </c>
      <c r="F22" s="82" t="s">
        <v>115</v>
      </c>
      <c r="G22" s="82" t="s">
        <v>115</v>
      </c>
      <c r="H22" s="82" t="s">
        <v>115</v>
      </c>
      <c r="I22" s="82" t="s">
        <v>115</v>
      </c>
      <c r="J22" s="81">
        <v>0.9</v>
      </c>
      <c r="K22" s="81">
        <v>1</v>
      </c>
      <c r="L22" s="82">
        <f t="shared" si="4"/>
        <v>1.9</v>
      </c>
      <c r="M22" s="81">
        <v>16.899999999999999</v>
      </c>
      <c r="N22" s="81">
        <v>19.8</v>
      </c>
      <c r="O22" s="81">
        <v>107.3</v>
      </c>
      <c r="P22" s="81">
        <v>22.1</v>
      </c>
      <c r="Q22" s="82">
        <f t="shared" si="5"/>
        <v>166.1</v>
      </c>
      <c r="R22" s="81">
        <v>124.3</v>
      </c>
      <c r="S22" s="81">
        <v>97.3</v>
      </c>
      <c r="T22" s="81">
        <v>40.5</v>
      </c>
      <c r="U22" s="81">
        <v>0.9</v>
      </c>
      <c r="V22" s="83">
        <f t="shared" si="1"/>
        <v>263</v>
      </c>
      <c r="W22" s="81">
        <v>0.9</v>
      </c>
      <c r="X22" s="81" t="s">
        <v>117</v>
      </c>
      <c r="Y22" s="81">
        <v>1</v>
      </c>
      <c r="Z22" s="81">
        <v>16.8</v>
      </c>
      <c r="AA22" s="83">
        <f t="shared" si="2"/>
        <v>18.7</v>
      </c>
      <c r="AB22" s="81">
        <v>4.3</v>
      </c>
      <c r="AC22" s="81">
        <v>15.5</v>
      </c>
      <c r="AD22" s="81">
        <v>0.1</v>
      </c>
      <c r="AE22" s="81">
        <v>8.6</v>
      </c>
      <c r="AF22" s="81">
        <v>28.5</v>
      </c>
      <c r="AG22" s="84" t="s">
        <v>117</v>
      </c>
      <c r="AH22" s="84" t="s">
        <v>117</v>
      </c>
      <c r="AI22" s="84">
        <v>0.9</v>
      </c>
      <c r="AJ22" s="84" t="s">
        <v>117</v>
      </c>
      <c r="AK22" s="83">
        <f t="shared" si="3"/>
        <v>0.9</v>
      </c>
      <c r="AL22" s="83" t="s">
        <v>117</v>
      </c>
      <c r="AM22" s="83">
        <v>53.5</v>
      </c>
      <c r="AN22" s="83" t="s">
        <v>117</v>
      </c>
      <c r="AO22" s="83" t="s">
        <v>117</v>
      </c>
      <c r="AP22" s="83">
        <v>53.5</v>
      </c>
      <c r="AQ22" s="84">
        <v>4.9000000000000004</v>
      </c>
      <c r="AR22" s="84" t="s">
        <v>117</v>
      </c>
      <c r="AS22" s="84" t="s">
        <v>117</v>
      </c>
      <c r="AT22" s="84" t="s">
        <v>117</v>
      </c>
      <c r="AU22" s="84">
        <v>4.9000000000000004</v>
      </c>
      <c r="AV22" s="84">
        <v>0.1</v>
      </c>
      <c r="AW22" s="84" t="s">
        <v>117</v>
      </c>
      <c r="AX22" s="84" t="s">
        <v>117</v>
      </c>
      <c r="AY22" s="85">
        <v>2.2999999999999998</v>
      </c>
      <c r="AZ22" s="84">
        <v>2.4</v>
      </c>
      <c r="BA22" s="84">
        <v>8.3000000000000007</v>
      </c>
      <c r="BB22" s="84">
        <v>7.5</v>
      </c>
      <c r="BC22" s="84">
        <v>14.9</v>
      </c>
      <c r="BD22" s="86">
        <v>43.7</v>
      </c>
      <c r="BE22" s="84">
        <v>74.400000000000006</v>
      </c>
      <c r="BF22" s="84">
        <v>27.866980000000002</v>
      </c>
      <c r="BG22" s="87">
        <v>47.86994</v>
      </c>
      <c r="BH22" s="88">
        <v>41.775329999999997</v>
      </c>
      <c r="BI22" s="56">
        <v>13.78777</v>
      </c>
      <c r="BJ22" s="56">
        <v>131.30001999999999</v>
      </c>
      <c r="BK22" s="56">
        <f>IF(16.96913="","-",16.96913)</f>
        <v>16.96913</v>
      </c>
      <c r="BL22" s="56">
        <f>IF(44.46843="","-",44.46843)</f>
        <v>44.468429999999998</v>
      </c>
      <c r="BM22" s="56">
        <f>IF(5.67448="","-",5.67448)</f>
        <v>5.67448</v>
      </c>
      <c r="BN22" s="56">
        <f>IF(20.08278="","-",20.08278)</f>
        <v>20.08278</v>
      </c>
      <c r="BO22" s="56">
        <f>IF(87.19482="","-",87.19482)</f>
        <v>87.194820000000007</v>
      </c>
      <c r="BP22" s="56">
        <v>5.2900000000000004E-3</v>
      </c>
      <c r="BQ22" s="46">
        <v>23.980699999999999</v>
      </c>
      <c r="BR22" s="46">
        <v>33.225250000000003</v>
      </c>
      <c r="BS22" s="56" t="s">
        <v>117</v>
      </c>
      <c r="BT22" s="56">
        <v>57.211239999999997</v>
      </c>
      <c r="BU22" s="56">
        <v>12.50863</v>
      </c>
      <c r="BV22" s="56">
        <v>8.5636100000000006</v>
      </c>
      <c r="BW22" s="56" t="s">
        <v>117</v>
      </c>
      <c r="BX22" s="56">
        <v>0.14738000000000001</v>
      </c>
      <c r="BY22" s="56">
        <v>21.219619999999999</v>
      </c>
      <c r="BZ22" s="56">
        <v>0.41794999999999999</v>
      </c>
      <c r="CA22" s="56" t="s">
        <v>117</v>
      </c>
      <c r="CB22" s="56">
        <v>3.8784900000000002</v>
      </c>
      <c r="CC22" s="56">
        <v>16.683810000000001</v>
      </c>
      <c r="CD22" s="56">
        <v>20.980250000000002</v>
      </c>
      <c r="CE22" s="56">
        <v>2.1818900000000001</v>
      </c>
      <c r="CF22" s="56">
        <v>14.64019</v>
      </c>
      <c r="CG22" s="56">
        <v>2.4364400000000002</v>
      </c>
      <c r="CH22" s="56">
        <v>5.4372600000000002</v>
      </c>
      <c r="CI22" s="56">
        <v>24.695779999999999</v>
      </c>
      <c r="CJ22" s="56">
        <v>2.1625800000000002</v>
      </c>
      <c r="CK22" s="56">
        <v>29.77787</v>
      </c>
      <c r="CL22" s="56">
        <v>123.25561</v>
      </c>
      <c r="CM22" s="56">
        <v>90.630459999999999</v>
      </c>
      <c r="CN22" s="56">
        <v>245.82651999999999</v>
      </c>
      <c r="CO22" s="56">
        <v>119.44898999999999</v>
      </c>
      <c r="CP22" s="56">
        <v>2.2669299999999999</v>
      </c>
      <c r="CQ22" s="56">
        <v>17.875</v>
      </c>
      <c r="CR22" s="56">
        <v>6.3166500000000001</v>
      </c>
      <c r="CS22" s="56">
        <v>145.90756999999999</v>
      </c>
      <c r="CT22" s="66" t="s">
        <v>12</v>
      </c>
      <c r="CU22" s="60" t="s">
        <v>148</v>
      </c>
    </row>
    <row r="23" spans="1:99" s="9" customFormat="1" ht="47.25">
      <c r="A23" s="66" t="s">
        <v>13</v>
      </c>
      <c r="B23" s="60" t="s">
        <v>149</v>
      </c>
      <c r="C23" s="81">
        <v>0.8</v>
      </c>
      <c r="D23" s="81">
        <v>4.3</v>
      </c>
      <c r="E23" s="81">
        <v>26.3</v>
      </c>
      <c r="F23" s="81">
        <v>6.9</v>
      </c>
      <c r="G23" s="82">
        <f t="shared" ref="G23:G68" si="6">SUM(C23:F23)</f>
        <v>38.299999999999997</v>
      </c>
      <c r="H23" s="81">
        <v>10</v>
      </c>
      <c r="I23" s="81">
        <v>21.5</v>
      </c>
      <c r="J23" s="81">
        <v>12</v>
      </c>
      <c r="K23" s="81">
        <v>1.9</v>
      </c>
      <c r="L23" s="82">
        <f t="shared" si="4"/>
        <v>45.4</v>
      </c>
      <c r="M23" s="81">
        <v>16.399999999999999</v>
      </c>
      <c r="N23" s="81">
        <v>42.1</v>
      </c>
      <c r="O23" s="81">
        <v>12.6</v>
      </c>
      <c r="P23" s="81">
        <v>13</v>
      </c>
      <c r="Q23" s="82">
        <f t="shared" si="5"/>
        <v>84.1</v>
      </c>
      <c r="R23" s="81">
        <v>7.6</v>
      </c>
      <c r="S23" s="81">
        <v>77.3</v>
      </c>
      <c r="T23" s="81">
        <v>14.9</v>
      </c>
      <c r="U23" s="81">
        <v>0.2</v>
      </c>
      <c r="V23" s="83">
        <f t="shared" si="1"/>
        <v>100</v>
      </c>
      <c r="W23" s="81">
        <v>28.9</v>
      </c>
      <c r="X23" s="81">
        <v>144.9</v>
      </c>
      <c r="Y23" s="81">
        <v>4.7</v>
      </c>
      <c r="Z23" s="81">
        <v>113.9</v>
      </c>
      <c r="AA23" s="83">
        <f t="shared" si="2"/>
        <v>292.39999999999998</v>
      </c>
      <c r="AB23" s="81">
        <v>18.899999999999999</v>
      </c>
      <c r="AC23" s="81">
        <v>96.5</v>
      </c>
      <c r="AD23" s="81">
        <v>53.8</v>
      </c>
      <c r="AE23" s="81">
        <v>58.5</v>
      </c>
      <c r="AF23" s="81">
        <v>227.7</v>
      </c>
      <c r="AG23" s="84">
        <v>3.4</v>
      </c>
      <c r="AH23" s="84">
        <v>13</v>
      </c>
      <c r="AI23" s="84">
        <v>3.8</v>
      </c>
      <c r="AJ23" s="84">
        <v>129.80000000000001</v>
      </c>
      <c r="AK23" s="83">
        <f t="shared" si="3"/>
        <v>150</v>
      </c>
      <c r="AL23" s="83">
        <v>90.4</v>
      </c>
      <c r="AM23" s="83">
        <v>216.6</v>
      </c>
      <c r="AN23" s="83">
        <v>9.9</v>
      </c>
      <c r="AO23" s="83">
        <v>26.5</v>
      </c>
      <c r="AP23" s="83">
        <v>343.4</v>
      </c>
      <c r="AQ23" s="84">
        <v>19.399999999999999</v>
      </c>
      <c r="AR23" s="84">
        <v>4.4000000000000004</v>
      </c>
      <c r="AS23" s="84">
        <v>3.4</v>
      </c>
      <c r="AT23" s="84">
        <v>20.8</v>
      </c>
      <c r="AU23" s="84">
        <v>48</v>
      </c>
      <c r="AV23" s="84">
        <v>273.5</v>
      </c>
      <c r="AW23" s="84">
        <v>311.10000000000002</v>
      </c>
      <c r="AX23" s="84">
        <v>58.2</v>
      </c>
      <c r="AY23" s="83">
        <v>265</v>
      </c>
      <c r="AZ23" s="83">
        <v>907.8</v>
      </c>
      <c r="BA23" s="84">
        <v>346.9</v>
      </c>
      <c r="BB23" s="84">
        <v>351.8</v>
      </c>
      <c r="BC23" s="84">
        <v>55.2</v>
      </c>
      <c r="BD23" s="86">
        <v>122.1</v>
      </c>
      <c r="BE23" s="84">
        <v>876</v>
      </c>
      <c r="BF23" s="84">
        <v>13.43491</v>
      </c>
      <c r="BG23" s="87">
        <v>7.0615600000000001</v>
      </c>
      <c r="BH23" s="88">
        <v>5.5303800000000001</v>
      </c>
      <c r="BI23" s="56">
        <v>13.99572</v>
      </c>
      <c r="BJ23" s="56">
        <v>40.022570000000002</v>
      </c>
      <c r="BK23" s="56">
        <f>IF(20.44907="","-",20.44907)</f>
        <v>20.449069999999999</v>
      </c>
      <c r="BL23" s="56">
        <f>IF(4.58783="","-",4.58783)</f>
        <v>4.5878300000000003</v>
      </c>
      <c r="BM23" s="56">
        <f>IF(57.40635="","-",57.40635)</f>
        <v>57.406350000000003</v>
      </c>
      <c r="BN23" s="56">
        <f>IF(270.61608="","-",270.61608)</f>
        <v>270.61608000000001</v>
      </c>
      <c r="BO23" s="56">
        <f>IF(353.05933="","-",353.05933)</f>
        <v>353.05932999999999</v>
      </c>
      <c r="BP23" s="56">
        <v>188.71831</v>
      </c>
      <c r="BQ23" s="46">
        <v>277.41962000000001</v>
      </c>
      <c r="BR23" s="46">
        <v>159.41651999999999</v>
      </c>
      <c r="BS23" s="56">
        <v>212.29988</v>
      </c>
      <c r="BT23" s="56">
        <v>837.85433</v>
      </c>
      <c r="BU23" s="56">
        <v>422.00441999999998</v>
      </c>
      <c r="BV23" s="56">
        <v>285.19614000000001</v>
      </c>
      <c r="BW23" s="56">
        <v>128.96464</v>
      </c>
      <c r="BX23" s="56">
        <v>285.71958999999998</v>
      </c>
      <c r="BY23" s="56">
        <v>1121.8847900000001</v>
      </c>
      <c r="BZ23" s="56">
        <v>144.6609</v>
      </c>
      <c r="CA23" s="56">
        <v>305.74673999999999</v>
      </c>
      <c r="CB23" s="56">
        <v>31.252389999999998</v>
      </c>
      <c r="CC23" s="56">
        <v>297.74426999999997</v>
      </c>
      <c r="CD23" s="56">
        <v>779.40430000000003</v>
      </c>
      <c r="CE23" s="56">
        <v>343.87817999999999</v>
      </c>
      <c r="CF23" s="56">
        <v>139.44754</v>
      </c>
      <c r="CG23" s="56">
        <v>9.7472499999999993</v>
      </c>
      <c r="CH23" s="56">
        <v>222.14385999999999</v>
      </c>
      <c r="CI23" s="56">
        <v>715.21682999999996</v>
      </c>
      <c r="CJ23" s="56">
        <v>342.90163000000001</v>
      </c>
      <c r="CK23" s="56">
        <v>280.78674999999998</v>
      </c>
      <c r="CL23" s="56">
        <v>159.16803999999999</v>
      </c>
      <c r="CM23" s="56">
        <v>218.67617000000001</v>
      </c>
      <c r="CN23" s="56">
        <v>1001.53259</v>
      </c>
      <c r="CO23" s="56">
        <v>210.41602</v>
      </c>
      <c r="CP23" s="56">
        <v>171.95348000000001</v>
      </c>
      <c r="CQ23" s="56">
        <v>267.05675000000002</v>
      </c>
      <c r="CR23" s="56">
        <v>436.78377999999998</v>
      </c>
      <c r="CS23" s="56">
        <v>1086.21003</v>
      </c>
      <c r="CT23" s="66" t="s">
        <v>13</v>
      </c>
      <c r="CU23" s="60" t="s">
        <v>149</v>
      </c>
    </row>
    <row r="24" spans="1:99" s="9" customFormat="1" ht="47.25">
      <c r="A24" s="65" t="s">
        <v>96</v>
      </c>
      <c r="B24" s="59" t="s">
        <v>150</v>
      </c>
      <c r="C24" s="72">
        <v>8948.7999999999993</v>
      </c>
      <c r="D24" s="72">
        <v>9962.5</v>
      </c>
      <c r="E24" s="72">
        <v>8609.2999999999993</v>
      </c>
      <c r="F24" s="72">
        <v>10268.9</v>
      </c>
      <c r="G24" s="72">
        <f t="shared" si="6"/>
        <v>37789.5</v>
      </c>
      <c r="H24" s="72">
        <v>6594.9</v>
      </c>
      <c r="I24" s="72">
        <v>8200.1</v>
      </c>
      <c r="J24" s="72">
        <v>7268.3</v>
      </c>
      <c r="K24" s="72">
        <v>12793.8</v>
      </c>
      <c r="L24" s="72">
        <f t="shared" si="4"/>
        <v>34857.1</v>
      </c>
      <c r="M24" s="72">
        <v>12930.8</v>
      </c>
      <c r="N24" s="72">
        <v>15433.8</v>
      </c>
      <c r="O24" s="72">
        <v>9981.7999999999993</v>
      </c>
      <c r="P24" s="72">
        <v>16916.3</v>
      </c>
      <c r="Q24" s="72">
        <f t="shared" si="5"/>
        <v>55262.7</v>
      </c>
      <c r="R24" s="72">
        <v>14525.3</v>
      </c>
      <c r="S24" s="72">
        <v>14727.6</v>
      </c>
      <c r="T24" s="72">
        <v>12726.8</v>
      </c>
      <c r="U24" s="72">
        <v>20910.5</v>
      </c>
      <c r="V24" s="75">
        <f t="shared" si="1"/>
        <v>62890.2</v>
      </c>
      <c r="W24" s="72">
        <v>9496.9</v>
      </c>
      <c r="X24" s="72">
        <v>13878.6</v>
      </c>
      <c r="Y24" s="72">
        <v>10262.799999999999</v>
      </c>
      <c r="Z24" s="72">
        <v>17070.3</v>
      </c>
      <c r="AA24" s="75">
        <f t="shared" si="2"/>
        <v>50708.600000000006</v>
      </c>
      <c r="AB24" s="72">
        <v>9561.7000000000007</v>
      </c>
      <c r="AC24" s="72">
        <v>6815.5</v>
      </c>
      <c r="AD24" s="72">
        <v>8164.6</v>
      </c>
      <c r="AE24" s="72">
        <v>23042.400000000001</v>
      </c>
      <c r="AF24" s="72">
        <v>47584.2</v>
      </c>
      <c r="AG24" s="76">
        <v>18562.900000000001</v>
      </c>
      <c r="AH24" s="76">
        <v>19090</v>
      </c>
      <c r="AI24" s="76">
        <v>7401.9</v>
      </c>
      <c r="AJ24" s="76">
        <v>32431.3</v>
      </c>
      <c r="AK24" s="75">
        <f t="shared" si="3"/>
        <v>77486.100000000006</v>
      </c>
      <c r="AL24" s="75">
        <v>21462.7</v>
      </c>
      <c r="AM24" s="75">
        <v>36642.6</v>
      </c>
      <c r="AN24" s="75">
        <v>4926.8999999999996</v>
      </c>
      <c r="AO24" s="75">
        <v>26676.5</v>
      </c>
      <c r="AP24" s="75">
        <v>89708.7</v>
      </c>
      <c r="AQ24" s="76">
        <v>14173.5</v>
      </c>
      <c r="AR24" s="76">
        <v>1524.2</v>
      </c>
      <c r="AS24" s="76">
        <v>1949</v>
      </c>
      <c r="AT24" s="76">
        <v>26393.3</v>
      </c>
      <c r="AU24" s="76">
        <v>44040</v>
      </c>
      <c r="AV24" s="76">
        <v>30147.599999999999</v>
      </c>
      <c r="AW24" s="76">
        <v>23983</v>
      </c>
      <c r="AX24" s="76">
        <v>1709.8</v>
      </c>
      <c r="AY24" s="78">
        <v>21682.1</v>
      </c>
      <c r="AZ24" s="76">
        <v>77522.5</v>
      </c>
      <c r="BA24" s="76">
        <v>22778</v>
      </c>
      <c r="BB24" s="76">
        <v>25640</v>
      </c>
      <c r="BC24" s="76">
        <v>1214.0999999999999</v>
      </c>
      <c r="BD24" s="79">
        <v>22380.3</v>
      </c>
      <c r="BE24" s="76">
        <v>72012.399999999994</v>
      </c>
      <c r="BF24" s="76">
        <v>13346.743130000001</v>
      </c>
      <c r="BG24" s="80">
        <v>11458.834699999999</v>
      </c>
      <c r="BH24" s="89">
        <v>1357.21342</v>
      </c>
      <c r="BI24" s="55">
        <v>28126.90134</v>
      </c>
      <c r="BJ24" s="55">
        <v>54289.692589999999</v>
      </c>
      <c r="BK24" s="55">
        <f>IF(13176.58892="","-",13176.58892)</f>
        <v>13176.58892</v>
      </c>
      <c r="BL24" s="55">
        <f>IF(11658.5387="","-",11658.5387)</f>
        <v>11658.538699999999</v>
      </c>
      <c r="BM24" s="55">
        <f>IF(1164.98427="","-",1164.98427)</f>
        <v>1164.9842699999999</v>
      </c>
      <c r="BN24" s="55">
        <f>IF(27713.28004="","-",27713.28004)</f>
        <v>27713.280040000001</v>
      </c>
      <c r="BO24" s="55">
        <f>IF(53713.39193="","-",53713.39193)</f>
        <v>53713.391929999998</v>
      </c>
      <c r="BP24" s="55">
        <v>24506.842049999999</v>
      </c>
      <c r="BQ24" s="45">
        <v>23662.941040000002</v>
      </c>
      <c r="BR24" s="45">
        <v>1506.31888</v>
      </c>
      <c r="BS24" s="55">
        <v>17176.034650000001</v>
      </c>
      <c r="BT24" s="55">
        <v>66852.136620000005</v>
      </c>
      <c r="BU24" s="55">
        <v>25240.321960000001</v>
      </c>
      <c r="BV24" s="55">
        <v>9045.9130700000005</v>
      </c>
      <c r="BW24" s="55">
        <v>5551.3953300000003</v>
      </c>
      <c r="BX24" s="55">
        <v>30137.264510000001</v>
      </c>
      <c r="BY24" s="55">
        <v>69974.894870000004</v>
      </c>
      <c r="BZ24" s="55">
        <v>30503.82473</v>
      </c>
      <c r="CA24" s="55">
        <v>30668.639299999999</v>
      </c>
      <c r="CB24" s="55">
        <v>9027.8071</v>
      </c>
      <c r="CC24" s="55">
        <v>33330.69083</v>
      </c>
      <c r="CD24" s="55">
        <v>103530.96196</v>
      </c>
      <c r="CE24" s="55">
        <v>24704.88883</v>
      </c>
      <c r="CF24" s="55">
        <v>19338.921620000001</v>
      </c>
      <c r="CG24" s="55">
        <v>2920.7897200000002</v>
      </c>
      <c r="CH24" s="55">
        <v>74139.029739999998</v>
      </c>
      <c r="CI24" s="55">
        <v>121103.62991</v>
      </c>
      <c r="CJ24" s="55">
        <v>101126.2099</v>
      </c>
      <c r="CK24" s="55">
        <v>128449.82352999999</v>
      </c>
      <c r="CL24" s="55">
        <v>53358.196150000003</v>
      </c>
      <c r="CM24" s="55">
        <v>93191.561780000004</v>
      </c>
      <c r="CN24" s="55">
        <v>376125.79135999997</v>
      </c>
      <c r="CO24" s="55">
        <v>83939.156000000003</v>
      </c>
      <c r="CP24" s="55">
        <v>57529.710919999998</v>
      </c>
      <c r="CQ24" s="55">
        <v>51298.745900000002</v>
      </c>
      <c r="CR24" s="55">
        <v>55574.227099999996</v>
      </c>
      <c r="CS24" s="55">
        <v>248341.83992</v>
      </c>
      <c r="CT24" s="65" t="s">
        <v>96</v>
      </c>
      <c r="CU24" s="59" t="s">
        <v>150</v>
      </c>
    </row>
    <row r="25" spans="1:99" s="9" customFormat="1" ht="47.25">
      <c r="A25" s="66" t="s">
        <v>14</v>
      </c>
      <c r="B25" s="60" t="s">
        <v>234</v>
      </c>
      <c r="C25" s="81">
        <v>8948.7999999999993</v>
      </c>
      <c r="D25" s="81">
        <v>9962.5</v>
      </c>
      <c r="E25" s="81">
        <v>8609.2999999999993</v>
      </c>
      <c r="F25" s="81">
        <v>10268.9</v>
      </c>
      <c r="G25" s="82">
        <f t="shared" si="6"/>
        <v>37789.5</v>
      </c>
      <c r="H25" s="81">
        <v>6594.9</v>
      </c>
      <c r="I25" s="81">
        <v>8200.1</v>
      </c>
      <c r="J25" s="81">
        <v>7268.3</v>
      </c>
      <c r="K25" s="81">
        <v>12793.8</v>
      </c>
      <c r="L25" s="82">
        <f t="shared" si="4"/>
        <v>34857.1</v>
      </c>
      <c r="M25" s="81">
        <v>12930.8</v>
      </c>
      <c r="N25" s="81">
        <v>15433.8</v>
      </c>
      <c r="O25" s="81">
        <v>9981.7999999999993</v>
      </c>
      <c r="P25" s="81">
        <v>16916.3</v>
      </c>
      <c r="Q25" s="82">
        <f t="shared" si="5"/>
        <v>55262.7</v>
      </c>
      <c r="R25" s="81">
        <v>14525.3</v>
      </c>
      <c r="S25" s="81">
        <v>14727.6</v>
      </c>
      <c r="T25" s="81">
        <v>12726.8</v>
      </c>
      <c r="U25" s="81">
        <v>20910.5</v>
      </c>
      <c r="V25" s="83">
        <f t="shared" si="1"/>
        <v>62890.2</v>
      </c>
      <c r="W25" s="81">
        <v>9496.9</v>
      </c>
      <c r="X25" s="81">
        <v>13878.6</v>
      </c>
      <c r="Y25" s="81">
        <v>10262.799999999999</v>
      </c>
      <c r="Z25" s="81">
        <v>17070.3</v>
      </c>
      <c r="AA25" s="83">
        <f t="shared" si="2"/>
        <v>50708.600000000006</v>
      </c>
      <c r="AB25" s="81">
        <v>9561.7000000000007</v>
      </c>
      <c r="AC25" s="81">
        <v>6815.5</v>
      </c>
      <c r="AD25" s="81">
        <v>8164.6</v>
      </c>
      <c r="AE25" s="81">
        <v>23042.400000000001</v>
      </c>
      <c r="AF25" s="81">
        <v>47584.2</v>
      </c>
      <c r="AG25" s="84">
        <v>18562.900000000001</v>
      </c>
      <c r="AH25" s="84">
        <v>19090</v>
      </c>
      <c r="AI25" s="84">
        <v>7401.9</v>
      </c>
      <c r="AJ25" s="84">
        <v>32431.3</v>
      </c>
      <c r="AK25" s="83">
        <f t="shared" si="3"/>
        <v>77486.100000000006</v>
      </c>
      <c r="AL25" s="83">
        <v>21462.7</v>
      </c>
      <c r="AM25" s="83">
        <v>36642.6</v>
      </c>
      <c r="AN25" s="83">
        <v>4926.8999999999996</v>
      </c>
      <c r="AO25" s="83">
        <v>26676.5</v>
      </c>
      <c r="AP25" s="83">
        <v>89708.7</v>
      </c>
      <c r="AQ25" s="84">
        <v>14173.5</v>
      </c>
      <c r="AR25" s="84">
        <v>1524.2</v>
      </c>
      <c r="AS25" s="84">
        <v>1949</v>
      </c>
      <c r="AT25" s="84">
        <v>26393.3</v>
      </c>
      <c r="AU25" s="84">
        <v>44040</v>
      </c>
      <c r="AV25" s="84">
        <v>30147.599999999999</v>
      </c>
      <c r="AW25" s="84">
        <v>23983</v>
      </c>
      <c r="AX25" s="84">
        <v>1709.8</v>
      </c>
      <c r="AY25" s="85">
        <v>21682.1</v>
      </c>
      <c r="AZ25" s="84">
        <v>77522.5</v>
      </c>
      <c r="BA25" s="84">
        <v>22778</v>
      </c>
      <c r="BB25" s="84">
        <v>25640</v>
      </c>
      <c r="BC25" s="84">
        <v>1214.0999999999999</v>
      </c>
      <c r="BD25" s="86">
        <v>22380.3</v>
      </c>
      <c r="BE25" s="84">
        <v>72012.399999999994</v>
      </c>
      <c r="BF25" s="84">
        <v>13346.743130000001</v>
      </c>
      <c r="BG25" s="87">
        <v>11458.834699999999</v>
      </c>
      <c r="BH25" s="88">
        <v>1357.21342</v>
      </c>
      <c r="BI25" s="56">
        <v>28126.90134</v>
      </c>
      <c r="BJ25" s="56">
        <v>54289.692589999999</v>
      </c>
      <c r="BK25" s="56">
        <f>IF(13176.58892="","-",13176.58892)</f>
        <v>13176.58892</v>
      </c>
      <c r="BL25" s="56">
        <f>IF(11658.5387="","-",11658.5387)</f>
        <v>11658.538699999999</v>
      </c>
      <c r="BM25" s="56">
        <f>IF(1164.98427="","-",1164.98427)</f>
        <v>1164.9842699999999</v>
      </c>
      <c r="BN25" s="56">
        <f>IF(27713.28004="","-",27713.28004)</f>
        <v>27713.280040000001</v>
      </c>
      <c r="BO25" s="56">
        <f>IF(53713.39193="","-",53713.39193)</f>
        <v>53713.391929999998</v>
      </c>
      <c r="BP25" s="56">
        <v>24506.842049999999</v>
      </c>
      <c r="BQ25" s="46">
        <v>23662.941040000002</v>
      </c>
      <c r="BR25" s="46">
        <v>1506.31888</v>
      </c>
      <c r="BS25" s="56">
        <v>17176.034650000001</v>
      </c>
      <c r="BT25" s="56">
        <v>66852.136620000005</v>
      </c>
      <c r="BU25" s="56">
        <v>25240.321960000001</v>
      </c>
      <c r="BV25" s="56">
        <v>9045.9130700000005</v>
      </c>
      <c r="BW25" s="56">
        <v>5551.3953300000003</v>
      </c>
      <c r="BX25" s="56">
        <v>30137.264510000001</v>
      </c>
      <c r="BY25" s="56">
        <v>69974.894870000004</v>
      </c>
      <c r="BZ25" s="56">
        <v>30503.82473</v>
      </c>
      <c r="CA25" s="56">
        <v>30668.639299999999</v>
      </c>
      <c r="CB25" s="56">
        <v>9027.8071</v>
      </c>
      <c r="CC25" s="56">
        <v>33330.69083</v>
      </c>
      <c r="CD25" s="56">
        <v>103530.96196</v>
      </c>
      <c r="CE25" s="56">
        <v>24704.88883</v>
      </c>
      <c r="CF25" s="56">
        <v>19338.921620000001</v>
      </c>
      <c r="CG25" s="56">
        <v>2920.7897200000002</v>
      </c>
      <c r="CH25" s="56">
        <v>74139.029739999998</v>
      </c>
      <c r="CI25" s="56">
        <v>121103.62991</v>
      </c>
      <c r="CJ25" s="56">
        <v>101126.2099</v>
      </c>
      <c r="CK25" s="56">
        <v>128449.82352999999</v>
      </c>
      <c r="CL25" s="56">
        <v>53358.196150000003</v>
      </c>
      <c r="CM25" s="56">
        <v>93191.561780000004</v>
      </c>
      <c r="CN25" s="56">
        <v>376125.79135999997</v>
      </c>
      <c r="CO25" s="56">
        <v>83939.156000000003</v>
      </c>
      <c r="CP25" s="56">
        <v>57529.710919999998</v>
      </c>
      <c r="CQ25" s="56">
        <v>51298.745900000002</v>
      </c>
      <c r="CR25" s="56">
        <v>55574.227099999996</v>
      </c>
      <c r="CS25" s="56">
        <v>248341.83992</v>
      </c>
      <c r="CT25" s="66" t="s">
        <v>14</v>
      </c>
      <c r="CU25" s="60" t="s">
        <v>234</v>
      </c>
    </row>
    <row r="26" spans="1:99" s="9" customFormat="1" ht="31.5">
      <c r="A26" s="65" t="s">
        <v>97</v>
      </c>
      <c r="B26" s="59" t="s">
        <v>235</v>
      </c>
      <c r="C26" s="72">
        <v>88222</v>
      </c>
      <c r="D26" s="72">
        <v>101362.9</v>
      </c>
      <c r="E26" s="72">
        <v>95169.3</v>
      </c>
      <c r="F26" s="72">
        <v>111197.1</v>
      </c>
      <c r="G26" s="72">
        <f t="shared" si="6"/>
        <v>395951.30000000005</v>
      </c>
      <c r="H26" s="72">
        <v>95854.6</v>
      </c>
      <c r="I26" s="72">
        <v>48030.8</v>
      </c>
      <c r="J26" s="72">
        <v>52670</v>
      </c>
      <c r="K26" s="72">
        <v>79187.8</v>
      </c>
      <c r="L26" s="72">
        <f t="shared" si="4"/>
        <v>275743.2</v>
      </c>
      <c r="M26" s="72">
        <v>43183.3</v>
      </c>
      <c r="N26" s="72">
        <v>64453</v>
      </c>
      <c r="O26" s="72">
        <v>67739.399999999994</v>
      </c>
      <c r="P26" s="72">
        <v>99257.2</v>
      </c>
      <c r="Q26" s="72">
        <f t="shared" si="5"/>
        <v>274632.90000000002</v>
      </c>
      <c r="R26" s="72">
        <v>70552.7</v>
      </c>
      <c r="S26" s="72">
        <v>87513.1</v>
      </c>
      <c r="T26" s="72">
        <v>77664.800000000003</v>
      </c>
      <c r="U26" s="72">
        <v>76151.600000000006</v>
      </c>
      <c r="V26" s="75">
        <f t="shared" si="1"/>
        <v>311882.19999999995</v>
      </c>
      <c r="W26" s="72">
        <v>64750.6</v>
      </c>
      <c r="X26" s="72">
        <v>75704.399999999994</v>
      </c>
      <c r="Y26" s="72">
        <v>61695.3</v>
      </c>
      <c r="Z26" s="72">
        <v>78860</v>
      </c>
      <c r="AA26" s="75">
        <f t="shared" si="2"/>
        <v>281010.3</v>
      </c>
      <c r="AB26" s="72">
        <v>62674</v>
      </c>
      <c r="AC26" s="72">
        <v>70111.600000000006</v>
      </c>
      <c r="AD26" s="72">
        <v>64064.9</v>
      </c>
      <c r="AE26" s="72">
        <v>120091.6</v>
      </c>
      <c r="AF26" s="72">
        <v>316942.09999999998</v>
      </c>
      <c r="AG26" s="76">
        <v>68546.2</v>
      </c>
      <c r="AH26" s="76">
        <v>69273.100000000006</v>
      </c>
      <c r="AI26" s="76">
        <v>71015.7</v>
      </c>
      <c r="AJ26" s="76">
        <v>121744.1</v>
      </c>
      <c r="AK26" s="75">
        <f t="shared" si="3"/>
        <v>330579.09999999998</v>
      </c>
      <c r="AL26" s="75">
        <v>75554.399999999994</v>
      </c>
      <c r="AM26" s="75">
        <v>94295.9</v>
      </c>
      <c r="AN26" s="75">
        <v>85224.5</v>
      </c>
      <c r="AO26" s="75">
        <v>135810.9</v>
      </c>
      <c r="AP26" s="75">
        <v>390885.7</v>
      </c>
      <c r="AQ26" s="75">
        <v>103771.2</v>
      </c>
      <c r="AR26" s="75">
        <v>114185.60000000001</v>
      </c>
      <c r="AS26" s="75">
        <v>96403</v>
      </c>
      <c r="AT26" s="75">
        <v>112933.7</v>
      </c>
      <c r="AU26" s="75">
        <v>427293.5</v>
      </c>
      <c r="AV26" s="76">
        <v>84125.3</v>
      </c>
      <c r="AW26" s="70">
        <v>100422.1</v>
      </c>
      <c r="AX26" s="70">
        <v>88344</v>
      </c>
      <c r="AY26" s="70">
        <v>105537.3</v>
      </c>
      <c r="AZ26" s="70">
        <v>378428.7</v>
      </c>
      <c r="BA26" s="70">
        <v>68125.399999999994</v>
      </c>
      <c r="BB26" s="70">
        <v>72880.5</v>
      </c>
      <c r="BC26" s="70">
        <v>77246.5</v>
      </c>
      <c r="BD26" s="79">
        <v>85012.5</v>
      </c>
      <c r="BE26" s="76">
        <v>303264.90000000002</v>
      </c>
      <c r="BF26" s="70">
        <v>62541.125359999998</v>
      </c>
      <c r="BG26" s="80">
        <v>75305.61808</v>
      </c>
      <c r="BH26" s="89">
        <v>80658.080040000001</v>
      </c>
      <c r="BI26" s="55">
        <v>103026.14457</v>
      </c>
      <c r="BJ26" s="55">
        <v>321530.96805000002</v>
      </c>
      <c r="BK26" s="55">
        <f>IF(73988.2084="","-",73988.2084)</f>
        <v>73988.208400000003</v>
      </c>
      <c r="BL26" s="55">
        <v>77964.009999999995</v>
      </c>
      <c r="BM26" s="55">
        <f>IF(91825.74755="","-",91825.74755)</f>
        <v>91825.74755</v>
      </c>
      <c r="BN26" s="55">
        <v>123794.62</v>
      </c>
      <c r="BO26" s="55">
        <v>367572.58</v>
      </c>
      <c r="BP26" s="55">
        <v>84665.584589999999</v>
      </c>
      <c r="BQ26" s="45">
        <v>84492.117480000001</v>
      </c>
      <c r="BR26" s="45">
        <v>94344.382660000003</v>
      </c>
      <c r="BS26" s="55">
        <v>104672.91889</v>
      </c>
      <c r="BT26" s="55">
        <v>368175.00361999997</v>
      </c>
      <c r="BU26" s="55">
        <v>88918.444969999997</v>
      </c>
      <c r="BV26" s="55">
        <v>83746.026710000006</v>
      </c>
      <c r="BW26" s="55">
        <v>94802.829440000001</v>
      </c>
      <c r="BX26" s="55">
        <v>114460.73497999999</v>
      </c>
      <c r="BY26" s="55">
        <v>381928.03610000003</v>
      </c>
      <c r="BZ26" s="55">
        <v>96179.66317</v>
      </c>
      <c r="CA26" s="55">
        <v>82877.12801</v>
      </c>
      <c r="CB26" s="55">
        <v>86343.535659999994</v>
      </c>
      <c r="CC26" s="55">
        <v>113605.43266000001</v>
      </c>
      <c r="CD26" s="55">
        <v>379005.75949999999</v>
      </c>
      <c r="CE26" s="55">
        <v>88983.004780000003</v>
      </c>
      <c r="CF26" s="55">
        <v>86513.277709999995</v>
      </c>
      <c r="CG26" s="55">
        <v>94957.494070000001</v>
      </c>
      <c r="CH26" s="55">
        <v>137698.67220999999</v>
      </c>
      <c r="CI26" s="55">
        <v>408152.44877000002</v>
      </c>
      <c r="CJ26" s="55">
        <v>107261.57328</v>
      </c>
      <c r="CK26" s="55">
        <v>103862.62338999999</v>
      </c>
      <c r="CL26" s="55">
        <v>111667.42836999999</v>
      </c>
      <c r="CM26" s="55">
        <v>139770.97117999999</v>
      </c>
      <c r="CN26" s="55">
        <v>462562.59622000001</v>
      </c>
      <c r="CO26" s="55">
        <v>125181.30042</v>
      </c>
      <c r="CP26" s="55">
        <v>111152.58072</v>
      </c>
      <c r="CQ26" s="55">
        <v>108902.29872999999</v>
      </c>
      <c r="CR26" s="55">
        <v>139178.87406999999</v>
      </c>
      <c r="CS26" s="55">
        <v>484415.05394000001</v>
      </c>
      <c r="CT26" s="65" t="s">
        <v>97</v>
      </c>
      <c r="CU26" s="59" t="s">
        <v>235</v>
      </c>
    </row>
    <row r="27" spans="1:99" s="9" customFormat="1" ht="31.5">
      <c r="A27" s="66" t="s">
        <v>15</v>
      </c>
      <c r="B27" s="60" t="s">
        <v>151</v>
      </c>
      <c r="C27" s="81">
        <v>362.5</v>
      </c>
      <c r="D27" s="81">
        <v>288.7</v>
      </c>
      <c r="E27" s="81">
        <v>369.1</v>
      </c>
      <c r="F27" s="81">
        <v>308.8</v>
      </c>
      <c r="G27" s="82">
        <f t="shared" si="6"/>
        <v>1329.1000000000001</v>
      </c>
      <c r="H27" s="81">
        <v>536.1</v>
      </c>
      <c r="I27" s="81">
        <v>166.3</v>
      </c>
      <c r="J27" s="81">
        <v>198</v>
      </c>
      <c r="K27" s="81">
        <v>690.7</v>
      </c>
      <c r="L27" s="82">
        <f t="shared" si="4"/>
        <v>1591.1000000000001</v>
      </c>
      <c r="M27" s="81">
        <v>355.5</v>
      </c>
      <c r="N27" s="81">
        <v>479.2</v>
      </c>
      <c r="O27" s="81">
        <v>1012.8</v>
      </c>
      <c r="P27" s="81">
        <v>1005.2</v>
      </c>
      <c r="Q27" s="82">
        <f t="shared" si="5"/>
        <v>2852.7</v>
      </c>
      <c r="R27" s="81">
        <v>115.1</v>
      </c>
      <c r="S27" s="81">
        <v>75.400000000000006</v>
      </c>
      <c r="T27" s="81">
        <v>468</v>
      </c>
      <c r="U27" s="81">
        <v>314.10000000000002</v>
      </c>
      <c r="V27" s="83">
        <f t="shared" si="1"/>
        <v>972.6</v>
      </c>
      <c r="W27" s="81">
        <v>116.4</v>
      </c>
      <c r="X27" s="81">
        <v>258.10000000000002</v>
      </c>
      <c r="Y27" s="81">
        <v>70.2</v>
      </c>
      <c r="Z27" s="81">
        <v>60.3</v>
      </c>
      <c r="AA27" s="83">
        <f t="shared" si="2"/>
        <v>505</v>
      </c>
      <c r="AB27" s="81">
        <v>61.9</v>
      </c>
      <c r="AC27" s="81">
        <v>316.39999999999998</v>
      </c>
      <c r="AD27" s="81">
        <v>184.4</v>
      </c>
      <c r="AE27" s="81">
        <v>62</v>
      </c>
      <c r="AF27" s="81">
        <v>624.70000000000005</v>
      </c>
      <c r="AG27" s="84">
        <v>0.2</v>
      </c>
      <c r="AH27" s="84">
        <v>6.6</v>
      </c>
      <c r="AI27" s="84">
        <v>9.1999999999999993</v>
      </c>
      <c r="AJ27" s="84">
        <v>17.3</v>
      </c>
      <c r="AK27" s="83">
        <f t="shared" si="3"/>
        <v>33.299999999999997</v>
      </c>
      <c r="AL27" s="83">
        <v>13.7</v>
      </c>
      <c r="AM27" s="83">
        <v>73.7</v>
      </c>
      <c r="AN27" s="83">
        <v>47.7</v>
      </c>
      <c r="AO27" s="83">
        <v>1</v>
      </c>
      <c r="AP27" s="83">
        <v>136.1</v>
      </c>
      <c r="AQ27" s="83">
        <v>3.9</v>
      </c>
      <c r="AR27" s="83">
        <v>4.0999999999999996</v>
      </c>
      <c r="AS27" s="83">
        <v>9.6</v>
      </c>
      <c r="AT27" s="83">
        <v>4.5</v>
      </c>
      <c r="AU27" s="84">
        <v>22.1</v>
      </c>
      <c r="AV27" s="84">
        <v>127.4</v>
      </c>
      <c r="AW27" s="84">
        <v>3.3</v>
      </c>
      <c r="AX27" s="84">
        <v>152.69999999999999</v>
      </c>
      <c r="AY27" s="85">
        <v>4.8</v>
      </c>
      <c r="AZ27" s="84">
        <v>288.2</v>
      </c>
      <c r="BA27" s="84">
        <v>4</v>
      </c>
      <c r="BB27" s="84">
        <v>3.2</v>
      </c>
      <c r="BC27" s="84">
        <v>2.8</v>
      </c>
      <c r="BD27" s="86">
        <v>2</v>
      </c>
      <c r="BE27" s="84">
        <v>12</v>
      </c>
      <c r="BF27" s="84">
        <v>1.76322</v>
      </c>
      <c r="BG27" s="87">
        <v>2.6255700000000002</v>
      </c>
      <c r="BH27" s="88">
        <v>2.5969699999999998</v>
      </c>
      <c r="BI27" s="56">
        <v>5.3039800000000001</v>
      </c>
      <c r="BJ27" s="56">
        <v>12.28974</v>
      </c>
      <c r="BK27" s="56">
        <f>IF(2.12348="","-",2.12348)</f>
        <v>2.1234799999999998</v>
      </c>
      <c r="BL27" s="56">
        <f>IF(5.89896="","-",5.89896)</f>
        <v>5.8989599999999998</v>
      </c>
      <c r="BM27" s="56">
        <f>IF(13.17623="","-",13.17623)</f>
        <v>13.17623</v>
      </c>
      <c r="BN27" s="56">
        <f>IF(8.22528="","-",8.22528)</f>
        <v>8.2252799999999997</v>
      </c>
      <c r="BO27" s="56">
        <f>IF(29.42395="","-",29.42395)</f>
        <v>29.423950000000001</v>
      </c>
      <c r="BP27" s="56">
        <v>3.0890599999999999</v>
      </c>
      <c r="BQ27" s="46">
        <v>6.2037000000000004</v>
      </c>
      <c r="BR27" s="46">
        <v>3.1185399999999999</v>
      </c>
      <c r="BS27" s="56">
        <v>7.7713000000000001</v>
      </c>
      <c r="BT27" s="56">
        <v>20.182600000000001</v>
      </c>
      <c r="BU27" s="56">
        <v>12.24924</v>
      </c>
      <c r="BV27" s="56">
        <v>6.6263800000000002</v>
      </c>
      <c r="BW27" s="56">
        <v>2.08656</v>
      </c>
      <c r="BX27" s="56">
        <v>2.3909400000000001</v>
      </c>
      <c r="BY27" s="56">
        <v>23.353120000000001</v>
      </c>
      <c r="BZ27" s="56">
        <v>2.7372299999999998</v>
      </c>
      <c r="CA27" s="56">
        <v>0.32329999999999998</v>
      </c>
      <c r="CB27" s="56">
        <v>0.24657000000000001</v>
      </c>
      <c r="CC27" s="56">
        <v>5.3618699999999997</v>
      </c>
      <c r="CD27" s="56">
        <v>8.6689699999999998</v>
      </c>
      <c r="CE27" s="56">
        <v>1.1574500000000001</v>
      </c>
      <c r="CF27" s="56">
        <v>12.630570000000001</v>
      </c>
      <c r="CG27" s="56">
        <v>0.15357000000000001</v>
      </c>
      <c r="CH27" s="56">
        <v>1.47987</v>
      </c>
      <c r="CI27" s="56">
        <v>15.42146</v>
      </c>
      <c r="CJ27" s="56">
        <v>4.1082999999999998</v>
      </c>
      <c r="CK27" s="56">
        <v>950.34122000000002</v>
      </c>
      <c r="CL27" s="56">
        <v>3.2342399999999998</v>
      </c>
      <c r="CM27" s="56">
        <v>8.6051800000000007</v>
      </c>
      <c r="CN27" s="56">
        <v>966.28894000000003</v>
      </c>
      <c r="CO27" s="56">
        <v>236.90248</v>
      </c>
      <c r="CP27" s="56">
        <v>74.364859999999993</v>
      </c>
      <c r="CQ27" s="56">
        <v>96.789420000000007</v>
      </c>
      <c r="CR27" s="56">
        <v>91.500249999999994</v>
      </c>
      <c r="CS27" s="56">
        <v>499.55700999999999</v>
      </c>
      <c r="CT27" s="66" t="s">
        <v>15</v>
      </c>
      <c r="CU27" s="60" t="s">
        <v>151</v>
      </c>
    </row>
    <row r="28" spans="1:99" s="9" customFormat="1" ht="15.75">
      <c r="A28" s="66" t="s">
        <v>16</v>
      </c>
      <c r="B28" s="60" t="s">
        <v>152</v>
      </c>
      <c r="C28" s="81">
        <v>2577</v>
      </c>
      <c r="D28" s="81">
        <v>3969.5</v>
      </c>
      <c r="E28" s="81">
        <v>355.2</v>
      </c>
      <c r="F28" s="81">
        <v>617.29999999999995</v>
      </c>
      <c r="G28" s="82">
        <f t="shared" si="6"/>
        <v>7519</v>
      </c>
      <c r="H28" s="81">
        <v>3485</v>
      </c>
      <c r="I28" s="81">
        <v>3837.1</v>
      </c>
      <c r="J28" s="81">
        <v>7416.1</v>
      </c>
      <c r="K28" s="81">
        <v>4373.7</v>
      </c>
      <c r="L28" s="82">
        <f t="shared" si="4"/>
        <v>19111.900000000001</v>
      </c>
      <c r="M28" s="81">
        <v>6120.6</v>
      </c>
      <c r="N28" s="81">
        <v>10978.6</v>
      </c>
      <c r="O28" s="81">
        <v>5229.1000000000004</v>
      </c>
      <c r="P28" s="81">
        <v>889.2</v>
      </c>
      <c r="Q28" s="82">
        <f t="shared" si="5"/>
        <v>23217.500000000004</v>
      </c>
      <c r="R28" s="81">
        <v>612</v>
      </c>
      <c r="S28" s="81">
        <v>7474.3</v>
      </c>
      <c r="T28" s="81">
        <v>4376.8999999999996</v>
      </c>
      <c r="U28" s="81">
        <v>2572.6</v>
      </c>
      <c r="V28" s="83">
        <f t="shared" si="1"/>
        <v>15035.800000000001</v>
      </c>
      <c r="W28" s="81">
        <v>12391.5</v>
      </c>
      <c r="X28" s="81">
        <v>14293.2</v>
      </c>
      <c r="Y28" s="81">
        <v>6588.5</v>
      </c>
      <c r="Z28" s="81">
        <v>1404.1</v>
      </c>
      <c r="AA28" s="83">
        <f t="shared" si="2"/>
        <v>34677.299999999996</v>
      </c>
      <c r="AB28" s="81">
        <v>620.70000000000005</v>
      </c>
      <c r="AC28" s="81">
        <v>1292</v>
      </c>
      <c r="AD28" s="81">
        <v>6797.9</v>
      </c>
      <c r="AE28" s="81">
        <v>20354.7</v>
      </c>
      <c r="AF28" s="81">
        <v>29065.3</v>
      </c>
      <c r="AG28" s="84">
        <v>2600.6999999999998</v>
      </c>
      <c r="AH28" s="84">
        <v>1705.6</v>
      </c>
      <c r="AI28" s="84">
        <v>839.7</v>
      </c>
      <c r="AJ28" s="84">
        <v>9430.7999999999993</v>
      </c>
      <c r="AK28" s="83">
        <f t="shared" si="3"/>
        <v>14576.8</v>
      </c>
      <c r="AL28" s="83">
        <v>8603</v>
      </c>
      <c r="AM28" s="83">
        <v>7492.4</v>
      </c>
      <c r="AN28" s="83">
        <v>2334</v>
      </c>
      <c r="AO28" s="83">
        <v>16599.599999999999</v>
      </c>
      <c r="AP28" s="83">
        <v>35029</v>
      </c>
      <c r="AQ28" s="83">
        <v>6937.4</v>
      </c>
      <c r="AR28" s="83">
        <v>8697</v>
      </c>
      <c r="AS28" s="83">
        <v>7780.3</v>
      </c>
      <c r="AT28" s="83">
        <v>7122.6</v>
      </c>
      <c r="AU28" s="83">
        <v>30537.3</v>
      </c>
      <c r="AV28" s="84">
        <v>3257.3</v>
      </c>
      <c r="AW28" s="84">
        <v>24217.3</v>
      </c>
      <c r="AX28" s="84">
        <v>18248.099999999999</v>
      </c>
      <c r="AY28" s="85">
        <v>10046.9</v>
      </c>
      <c r="AZ28" s="84">
        <v>55769.599999999999</v>
      </c>
      <c r="BA28" s="84">
        <v>8161.1</v>
      </c>
      <c r="BB28" s="84">
        <v>17041.5</v>
      </c>
      <c r="BC28" s="84">
        <v>11829.6</v>
      </c>
      <c r="BD28" s="86">
        <v>1488.5</v>
      </c>
      <c r="BE28" s="84">
        <v>38520.699999999997</v>
      </c>
      <c r="BF28" s="84">
        <v>5258.19121</v>
      </c>
      <c r="BG28" s="87">
        <v>13142.033069999999</v>
      </c>
      <c r="BH28" s="88">
        <v>11071.284519999999</v>
      </c>
      <c r="BI28" s="56">
        <v>14447.390600000001</v>
      </c>
      <c r="BJ28" s="56">
        <v>43918.899400000002</v>
      </c>
      <c r="BK28" s="56">
        <f>IF(7599.05557="","-",7599.05557)</f>
        <v>7599.0555700000004</v>
      </c>
      <c r="BL28" s="56">
        <f>IF(7588.30444="","-",7588.30444)</f>
        <v>7588.3044399999999</v>
      </c>
      <c r="BM28" s="56">
        <f>IF(9079.3308="","-",9079.3308)</f>
        <v>9079.3307999999997</v>
      </c>
      <c r="BN28" s="56">
        <f>IF(2839.81355="","-",2839.81355)</f>
        <v>2839.8135499999999</v>
      </c>
      <c r="BO28" s="56">
        <f>IF(27106.50436="","-",27106.50436)</f>
        <v>27106.504359999999</v>
      </c>
      <c r="BP28" s="56">
        <v>3369.1065899999999</v>
      </c>
      <c r="BQ28" s="46">
        <v>4786.4194100000004</v>
      </c>
      <c r="BR28" s="46">
        <v>7678.4328500000001</v>
      </c>
      <c r="BS28" s="56">
        <v>3308.40533</v>
      </c>
      <c r="BT28" s="56">
        <v>19142.36418</v>
      </c>
      <c r="BU28" s="56">
        <v>1099.1086399999999</v>
      </c>
      <c r="BV28" s="56">
        <v>1216.96677</v>
      </c>
      <c r="BW28" s="56">
        <v>3307.78341</v>
      </c>
      <c r="BX28" s="56">
        <v>4511.7865199999997</v>
      </c>
      <c r="BY28" s="56">
        <v>10135.645339999999</v>
      </c>
      <c r="BZ28" s="56">
        <v>3863.28818</v>
      </c>
      <c r="CA28" s="56">
        <v>1855.8765800000001</v>
      </c>
      <c r="CB28" s="56">
        <v>1877.8736799999999</v>
      </c>
      <c r="CC28" s="56">
        <v>2280.3313600000001</v>
      </c>
      <c r="CD28" s="56">
        <v>9877.3698000000004</v>
      </c>
      <c r="CE28" s="56">
        <v>1366.88157</v>
      </c>
      <c r="CF28" s="56">
        <v>3003.5540500000002</v>
      </c>
      <c r="CG28" s="56">
        <v>5012.1591900000003</v>
      </c>
      <c r="CH28" s="56">
        <v>10135.34274</v>
      </c>
      <c r="CI28" s="56">
        <v>19517.937549999999</v>
      </c>
      <c r="CJ28" s="56">
        <v>5924.5597699999998</v>
      </c>
      <c r="CK28" s="56">
        <v>1858.14869</v>
      </c>
      <c r="CL28" s="56">
        <v>2082.0215600000001</v>
      </c>
      <c r="CM28" s="56">
        <v>3721.99188</v>
      </c>
      <c r="CN28" s="56">
        <v>13586.7219</v>
      </c>
      <c r="CO28" s="56">
        <v>4833.7605400000002</v>
      </c>
      <c r="CP28" s="56">
        <v>3546.8343300000001</v>
      </c>
      <c r="CQ28" s="56">
        <v>1293.8465100000001</v>
      </c>
      <c r="CR28" s="56">
        <v>3595.6490100000001</v>
      </c>
      <c r="CS28" s="56">
        <v>13270.090389999999</v>
      </c>
      <c r="CT28" s="66" t="s">
        <v>16</v>
      </c>
      <c r="CU28" s="60" t="s">
        <v>152</v>
      </c>
    </row>
    <row r="29" spans="1:99" s="9" customFormat="1" ht="15.75">
      <c r="A29" s="66" t="s">
        <v>17</v>
      </c>
      <c r="B29" s="60" t="s">
        <v>153</v>
      </c>
      <c r="C29" s="81">
        <v>273.7</v>
      </c>
      <c r="D29" s="81">
        <v>172.3</v>
      </c>
      <c r="E29" s="81">
        <v>253.1</v>
      </c>
      <c r="F29" s="81">
        <v>1151.4000000000001</v>
      </c>
      <c r="G29" s="82">
        <f t="shared" si="6"/>
        <v>1850.5</v>
      </c>
      <c r="H29" s="81">
        <v>294</v>
      </c>
      <c r="I29" s="81">
        <v>300.89999999999998</v>
      </c>
      <c r="J29" s="81">
        <v>266.60000000000002</v>
      </c>
      <c r="K29" s="81">
        <v>761.5</v>
      </c>
      <c r="L29" s="82">
        <f t="shared" si="4"/>
        <v>1623</v>
      </c>
      <c r="M29" s="81">
        <v>312.39999999999998</v>
      </c>
      <c r="N29" s="81">
        <v>234.6</v>
      </c>
      <c r="O29" s="81">
        <v>326.5</v>
      </c>
      <c r="P29" s="81">
        <v>808.2</v>
      </c>
      <c r="Q29" s="82">
        <f t="shared" si="5"/>
        <v>1681.7</v>
      </c>
      <c r="R29" s="81">
        <v>562.79999999999995</v>
      </c>
      <c r="S29" s="81">
        <v>413.9</v>
      </c>
      <c r="T29" s="81">
        <v>438.6</v>
      </c>
      <c r="U29" s="81">
        <v>945.8</v>
      </c>
      <c r="V29" s="83">
        <f t="shared" si="1"/>
        <v>2361.1</v>
      </c>
      <c r="W29" s="81">
        <v>360.1</v>
      </c>
      <c r="X29" s="81">
        <v>492</v>
      </c>
      <c r="Y29" s="81">
        <v>534.20000000000005</v>
      </c>
      <c r="Z29" s="81">
        <v>1035.5</v>
      </c>
      <c r="AA29" s="83">
        <f t="shared" si="2"/>
        <v>2421.8000000000002</v>
      </c>
      <c r="AB29" s="81">
        <v>531.29999999999995</v>
      </c>
      <c r="AC29" s="81">
        <v>477.6</v>
      </c>
      <c r="AD29" s="81">
        <v>462.2</v>
      </c>
      <c r="AE29" s="81">
        <v>1204.0999999999999</v>
      </c>
      <c r="AF29" s="81">
        <v>2675.2</v>
      </c>
      <c r="AG29" s="84">
        <v>574.29999999999995</v>
      </c>
      <c r="AH29" s="84">
        <v>513.1</v>
      </c>
      <c r="AI29" s="84">
        <v>608.79999999999995</v>
      </c>
      <c r="AJ29" s="84">
        <v>998.4</v>
      </c>
      <c r="AK29" s="83">
        <f t="shared" si="3"/>
        <v>2694.6</v>
      </c>
      <c r="AL29" s="83">
        <v>794.6</v>
      </c>
      <c r="AM29" s="83">
        <v>657.4</v>
      </c>
      <c r="AN29" s="83">
        <v>670.4</v>
      </c>
      <c r="AO29" s="83">
        <v>1469.8</v>
      </c>
      <c r="AP29" s="83">
        <v>3592.2</v>
      </c>
      <c r="AQ29" s="83">
        <v>1310</v>
      </c>
      <c r="AR29" s="83">
        <v>1337.9</v>
      </c>
      <c r="AS29" s="83">
        <v>1402.1</v>
      </c>
      <c r="AT29" s="83">
        <v>1886.1</v>
      </c>
      <c r="AU29" s="83">
        <v>5936.1</v>
      </c>
      <c r="AV29" s="84">
        <v>1811.8</v>
      </c>
      <c r="AW29" s="84">
        <v>1306.7</v>
      </c>
      <c r="AX29" s="84">
        <v>1332.2</v>
      </c>
      <c r="AY29" s="85">
        <v>1737.5</v>
      </c>
      <c r="AZ29" s="84">
        <v>6188.2</v>
      </c>
      <c r="BA29" s="84">
        <v>1106.9000000000001</v>
      </c>
      <c r="BB29" s="84">
        <v>1071.5</v>
      </c>
      <c r="BC29" s="84">
        <v>1239.0999999999999</v>
      </c>
      <c r="BD29" s="86">
        <v>2070.5</v>
      </c>
      <c r="BE29" s="84">
        <v>5488</v>
      </c>
      <c r="BF29" s="84">
        <v>1532.9616799999999</v>
      </c>
      <c r="BG29" s="87">
        <v>1236.3500899999999</v>
      </c>
      <c r="BH29" s="88">
        <v>1530.60781</v>
      </c>
      <c r="BI29" s="56">
        <v>2474.0217899999998</v>
      </c>
      <c r="BJ29" s="56">
        <v>6773.9413699999996</v>
      </c>
      <c r="BK29" s="56">
        <f>IF(1715.64781="","-",1715.64781)</f>
        <v>1715.6478099999999</v>
      </c>
      <c r="BL29" s="56">
        <f>IF(1546.02941="","-",1546.02941)</f>
        <v>1546.0294100000001</v>
      </c>
      <c r="BM29" s="56">
        <f>IF(2007.59458="","-",2007.59458)</f>
        <v>2007.59458</v>
      </c>
      <c r="BN29" s="56">
        <f>IF(2890.6615="","-",2890.6615)</f>
        <v>2890.6615000000002</v>
      </c>
      <c r="BO29" s="56">
        <f>IF(8159.9333="","-",8159.9333)</f>
        <v>8159.9332999999997</v>
      </c>
      <c r="BP29" s="56">
        <v>2001.7946899999999</v>
      </c>
      <c r="BQ29" s="46">
        <v>2098.7640999999999</v>
      </c>
      <c r="BR29" s="46">
        <v>2127.4365400000002</v>
      </c>
      <c r="BS29" s="56">
        <v>2761.8764000000001</v>
      </c>
      <c r="BT29" s="56">
        <v>8989.8717300000008</v>
      </c>
      <c r="BU29" s="56">
        <v>2097.8150099999998</v>
      </c>
      <c r="BV29" s="56">
        <v>1786.1990699999999</v>
      </c>
      <c r="BW29" s="56">
        <v>1944.15543</v>
      </c>
      <c r="BX29" s="56">
        <v>2647.6995299999999</v>
      </c>
      <c r="BY29" s="56">
        <v>8475.8690399999996</v>
      </c>
      <c r="BZ29" s="56">
        <v>2273.5904999999998</v>
      </c>
      <c r="CA29" s="56">
        <v>880.13816999999995</v>
      </c>
      <c r="CB29" s="56">
        <v>1531.4410800000001</v>
      </c>
      <c r="CC29" s="56">
        <v>2507.2450699999999</v>
      </c>
      <c r="CD29" s="56">
        <v>7192.41482</v>
      </c>
      <c r="CE29" s="56">
        <v>2106.3313600000001</v>
      </c>
      <c r="CF29" s="56">
        <v>1914.9712199999999</v>
      </c>
      <c r="CG29" s="56">
        <v>2327.2154799999998</v>
      </c>
      <c r="CH29" s="56">
        <v>3264.35041</v>
      </c>
      <c r="CI29" s="56">
        <v>9612.8684699999994</v>
      </c>
      <c r="CJ29" s="56">
        <v>2497.62293</v>
      </c>
      <c r="CK29" s="56">
        <v>2474.0695500000002</v>
      </c>
      <c r="CL29" s="56">
        <v>2180.7624500000002</v>
      </c>
      <c r="CM29" s="56">
        <v>3635.1757600000001</v>
      </c>
      <c r="CN29" s="56">
        <v>10787.63069</v>
      </c>
      <c r="CO29" s="56">
        <v>2608.3437600000002</v>
      </c>
      <c r="CP29" s="56">
        <v>1925.7385200000001</v>
      </c>
      <c r="CQ29" s="56">
        <v>3215.1439700000001</v>
      </c>
      <c r="CR29" s="56">
        <v>3175.8554800000002</v>
      </c>
      <c r="CS29" s="56">
        <v>10925.08173</v>
      </c>
      <c r="CT29" s="66" t="s">
        <v>17</v>
      </c>
      <c r="CU29" s="60" t="s">
        <v>153</v>
      </c>
    </row>
    <row r="30" spans="1:99" s="9" customFormat="1" ht="31.5">
      <c r="A30" s="66" t="s">
        <v>18</v>
      </c>
      <c r="B30" s="60" t="s">
        <v>154</v>
      </c>
      <c r="C30" s="81">
        <v>659.3</v>
      </c>
      <c r="D30" s="81">
        <v>681.4</v>
      </c>
      <c r="E30" s="81">
        <v>672</v>
      </c>
      <c r="F30" s="81">
        <v>758.5</v>
      </c>
      <c r="G30" s="82">
        <f t="shared" si="6"/>
        <v>2771.2</v>
      </c>
      <c r="H30" s="81">
        <v>687.6</v>
      </c>
      <c r="I30" s="81">
        <v>718.1</v>
      </c>
      <c r="J30" s="81">
        <v>722.3</v>
      </c>
      <c r="K30" s="81">
        <v>972.5</v>
      </c>
      <c r="L30" s="82">
        <f t="shared" si="4"/>
        <v>3100.5</v>
      </c>
      <c r="M30" s="81">
        <v>773</v>
      </c>
      <c r="N30" s="81">
        <v>876.2</v>
      </c>
      <c r="O30" s="81">
        <v>1109.3</v>
      </c>
      <c r="P30" s="81">
        <v>1355.4</v>
      </c>
      <c r="Q30" s="82">
        <f t="shared" si="5"/>
        <v>4113.8999999999996</v>
      </c>
      <c r="R30" s="81">
        <v>1420</v>
      </c>
      <c r="S30" s="81">
        <v>1742.1</v>
      </c>
      <c r="T30" s="81">
        <v>1740.4</v>
      </c>
      <c r="U30" s="81">
        <v>1643.8</v>
      </c>
      <c r="V30" s="83">
        <f t="shared" si="1"/>
        <v>6546.3</v>
      </c>
      <c r="W30" s="81">
        <v>1498.4</v>
      </c>
      <c r="X30" s="81">
        <v>1533.4</v>
      </c>
      <c r="Y30" s="81">
        <v>1835.3</v>
      </c>
      <c r="Z30" s="81">
        <v>1971.8</v>
      </c>
      <c r="AA30" s="83">
        <f t="shared" si="2"/>
        <v>6838.9000000000005</v>
      </c>
      <c r="AB30" s="81">
        <v>1832.3</v>
      </c>
      <c r="AC30" s="81">
        <v>1417.5</v>
      </c>
      <c r="AD30" s="81">
        <v>1814</v>
      </c>
      <c r="AE30" s="81">
        <v>2229.5</v>
      </c>
      <c r="AF30" s="81">
        <v>7293.3</v>
      </c>
      <c r="AG30" s="84">
        <v>2483.1999999999998</v>
      </c>
      <c r="AH30" s="84">
        <v>2769.2</v>
      </c>
      <c r="AI30" s="84">
        <v>3106.1</v>
      </c>
      <c r="AJ30" s="84">
        <v>3141.7</v>
      </c>
      <c r="AK30" s="83">
        <f t="shared" si="3"/>
        <v>11500.2</v>
      </c>
      <c r="AL30" s="83">
        <v>3184.9</v>
      </c>
      <c r="AM30" s="83">
        <v>2719.8</v>
      </c>
      <c r="AN30" s="83">
        <v>3348.8</v>
      </c>
      <c r="AO30" s="83">
        <v>4191.1000000000004</v>
      </c>
      <c r="AP30" s="83">
        <v>13444.6</v>
      </c>
      <c r="AQ30" s="83">
        <v>4126</v>
      </c>
      <c r="AR30" s="83">
        <v>4060.5</v>
      </c>
      <c r="AS30" s="83">
        <v>4523.2</v>
      </c>
      <c r="AT30" s="83">
        <v>4844.2</v>
      </c>
      <c r="AU30" s="83">
        <v>17553.900000000001</v>
      </c>
      <c r="AV30" s="84">
        <v>4525.5</v>
      </c>
      <c r="AW30" s="84">
        <v>4146.5</v>
      </c>
      <c r="AX30" s="83">
        <v>4153</v>
      </c>
      <c r="AY30" s="85">
        <v>4382.1000000000004</v>
      </c>
      <c r="AZ30" s="84">
        <v>17207.099999999999</v>
      </c>
      <c r="BA30" s="84">
        <v>3342.2</v>
      </c>
      <c r="BB30" s="84">
        <v>2920.7</v>
      </c>
      <c r="BC30" s="84">
        <v>3348.3</v>
      </c>
      <c r="BD30" s="86">
        <v>3783.5</v>
      </c>
      <c r="BE30" s="84">
        <v>13394.7</v>
      </c>
      <c r="BF30" s="84">
        <v>3556.7670499999999</v>
      </c>
      <c r="BG30" s="87">
        <v>4953.9010699999999</v>
      </c>
      <c r="BH30" s="88">
        <v>4720.1348900000003</v>
      </c>
      <c r="BI30" s="56">
        <v>3604.1424499999998</v>
      </c>
      <c r="BJ30" s="56">
        <v>16834.945459999999</v>
      </c>
      <c r="BK30" s="56">
        <f>IF(3611.23122="","-",3611.23122)</f>
        <v>3611.2312200000001</v>
      </c>
      <c r="BL30" s="56">
        <f>IF(3230.32957="","-",3230.32957)</f>
        <v>3230.3295699999999</v>
      </c>
      <c r="BM30" s="56">
        <f>IF(3357.55766="","-",3357.55766)</f>
        <v>3357.5576599999999</v>
      </c>
      <c r="BN30" s="56">
        <f>IF(4168.10712="","-",4168.10712)</f>
        <v>4168.1071199999997</v>
      </c>
      <c r="BO30" s="56">
        <f>IF(14367.22557="","-",14367.22557)</f>
        <v>14367.225570000001</v>
      </c>
      <c r="BP30" s="56">
        <v>3951.15994</v>
      </c>
      <c r="BQ30" s="46">
        <v>3146.2777000000001</v>
      </c>
      <c r="BR30" s="46">
        <v>3916.4634099999998</v>
      </c>
      <c r="BS30" s="56">
        <v>4669.00569</v>
      </c>
      <c r="BT30" s="56">
        <v>15682.90674</v>
      </c>
      <c r="BU30" s="56">
        <v>3947.66165</v>
      </c>
      <c r="BV30" s="56">
        <v>3708.5425100000002</v>
      </c>
      <c r="BW30" s="56">
        <v>3951.2599700000001</v>
      </c>
      <c r="BX30" s="56">
        <v>4975.5130300000001</v>
      </c>
      <c r="BY30" s="56">
        <v>16582.977159999999</v>
      </c>
      <c r="BZ30" s="56">
        <v>4696.3051699999996</v>
      </c>
      <c r="CA30" s="56">
        <v>3953.0813499999999</v>
      </c>
      <c r="CB30" s="56">
        <v>4070.1343400000001</v>
      </c>
      <c r="CC30" s="56">
        <v>5039.6805700000004</v>
      </c>
      <c r="CD30" s="56">
        <v>17759.201430000001</v>
      </c>
      <c r="CE30" s="56">
        <v>5490.2014799999997</v>
      </c>
      <c r="CF30" s="56">
        <v>4402.2657099999997</v>
      </c>
      <c r="CG30" s="56">
        <v>4137.6700799999999</v>
      </c>
      <c r="CH30" s="56">
        <v>5840.2158200000003</v>
      </c>
      <c r="CI30" s="56">
        <v>19870.353090000001</v>
      </c>
      <c r="CJ30" s="56">
        <v>5475.5029699999996</v>
      </c>
      <c r="CK30" s="56">
        <v>6429.9181600000002</v>
      </c>
      <c r="CL30" s="56">
        <v>5794.3496299999997</v>
      </c>
      <c r="CM30" s="56">
        <v>6246.0768200000002</v>
      </c>
      <c r="CN30" s="56">
        <v>23945.847580000001</v>
      </c>
      <c r="CO30" s="56">
        <v>7197.3438200000001</v>
      </c>
      <c r="CP30" s="56">
        <v>5883.4941200000003</v>
      </c>
      <c r="CQ30" s="56">
        <v>5860.42292</v>
      </c>
      <c r="CR30" s="56">
        <v>7319.0851400000001</v>
      </c>
      <c r="CS30" s="56">
        <v>26260.346000000001</v>
      </c>
      <c r="CT30" s="66" t="s">
        <v>18</v>
      </c>
      <c r="CU30" s="60" t="s">
        <v>154</v>
      </c>
    </row>
    <row r="31" spans="1:99" s="9" customFormat="1" ht="31.5">
      <c r="A31" s="66" t="s">
        <v>19</v>
      </c>
      <c r="B31" s="60" t="s">
        <v>155</v>
      </c>
      <c r="C31" s="81">
        <v>7623</v>
      </c>
      <c r="D31" s="81">
        <v>7003.8</v>
      </c>
      <c r="E31" s="81">
        <v>12151</v>
      </c>
      <c r="F31" s="81">
        <v>19700.599999999999</v>
      </c>
      <c r="G31" s="82">
        <f t="shared" si="6"/>
        <v>46478.399999999994</v>
      </c>
      <c r="H31" s="81">
        <v>7562.9</v>
      </c>
      <c r="I31" s="81">
        <v>6242.2</v>
      </c>
      <c r="J31" s="81">
        <v>11160.5</v>
      </c>
      <c r="K31" s="81">
        <v>17355.099999999999</v>
      </c>
      <c r="L31" s="82">
        <f t="shared" si="4"/>
        <v>42320.7</v>
      </c>
      <c r="M31" s="81">
        <v>13088.4</v>
      </c>
      <c r="N31" s="81">
        <v>8715.1</v>
      </c>
      <c r="O31" s="81">
        <v>22354.6</v>
      </c>
      <c r="P31" s="81">
        <v>35322.400000000001</v>
      </c>
      <c r="Q31" s="82">
        <f t="shared" si="5"/>
        <v>79480.5</v>
      </c>
      <c r="R31" s="81">
        <v>10962.3</v>
      </c>
      <c r="S31" s="81">
        <v>8953.2000000000007</v>
      </c>
      <c r="T31" s="81">
        <v>13663.6</v>
      </c>
      <c r="U31" s="81">
        <v>17821.3</v>
      </c>
      <c r="V31" s="83">
        <f t="shared" si="1"/>
        <v>51400.399999999994</v>
      </c>
      <c r="W31" s="81">
        <v>10559.7</v>
      </c>
      <c r="X31" s="81">
        <v>13561.1</v>
      </c>
      <c r="Y31" s="81">
        <v>9142.2000000000007</v>
      </c>
      <c r="Z31" s="81">
        <v>16853.5</v>
      </c>
      <c r="AA31" s="83">
        <f t="shared" si="2"/>
        <v>50116.5</v>
      </c>
      <c r="AB31" s="81">
        <v>11446.8</v>
      </c>
      <c r="AC31" s="81">
        <v>7294.4</v>
      </c>
      <c r="AD31" s="81">
        <v>9759.9</v>
      </c>
      <c r="AE31" s="81">
        <v>23773.200000000001</v>
      </c>
      <c r="AF31" s="81">
        <v>52274.3</v>
      </c>
      <c r="AG31" s="84">
        <v>12448.9</v>
      </c>
      <c r="AH31" s="84">
        <v>9313.7999999999993</v>
      </c>
      <c r="AI31" s="84">
        <v>17803.5</v>
      </c>
      <c r="AJ31" s="84">
        <v>29202.2</v>
      </c>
      <c r="AK31" s="83">
        <f t="shared" si="3"/>
        <v>68768.399999999994</v>
      </c>
      <c r="AL31" s="83">
        <v>9495.2000000000007</v>
      </c>
      <c r="AM31" s="83">
        <v>7413.4</v>
      </c>
      <c r="AN31" s="83">
        <v>18704.3</v>
      </c>
      <c r="AO31" s="83">
        <v>24758.7</v>
      </c>
      <c r="AP31" s="83">
        <v>60371.6</v>
      </c>
      <c r="AQ31" s="83">
        <v>18244.599999999999</v>
      </c>
      <c r="AR31" s="83">
        <v>17429.900000000001</v>
      </c>
      <c r="AS31" s="83">
        <v>15399.9</v>
      </c>
      <c r="AT31" s="83">
        <v>24993.7</v>
      </c>
      <c r="AU31" s="83">
        <v>76068.100000000006</v>
      </c>
      <c r="AV31" s="84">
        <v>19108.5</v>
      </c>
      <c r="AW31" s="83">
        <v>10637.3</v>
      </c>
      <c r="AX31" s="83">
        <v>11831.8</v>
      </c>
      <c r="AY31" s="85">
        <v>18087.5</v>
      </c>
      <c r="AZ31" s="84">
        <v>59665.1</v>
      </c>
      <c r="BA31" s="84">
        <v>10968.6</v>
      </c>
      <c r="BB31" s="84">
        <v>7363</v>
      </c>
      <c r="BC31" s="84">
        <v>12989.4</v>
      </c>
      <c r="BD31" s="86">
        <v>18562</v>
      </c>
      <c r="BE31" s="84">
        <v>49883</v>
      </c>
      <c r="BF31" s="84">
        <v>6424.7677999999996</v>
      </c>
      <c r="BG31" s="87">
        <v>5287.9938599999996</v>
      </c>
      <c r="BH31" s="88">
        <v>8655.8848600000001</v>
      </c>
      <c r="BI31" s="56">
        <v>21038.782090000001</v>
      </c>
      <c r="BJ31" s="56">
        <v>41407.428610000003</v>
      </c>
      <c r="BK31" s="56">
        <f>IF(9736.85087="","-",9736.85087)</f>
        <v>9736.8508700000002</v>
      </c>
      <c r="BL31" s="56">
        <f>IF(8174.97678="","-",8174.97678)</f>
        <v>8174.97678</v>
      </c>
      <c r="BM31" s="56">
        <f>IF(13870.40402="","-",13870.40402)</f>
        <v>13870.40402</v>
      </c>
      <c r="BN31" s="56">
        <v>37714.480000000003</v>
      </c>
      <c r="BO31" s="56">
        <v>69496.72</v>
      </c>
      <c r="BP31" s="56">
        <v>6496.5665799999997</v>
      </c>
      <c r="BQ31" s="46">
        <v>8820.39761</v>
      </c>
      <c r="BR31" s="46">
        <v>13550.892030000001</v>
      </c>
      <c r="BS31" s="56">
        <v>20334.764940000001</v>
      </c>
      <c r="BT31" s="56">
        <v>49202.621160000002</v>
      </c>
      <c r="BU31" s="56">
        <v>17242.896959999998</v>
      </c>
      <c r="BV31" s="56">
        <v>13183.797920000001</v>
      </c>
      <c r="BW31" s="56">
        <v>18142.651160000001</v>
      </c>
      <c r="BX31" s="56">
        <v>24259.305219999998</v>
      </c>
      <c r="BY31" s="56">
        <v>72828.651259999999</v>
      </c>
      <c r="BZ31" s="56">
        <v>20158.941879999998</v>
      </c>
      <c r="CA31" s="56">
        <v>14821.36594</v>
      </c>
      <c r="CB31" s="56">
        <v>17695.084920000001</v>
      </c>
      <c r="CC31" s="56">
        <v>21870.62961</v>
      </c>
      <c r="CD31" s="56">
        <v>74546.022349999999</v>
      </c>
      <c r="CE31" s="56">
        <v>16024.173199999999</v>
      </c>
      <c r="CF31" s="56">
        <v>13094.0357</v>
      </c>
      <c r="CG31" s="56">
        <v>18616.00734</v>
      </c>
      <c r="CH31" s="56">
        <v>29043.011119999999</v>
      </c>
      <c r="CI31" s="56">
        <v>76777.227360000004</v>
      </c>
      <c r="CJ31" s="56">
        <v>23794.517660000001</v>
      </c>
      <c r="CK31" s="56">
        <v>20659.107660000001</v>
      </c>
      <c r="CL31" s="56">
        <v>20780.399829999998</v>
      </c>
      <c r="CM31" s="56">
        <v>39743.634570000002</v>
      </c>
      <c r="CN31" s="56">
        <v>104977.65972</v>
      </c>
      <c r="CO31" s="56">
        <v>29946.501240000001</v>
      </c>
      <c r="CP31" s="56">
        <v>18976.079089999999</v>
      </c>
      <c r="CQ31" s="56">
        <v>21009.425289999999</v>
      </c>
      <c r="CR31" s="56">
        <v>38009.686280000002</v>
      </c>
      <c r="CS31" s="56">
        <v>107941.69190000001</v>
      </c>
      <c r="CT31" s="66" t="s">
        <v>19</v>
      </c>
      <c r="CU31" s="60" t="s">
        <v>155</v>
      </c>
    </row>
    <row r="32" spans="1:99" s="9" customFormat="1" ht="15.75">
      <c r="A32" s="66" t="s">
        <v>20</v>
      </c>
      <c r="B32" s="60" t="s">
        <v>156</v>
      </c>
      <c r="C32" s="81">
        <v>175.9</v>
      </c>
      <c r="D32" s="81">
        <v>673.3</v>
      </c>
      <c r="E32" s="81">
        <v>470.2</v>
      </c>
      <c r="F32" s="81">
        <v>61.5</v>
      </c>
      <c r="G32" s="82">
        <f t="shared" si="6"/>
        <v>1380.8999999999999</v>
      </c>
      <c r="H32" s="81">
        <v>823.7</v>
      </c>
      <c r="I32" s="81">
        <v>977.9</v>
      </c>
      <c r="J32" s="81">
        <v>646.20000000000005</v>
      </c>
      <c r="K32" s="81">
        <v>125.2</v>
      </c>
      <c r="L32" s="82">
        <f t="shared" si="4"/>
        <v>2573</v>
      </c>
      <c r="M32" s="81">
        <v>547.9</v>
      </c>
      <c r="N32" s="81">
        <v>826.3</v>
      </c>
      <c r="O32" s="81">
        <v>965.6</v>
      </c>
      <c r="P32" s="81">
        <v>663.6</v>
      </c>
      <c r="Q32" s="82">
        <f t="shared" si="5"/>
        <v>3003.3999999999996</v>
      </c>
      <c r="R32" s="81">
        <v>908.6</v>
      </c>
      <c r="S32" s="81">
        <v>1134</v>
      </c>
      <c r="T32" s="81">
        <v>905.1</v>
      </c>
      <c r="U32" s="81">
        <v>119.2</v>
      </c>
      <c r="V32" s="83">
        <f t="shared" si="1"/>
        <v>3066.8999999999996</v>
      </c>
      <c r="W32" s="81">
        <v>409.6</v>
      </c>
      <c r="X32" s="81">
        <v>958.3</v>
      </c>
      <c r="Y32" s="81">
        <v>930.5</v>
      </c>
      <c r="Z32" s="81">
        <v>275.39999999999998</v>
      </c>
      <c r="AA32" s="83">
        <f t="shared" si="2"/>
        <v>2573.8000000000002</v>
      </c>
      <c r="AB32" s="81">
        <v>1148.2</v>
      </c>
      <c r="AC32" s="81">
        <v>1478.8</v>
      </c>
      <c r="AD32" s="81">
        <v>1320.4</v>
      </c>
      <c r="AE32" s="81">
        <v>547.1</v>
      </c>
      <c r="AF32" s="81">
        <v>4494.5</v>
      </c>
      <c r="AG32" s="84">
        <v>1313.6</v>
      </c>
      <c r="AH32" s="84">
        <v>1766.1</v>
      </c>
      <c r="AI32" s="84">
        <v>1916</v>
      </c>
      <c r="AJ32" s="84">
        <v>478.1</v>
      </c>
      <c r="AK32" s="83">
        <f t="shared" si="3"/>
        <v>5473.8</v>
      </c>
      <c r="AL32" s="83">
        <v>1201.9000000000001</v>
      </c>
      <c r="AM32" s="83">
        <v>2745.4</v>
      </c>
      <c r="AN32" s="83">
        <v>2498.9</v>
      </c>
      <c r="AO32" s="83">
        <v>1169.4000000000001</v>
      </c>
      <c r="AP32" s="83">
        <v>7615.6</v>
      </c>
      <c r="AQ32" s="83">
        <v>2676.4</v>
      </c>
      <c r="AR32" s="83">
        <v>2824.9</v>
      </c>
      <c r="AS32" s="83">
        <v>3117.5</v>
      </c>
      <c r="AT32" s="83">
        <v>1030.0999999999999</v>
      </c>
      <c r="AU32" s="83">
        <v>9648.9</v>
      </c>
      <c r="AV32" s="84">
        <v>1829.1</v>
      </c>
      <c r="AW32" s="84">
        <v>2978.2</v>
      </c>
      <c r="AX32" s="84">
        <v>2289.9</v>
      </c>
      <c r="AY32" s="85">
        <v>668.8</v>
      </c>
      <c r="AZ32" s="84">
        <v>7766</v>
      </c>
      <c r="BA32" s="84">
        <v>2155.8000000000002</v>
      </c>
      <c r="BB32" s="84">
        <v>2614.3000000000002</v>
      </c>
      <c r="BC32" s="84">
        <v>1909.9</v>
      </c>
      <c r="BD32" s="86">
        <v>820.8</v>
      </c>
      <c r="BE32" s="84">
        <v>7500.8</v>
      </c>
      <c r="BF32" s="84">
        <v>2104.8436000000002</v>
      </c>
      <c r="BG32" s="87">
        <v>2770.9434200000001</v>
      </c>
      <c r="BH32" s="88">
        <v>2552.8628199999998</v>
      </c>
      <c r="BI32" s="56">
        <v>772.79258000000004</v>
      </c>
      <c r="BJ32" s="56">
        <v>8201.4424199999994</v>
      </c>
      <c r="BK32" s="56">
        <f>IF(1684.06581="","-",1684.06581)</f>
        <v>1684.0658100000001</v>
      </c>
      <c r="BL32" s="56">
        <f>IF(2847.74424="","-",2847.74424)</f>
        <v>2847.74424</v>
      </c>
      <c r="BM32" s="56">
        <f>IF(2426.41011="","-",2426.41011)</f>
        <v>2426.4101099999998</v>
      </c>
      <c r="BN32" s="56">
        <f>IF(1369.70431="","-",1369.70431)</f>
        <v>1369.7043100000001</v>
      </c>
      <c r="BO32" s="56">
        <f>IF(8327.92447="","-",8327.92447)</f>
        <v>8327.9244699999999</v>
      </c>
      <c r="BP32" s="56">
        <v>2476.7768500000002</v>
      </c>
      <c r="BQ32" s="46">
        <v>3205.1232799999998</v>
      </c>
      <c r="BR32" s="46">
        <v>3205.6718900000001</v>
      </c>
      <c r="BS32" s="56">
        <v>1200.9811</v>
      </c>
      <c r="BT32" s="56">
        <v>10088.55312</v>
      </c>
      <c r="BU32" s="56">
        <v>2418.6579400000001</v>
      </c>
      <c r="BV32" s="56">
        <v>2909.8309199999999</v>
      </c>
      <c r="BW32" s="56">
        <v>2356.70507</v>
      </c>
      <c r="BX32" s="56">
        <v>982.47756000000004</v>
      </c>
      <c r="BY32" s="56">
        <v>8667.6714900000006</v>
      </c>
      <c r="BZ32" s="56">
        <v>1076.3056999999999</v>
      </c>
      <c r="CA32" s="56">
        <v>1478.98777</v>
      </c>
      <c r="CB32" s="56">
        <v>2022.33988</v>
      </c>
      <c r="CC32" s="56">
        <v>1782.13706</v>
      </c>
      <c r="CD32" s="56">
        <v>6359.7704100000001</v>
      </c>
      <c r="CE32" s="56">
        <v>1590.38822</v>
      </c>
      <c r="CF32" s="56">
        <v>1857.38499</v>
      </c>
      <c r="CG32" s="56">
        <v>3157.6199200000001</v>
      </c>
      <c r="CH32" s="56">
        <v>2602.8591000000001</v>
      </c>
      <c r="CI32" s="56">
        <v>9208.2522300000001</v>
      </c>
      <c r="CJ32" s="56">
        <v>2936.3845900000001</v>
      </c>
      <c r="CK32" s="56">
        <v>4779.0593900000003</v>
      </c>
      <c r="CL32" s="56">
        <v>5859.0126300000002</v>
      </c>
      <c r="CM32" s="56">
        <v>3493.7473599999998</v>
      </c>
      <c r="CN32" s="56">
        <v>17068.203969999999</v>
      </c>
      <c r="CO32" s="56">
        <v>4487.4544699999997</v>
      </c>
      <c r="CP32" s="56">
        <v>4887.0483000000004</v>
      </c>
      <c r="CQ32" s="56">
        <v>5901.8778700000003</v>
      </c>
      <c r="CR32" s="56">
        <v>4099.6952199999996</v>
      </c>
      <c r="CS32" s="56">
        <v>19376.075860000001</v>
      </c>
      <c r="CT32" s="66" t="s">
        <v>20</v>
      </c>
      <c r="CU32" s="60" t="s">
        <v>156</v>
      </c>
    </row>
    <row r="33" spans="1:99" s="9" customFormat="1" ht="15.75">
      <c r="A33" s="66" t="s">
        <v>21</v>
      </c>
      <c r="B33" s="60" t="s">
        <v>157</v>
      </c>
      <c r="C33" s="81">
        <v>69099.899999999994</v>
      </c>
      <c r="D33" s="81">
        <v>82560.600000000006</v>
      </c>
      <c r="E33" s="81">
        <v>78187.100000000006</v>
      </c>
      <c r="F33" s="81">
        <v>84700</v>
      </c>
      <c r="G33" s="82">
        <f t="shared" si="6"/>
        <v>314547.59999999998</v>
      </c>
      <c r="H33" s="81">
        <v>79208</v>
      </c>
      <c r="I33" s="81">
        <v>29195.5</v>
      </c>
      <c r="J33" s="81">
        <v>29301.1</v>
      </c>
      <c r="K33" s="81">
        <v>48907</v>
      </c>
      <c r="L33" s="82">
        <f t="shared" si="4"/>
        <v>186611.6</v>
      </c>
      <c r="M33" s="81">
        <v>14917.6</v>
      </c>
      <c r="N33" s="81">
        <v>35965.199999999997</v>
      </c>
      <c r="O33" s="81">
        <v>32337.7</v>
      </c>
      <c r="P33" s="81">
        <v>50942.1</v>
      </c>
      <c r="Q33" s="82">
        <f t="shared" si="5"/>
        <v>134162.6</v>
      </c>
      <c r="R33" s="81">
        <v>44498.400000000001</v>
      </c>
      <c r="S33" s="81">
        <v>54124</v>
      </c>
      <c r="T33" s="81">
        <v>49986</v>
      </c>
      <c r="U33" s="81">
        <v>47303.8</v>
      </c>
      <c r="V33" s="83">
        <f t="shared" si="1"/>
        <v>195912.2</v>
      </c>
      <c r="W33" s="81">
        <v>32322.799999999999</v>
      </c>
      <c r="X33" s="81">
        <v>36907.9</v>
      </c>
      <c r="Y33" s="81">
        <v>38307.5</v>
      </c>
      <c r="Z33" s="81">
        <v>51928.2</v>
      </c>
      <c r="AA33" s="83">
        <f t="shared" si="2"/>
        <v>159466.4</v>
      </c>
      <c r="AB33" s="81">
        <v>39337.4</v>
      </c>
      <c r="AC33" s="81">
        <v>41872.5</v>
      </c>
      <c r="AD33" s="81">
        <v>36673.5</v>
      </c>
      <c r="AE33" s="81">
        <v>60303.4</v>
      </c>
      <c r="AF33" s="81">
        <v>178186.8</v>
      </c>
      <c r="AG33" s="84">
        <v>35018.9</v>
      </c>
      <c r="AH33" s="84">
        <v>37664.800000000003</v>
      </c>
      <c r="AI33" s="84">
        <v>42967.7</v>
      </c>
      <c r="AJ33" s="84">
        <v>65662</v>
      </c>
      <c r="AK33" s="83">
        <f t="shared" si="3"/>
        <v>181313.40000000002</v>
      </c>
      <c r="AL33" s="83">
        <v>39347.699999999997</v>
      </c>
      <c r="AM33" s="83">
        <v>55663.199999999997</v>
      </c>
      <c r="AN33" s="83">
        <v>47154.7</v>
      </c>
      <c r="AO33" s="83">
        <v>72802.5</v>
      </c>
      <c r="AP33" s="83">
        <v>214968.1</v>
      </c>
      <c r="AQ33" s="83">
        <v>63157.9</v>
      </c>
      <c r="AR33" s="83">
        <v>68724.100000000006</v>
      </c>
      <c r="AS33" s="83">
        <v>58363.4</v>
      </c>
      <c r="AT33" s="83">
        <v>62054.8</v>
      </c>
      <c r="AU33" s="83">
        <v>252300.2</v>
      </c>
      <c r="AV33" s="84">
        <v>41687.699999999997</v>
      </c>
      <c r="AW33" s="84">
        <v>47216.1</v>
      </c>
      <c r="AX33" s="83">
        <v>44845</v>
      </c>
      <c r="AY33" s="83">
        <v>59987.4</v>
      </c>
      <c r="AZ33" s="83">
        <v>193736.2</v>
      </c>
      <c r="BA33" s="83">
        <v>33346.9</v>
      </c>
      <c r="BB33" s="83">
        <v>35439.300000000003</v>
      </c>
      <c r="BC33" s="83">
        <v>41404.400000000001</v>
      </c>
      <c r="BD33" s="86">
        <v>49826.8</v>
      </c>
      <c r="BE33" s="84">
        <v>160017.4</v>
      </c>
      <c r="BF33" s="90">
        <v>35935.068359999997</v>
      </c>
      <c r="BG33" s="87">
        <v>44177.935559999998</v>
      </c>
      <c r="BH33" s="88">
        <v>45826.079559999998</v>
      </c>
      <c r="BI33" s="56">
        <v>49060.808120000002</v>
      </c>
      <c r="BJ33" s="56">
        <v>174999.8916</v>
      </c>
      <c r="BK33" s="56">
        <f>IF(41829.36834="","-",41829.36834)</f>
        <v>41829.368340000001</v>
      </c>
      <c r="BL33" s="56">
        <v>49132.65</v>
      </c>
      <c r="BM33" s="56">
        <f>IF(52433.53032="","-",52433.53032)</f>
        <v>52433.530319999998</v>
      </c>
      <c r="BN33" s="56">
        <v>61916.9</v>
      </c>
      <c r="BO33" s="56">
        <v>205312.45</v>
      </c>
      <c r="BP33" s="56">
        <v>54132.439330000001</v>
      </c>
      <c r="BQ33" s="46">
        <v>52981.865129999998</v>
      </c>
      <c r="BR33" s="46">
        <v>55744.261180000001</v>
      </c>
      <c r="BS33" s="56">
        <v>57393.447760000003</v>
      </c>
      <c r="BT33" s="56">
        <v>220252.0134</v>
      </c>
      <c r="BU33" s="56">
        <v>47334.031990000003</v>
      </c>
      <c r="BV33" s="56">
        <v>50817.705070000004</v>
      </c>
      <c r="BW33" s="56">
        <v>57195.357259999997</v>
      </c>
      <c r="BX33" s="56">
        <v>62036.863669999999</v>
      </c>
      <c r="BY33" s="56">
        <v>217383.95799</v>
      </c>
      <c r="BZ33" s="56">
        <v>50708.607259999997</v>
      </c>
      <c r="CA33" s="56">
        <v>52193.11937</v>
      </c>
      <c r="CB33" s="56">
        <v>56024.487359999999</v>
      </c>
      <c r="CC33" s="56">
        <v>63915.693749999999</v>
      </c>
      <c r="CD33" s="56">
        <v>222841.90774</v>
      </c>
      <c r="CE33" s="56">
        <v>53179.433290000001</v>
      </c>
      <c r="CF33" s="56">
        <v>55708.861989999998</v>
      </c>
      <c r="CG33" s="56">
        <v>54614.291510000003</v>
      </c>
      <c r="CH33" s="56">
        <v>66388.29492</v>
      </c>
      <c r="CI33" s="56">
        <v>229890.88170999999</v>
      </c>
      <c r="CJ33" s="56">
        <v>46578.930390000001</v>
      </c>
      <c r="CK33" s="56">
        <v>47784.881659999999</v>
      </c>
      <c r="CL33" s="56">
        <v>65908.116269999999</v>
      </c>
      <c r="CM33" s="56">
        <v>65210.893689999997</v>
      </c>
      <c r="CN33" s="56">
        <v>225482.82201</v>
      </c>
      <c r="CO33" s="56">
        <v>56959.161039999999</v>
      </c>
      <c r="CP33" s="56">
        <v>54780.466910000003</v>
      </c>
      <c r="CQ33" s="56">
        <v>55553.006950000003</v>
      </c>
      <c r="CR33" s="56">
        <v>65159.202080000003</v>
      </c>
      <c r="CS33" s="56">
        <v>232451.83697999999</v>
      </c>
      <c r="CT33" s="66" t="s">
        <v>21</v>
      </c>
      <c r="CU33" s="60" t="s">
        <v>157</v>
      </c>
    </row>
    <row r="34" spans="1:99" s="9" customFormat="1" ht="34.5" customHeight="1">
      <c r="A34" s="66" t="s">
        <v>22</v>
      </c>
      <c r="B34" s="60" t="s">
        <v>158</v>
      </c>
      <c r="C34" s="81">
        <v>2831.4</v>
      </c>
      <c r="D34" s="81">
        <v>2026.4</v>
      </c>
      <c r="E34" s="81">
        <v>897</v>
      </c>
      <c r="F34" s="81">
        <v>2425.9</v>
      </c>
      <c r="G34" s="82">
        <f t="shared" si="6"/>
        <v>8180.7000000000007</v>
      </c>
      <c r="H34" s="81">
        <v>2192.5</v>
      </c>
      <c r="I34" s="81">
        <v>1917.8</v>
      </c>
      <c r="J34" s="81">
        <v>917.1</v>
      </c>
      <c r="K34" s="81">
        <v>3614.3</v>
      </c>
      <c r="L34" s="82">
        <f t="shared" si="4"/>
        <v>8641.7000000000007</v>
      </c>
      <c r="M34" s="81">
        <v>2279.1999999999998</v>
      </c>
      <c r="N34" s="81">
        <v>1963.7</v>
      </c>
      <c r="O34" s="81">
        <v>559.79999999999995</v>
      </c>
      <c r="P34" s="81">
        <v>5961.8</v>
      </c>
      <c r="Q34" s="82">
        <f t="shared" si="5"/>
        <v>10764.5</v>
      </c>
      <c r="R34" s="81">
        <v>7107.9</v>
      </c>
      <c r="S34" s="81">
        <v>6026</v>
      </c>
      <c r="T34" s="81">
        <v>1898</v>
      </c>
      <c r="U34" s="81">
        <v>2734.9</v>
      </c>
      <c r="V34" s="83">
        <f t="shared" si="1"/>
        <v>17766.8</v>
      </c>
      <c r="W34" s="81">
        <v>2230.5</v>
      </c>
      <c r="X34" s="81">
        <v>1734.1</v>
      </c>
      <c r="Y34" s="81">
        <v>1917.8</v>
      </c>
      <c r="Z34" s="81">
        <v>2873.9</v>
      </c>
      <c r="AA34" s="83">
        <f t="shared" si="2"/>
        <v>8756.2999999999993</v>
      </c>
      <c r="AB34" s="81">
        <v>3260.3</v>
      </c>
      <c r="AC34" s="81">
        <v>2049</v>
      </c>
      <c r="AD34" s="81">
        <v>2235.1999999999998</v>
      </c>
      <c r="AE34" s="81">
        <v>7627.3</v>
      </c>
      <c r="AF34" s="81">
        <v>15171.8</v>
      </c>
      <c r="AG34" s="84">
        <v>6266</v>
      </c>
      <c r="AH34" s="84">
        <v>5061.8999999999996</v>
      </c>
      <c r="AI34" s="84">
        <v>460.3</v>
      </c>
      <c r="AJ34" s="84">
        <v>5706.5</v>
      </c>
      <c r="AK34" s="83">
        <f t="shared" si="3"/>
        <v>17494.699999999997</v>
      </c>
      <c r="AL34" s="83">
        <v>6657.7</v>
      </c>
      <c r="AM34" s="83">
        <v>5250.7</v>
      </c>
      <c r="AN34" s="83">
        <v>1930.2</v>
      </c>
      <c r="AO34" s="83">
        <v>7676.9</v>
      </c>
      <c r="AP34" s="83">
        <v>21515.5</v>
      </c>
      <c r="AQ34" s="84">
        <v>1724.6</v>
      </c>
      <c r="AR34" s="84">
        <v>236.4</v>
      </c>
      <c r="AS34" s="84">
        <v>352.6</v>
      </c>
      <c r="AT34" s="84">
        <v>7402.1</v>
      </c>
      <c r="AU34" s="84">
        <v>9715.7000000000007</v>
      </c>
      <c r="AV34" s="84">
        <v>8102.1</v>
      </c>
      <c r="AW34" s="84">
        <v>5871.1</v>
      </c>
      <c r="AX34" s="83">
        <v>1075</v>
      </c>
      <c r="AY34" s="85">
        <v>6062.7</v>
      </c>
      <c r="AZ34" s="84">
        <v>21110.9</v>
      </c>
      <c r="BA34" s="84">
        <v>5771.3</v>
      </c>
      <c r="BB34" s="84">
        <v>4215.3999999999996</v>
      </c>
      <c r="BC34" s="84">
        <v>678.6</v>
      </c>
      <c r="BD34" s="86">
        <v>5106.1000000000004</v>
      </c>
      <c r="BE34" s="84">
        <v>15771.4</v>
      </c>
      <c r="BF34" s="84">
        <v>4939.2837499999996</v>
      </c>
      <c r="BG34" s="87">
        <v>1351.16893</v>
      </c>
      <c r="BH34" s="88">
        <v>2221.6189100000001</v>
      </c>
      <c r="BI34" s="56">
        <v>7301.5607600000003</v>
      </c>
      <c r="BJ34" s="56">
        <v>15813.63235</v>
      </c>
      <c r="BK34" s="56">
        <f>IF(4880.07046="","-",4880.07046)</f>
        <v>4880.0704599999999</v>
      </c>
      <c r="BL34" s="56">
        <f>IF(1567.87215="","-",1567.87215)</f>
        <v>1567.8721499999999</v>
      </c>
      <c r="BM34" s="56">
        <f>IF(1862.11786="","-",1862.11786)</f>
        <v>1862.1178600000001</v>
      </c>
      <c r="BN34" s="56">
        <f>IF(7837.40751="","-",7837.40751)</f>
        <v>7837.40751</v>
      </c>
      <c r="BO34" s="56">
        <f>IF(16147.46798="","-",16147.46798)</f>
        <v>16147.467979999999</v>
      </c>
      <c r="BP34" s="56">
        <v>7013.1311699999997</v>
      </c>
      <c r="BQ34" s="46">
        <v>3964.6428700000001</v>
      </c>
      <c r="BR34" s="46">
        <v>2419.53359</v>
      </c>
      <c r="BS34" s="56">
        <v>8582.2027500000004</v>
      </c>
      <c r="BT34" s="56">
        <v>21979.51038</v>
      </c>
      <c r="BU34" s="100">
        <v>8850.4503000000004</v>
      </c>
      <c r="BV34" s="56">
        <v>2319.6867900000002</v>
      </c>
      <c r="BW34" s="56">
        <v>3095.85718</v>
      </c>
      <c r="BX34" s="56">
        <v>11191.46594</v>
      </c>
      <c r="BY34" s="56">
        <v>25457.460210000001</v>
      </c>
      <c r="BZ34" s="56">
        <v>9434.7211200000002</v>
      </c>
      <c r="CA34" s="56">
        <v>6932.5011400000003</v>
      </c>
      <c r="CB34" s="56">
        <v>1670.6529499999999</v>
      </c>
      <c r="CC34" s="56">
        <v>13795.24416</v>
      </c>
      <c r="CD34" s="56">
        <v>31833.11937</v>
      </c>
      <c r="CE34" s="56">
        <v>5654.0319499999996</v>
      </c>
      <c r="CF34" s="56">
        <v>4326.6231799999996</v>
      </c>
      <c r="CG34" s="56">
        <v>3589.8050600000001</v>
      </c>
      <c r="CH34" s="56">
        <v>16976.617750000001</v>
      </c>
      <c r="CI34" s="56">
        <v>30547.077939999999</v>
      </c>
      <c r="CJ34" s="56">
        <v>17120.349269999999</v>
      </c>
      <c r="CK34" s="56">
        <v>16805.839520000001</v>
      </c>
      <c r="CL34" s="56">
        <v>6577.6880099999998</v>
      </c>
      <c r="CM34" s="56">
        <v>13452.43917</v>
      </c>
      <c r="CN34" s="56">
        <v>53956.315970000003</v>
      </c>
      <c r="CO34" s="56">
        <v>16188.635480000001</v>
      </c>
      <c r="CP34" s="56">
        <v>18361.596949999999</v>
      </c>
      <c r="CQ34" s="56">
        <v>12831.28564</v>
      </c>
      <c r="CR34" s="56">
        <v>17640.642039999999</v>
      </c>
      <c r="CS34" s="56">
        <v>65022.160109999997</v>
      </c>
      <c r="CT34" s="66" t="s">
        <v>22</v>
      </c>
      <c r="CU34" s="60" t="s">
        <v>158</v>
      </c>
    </row>
    <row r="35" spans="1:99" s="9" customFormat="1" ht="18.75" customHeight="1">
      <c r="A35" s="66" t="s">
        <v>23</v>
      </c>
      <c r="B35" s="60" t="s">
        <v>159</v>
      </c>
      <c r="C35" s="81">
        <v>4619.3</v>
      </c>
      <c r="D35" s="81">
        <v>3986.9</v>
      </c>
      <c r="E35" s="81">
        <v>1814.6</v>
      </c>
      <c r="F35" s="81">
        <v>1473.1</v>
      </c>
      <c r="G35" s="82">
        <f t="shared" si="6"/>
        <v>11893.900000000001</v>
      </c>
      <c r="H35" s="81">
        <v>1064.8</v>
      </c>
      <c r="I35" s="81">
        <v>4675</v>
      </c>
      <c r="J35" s="81">
        <v>2042.1</v>
      </c>
      <c r="K35" s="81">
        <v>2387.8000000000002</v>
      </c>
      <c r="L35" s="82">
        <f t="shared" si="4"/>
        <v>10169.700000000001</v>
      </c>
      <c r="M35" s="81">
        <v>4788.7</v>
      </c>
      <c r="N35" s="81">
        <v>4414.1000000000004</v>
      </c>
      <c r="O35" s="81">
        <v>3844</v>
      </c>
      <c r="P35" s="81">
        <v>2309.3000000000002</v>
      </c>
      <c r="Q35" s="82">
        <f t="shared" si="5"/>
        <v>15356.099999999999</v>
      </c>
      <c r="R35" s="81">
        <v>4365.6000000000004</v>
      </c>
      <c r="S35" s="81">
        <v>7570.2</v>
      </c>
      <c r="T35" s="81">
        <v>4188.2</v>
      </c>
      <c r="U35" s="81">
        <v>2696.1</v>
      </c>
      <c r="V35" s="83">
        <f t="shared" si="1"/>
        <v>18820.099999999999</v>
      </c>
      <c r="W35" s="81">
        <v>4861.6000000000004</v>
      </c>
      <c r="X35" s="81">
        <v>5966.3</v>
      </c>
      <c r="Y35" s="81">
        <v>2369.1</v>
      </c>
      <c r="Z35" s="81">
        <v>2457.3000000000002</v>
      </c>
      <c r="AA35" s="83">
        <f t="shared" si="2"/>
        <v>15654.300000000003</v>
      </c>
      <c r="AB35" s="81">
        <v>4435.1000000000004</v>
      </c>
      <c r="AC35" s="81">
        <v>13913.4</v>
      </c>
      <c r="AD35" s="81">
        <v>4817.3999999999996</v>
      </c>
      <c r="AE35" s="81">
        <v>3990.3</v>
      </c>
      <c r="AF35" s="81">
        <v>27156.2</v>
      </c>
      <c r="AG35" s="84">
        <v>7840.4</v>
      </c>
      <c r="AH35" s="84">
        <v>10472</v>
      </c>
      <c r="AI35" s="84">
        <v>3304.4</v>
      </c>
      <c r="AJ35" s="84">
        <v>7107.1</v>
      </c>
      <c r="AK35" s="83">
        <f t="shared" si="3"/>
        <v>28723.9</v>
      </c>
      <c r="AL35" s="83">
        <v>6255.7</v>
      </c>
      <c r="AM35" s="83">
        <v>12279.9</v>
      </c>
      <c r="AN35" s="83">
        <v>8535.5</v>
      </c>
      <c r="AO35" s="83">
        <v>7141.9</v>
      </c>
      <c r="AP35" s="83">
        <v>34213</v>
      </c>
      <c r="AQ35" s="83">
        <v>5590.4</v>
      </c>
      <c r="AR35" s="83">
        <v>10870.8</v>
      </c>
      <c r="AS35" s="83">
        <v>5454.4</v>
      </c>
      <c r="AT35" s="83">
        <v>3595.6</v>
      </c>
      <c r="AU35" s="83">
        <v>25511.200000000001</v>
      </c>
      <c r="AV35" s="84">
        <v>3675.9</v>
      </c>
      <c r="AW35" s="84">
        <v>4045.6</v>
      </c>
      <c r="AX35" s="84">
        <v>4416.3</v>
      </c>
      <c r="AY35" s="85">
        <v>4559.6000000000004</v>
      </c>
      <c r="AZ35" s="84">
        <v>16697.400000000001</v>
      </c>
      <c r="BA35" s="84">
        <v>3268.6</v>
      </c>
      <c r="BB35" s="84">
        <v>2211.6</v>
      </c>
      <c r="BC35" s="84">
        <v>3844.4</v>
      </c>
      <c r="BD35" s="86">
        <v>3352.3</v>
      </c>
      <c r="BE35" s="84">
        <v>12676.9</v>
      </c>
      <c r="BF35" s="84">
        <v>2787.4786899999999</v>
      </c>
      <c r="BG35" s="87">
        <v>2382.66651</v>
      </c>
      <c r="BH35" s="88">
        <v>4077.0097000000001</v>
      </c>
      <c r="BI35" s="56">
        <v>4321.3422</v>
      </c>
      <c r="BJ35" s="56">
        <v>13568.497100000001</v>
      </c>
      <c r="BK35" s="56">
        <f>IF(2929.79484="","-",2929.79484)</f>
        <v>2929.79484</v>
      </c>
      <c r="BL35" s="56">
        <f>IF(3870.19887="","-",3870.19887)</f>
        <v>3870.1988700000002</v>
      </c>
      <c r="BM35" s="56">
        <f>IF(6775.62597="","-",6775.62597)</f>
        <v>6775.6259700000001</v>
      </c>
      <c r="BN35" s="56">
        <f>IF(5049.31626="","-",5049.31626)</f>
        <v>5049.3162599999996</v>
      </c>
      <c r="BO35" s="56">
        <f>IF(18624.93594="","-",18624.93594)</f>
        <v>18624.935939999999</v>
      </c>
      <c r="BP35" s="56">
        <v>5221.5203799999999</v>
      </c>
      <c r="BQ35" s="46">
        <v>5482.4236799999999</v>
      </c>
      <c r="BR35" s="46">
        <v>5698.5726299999997</v>
      </c>
      <c r="BS35" s="56">
        <v>6414.4636200000004</v>
      </c>
      <c r="BT35" s="56">
        <v>22816.980309999999</v>
      </c>
      <c r="BU35" s="56">
        <v>5915.5732399999997</v>
      </c>
      <c r="BV35" s="56">
        <v>7796.6712799999996</v>
      </c>
      <c r="BW35" s="56">
        <v>4806.9733999999999</v>
      </c>
      <c r="BX35" s="56">
        <v>3853.2325700000001</v>
      </c>
      <c r="BY35" s="56">
        <v>22372.450489999999</v>
      </c>
      <c r="BZ35" s="56">
        <v>3965.1661300000001</v>
      </c>
      <c r="CA35" s="56">
        <v>761.73438999999996</v>
      </c>
      <c r="CB35" s="56">
        <v>1451.2748799999999</v>
      </c>
      <c r="CC35" s="56">
        <v>2409.1092100000001</v>
      </c>
      <c r="CD35" s="56">
        <v>8587.2846100000006</v>
      </c>
      <c r="CE35" s="56">
        <v>3570.4062600000002</v>
      </c>
      <c r="CF35" s="56">
        <v>2192.9503</v>
      </c>
      <c r="CG35" s="56">
        <v>3502.5719199999999</v>
      </c>
      <c r="CH35" s="56">
        <v>3446.5004800000002</v>
      </c>
      <c r="CI35" s="56">
        <v>12712.428959999999</v>
      </c>
      <c r="CJ35" s="56">
        <v>2929.5974000000001</v>
      </c>
      <c r="CK35" s="56">
        <v>2121.2575400000001</v>
      </c>
      <c r="CL35" s="56">
        <v>2481.84375</v>
      </c>
      <c r="CM35" s="56">
        <v>4258.4067500000001</v>
      </c>
      <c r="CN35" s="56">
        <v>11791.105439999999</v>
      </c>
      <c r="CO35" s="56">
        <v>2723.1975900000002</v>
      </c>
      <c r="CP35" s="56">
        <v>2716.9576400000001</v>
      </c>
      <c r="CQ35" s="56">
        <v>3140.5001600000001</v>
      </c>
      <c r="CR35" s="56">
        <v>87.558570000000003</v>
      </c>
      <c r="CS35" s="56">
        <v>8668.2139599999991</v>
      </c>
      <c r="CT35" s="66" t="s">
        <v>23</v>
      </c>
      <c r="CU35" s="60" t="s">
        <v>159</v>
      </c>
    </row>
    <row r="36" spans="1:99" s="9" customFormat="1" ht="15.75">
      <c r="A36" s="65" t="s">
        <v>98</v>
      </c>
      <c r="B36" s="59" t="s">
        <v>160</v>
      </c>
      <c r="C36" s="72">
        <v>3113.7</v>
      </c>
      <c r="D36" s="72">
        <v>5150.8</v>
      </c>
      <c r="E36" s="72">
        <v>7631.7</v>
      </c>
      <c r="F36" s="72">
        <v>4209</v>
      </c>
      <c r="G36" s="72">
        <f t="shared" si="6"/>
        <v>20105.2</v>
      </c>
      <c r="H36" s="72">
        <v>4100.5</v>
      </c>
      <c r="I36" s="72">
        <v>7913.6</v>
      </c>
      <c r="J36" s="72">
        <v>8904</v>
      </c>
      <c r="K36" s="72">
        <v>6413.9</v>
      </c>
      <c r="L36" s="72">
        <f t="shared" si="4"/>
        <v>27332</v>
      </c>
      <c r="M36" s="72">
        <v>7911.4</v>
      </c>
      <c r="N36" s="72">
        <v>15218</v>
      </c>
      <c r="O36" s="72">
        <v>18819.8</v>
      </c>
      <c r="P36" s="72">
        <v>15087.4</v>
      </c>
      <c r="Q36" s="72">
        <f t="shared" si="5"/>
        <v>57036.6</v>
      </c>
      <c r="R36" s="72">
        <v>14605.9</v>
      </c>
      <c r="S36" s="72">
        <v>21246.3</v>
      </c>
      <c r="T36" s="72">
        <v>22837.5</v>
      </c>
      <c r="U36" s="72">
        <v>4775.7</v>
      </c>
      <c r="V36" s="75">
        <f t="shared" si="1"/>
        <v>63465.399999999994</v>
      </c>
      <c r="W36" s="72">
        <v>2720.7</v>
      </c>
      <c r="X36" s="72">
        <v>4050</v>
      </c>
      <c r="Y36" s="72">
        <v>4012.4</v>
      </c>
      <c r="Z36" s="72">
        <v>3603.5</v>
      </c>
      <c r="AA36" s="75">
        <f t="shared" si="2"/>
        <v>14386.6</v>
      </c>
      <c r="AB36" s="72">
        <v>1984.4</v>
      </c>
      <c r="AC36" s="72">
        <v>3670.6</v>
      </c>
      <c r="AD36" s="72">
        <v>6797.4</v>
      </c>
      <c r="AE36" s="72">
        <v>4696.2</v>
      </c>
      <c r="AF36" s="72">
        <v>17148.599999999999</v>
      </c>
      <c r="AG36" s="76">
        <v>5253.6</v>
      </c>
      <c r="AH36" s="76">
        <v>10515.7</v>
      </c>
      <c r="AI36" s="76">
        <v>12853.1</v>
      </c>
      <c r="AJ36" s="76">
        <v>8448.5</v>
      </c>
      <c r="AK36" s="75">
        <f t="shared" si="3"/>
        <v>37070.9</v>
      </c>
      <c r="AL36" s="75">
        <v>4396.3999999999996</v>
      </c>
      <c r="AM36" s="75">
        <v>8664.7999999999993</v>
      </c>
      <c r="AN36" s="75">
        <v>12377.1</v>
      </c>
      <c r="AO36" s="75">
        <v>7643.5</v>
      </c>
      <c r="AP36" s="75">
        <v>33081.800000000003</v>
      </c>
      <c r="AQ36" s="76">
        <v>5924.4</v>
      </c>
      <c r="AR36" s="76">
        <v>11833.1</v>
      </c>
      <c r="AS36" s="76">
        <v>12851.1</v>
      </c>
      <c r="AT36" s="76">
        <v>11100.5</v>
      </c>
      <c r="AU36" s="76">
        <v>41709.1</v>
      </c>
      <c r="AV36" s="76">
        <v>5956.8</v>
      </c>
      <c r="AW36" s="76">
        <v>9007.6</v>
      </c>
      <c r="AX36" s="76">
        <v>8203.5</v>
      </c>
      <c r="AY36" s="78">
        <v>4758.3999999999996</v>
      </c>
      <c r="AZ36" s="76">
        <v>27926.3</v>
      </c>
      <c r="BA36" s="76">
        <v>3633.9</v>
      </c>
      <c r="BB36" s="76">
        <v>4797.3999999999996</v>
      </c>
      <c r="BC36" s="76">
        <v>5615.7</v>
      </c>
      <c r="BD36" s="70">
        <v>2850.7</v>
      </c>
      <c r="BE36" s="70">
        <v>16897.7</v>
      </c>
      <c r="BF36" s="76">
        <v>2239.7206099999999</v>
      </c>
      <c r="BG36" s="80">
        <v>3169.4596099999999</v>
      </c>
      <c r="BH36" s="89">
        <v>4314.5920500000002</v>
      </c>
      <c r="BI36" s="55">
        <v>4529.2371700000003</v>
      </c>
      <c r="BJ36" s="55">
        <v>14253.00944</v>
      </c>
      <c r="BK36" s="55">
        <f>IF(5955.99558="","-",5955.99558)</f>
        <v>5955.9955799999998</v>
      </c>
      <c r="BL36" s="55">
        <f>IF(5968.43258="","-",5968.43258)</f>
        <v>5968.4325799999997</v>
      </c>
      <c r="BM36" s="55">
        <f>IF(8500.33594="","-",8500.33594)</f>
        <v>8500.3359400000008</v>
      </c>
      <c r="BN36" s="55">
        <f>IF(8266.64287="","-",8266.64287)</f>
        <v>8266.6428699999997</v>
      </c>
      <c r="BO36" s="55">
        <f>IF(28691.40697="","-",28691.40697)</f>
        <v>28691.40697</v>
      </c>
      <c r="BP36" s="55">
        <v>6024.78683</v>
      </c>
      <c r="BQ36" s="45">
        <v>11256.61429</v>
      </c>
      <c r="BR36" s="45">
        <v>7459.6169900000004</v>
      </c>
      <c r="BS36" s="55">
        <v>7406.51728</v>
      </c>
      <c r="BT36" s="55">
        <v>32147.535390000001</v>
      </c>
      <c r="BU36" s="55">
        <v>8085.6812399999999</v>
      </c>
      <c r="BV36" s="55">
        <v>7653.2112999999999</v>
      </c>
      <c r="BW36" s="55">
        <v>3972.3478700000001</v>
      </c>
      <c r="BX36" s="55">
        <v>4287.7072699999999</v>
      </c>
      <c r="BY36" s="55">
        <v>23998.947680000001</v>
      </c>
      <c r="BZ36" s="55">
        <v>3830.9609099999998</v>
      </c>
      <c r="CA36" s="55">
        <v>2640.8942699999998</v>
      </c>
      <c r="CB36" s="55">
        <v>10275.057070000001</v>
      </c>
      <c r="CC36" s="55">
        <v>7828.9513699999998</v>
      </c>
      <c r="CD36" s="55">
        <v>24575.86362</v>
      </c>
      <c r="CE36" s="55">
        <v>13808.06846</v>
      </c>
      <c r="CF36" s="55">
        <v>4691.1863999999996</v>
      </c>
      <c r="CG36" s="55">
        <v>5118.3656899999996</v>
      </c>
      <c r="CH36" s="55">
        <v>3141.8531600000001</v>
      </c>
      <c r="CI36" s="55">
        <v>26759.473709999998</v>
      </c>
      <c r="CJ36" s="55">
        <v>10731.797420000001</v>
      </c>
      <c r="CK36" s="55">
        <v>197483.81985999999</v>
      </c>
      <c r="CL36" s="55">
        <v>212227.82373999999</v>
      </c>
      <c r="CM36" s="55">
        <v>192834.58288999999</v>
      </c>
      <c r="CN36" s="55">
        <v>613278.02390999999</v>
      </c>
      <c r="CO36" s="55">
        <v>140381.31779</v>
      </c>
      <c r="CP36" s="55">
        <v>160902.38717</v>
      </c>
      <c r="CQ36" s="55">
        <v>103244.58405</v>
      </c>
      <c r="CR36" s="55">
        <v>70707.803469999999</v>
      </c>
      <c r="CS36" s="55">
        <v>475236.09247999999</v>
      </c>
      <c r="CT36" s="65" t="s">
        <v>98</v>
      </c>
      <c r="CU36" s="59" t="s">
        <v>160</v>
      </c>
    </row>
    <row r="37" spans="1:99" s="9" customFormat="1" ht="31.5">
      <c r="A37" s="66" t="s">
        <v>24</v>
      </c>
      <c r="B37" s="60" t="s">
        <v>161</v>
      </c>
      <c r="C37" s="81">
        <v>2423.6</v>
      </c>
      <c r="D37" s="81">
        <v>4827.2</v>
      </c>
      <c r="E37" s="81">
        <v>7358.1</v>
      </c>
      <c r="F37" s="81">
        <v>3743</v>
      </c>
      <c r="G37" s="82">
        <f t="shared" si="6"/>
        <v>18351.900000000001</v>
      </c>
      <c r="H37" s="81">
        <v>3317.6</v>
      </c>
      <c r="I37" s="81">
        <v>7023.8</v>
      </c>
      <c r="J37" s="81">
        <v>8807.1</v>
      </c>
      <c r="K37" s="81">
        <v>5841.3</v>
      </c>
      <c r="L37" s="82">
        <f t="shared" si="4"/>
        <v>24989.8</v>
      </c>
      <c r="M37" s="81">
        <v>6859.4</v>
      </c>
      <c r="N37" s="81">
        <v>13368.8</v>
      </c>
      <c r="O37" s="81">
        <v>17661.400000000001</v>
      </c>
      <c r="P37" s="81">
        <v>14529.7</v>
      </c>
      <c r="Q37" s="82">
        <f t="shared" si="5"/>
        <v>52419.3</v>
      </c>
      <c r="R37" s="81">
        <v>14331.5</v>
      </c>
      <c r="S37" s="81">
        <v>20226.7</v>
      </c>
      <c r="T37" s="81">
        <v>21340.400000000001</v>
      </c>
      <c r="U37" s="81">
        <v>4473</v>
      </c>
      <c r="V37" s="83">
        <f t="shared" si="1"/>
        <v>60371.6</v>
      </c>
      <c r="W37" s="81">
        <v>2176.6999999999998</v>
      </c>
      <c r="X37" s="81">
        <v>2703.4</v>
      </c>
      <c r="Y37" s="81">
        <v>2661.9</v>
      </c>
      <c r="Z37" s="81">
        <v>1383.2</v>
      </c>
      <c r="AA37" s="83">
        <f t="shared" si="2"/>
        <v>8925.2000000000007</v>
      </c>
      <c r="AB37" s="81">
        <v>642.1</v>
      </c>
      <c r="AC37" s="81">
        <v>2614.6</v>
      </c>
      <c r="AD37" s="81">
        <v>4653.3</v>
      </c>
      <c r="AE37" s="81">
        <v>1517</v>
      </c>
      <c r="AF37" s="81">
        <v>9427</v>
      </c>
      <c r="AG37" s="84">
        <v>1461.1</v>
      </c>
      <c r="AH37" s="84">
        <v>3333.4</v>
      </c>
      <c r="AI37" s="84">
        <v>6068.6</v>
      </c>
      <c r="AJ37" s="84">
        <v>2157.1</v>
      </c>
      <c r="AK37" s="83">
        <f t="shared" si="3"/>
        <v>13020.2</v>
      </c>
      <c r="AL37" s="83">
        <v>2537.1999999999998</v>
      </c>
      <c r="AM37" s="83">
        <v>5546.1</v>
      </c>
      <c r="AN37" s="83">
        <v>8036</v>
      </c>
      <c r="AO37" s="83">
        <v>1449.2</v>
      </c>
      <c r="AP37" s="83">
        <v>17568.5</v>
      </c>
      <c r="AQ37" s="84">
        <v>1285.2</v>
      </c>
      <c r="AR37" s="84">
        <v>5621.1</v>
      </c>
      <c r="AS37" s="84">
        <v>5012.7</v>
      </c>
      <c r="AT37" s="84">
        <v>2894.4</v>
      </c>
      <c r="AU37" s="84">
        <v>14813.4</v>
      </c>
      <c r="AV37" s="84">
        <v>2130.6</v>
      </c>
      <c r="AW37" s="84">
        <v>3831.4</v>
      </c>
      <c r="AX37" s="84">
        <v>3994.8</v>
      </c>
      <c r="AY37" s="85">
        <v>1882.8</v>
      </c>
      <c r="AZ37" s="84">
        <v>11839.6</v>
      </c>
      <c r="BA37" s="84">
        <v>1441</v>
      </c>
      <c r="BB37" s="84">
        <v>2261.9</v>
      </c>
      <c r="BC37" s="84">
        <v>1844.3</v>
      </c>
      <c r="BD37" s="86">
        <v>1271.5</v>
      </c>
      <c r="BE37" s="84">
        <v>6818.7</v>
      </c>
      <c r="BF37" s="84">
        <v>1124.0969600000001</v>
      </c>
      <c r="BG37" s="87">
        <v>1872.4549300000001</v>
      </c>
      <c r="BH37" s="88">
        <v>2456.5287400000002</v>
      </c>
      <c r="BI37" s="56">
        <v>2102.8226300000001</v>
      </c>
      <c r="BJ37" s="56">
        <v>7555.90326</v>
      </c>
      <c r="BK37" s="56">
        <f>IF(2002.18967="","-",2002.18967)</f>
        <v>2002.18967</v>
      </c>
      <c r="BL37" s="56">
        <f>IF(3197.19154="","-",3197.19154)</f>
        <v>3197.1915399999998</v>
      </c>
      <c r="BM37" s="56">
        <f>IF(3204.79096="","-",3204.79096)</f>
        <v>3204.7909599999998</v>
      </c>
      <c r="BN37" s="56">
        <f>IF(2042.0533="","-",2042.0533)</f>
        <v>2042.0533</v>
      </c>
      <c r="BO37" s="56">
        <f>IF(10446.22547="","-",10446.22547)</f>
        <v>10446.225469999999</v>
      </c>
      <c r="BP37" s="56">
        <v>2488.1479100000001</v>
      </c>
      <c r="BQ37" s="46">
        <v>3773.1648399999999</v>
      </c>
      <c r="BR37" s="46">
        <v>4489.89095</v>
      </c>
      <c r="BS37" s="56">
        <v>2925.3818299999998</v>
      </c>
      <c r="BT37" s="56">
        <v>13676.58553</v>
      </c>
      <c r="BU37" s="56">
        <v>3624.2723700000001</v>
      </c>
      <c r="BV37" s="56">
        <v>5128.7748099999999</v>
      </c>
      <c r="BW37" s="56">
        <v>2529.5130899999999</v>
      </c>
      <c r="BX37" s="56">
        <v>2302.2552799999999</v>
      </c>
      <c r="BY37" s="56">
        <v>13584.815549999999</v>
      </c>
      <c r="BZ37" s="56">
        <v>2172.1617700000002</v>
      </c>
      <c r="CA37" s="56">
        <v>1822.8464100000001</v>
      </c>
      <c r="CB37" s="56">
        <v>3964.4769900000001</v>
      </c>
      <c r="CC37" s="56">
        <v>2130.4014499999998</v>
      </c>
      <c r="CD37" s="56">
        <v>10089.886619999999</v>
      </c>
      <c r="CE37" s="56">
        <v>1588.44271</v>
      </c>
      <c r="CF37" s="56">
        <v>3628.09238</v>
      </c>
      <c r="CG37" s="56">
        <v>4033.7502500000001</v>
      </c>
      <c r="CH37" s="56">
        <v>1834.6541099999999</v>
      </c>
      <c r="CI37" s="56">
        <v>11084.93945</v>
      </c>
      <c r="CJ37" s="56">
        <v>1807.5531599999999</v>
      </c>
      <c r="CK37" s="56">
        <v>3523.1981799999999</v>
      </c>
      <c r="CL37" s="56">
        <v>11373.263419999999</v>
      </c>
      <c r="CM37" s="56">
        <v>4449.4321300000001</v>
      </c>
      <c r="CN37" s="56">
        <v>21153.446889999999</v>
      </c>
      <c r="CO37" s="56">
        <v>4942.4945299999999</v>
      </c>
      <c r="CP37" s="56">
        <v>5322.6921499999999</v>
      </c>
      <c r="CQ37" s="56">
        <v>6581.0336799999995</v>
      </c>
      <c r="CR37" s="56">
        <v>2995.1525900000001</v>
      </c>
      <c r="CS37" s="56">
        <v>19841.372950000001</v>
      </c>
      <c r="CT37" s="66" t="s">
        <v>24</v>
      </c>
      <c r="CU37" s="60" t="s">
        <v>161</v>
      </c>
    </row>
    <row r="38" spans="1:99" s="9" customFormat="1" ht="15.75">
      <c r="A38" s="66" t="s">
        <v>25</v>
      </c>
      <c r="B38" s="60" t="s">
        <v>162</v>
      </c>
      <c r="C38" s="81">
        <v>103.9</v>
      </c>
      <c r="D38" s="82" t="s">
        <v>115</v>
      </c>
      <c r="E38" s="82" t="s">
        <v>115</v>
      </c>
      <c r="F38" s="82" t="s">
        <v>115</v>
      </c>
      <c r="G38" s="82">
        <f t="shared" si="6"/>
        <v>103.9</v>
      </c>
      <c r="H38" s="82" t="s">
        <v>115</v>
      </c>
      <c r="I38" s="82" t="s">
        <v>115</v>
      </c>
      <c r="J38" s="82" t="s">
        <v>115</v>
      </c>
      <c r="K38" s="82" t="s">
        <v>115</v>
      </c>
      <c r="L38" s="82" t="s">
        <v>115</v>
      </c>
      <c r="M38" s="81">
        <v>18.2</v>
      </c>
      <c r="N38" s="81">
        <v>20.6</v>
      </c>
      <c r="O38" s="81" t="s">
        <v>117</v>
      </c>
      <c r="P38" s="81" t="s">
        <v>117</v>
      </c>
      <c r="Q38" s="82">
        <f t="shared" si="5"/>
        <v>38.799999999999997</v>
      </c>
      <c r="R38" s="81" t="s">
        <v>117</v>
      </c>
      <c r="S38" s="81" t="s">
        <v>117</v>
      </c>
      <c r="T38" s="81">
        <v>0.3</v>
      </c>
      <c r="U38" s="81">
        <v>5.5</v>
      </c>
      <c r="V38" s="83">
        <f t="shared" si="1"/>
        <v>5.8</v>
      </c>
      <c r="W38" s="81" t="s">
        <v>117</v>
      </c>
      <c r="X38" s="81" t="s">
        <v>117</v>
      </c>
      <c r="Y38" s="81" t="s">
        <v>117</v>
      </c>
      <c r="Z38" s="81" t="s">
        <v>117</v>
      </c>
      <c r="AA38" s="82" t="s">
        <v>115</v>
      </c>
      <c r="AB38" s="81" t="s">
        <v>117</v>
      </c>
      <c r="AC38" s="81" t="s">
        <v>117</v>
      </c>
      <c r="AD38" s="81" t="s">
        <v>117</v>
      </c>
      <c r="AE38" s="81" t="s">
        <v>117</v>
      </c>
      <c r="AF38" s="81" t="s">
        <v>117</v>
      </c>
      <c r="AG38" s="84">
        <v>0.3</v>
      </c>
      <c r="AH38" s="84">
        <v>1.3</v>
      </c>
      <c r="AI38" s="84" t="s">
        <v>117</v>
      </c>
      <c r="AJ38" s="84" t="s">
        <v>117</v>
      </c>
      <c r="AK38" s="83">
        <f t="shared" si="3"/>
        <v>1.6</v>
      </c>
      <c r="AL38" s="83" t="s">
        <v>117</v>
      </c>
      <c r="AM38" s="83" t="s">
        <v>117</v>
      </c>
      <c r="AN38" s="83" t="s">
        <v>117</v>
      </c>
      <c r="AO38" s="83" t="s">
        <v>117</v>
      </c>
      <c r="AP38" s="83" t="s">
        <v>117</v>
      </c>
      <c r="AQ38" s="84" t="s">
        <v>117</v>
      </c>
      <c r="AR38" s="84" t="s">
        <v>117</v>
      </c>
      <c r="AS38" s="84" t="s">
        <v>117</v>
      </c>
      <c r="AT38" s="84" t="s">
        <v>117</v>
      </c>
      <c r="AU38" s="84" t="s">
        <v>117</v>
      </c>
      <c r="AV38" s="84" t="s">
        <v>117</v>
      </c>
      <c r="AW38" s="84" t="s">
        <v>117</v>
      </c>
      <c r="AX38" s="84" t="s">
        <v>129</v>
      </c>
      <c r="AY38" s="84" t="s">
        <v>117</v>
      </c>
      <c r="AZ38" s="84" t="s">
        <v>117</v>
      </c>
      <c r="BA38" s="84" t="s">
        <v>117</v>
      </c>
      <c r="BB38" s="84">
        <v>9.6999999999999993</v>
      </c>
      <c r="BC38" s="84" t="s">
        <v>117</v>
      </c>
      <c r="BD38" s="86">
        <v>2</v>
      </c>
      <c r="BE38" s="84">
        <v>11.7</v>
      </c>
      <c r="BF38" s="84" t="s">
        <v>117</v>
      </c>
      <c r="BG38" s="84" t="s">
        <v>117</v>
      </c>
      <c r="BH38" s="84" t="s">
        <v>117</v>
      </c>
      <c r="BI38" s="56" t="s">
        <v>117</v>
      </c>
      <c r="BJ38" s="56" t="s">
        <v>117</v>
      </c>
      <c r="BK38" s="56" t="s">
        <v>117</v>
      </c>
      <c r="BL38" s="56" t="s">
        <v>117</v>
      </c>
      <c r="BM38" s="56" t="s">
        <v>117</v>
      </c>
      <c r="BN38" s="56" t="s">
        <v>117</v>
      </c>
      <c r="BO38" s="56" t="str">
        <f>IF(""="","-","")</f>
        <v>-</v>
      </c>
      <c r="BP38" s="56" t="s">
        <v>117</v>
      </c>
      <c r="BQ38" s="46" t="s">
        <v>117</v>
      </c>
      <c r="BR38" s="46" t="s">
        <v>117</v>
      </c>
      <c r="BS38" s="56" t="s">
        <v>117</v>
      </c>
      <c r="BT38" s="56" t="s">
        <v>117</v>
      </c>
      <c r="BU38" s="101" t="s">
        <v>117</v>
      </c>
      <c r="BV38" s="56" t="s">
        <v>117</v>
      </c>
      <c r="BW38" s="56" t="s">
        <v>117</v>
      </c>
      <c r="BX38" s="56" t="s">
        <v>117</v>
      </c>
      <c r="BY38" s="56" t="s">
        <v>117</v>
      </c>
      <c r="BZ38" s="101" t="s">
        <v>117</v>
      </c>
      <c r="CA38" s="101" t="s">
        <v>117</v>
      </c>
      <c r="CB38" s="101" t="s">
        <v>117</v>
      </c>
      <c r="CC38" s="101" t="s">
        <v>117</v>
      </c>
      <c r="CD38" s="56"/>
      <c r="CE38" s="56" t="s">
        <v>117</v>
      </c>
      <c r="CF38" s="56">
        <v>24.097010000000001</v>
      </c>
      <c r="CG38" s="56" t="s">
        <v>117</v>
      </c>
      <c r="CH38" s="56" t="s">
        <v>117</v>
      </c>
      <c r="CI38" s="56">
        <v>24.097010000000001</v>
      </c>
      <c r="CJ38" s="56" t="s">
        <v>117</v>
      </c>
      <c r="CK38" s="56">
        <v>21.03688</v>
      </c>
      <c r="CL38" s="56">
        <v>1.42716</v>
      </c>
      <c r="CM38" s="56">
        <v>17.684100000000001</v>
      </c>
      <c r="CN38" s="56">
        <v>40.148139999999998</v>
      </c>
      <c r="CO38" s="56">
        <v>4.2840800000000003</v>
      </c>
      <c r="CP38" s="56">
        <v>24.936910000000001</v>
      </c>
      <c r="CQ38" s="56">
        <v>9.5899999999999999E-2</v>
      </c>
      <c r="CR38" s="56">
        <v>2.44035</v>
      </c>
      <c r="CS38" s="56">
        <v>31.757239999999999</v>
      </c>
      <c r="CT38" s="66" t="s">
        <v>25</v>
      </c>
      <c r="CU38" s="60" t="s">
        <v>162</v>
      </c>
    </row>
    <row r="39" spans="1:99" s="9" customFormat="1" ht="31.5">
      <c r="A39" s="66" t="s">
        <v>26</v>
      </c>
      <c r="B39" s="60" t="s">
        <v>236</v>
      </c>
      <c r="C39" s="81">
        <v>586.20000000000005</v>
      </c>
      <c r="D39" s="81">
        <v>323.60000000000002</v>
      </c>
      <c r="E39" s="81">
        <v>273.60000000000002</v>
      </c>
      <c r="F39" s="81">
        <v>466</v>
      </c>
      <c r="G39" s="82">
        <f t="shared" si="6"/>
        <v>1649.4</v>
      </c>
      <c r="H39" s="81">
        <v>782.9</v>
      </c>
      <c r="I39" s="81">
        <v>889.8</v>
      </c>
      <c r="J39" s="81">
        <v>96.9</v>
      </c>
      <c r="K39" s="81">
        <v>572.6</v>
      </c>
      <c r="L39" s="82">
        <f t="shared" si="4"/>
        <v>2342.1999999999998</v>
      </c>
      <c r="M39" s="81">
        <v>1033.8</v>
      </c>
      <c r="N39" s="81">
        <v>1828.6</v>
      </c>
      <c r="O39" s="81">
        <v>1158.4000000000001</v>
      </c>
      <c r="P39" s="81">
        <v>557.70000000000005</v>
      </c>
      <c r="Q39" s="82">
        <f t="shared" si="5"/>
        <v>4578.5</v>
      </c>
      <c r="R39" s="81">
        <v>274.39999999999998</v>
      </c>
      <c r="S39" s="81">
        <v>1019.6</v>
      </c>
      <c r="T39" s="81">
        <v>1496.8</v>
      </c>
      <c r="U39" s="81">
        <v>297.2</v>
      </c>
      <c r="V39" s="83">
        <f t="shared" si="1"/>
        <v>3088</v>
      </c>
      <c r="W39" s="81">
        <v>544</v>
      </c>
      <c r="X39" s="81">
        <v>1346.6</v>
      </c>
      <c r="Y39" s="81">
        <v>1350.5</v>
      </c>
      <c r="Z39" s="81">
        <v>2220.3000000000002</v>
      </c>
      <c r="AA39" s="83">
        <f t="shared" si="2"/>
        <v>5461.4</v>
      </c>
      <c r="AB39" s="81">
        <v>1342.3</v>
      </c>
      <c r="AC39" s="81">
        <v>1056</v>
      </c>
      <c r="AD39" s="81">
        <v>2144.1</v>
      </c>
      <c r="AE39" s="81">
        <v>3179.2</v>
      </c>
      <c r="AF39" s="81">
        <v>7721.6</v>
      </c>
      <c r="AG39" s="84">
        <v>3792.2</v>
      </c>
      <c r="AH39" s="84">
        <v>7181</v>
      </c>
      <c r="AI39" s="84">
        <v>6784.5</v>
      </c>
      <c r="AJ39" s="84">
        <v>6291.4</v>
      </c>
      <c r="AK39" s="83">
        <f t="shared" si="3"/>
        <v>24049.1</v>
      </c>
      <c r="AL39" s="83">
        <v>1859.2</v>
      </c>
      <c r="AM39" s="83">
        <v>3118.7</v>
      </c>
      <c r="AN39" s="83">
        <v>4341.1000000000004</v>
      </c>
      <c r="AO39" s="83">
        <v>6194.3</v>
      </c>
      <c r="AP39" s="83">
        <v>15513.3</v>
      </c>
      <c r="AQ39" s="84">
        <v>4639.2</v>
      </c>
      <c r="AR39" s="84">
        <v>6212</v>
      </c>
      <c r="AS39" s="84">
        <v>7838.4</v>
      </c>
      <c r="AT39" s="84">
        <v>8206.1</v>
      </c>
      <c r="AU39" s="84">
        <v>26895.7</v>
      </c>
      <c r="AV39" s="84">
        <v>3826.2</v>
      </c>
      <c r="AW39" s="84">
        <v>5176.2</v>
      </c>
      <c r="AX39" s="84">
        <v>0</v>
      </c>
      <c r="AY39" s="85">
        <v>2875.6</v>
      </c>
      <c r="AZ39" s="84">
        <v>16086.7</v>
      </c>
      <c r="BA39" s="84">
        <v>2192.9</v>
      </c>
      <c r="BB39" s="84">
        <v>2525.8000000000002</v>
      </c>
      <c r="BC39" s="84">
        <v>3771.4</v>
      </c>
      <c r="BD39" s="83">
        <v>1577.2</v>
      </c>
      <c r="BE39" s="83">
        <v>10067.299999999999</v>
      </c>
      <c r="BF39" s="84">
        <v>1115.62365</v>
      </c>
      <c r="BG39" s="87">
        <v>1297.00468</v>
      </c>
      <c r="BH39" s="88">
        <v>1858.06331</v>
      </c>
      <c r="BI39" s="56">
        <v>2426.4145400000002</v>
      </c>
      <c r="BJ39" s="56">
        <v>6697.1061799999998</v>
      </c>
      <c r="BK39" s="56">
        <f>IF(3953.80591="","-",3953.80591)</f>
        <v>3953.80591</v>
      </c>
      <c r="BL39" s="56">
        <f>IF(2771.24104="","-",2771.24104)</f>
        <v>2771.2410399999999</v>
      </c>
      <c r="BM39" s="56">
        <f>IF(5295.54498="","-",5295.54498)</f>
        <v>5295.5449799999997</v>
      </c>
      <c r="BN39" s="56">
        <f>IF(6224.58957="","-",6224.58957)</f>
        <v>6224.5895700000001</v>
      </c>
      <c r="BO39" s="56">
        <f>IF(18245.1815="","-",18245.1815)</f>
        <v>18245.181499999999</v>
      </c>
      <c r="BP39" s="56">
        <v>3536.6389199999999</v>
      </c>
      <c r="BQ39" s="46">
        <v>7483.4494500000001</v>
      </c>
      <c r="BR39" s="46">
        <v>2969.72604</v>
      </c>
      <c r="BS39" s="56">
        <v>4481.1354499999998</v>
      </c>
      <c r="BT39" s="56">
        <v>18470.949860000001</v>
      </c>
      <c r="BU39" s="56">
        <v>4461.4088700000002</v>
      </c>
      <c r="BV39" s="56">
        <v>2524.43649</v>
      </c>
      <c r="BW39" s="56">
        <v>1442.8347799999999</v>
      </c>
      <c r="BX39" s="56">
        <v>1985.45199</v>
      </c>
      <c r="BY39" s="56">
        <v>10414.13213</v>
      </c>
      <c r="BZ39" s="56">
        <v>1658.7991400000001</v>
      </c>
      <c r="CA39" s="56">
        <v>818.04786000000001</v>
      </c>
      <c r="CB39" s="56">
        <v>6310.5800799999997</v>
      </c>
      <c r="CC39" s="56">
        <v>5698.5499200000004</v>
      </c>
      <c r="CD39" s="56">
        <v>14485.977000000001</v>
      </c>
      <c r="CE39" s="56">
        <v>12219.625749999999</v>
      </c>
      <c r="CF39" s="56">
        <v>1038.99701</v>
      </c>
      <c r="CG39" s="56">
        <v>1084.61544</v>
      </c>
      <c r="CH39" s="56">
        <v>1307.1990499999999</v>
      </c>
      <c r="CI39" s="56">
        <v>15650.437250000001</v>
      </c>
      <c r="CJ39" s="56">
        <v>8924.2442599999995</v>
      </c>
      <c r="CK39" s="56">
        <v>193939.58480000001</v>
      </c>
      <c r="CL39" s="56">
        <v>200853.13316</v>
      </c>
      <c r="CM39" s="56">
        <v>188367.46666000001</v>
      </c>
      <c r="CN39" s="56">
        <v>592084.42888000002</v>
      </c>
      <c r="CO39" s="56">
        <v>135434.53917999999</v>
      </c>
      <c r="CP39" s="56">
        <v>155554.75811</v>
      </c>
      <c r="CQ39" s="56">
        <v>96663.454469999997</v>
      </c>
      <c r="CR39" s="56">
        <v>67710.210529999997</v>
      </c>
      <c r="CS39" s="56">
        <v>455362.96229</v>
      </c>
      <c r="CT39" s="66" t="s">
        <v>26</v>
      </c>
      <c r="CU39" s="60" t="s">
        <v>236</v>
      </c>
    </row>
    <row r="40" spans="1:99" s="9" customFormat="1" ht="30.75" customHeight="1">
      <c r="A40" s="65" t="s">
        <v>99</v>
      </c>
      <c r="B40" s="59" t="s">
        <v>163</v>
      </c>
      <c r="C40" s="72">
        <v>2712.7</v>
      </c>
      <c r="D40" s="72">
        <v>3733.6</v>
      </c>
      <c r="E40" s="72">
        <v>3691.7</v>
      </c>
      <c r="F40" s="72">
        <v>5457.8</v>
      </c>
      <c r="G40" s="72">
        <f t="shared" si="6"/>
        <v>15595.8</v>
      </c>
      <c r="H40" s="72">
        <v>2774</v>
      </c>
      <c r="I40" s="72">
        <v>5031.2</v>
      </c>
      <c r="J40" s="72">
        <v>6519.5</v>
      </c>
      <c r="K40" s="72">
        <v>6472.6</v>
      </c>
      <c r="L40" s="72">
        <f t="shared" si="4"/>
        <v>20797.300000000003</v>
      </c>
      <c r="M40" s="72">
        <v>5092.3</v>
      </c>
      <c r="N40" s="72">
        <v>6271.5</v>
      </c>
      <c r="O40" s="72">
        <v>6786.7</v>
      </c>
      <c r="P40" s="72">
        <v>8997.7999999999993</v>
      </c>
      <c r="Q40" s="72">
        <f t="shared" si="5"/>
        <v>27148.3</v>
      </c>
      <c r="R40" s="72">
        <v>5317.7</v>
      </c>
      <c r="S40" s="72">
        <v>8637.7000000000007</v>
      </c>
      <c r="T40" s="72">
        <v>10681.3</v>
      </c>
      <c r="U40" s="72">
        <v>8331.5</v>
      </c>
      <c r="V40" s="75">
        <f t="shared" si="1"/>
        <v>32968.199999999997</v>
      </c>
      <c r="W40" s="72">
        <v>5896.5</v>
      </c>
      <c r="X40" s="72">
        <v>15948.1</v>
      </c>
      <c r="Y40" s="72">
        <v>14208.9</v>
      </c>
      <c r="Z40" s="72">
        <v>21517.4</v>
      </c>
      <c r="AA40" s="75">
        <f t="shared" si="2"/>
        <v>57570.9</v>
      </c>
      <c r="AB40" s="72">
        <v>21806.1</v>
      </c>
      <c r="AC40" s="72">
        <v>11559.1</v>
      </c>
      <c r="AD40" s="72">
        <v>18219.099999999999</v>
      </c>
      <c r="AE40" s="72">
        <v>22553.599999999999</v>
      </c>
      <c r="AF40" s="72">
        <v>74137.899999999994</v>
      </c>
      <c r="AG40" s="76">
        <v>18632.400000000001</v>
      </c>
      <c r="AH40" s="76">
        <v>23320.7</v>
      </c>
      <c r="AI40" s="76">
        <v>31890.7</v>
      </c>
      <c r="AJ40" s="76">
        <v>37798</v>
      </c>
      <c r="AK40" s="75">
        <f t="shared" si="3"/>
        <v>111641.8</v>
      </c>
      <c r="AL40" s="75">
        <v>24449.599999999999</v>
      </c>
      <c r="AM40" s="75">
        <v>33904.699999999997</v>
      </c>
      <c r="AN40" s="75">
        <v>37866</v>
      </c>
      <c r="AO40" s="75">
        <v>49530.1</v>
      </c>
      <c r="AP40" s="75">
        <v>145750.39999999999</v>
      </c>
      <c r="AQ40" s="75">
        <v>38901.699999999997</v>
      </c>
      <c r="AR40" s="75">
        <v>37247.300000000003</v>
      </c>
      <c r="AS40" s="75">
        <v>47850.6</v>
      </c>
      <c r="AT40" s="75">
        <v>43901.8</v>
      </c>
      <c r="AU40" s="75">
        <v>167901.4</v>
      </c>
      <c r="AV40" s="76">
        <v>46161.4</v>
      </c>
      <c r="AW40" s="76">
        <v>44850.7</v>
      </c>
      <c r="AX40" s="76">
        <v>35908.9</v>
      </c>
      <c r="AY40" s="78">
        <v>41349.199999999997</v>
      </c>
      <c r="AZ40" s="76">
        <v>168270.2</v>
      </c>
      <c r="BA40" s="76">
        <v>25174.3</v>
      </c>
      <c r="BB40" s="76">
        <v>30732.6</v>
      </c>
      <c r="BC40" s="70">
        <v>29969.3</v>
      </c>
      <c r="BD40" s="79">
        <v>32984.1</v>
      </c>
      <c r="BE40" s="76">
        <v>118860.3</v>
      </c>
      <c r="BF40" s="76">
        <v>15304.3786</v>
      </c>
      <c r="BG40" s="80">
        <v>22591.30356</v>
      </c>
      <c r="BH40" s="89">
        <v>26430.433410000001</v>
      </c>
      <c r="BI40" s="55">
        <v>26097.595440000001</v>
      </c>
      <c r="BJ40" s="55">
        <v>90423.711009999999</v>
      </c>
      <c r="BK40" s="55">
        <f>IF(20055.96755="","-",20055.96755)</f>
        <v>20055.967550000001</v>
      </c>
      <c r="BL40" s="55">
        <f>IF(23406.71627="","-",23406.71627)</f>
        <v>23406.716270000001</v>
      </c>
      <c r="BM40" s="55">
        <f>IF(30671.07419="","-",30671.07419)</f>
        <v>30671.074189999999</v>
      </c>
      <c r="BN40" s="55">
        <f>IF(24558.87377="","-",24558.87377)</f>
        <v>24558.873769999998</v>
      </c>
      <c r="BO40" s="55">
        <f>IF(98692.63178="","-",98692.63178)</f>
        <v>98692.631779999996</v>
      </c>
      <c r="BP40" s="55">
        <v>25486.271140000001</v>
      </c>
      <c r="BQ40" s="45">
        <v>23127.876499999998</v>
      </c>
      <c r="BR40" s="45">
        <v>24147.738590000001</v>
      </c>
      <c r="BS40" s="55">
        <v>28995.28296</v>
      </c>
      <c r="BT40" s="55">
        <v>101757.16919</v>
      </c>
      <c r="BU40" s="102">
        <v>22504.583330000001</v>
      </c>
      <c r="BV40" s="55">
        <v>26903.75419</v>
      </c>
      <c r="BW40" s="55">
        <v>25220.78962</v>
      </c>
      <c r="BX40" s="55">
        <v>45147.727850000003</v>
      </c>
      <c r="BY40" s="55">
        <v>119776.85499000001</v>
      </c>
      <c r="BZ40" s="55">
        <v>12368.43664</v>
      </c>
      <c r="CA40" s="55">
        <v>26757.299510000001</v>
      </c>
      <c r="CB40" s="55">
        <v>15305.509099999999</v>
      </c>
      <c r="CC40" s="55">
        <v>24255.592680000002</v>
      </c>
      <c r="CD40" s="55">
        <v>78686.837929999994</v>
      </c>
      <c r="CE40" s="55">
        <v>25989.613509999999</v>
      </c>
      <c r="CF40" s="55">
        <v>21017.118460000002</v>
      </c>
      <c r="CG40" s="55">
        <v>30915.984090000002</v>
      </c>
      <c r="CH40" s="55">
        <v>34521.092570000001</v>
      </c>
      <c r="CI40" s="55">
        <v>112443.80863</v>
      </c>
      <c r="CJ40" s="55">
        <v>26532.755560000001</v>
      </c>
      <c r="CK40" s="55">
        <v>16436.45174</v>
      </c>
      <c r="CL40" s="55">
        <v>19576.6325</v>
      </c>
      <c r="CM40" s="55">
        <v>24870.88106</v>
      </c>
      <c r="CN40" s="55">
        <v>87416.720860000001</v>
      </c>
      <c r="CO40" s="55">
        <v>20987.616330000001</v>
      </c>
      <c r="CP40" s="55">
        <v>21428.44857</v>
      </c>
      <c r="CQ40" s="55">
        <v>22232.536889999999</v>
      </c>
      <c r="CR40" s="55">
        <v>21572.49134</v>
      </c>
      <c r="CS40" s="55">
        <v>86221.093129999994</v>
      </c>
      <c r="CT40" s="65" t="s">
        <v>99</v>
      </c>
      <c r="CU40" s="59" t="s">
        <v>163</v>
      </c>
    </row>
    <row r="41" spans="1:99" s="9" customFormat="1" ht="47.25">
      <c r="A41" s="66" t="s">
        <v>27</v>
      </c>
      <c r="B41" s="60" t="s">
        <v>164</v>
      </c>
      <c r="C41" s="81">
        <v>0.2</v>
      </c>
      <c r="D41" s="81">
        <v>8.1999999999999993</v>
      </c>
      <c r="E41" s="81">
        <v>6.5</v>
      </c>
      <c r="F41" s="81">
        <v>2.7</v>
      </c>
      <c r="G41" s="82">
        <f t="shared" si="6"/>
        <v>17.599999999999998</v>
      </c>
      <c r="H41" s="82" t="s">
        <v>115</v>
      </c>
      <c r="I41" s="81">
        <v>10.9</v>
      </c>
      <c r="J41" s="81">
        <v>74.2</v>
      </c>
      <c r="K41" s="81">
        <v>0.2</v>
      </c>
      <c r="L41" s="82">
        <f t="shared" si="4"/>
        <v>85.300000000000011</v>
      </c>
      <c r="M41" s="81">
        <v>13.4</v>
      </c>
      <c r="N41" s="81">
        <v>35.200000000000003</v>
      </c>
      <c r="O41" s="81">
        <v>5.7</v>
      </c>
      <c r="P41" s="81">
        <v>23.9</v>
      </c>
      <c r="Q41" s="82">
        <f t="shared" si="5"/>
        <v>78.2</v>
      </c>
      <c r="R41" s="81">
        <v>54.2</v>
      </c>
      <c r="S41" s="81">
        <v>18.899999999999999</v>
      </c>
      <c r="T41" s="81">
        <v>93.2</v>
      </c>
      <c r="U41" s="81">
        <v>7.8</v>
      </c>
      <c r="V41" s="83">
        <f t="shared" si="1"/>
        <v>174.10000000000002</v>
      </c>
      <c r="W41" s="81">
        <v>10.8</v>
      </c>
      <c r="X41" s="81">
        <v>14</v>
      </c>
      <c r="Y41" s="81">
        <v>85.5</v>
      </c>
      <c r="Z41" s="81">
        <v>34.200000000000003</v>
      </c>
      <c r="AA41" s="83">
        <f t="shared" si="2"/>
        <v>144.5</v>
      </c>
      <c r="AB41" s="81">
        <v>39.299999999999997</v>
      </c>
      <c r="AC41" s="81">
        <v>37.299999999999997</v>
      </c>
      <c r="AD41" s="81">
        <v>19.7</v>
      </c>
      <c r="AE41" s="81">
        <v>56.6</v>
      </c>
      <c r="AF41" s="81">
        <v>152.9</v>
      </c>
      <c r="AG41" s="84" t="s">
        <v>117</v>
      </c>
      <c r="AH41" s="84">
        <v>70.7</v>
      </c>
      <c r="AI41" s="84">
        <v>63.9</v>
      </c>
      <c r="AJ41" s="84">
        <v>34.6</v>
      </c>
      <c r="AK41" s="83">
        <f t="shared" si="3"/>
        <v>169.2</v>
      </c>
      <c r="AL41" s="83">
        <v>55.6</v>
      </c>
      <c r="AM41" s="83">
        <v>17.7</v>
      </c>
      <c r="AN41" s="83">
        <v>75.7</v>
      </c>
      <c r="AO41" s="83">
        <v>61</v>
      </c>
      <c r="AP41" s="83">
        <v>210</v>
      </c>
      <c r="AQ41" s="84">
        <v>24.1</v>
      </c>
      <c r="AR41" s="84">
        <v>34.1</v>
      </c>
      <c r="AS41" s="84">
        <v>21.3</v>
      </c>
      <c r="AT41" s="84">
        <v>172.1</v>
      </c>
      <c r="AU41" s="84">
        <v>251.6</v>
      </c>
      <c r="AV41" s="84">
        <v>51.3</v>
      </c>
      <c r="AW41" s="84">
        <v>25</v>
      </c>
      <c r="AX41" s="84">
        <v>84.5</v>
      </c>
      <c r="AY41" s="85">
        <v>60.2</v>
      </c>
      <c r="AZ41" s="84">
        <v>221</v>
      </c>
      <c r="BA41" s="84">
        <v>56</v>
      </c>
      <c r="BB41" s="84">
        <v>26.1</v>
      </c>
      <c r="BC41" s="84">
        <v>67.900000000000006</v>
      </c>
      <c r="BD41" s="86">
        <v>37.6</v>
      </c>
      <c r="BE41" s="84">
        <v>187.6</v>
      </c>
      <c r="BF41" s="84">
        <v>125.51859</v>
      </c>
      <c r="BG41" s="87">
        <v>230.90389999999999</v>
      </c>
      <c r="BH41" s="88">
        <v>340.04602</v>
      </c>
      <c r="BI41" s="56">
        <v>223.13916</v>
      </c>
      <c r="BJ41" s="56">
        <v>919.60766999999998</v>
      </c>
      <c r="BK41" s="56">
        <f>IF(261.35466="","-",261.35466)</f>
        <v>261.35466000000002</v>
      </c>
      <c r="BL41" s="56">
        <f>IF(328.87417="","-",328.87417)</f>
        <v>328.87416999999999</v>
      </c>
      <c r="BM41" s="56">
        <f>IF(271.59142="","-",271.59142)</f>
        <v>271.59142000000003</v>
      </c>
      <c r="BN41" s="56">
        <f>IF(270.90975="","-",270.90975)</f>
        <v>270.90974999999997</v>
      </c>
      <c r="BO41" s="56">
        <f>IF(1132.73="","-",1132.73)</f>
        <v>1132.73</v>
      </c>
      <c r="BP41" s="56">
        <v>113.00566000000001</v>
      </c>
      <c r="BQ41" s="46">
        <v>207.64703</v>
      </c>
      <c r="BR41" s="46">
        <v>526.13301999999999</v>
      </c>
      <c r="BS41" s="56">
        <v>235.17582999999999</v>
      </c>
      <c r="BT41" s="56">
        <v>1081.96154</v>
      </c>
      <c r="BU41" s="56">
        <v>241.62459999999999</v>
      </c>
      <c r="BV41" s="56">
        <v>313.47982999999999</v>
      </c>
      <c r="BW41" s="56">
        <v>479.76450999999997</v>
      </c>
      <c r="BX41" s="56">
        <v>318.28046999999998</v>
      </c>
      <c r="BY41" s="56">
        <v>1353.14941</v>
      </c>
      <c r="BZ41" s="56">
        <v>284.28203000000002</v>
      </c>
      <c r="CA41" s="56">
        <v>352.93371999999999</v>
      </c>
      <c r="CB41" s="56">
        <v>583.46136000000001</v>
      </c>
      <c r="CC41" s="56">
        <v>402.24675999999999</v>
      </c>
      <c r="CD41" s="56">
        <v>1622.9238700000001</v>
      </c>
      <c r="CE41" s="56">
        <v>188.00881000000001</v>
      </c>
      <c r="CF41" s="56">
        <v>281.81873000000002</v>
      </c>
      <c r="CG41" s="56">
        <v>382.13706999999999</v>
      </c>
      <c r="CH41" s="56">
        <v>632.19632999999999</v>
      </c>
      <c r="CI41" s="56">
        <v>1484.16094</v>
      </c>
      <c r="CJ41" s="56">
        <v>760.43638999999996</v>
      </c>
      <c r="CK41" s="56">
        <v>1934.0334</v>
      </c>
      <c r="CL41" s="56">
        <v>3097.09539</v>
      </c>
      <c r="CM41" s="56">
        <v>2557.8570800000002</v>
      </c>
      <c r="CN41" s="56">
        <v>8349.4222599999994</v>
      </c>
      <c r="CO41" s="56">
        <v>1967.6966</v>
      </c>
      <c r="CP41" s="56">
        <v>2768.5448000000001</v>
      </c>
      <c r="CQ41" s="56">
        <v>2332.8523100000002</v>
      </c>
      <c r="CR41" s="56">
        <v>2228.45966</v>
      </c>
      <c r="CS41" s="56">
        <v>9297.5533699999996</v>
      </c>
      <c r="CT41" s="66" t="s">
        <v>27</v>
      </c>
      <c r="CU41" s="60" t="s">
        <v>164</v>
      </c>
    </row>
    <row r="42" spans="1:99" s="9" customFormat="1" ht="15.75">
      <c r="A42" s="66" t="s">
        <v>28</v>
      </c>
      <c r="B42" s="60" t="s">
        <v>165</v>
      </c>
      <c r="C42" s="81">
        <v>122.2</v>
      </c>
      <c r="D42" s="81">
        <v>78.3</v>
      </c>
      <c r="E42" s="81">
        <v>61</v>
      </c>
      <c r="F42" s="81">
        <v>259.60000000000002</v>
      </c>
      <c r="G42" s="82">
        <f t="shared" si="6"/>
        <v>521.1</v>
      </c>
      <c r="H42" s="81">
        <v>72</v>
      </c>
      <c r="I42" s="81">
        <v>32.4</v>
      </c>
      <c r="J42" s="81">
        <v>52.6</v>
      </c>
      <c r="K42" s="81">
        <v>17.600000000000001</v>
      </c>
      <c r="L42" s="82">
        <f t="shared" si="4"/>
        <v>174.6</v>
      </c>
      <c r="M42" s="81">
        <v>30.6</v>
      </c>
      <c r="N42" s="81">
        <v>69.099999999999994</v>
      </c>
      <c r="O42" s="81">
        <v>101</v>
      </c>
      <c r="P42" s="81">
        <v>127.9</v>
      </c>
      <c r="Q42" s="82">
        <f t="shared" si="5"/>
        <v>328.6</v>
      </c>
      <c r="R42" s="81">
        <v>1.1000000000000001</v>
      </c>
      <c r="S42" s="81">
        <v>164.3</v>
      </c>
      <c r="T42" s="81">
        <v>42.2</v>
      </c>
      <c r="U42" s="81">
        <v>165</v>
      </c>
      <c r="V42" s="83">
        <f t="shared" si="1"/>
        <v>372.6</v>
      </c>
      <c r="W42" s="81">
        <v>71.8</v>
      </c>
      <c r="X42" s="81">
        <v>313.5</v>
      </c>
      <c r="Y42" s="81">
        <v>509.3</v>
      </c>
      <c r="Z42" s="81">
        <v>433.8</v>
      </c>
      <c r="AA42" s="83">
        <f t="shared" si="2"/>
        <v>1328.4</v>
      </c>
      <c r="AB42" s="81">
        <v>410.9</v>
      </c>
      <c r="AC42" s="81">
        <v>216.7</v>
      </c>
      <c r="AD42" s="81">
        <v>342</v>
      </c>
      <c r="AE42" s="81">
        <v>307.5</v>
      </c>
      <c r="AF42" s="81">
        <v>1277.0999999999999</v>
      </c>
      <c r="AG42" s="84">
        <v>402.1</v>
      </c>
      <c r="AH42" s="84">
        <v>1310.7</v>
      </c>
      <c r="AI42" s="84">
        <v>494.3</v>
      </c>
      <c r="AJ42" s="84">
        <v>348.3</v>
      </c>
      <c r="AK42" s="83">
        <f t="shared" si="3"/>
        <v>2555.4000000000005</v>
      </c>
      <c r="AL42" s="83">
        <v>402</v>
      </c>
      <c r="AM42" s="83">
        <v>623.6</v>
      </c>
      <c r="AN42" s="83">
        <v>232</v>
      </c>
      <c r="AO42" s="83">
        <v>100.5</v>
      </c>
      <c r="AP42" s="83">
        <v>1358.1</v>
      </c>
      <c r="AQ42" s="84">
        <v>453.9</v>
      </c>
      <c r="AR42" s="84">
        <v>263.3</v>
      </c>
      <c r="AS42" s="84">
        <v>42.4</v>
      </c>
      <c r="AT42" s="84">
        <v>193.2</v>
      </c>
      <c r="AU42" s="84">
        <v>952.8</v>
      </c>
      <c r="AV42" s="84">
        <v>117.5</v>
      </c>
      <c r="AW42" s="84">
        <v>193.7</v>
      </c>
      <c r="AX42" s="84">
        <v>33.700000000000003</v>
      </c>
      <c r="AY42" s="85">
        <v>91.5</v>
      </c>
      <c r="AZ42" s="84">
        <v>436.4</v>
      </c>
      <c r="BA42" s="84">
        <v>410.2</v>
      </c>
      <c r="BB42" s="84">
        <v>74.400000000000006</v>
      </c>
      <c r="BC42" s="84">
        <v>57.1</v>
      </c>
      <c r="BD42" s="86">
        <v>27.4</v>
      </c>
      <c r="BE42" s="84">
        <v>569.1</v>
      </c>
      <c r="BF42" s="84">
        <v>189.80409</v>
      </c>
      <c r="BG42" s="87">
        <v>377.3587</v>
      </c>
      <c r="BH42" s="88">
        <v>238.87477000000001</v>
      </c>
      <c r="BI42" s="56">
        <v>208.07955999999999</v>
      </c>
      <c r="BJ42" s="56">
        <v>1014.11712</v>
      </c>
      <c r="BK42" s="56">
        <f>IF(184.34252="","-",184.34252)</f>
        <v>184.34252000000001</v>
      </c>
      <c r="BL42" s="56">
        <f>IF(195.94571="","-",195.94571)</f>
        <v>195.94570999999999</v>
      </c>
      <c r="BM42" s="56">
        <f>IF(189.81093="","-",189.81093)</f>
        <v>189.81093000000001</v>
      </c>
      <c r="BN42" s="56">
        <f>IF(100.73514="","-",100.73514)</f>
        <v>100.73514</v>
      </c>
      <c r="BO42" s="56">
        <f>IF(670.8343="","-",670.8343)</f>
        <v>670.83429999999998</v>
      </c>
      <c r="BP42" s="56">
        <v>117.73483</v>
      </c>
      <c r="BQ42" s="46">
        <v>1718.7977900000001</v>
      </c>
      <c r="BR42" s="46">
        <v>90.69829</v>
      </c>
      <c r="BS42" s="56">
        <v>131.88031000000001</v>
      </c>
      <c r="BT42" s="56">
        <v>2059.1112199999998</v>
      </c>
      <c r="BU42" s="56">
        <v>149.58161999999999</v>
      </c>
      <c r="BV42" s="56">
        <v>269.21125999999998</v>
      </c>
      <c r="BW42" s="56">
        <v>138.04263</v>
      </c>
      <c r="BX42" s="56">
        <v>1796.4580900000001</v>
      </c>
      <c r="BY42" s="56">
        <v>2353.2936</v>
      </c>
      <c r="BZ42" s="56">
        <v>52.85521</v>
      </c>
      <c r="CA42" s="56">
        <v>1592.80072</v>
      </c>
      <c r="CB42" s="56">
        <v>1449.4664499999999</v>
      </c>
      <c r="CC42" s="56">
        <v>1674.1321800000001</v>
      </c>
      <c r="CD42" s="56">
        <v>4769.2545600000003</v>
      </c>
      <c r="CE42" s="56">
        <v>151.86011999999999</v>
      </c>
      <c r="CF42" s="56">
        <v>1173.2600299999999</v>
      </c>
      <c r="CG42" s="56">
        <v>169.70375999999999</v>
      </c>
      <c r="CH42" s="56">
        <v>1642.4801399999999</v>
      </c>
      <c r="CI42" s="56">
        <v>3137.3040500000002</v>
      </c>
      <c r="CJ42" s="56">
        <v>1950.86094</v>
      </c>
      <c r="CK42" s="56">
        <v>168.76609999999999</v>
      </c>
      <c r="CL42" s="56">
        <v>232.73140000000001</v>
      </c>
      <c r="CM42" s="56">
        <v>2251.88598</v>
      </c>
      <c r="CN42" s="56">
        <v>4604.24442</v>
      </c>
      <c r="CO42" s="56">
        <v>172.55752000000001</v>
      </c>
      <c r="CP42" s="56">
        <v>2131.5769300000002</v>
      </c>
      <c r="CQ42" s="56">
        <v>516.7944</v>
      </c>
      <c r="CR42" s="56">
        <v>2120.2887500000002</v>
      </c>
      <c r="CS42" s="56">
        <v>4941.2175999999999</v>
      </c>
      <c r="CT42" s="66" t="s">
        <v>28</v>
      </c>
      <c r="CU42" s="60" t="s">
        <v>165</v>
      </c>
    </row>
    <row r="43" spans="1:99" s="9" customFormat="1" ht="15.75">
      <c r="A43" s="66" t="s">
        <v>29</v>
      </c>
      <c r="B43" s="60" t="s">
        <v>237</v>
      </c>
      <c r="C43" s="81">
        <v>873</v>
      </c>
      <c r="D43" s="81">
        <v>983.7</v>
      </c>
      <c r="E43" s="81">
        <v>620.1</v>
      </c>
      <c r="F43" s="81">
        <v>1934.7</v>
      </c>
      <c r="G43" s="82">
        <f t="shared" si="6"/>
        <v>4411.5</v>
      </c>
      <c r="H43" s="81">
        <v>914.6</v>
      </c>
      <c r="I43" s="81">
        <v>2260.4</v>
      </c>
      <c r="J43" s="81">
        <v>2801.9</v>
      </c>
      <c r="K43" s="81">
        <v>4107.8999999999996</v>
      </c>
      <c r="L43" s="82">
        <f t="shared" si="4"/>
        <v>10084.799999999999</v>
      </c>
      <c r="M43" s="81">
        <v>2813.3</v>
      </c>
      <c r="N43" s="81">
        <v>2892.5</v>
      </c>
      <c r="O43" s="81">
        <v>2977.3</v>
      </c>
      <c r="P43" s="81">
        <v>5923.6</v>
      </c>
      <c r="Q43" s="82">
        <f t="shared" si="5"/>
        <v>14606.7</v>
      </c>
      <c r="R43" s="81">
        <v>3497.2</v>
      </c>
      <c r="S43" s="81">
        <v>4770</v>
      </c>
      <c r="T43" s="81">
        <v>3889</v>
      </c>
      <c r="U43" s="81">
        <v>4339.6000000000004</v>
      </c>
      <c r="V43" s="83">
        <f t="shared" si="1"/>
        <v>16495.800000000003</v>
      </c>
      <c r="W43" s="81">
        <v>4098</v>
      </c>
      <c r="X43" s="81">
        <v>12853</v>
      </c>
      <c r="Y43" s="81">
        <v>10460.6</v>
      </c>
      <c r="Z43" s="81">
        <v>17876</v>
      </c>
      <c r="AA43" s="83">
        <f t="shared" si="2"/>
        <v>45287.6</v>
      </c>
      <c r="AB43" s="81">
        <v>18716.5</v>
      </c>
      <c r="AC43" s="81">
        <v>9526.1</v>
      </c>
      <c r="AD43" s="81">
        <v>12839.2</v>
      </c>
      <c r="AE43" s="81">
        <v>19434.099999999999</v>
      </c>
      <c r="AF43" s="81">
        <v>60515.9</v>
      </c>
      <c r="AG43" s="84">
        <v>15484.4</v>
      </c>
      <c r="AH43" s="84">
        <v>16118.1</v>
      </c>
      <c r="AI43" s="84">
        <v>18716.599999999999</v>
      </c>
      <c r="AJ43" s="84">
        <v>26778.799999999999</v>
      </c>
      <c r="AK43" s="83">
        <f t="shared" si="3"/>
        <v>77097.899999999994</v>
      </c>
      <c r="AL43" s="83">
        <v>16096</v>
      </c>
      <c r="AM43" s="83">
        <v>22204</v>
      </c>
      <c r="AN43" s="83">
        <v>20920.7</v>
      </c>
      <c r="AO43" s="83">
        <v>34776</v>
      </c>
      <c r="AP43" s="83">
        <v>93996.7</v>
      </c>
      <c r="AQ43" s="84">
        <v>23737.3</v>
      </c>
      <c r="AR43" s="84">
        <v>24555.1</v>
      </c>
      <c r="AS43" s="84">
        <v>31980.7</v>
      </c>
      <c r="AT43" s="84">
        <v>32827.5</v>
      </c>
      <c r="AU43" s="84">
        <v>113100.6</v>
      </c>
      <c r="AV43" s="84">
        <v>36722.1</v>
      </c>
      <c r="AW43" s="84">
        <v>34201.199999999997</v>
      </c>
      <c r="AX43" s="84">
        <v>23630.7</v>
      </c>
      <c r="AY43" s="83">
        <v>30621.1</v>
      </c>
      <c r="AZ43" s="83">
        <v>125175.1</v>
      </c>
      <c r="BA43" s="84">
        <v>13393</v>
      </c>
      <c r="BB43" s="84">
        <v>21384.799999999999</v>
      </c>
      <c r="BC43" s="84">
        <v>17472.2</v>
      </c>
      <c r="BD43" s="86">
        <v>23857.4</v>
      </c>
      <c r="BE43" s="84">
        <v>76107.399999999994</v>
      </c>
      <c r="BF43" s="84">
        <v>4508.3424599999998</v>
      </c>
      <c r="BG43" s="87">
        <v>11472.743630000001</v>
      </c>
      <c r="BH43" s="88">
        <v>14069.859280000001</v>
      </c>
      <c r="BI43" s="56">
        <v>18865.54768</v>
      </c>
      <c r="BJ43" s="56">
        <v>48916.493049999997</v>
      </c>
      <c r="BK43" s="56">
        <f>IF(11628.44077="","-",11628.44077)</f>
        <v>11628.440769999999</v>
      </c>
      <c r="BL43" s="56">
        <f>IF(14368.02305="","-",14368.02305)</f>
        <v>14368.02305</v>
      </c>
      <c r="BM43" s="56">
        <f>IF(19208.08201="","-",19208.08201)</f>
        <v>19208.082009999998</v>
      </c>
      <c r="BN43" s="56">
        <f>IF(17527.55251="","-",17527.55251)</f>
        <v>17527.552510000001</v>
      </c>
      <c r="BO43" s="56">
        <f>IF(62732.09834="","-",62732.09834)</f>
        <v>62732.098339999997</v>
      </c>
      <c r="BP43" s="56">
        <v>17871.93274</v>
      </c>
      <c r="BQ43" s="46">
        <v>14647.643980000001</v>
      </c>
      <c r="BR43" s="46">
        <v>15742.051509999999</v>
      </c>
      <c r="BS43" s="56">
        <v>23750.73746</v>
      </c>
      <c r="BT43" s="56">
        <v>72012.365690000006</v>
      </c>
      <c r="BU43" s="56">
        <v>17923.89878</v>
      </c>
      <c r="BV43" s="56">
        <v>22504.74338</v>
      </c>
      <c r="BW43" s="56">
        <v>18461.39848</v>
      </c>
      <c r="BX43" s="56">
        <v>38662.257440000001</v>
      </c>
      <c r="BY43" s="56">
        <v>97552.298079999993</v>
      </c>
      <c r="BZ43" s="56">
        <v>8037.06675</v>
      </c>
      <c r="CA43" s="56">
        <v>22145.287359999998</v>
      </c>
      <c r="CB43" s="56">
        <v>8494.8411099999994</v>
      </c>
      <c r="CC43" s="56">
        <v>17890.5131</v>
      </c>
      <c r="CD43" s="56">
        <v>56567.708319999998</v>
      </c>
      <c r="CE43" s="56">
        <v>20944.4012</v>
      </c>
      <c r="CF43" s="56">
        <v>15085.20241</v>
      </c>
      <c r="CG43" s="56">
        <v>23810.331020000001</v>
      </c>
      <c r="CH43" s="56">
        <v>26512.136500000001</v>
      </c>
      <c r="CI43" s="56">
        <v>86352.071129999997</v>
      </c>
      <c r="CJ43" s="56">
        <v>18351.13696</v>
      </c>
      <c r="CK43" s="56">
        <v>8796.1135699999995</v>
      </c>
      <c r="CL43" s="56">
        <v>7202.6791199999998</v>
      </c>
      <c r="CM43" s="56">
        <v>11226.945970000001</v>
      </c>
      <c r="CN43" s="56">
        <v>45576.875619999999</v>
      </c>
      <c r="CO43" s="56">
        <v>11354.67647</v>
      </c>
      <c r="CP43" s="56">
        <v>10718.794540000001</v>
      </c>
      <c r="CQ43" s="56">
        <v>10239.84965</v>
      </c>
      <c r="CR43" s="56">
        <v>11980.815689999999</v>
      </c>
      <c r="CS43" s="56">
        <v>44294.136350000001</v>
      </c>
      <c r="CT43" s="66" t="s">
        <v>29</v>
      </c>
      <c r="CU43" s="60" t="s">
        <v>237</v>
      </c>
    </row>
    <row r="44" spans="1:99" s="9" customFormat="1" ht="15.75">
      <c r="A44" s="66" t="s">
        <v>30</v>
      </c>
      <c r="B44" s="60" t="s">
        <v>166</v>
      </c>
      <c r="C44" s="81">
        <v>588.1</v>
      </c>
      <c r="D44" s="81">
        <v>415.5</v>
      </c>
      <c r="E44" s="81">
        <v>256.7</v>
      </c>
      <c r="F44" s="81">
        <v>178.8</v>
      </c>
      <c r="G44" s="82">
        <f t="shared" si="6"/>
        <v>1439.1</v>
      </c>
      <c r="H44" s="81">
        <v>113.9</v>
      </c>
      <c r="I44" s="81">
        <v>15</v>
      </c>
      <c r="J44" s="81">
        <v>18.899999999999999</v>
      </c>
      <c r="K44" s="81">
        <v>37.4</v>
      </c>
      <c r="L44" s="82">
        <f t="shared" si="4"/>
        <v>185.20000000000002</v>
      </c>
      <c r="M44" s="81">
        <v>10.7</v>
      </c>
      <c r="N44" s="81" t="s">
        <v>117</v>
      </c>
      <c r="O44" s="81" t="s">
        <v>117</v>
      </c>
      <c r="P44" s="81">
        <v>239.6</v>
      </c>
      <c r="Q44" s="82">
        <f t="shared" si="5"/>
        <v>250.29999999999998</v>
      </c>
      <c r="R44" s="81" t="s">
        <v>117</v>
      </c>
      <c r="S44" s="81" t="s">
        <v>117</v>
      </c>
      <c r="T44" s="81">
        <v>205.2</v>
      </c>
      <c r="U44" s="81" t="s">
        <v>117</v>
      </c>
      <c r="V44" s="83">
        <f t="shared" si="1"/>
        <v>205.2</v>
      </c>
      <c r="W44" s="81" t="s">
        <v>117</v>
      </c>
      <c r="X44" s="81">
        <v>9.3000000000000007</v>
      </c>
      <c r="Y44" s="81">
        <v>90.6</v>
      </c>
      <c r="Z44" s="81" t="s">
        <v>117</v>
      </c>
      <c r="AA44" s="83">
        <f t="shared" si="2"/>
        <v>99.899999999999991</v>
      </c>
      <c r="AB44" s="81" t="s">
        <v>117</v>
      </c>
      <c r="AC44" s="81">
        <v>9</v>
      </c>
      <c r="AD44" s="81">
        <v>20.100000000000001</v>
      </c>
      <c r="AE44" s="81">
        <v>26</v>
      </c>
      <c r="AF44" s="81">
        <v>55.1</v>
      </c>
      <c r="AG44" s="84">
        <v>0</v>
      </c>
      <c r="AH44" s="84">
        <v>10.4</v>
      </c>
      <c r="AI44" s="84">
        <v>0</v>
      </c>
      <c r="AJ44" s="84">
        <v>14.8</v>
      </c>
      <c r="AK44" s="83">
        <f t="shared" si="3"/>
        <v>25.200000000000003</v>
      </c>
      <c r="AL44" s="83">
        <v>6.5</v>
      </c>
      <c r="AM44" s="83">
        <v>17.3</v>
      </c>
      <c r="AN44" s="83">
        <v>0.7</v>
      </c>
      <c r="AO44" s="83">
        <v>14.4</v>
      </c>
      <c r="AP44" s="83">
        <v>38.9</v>
      </c>
      <c r="AQ44" s="84" t="s">
        <v>117</v>
      </c>
      <c r="AR44" s="84">
        <v>10</v>
      </c>
      <c r="AS44" s="84" t="s">
        <v>117</v>
      </c>
      <c r="AT44" s="84" t="s">
        <v>117</v>
      </c>
      <c r="AU44" s="84">
        <v>10</v>
      </c>
      <c r="AV44" s="84" t="s">
        <v>117</v>
      </c>
      <c r="AW44" s="84">
        <v>21.5</v>
      </c>
      <c r="AX44" s="84">
        <v>15.8</v>
      </c>
      <c r="AY44" s="85">
        <v>0.2</v>
      </c>
      <c r="AZ44" s="84">
        <v>37.5</v>
      </c>
      <c r="BA44" s="84">
        <v>20.3</v>
      </c>
      <c r="BB44" s="84">
        <v>2.2999999999999998</v>
      </c>
      <c r="BC44" s="84">
        <v>14.6</v>
      </c>
      <c r="BD44" s="86">
        <v>46</v>
      </c>
      <c r="BE44" s="84">
        <v>83.2</v>
      </c>
      <c r="BF44" s="84">
        <v>0.52673000000000003</v>
      </c>
      <c r="BG44" s="87">
        <v>15.09047</v>
      </c>
      <c r="BH44" s="88">
        <v>6.7991900000000003</v>
      </c>
      <c r="BI44" s="56" t="s">
        <v>117</v>
      </c>
      <c r="BJ44" s="56">
        <v>22.41639</v>
      </c>
      <c r="BK44" s="56">
        <f>IF(25.2="","-",25.2)</f>
        <v>25.2</v>
      </c>
      <c r="BL44" s="56">
        <f>IF(2.64607="","-",2.64607)</f>
        <v>2.6460699999999999</v>
      </c>
      <c r="BM44" s="56">
        <f>IF(25.2="","-",25.2)</f>
        <v>25.2</v>
      </c>
      <c r="BN44" s="56">
        <f>IF(4.11003="","-",4.11003)</f>
        <v>4.1100300000000001</v>
      </c>
      <c r="BO44" s="56">
        <f>IF(57.1561="","-",57.1561)</f>
        <v>57.156100000000002</v>
      </c>
      <c r="BP44" s="56" t="s">
        <v>117</v>
      </c>
      <c r="BQ44" s="46" t="s">
        <v>117</v>
      </c>
      <c r="BR44" s="46">
        <v>15.69622</v>
      </c>
      <c r="BS44" s="56">
        <v>20.830390000000001</v>
      </c>
      <c r="BT44" s="56">
        <v>36.526609999999998</v>
      </c>
      <c r="BU44" s="56">
        <v>20.174040000000002</v>
      </c>
      <c r="BV44" s="56" t="s">
        <v>117</v>
      </c>
      <c r="BW44" s="56">
        <v>24.1737</v>
      </c>
      <c r="BX44" s="56">
        <v>1.3167199999999999</v>
      </c>
      <c r="BY44" s="56">
        <v>45.664459999999998</v>
      </c>
      <c r="BZ44" s="56" t="s">
        <v>117</v>
      </c>
      <c r="CA44" s="56">
        <v>0.12792000000000001</v>
      </c>
      <c r="CB44" s="56">
        <v>2.1363300000000001</v>
      </c>
      <c r="CC44" s="56">
        <v>35.044139999999999</v>
      </c>
      <c r="CD44" s="56">
        <v>37.308390000000003</v>
      </c>
      <c r="CE44" s="56">
        <v>46.68694</v>
      </c>
      <c r="CF44" s="56">
        <v>16.900200000000002</v>
      </c>
      <c r="CG44" s="56">
        <v>88.230779999999996</v>
      </c>
      <c r="CH44" s="56">
        <v>24.62895</v>
      </c>
      <c r="CI44" s="56">
        <v>176.44686999999999</v>
      </c>
      <c r="CJ44" s="56">
        <v>90.144630000000006</v>
      </c>
      <c r="CK44" s="56" t="s">
        <v>117</v>
      </c>
      <c r="CL44" s="56">
        <v>4.9561900000000003</v>
      </c>
      <c r="CM44" s="56">
        <v>189.94191000000001</v>
      </c>
      <c r="CN44" s="56">
        <v>285.04273000000001</v>
      </c>
      <c r="CO44" s="56">
        <v>265.37205999999998</v>
      </c>
      <c r="CP44" s="56">
        <v>1.8865499999999999</v>
      </c>
      <c r="CQ44" s="56">
        <v>33.515920000000001</v>
      </c>
      <c r="CR44" s="56">
        <v>98.710009999999997</v>
      </c>
      <c r="CS44" s="56">
        <v>399.48453999999998</v>
      </c>
      <c r="CT44" s="66" t="s">
        <v>30</v>
      </c>
      <c r="CU44" s="60" t="s">
        <v>166</v>
      </c>
    </row>
    <row r="45" spans="1:99" s="9" customFormat="1" ht="52.5" customHeight="1">
      <c r="A45" s="66" t="s">
        <v>31</v>
      </c>
      <c r="B45" s="60" t="s">
        <v>238</v>
      </c>
      <c r="C45" s="81">
        <v>63.8</v>
      </c>
      <c r="D45" s="81">
        <v>103.3</v>
      </c>
      <c r="E45" s="81">
        <v>21.6</v>
      </c>
      <c r="F45" s="81">
        <v>67.400000000000006</v>
      </c>
      <c r="G45" s="82">
        <f t="shared" si="6"/>
        <v>256.10000000000002</v>
      </c>
      <c r="H45" s="81">
        <v>22.1</v>
      </c>
      <c r="I45" s="81">
        <v>26.8</v>
      </c>
      <c r="J45" s="81">
        <v>86.8</v>
      </c>
      <c r="K45" s="81">
        <v>71.3</v>
      </c>
      <c r="L45" s="82">
        <f t="shared" si="4"/>
        <v>207</v>
      </c>
      <c r="M45" s="81">
        <v>75.099999999999994</v>
      </c>
      <c r="N45" s="81">
        <v>72.3</v>
      </c>
      <c r="O45" s="81">
        <v>55.7</v>
      </c>
      <c r="P45" s="81">
        <v>75.400000000000006</v>
      </c>
      <c r="Q45" s="82">
        <f t="shared" si="5"/>
        <v>278.5</v>
      </c>
      <c r="R45" s="81">
        <v>68.599999999999994</v>
      </c>
      <c r="S45" s="81">
        <v>280.8</v>
      </c>
      <c r="T45" s="81">
        <v>115.2</v>
      </c>
      <c r="U45" s="81">
        <v>104.8</v>
      </c>
      <c r="V45" s="83">
        <f t="shared" si="1"/>
        <v>569.4</v>
      </c>
      <c r="W45" s="81">
        <v>119.4</v>
      </c>
      <c r="X45" s="81">
        <v>147.5</v>
      </c>
      <c r="Y45" s="81">
        <v>230.1</v>
      </c>
      <c r="Z45" s="81">
        <v>238</v>
      </c>
      <c r="AA45" s="83">
        <f t="shared" si="2"/>
        <v>735</v>
      </c>
      <c r="AB45" s="81">
        <v>131.5</v>
      </c>
      <c r="AC45" s="81">
        <v>126.2</v>
      </c>
      <c r="AD45" s="81">
        <v>414.4</v>
      </c>
      <c r="AE45" s="81">
        <v>431.4</v>
      </c>
      <c r="AF45" s="81">
        <v>1103.5</v>
      </c>
      <c r="AG45" s="84">
        <v>343.5</v>
      </c>
      <c r="AH45" s="84">
        <v>331.2</v>
      </c>
      <c r="AI45" s="84">
        <v>639.6</v>
      </c>
      <c r="AJ45" s="84">
        <v>430.8</v>
      </c>
      <c r="AK45" s="83">
        <f t="shared" si="3"/>
        <v>1745.1000000000001</v>
      </c>
      <c r="AL45" s="83">
        <v>230.9</v>
      </c>
      <c r="AM45" s="83">
        <v>316.5</v>
      </c>
      <c r="AN45" s="83">
        <v>639.70000000000005</v>
      </c>
      <c r="AO45" s="83">
        <v>637.9</v>
      </c>
      <c r="AP45" s="83">
        <v>1825</v>
      </c>
      <c r="AQ45" s="84">
        <v>822.2</v>
      </c>
      <c r="AR45" s="84">
        <v>399.7</v>
      </c>
      <c r="AS45" s="84">
        <v>452.4</v>
      </c>
      <c r="AT45" s="84">
        <v>346.6</v>
      </c>
      <c r="AU45" s="84">
        <v>2020.9</v>
      </c>
      <c r="AV45" s="84">
        <v>236.8</v>
      </c>
      <c r="AW45" s="84">
        <v>431.5</v>
      </c>
      <c r="AX45" s="84">
        <v>268.39999999999998</v>
      </c>
      <c r="AY45" s="85">
        <v>288.89999999999998</v>
      </c>
      <c r="AZ45" s="84">
        <v>1225.5999999999999</v>
      </c>
      <c r="BA45" s="84">
        <v>403.8</v>
      </c>
      <c r="BB45" s="84">
        <v>235.7</v>
      </c>
      <c r="BC45" s="84">
        <v>313.5</v>
      </c>
      <c r="BD45" s="86">
        <v>253.2</v>
      </c>
      <c r="BE45" s="84">
        <v>1206.2</v>
      </c>
      <c r="BF45" s="84">
        <v>315.41025999999999</v>
      </c>
      <c r="BG45" s="87">
        <v>411.31524999999999</v>
      </c>
      <c r="BH45" s="88">
        <v>423.47820999999999</v>
      </c>
      <c r="BI45" s="56">
        <v>248.25110000000001</v>
      </c>
      <c r="BJ45" s="56">
        <v>1398.4548199999999</v>
      </c>
      <c r="BK45" s="56">
        <f>IF(205.08175="","-",205.08175)</f>
        <v>205.08175</v>
      </c>
      <c r="BL45" s="56">
        <f>IF(160.25682="","-",160.25682)</f>
        <v>160.25682</v>
      </c>
      <c r="BM45" s="56">
        <f>IF(250.24038="","-",250.24038)</f>
        <v>250.24037999999999</v>
      </c>
      <c r="BN45" s="56">
        <f>IF(133.02098="","-",133.02098)</f>
        <v>133.02098000000001</v>
      </c>
      <c r="BO45" s="56">
        <f>IF(748.59993="","-",748.59993)</f>
        <v>748.59992999999997</v>
      </c>
      <c r="BP45" s="56">
        <v>188.35404</v>
      </c>
      <c r="BQ45" s="46">
        <v>129.11592999999999</v>
      </c>
      <c r="BR45" s="46">
        <v>672.61032999999998</v>
      </c>
      <c r="BS45" s="56">
        <v>192.99504999999999</v>
      </c>
      <c r="BT45" s="56">
        <v>1183.0753500000001</v>
      </c>
      <c r="BU45" s="56">
        <v>204.4479</v>
      </c>
      <c r="BV45" s="56">
        <v>248.36491000000001</v>
      </c>
      <c r="BW45" s="56">
        <v>163.61623</v>
      </c>
      <c r="BX45" s="56">
        <v>213.15715</v>
      </c>
      <c r="BY45" s="56">
        <v>829.58618999999999</v>
      </c>
      <c r="BZ45" s="56">
        <v>216.60965999999999</v>
      </c>
      <c r="CA45" s="56">
        <v>156.00995</v>
      </c>
      <c r="CB45" s="56">
        <v>169.78362000000001</v>
      </c>
      <c r="CC45" s="56">
        <v>280.64926000000003</v>
      </c>
      <c r="CD45" s="56">
        <v>823.05249000000003</v>
      </c>
      <c r="CE45" s="56">
        <v>275.60944000000001</v>
      </c>
      <c r="CF45" s="56">
        <v>370.64242000000002</v>
      </c>
      <c r="CG45" s="56">
        <v>419.63873999999998</v>
      </c>
      <c r="CH45" s="56">
        <v>452.05712999999997</v>
      </c>
      <c r="CI45" s="56">
        <v>1517.9477300000001</v>
      </c>
      <c r="CJ45" s="56">
        <v>420.5059</v>
      </c>
      <c r="CK45" s="56">
        <v>464.26598999999999</v>
      </c>
      <c r="CL45" s="56">
        <v>635.36994000000004</v>
      </c>
      <c r="CM45" s="56">
        <v>995.12594000000001</v>
      </c>
      <c r="CN45" s="56">
        <v>2515.2677699999999</v>
      </c>
      <c r="CO45" s="56">
        <v>932.86496999999997</v>
      </c>
      <c r="CP45" s="56">
        <v>1094.4896000000001</v>
      </c>
      <c r="CQ45" s="56">
        <v>986.21248000000003</v>
      </c>
      <c r="CR45" s="56">
        <v>894.72848999999997</v>
      </c>
      <c r="CS45" s="56">
        <v>3908.2955400000001</v>
      </c>
      <c r="CT45" s="66" t="s">
        <v>31</v>
      </c>
      <c r="CU45" s="60" t="s">
        <v>238</v>
      </c>
    </row>
    <row r="46" spans="1:99" s="9" customFormat="1" ht="31.5">
      <c r="A46" s="66" t="s">
        <v>32</v>
      </c>
      <c r="B46" s="60" t="s">
        <v>167</v>
      </c>
      <c r="C46" s="81">
        <v>669.8</v>
      </c>
      <c r="D46" s="81">
        <v>1230.7</v>
      </c>
      <c r="E46" s="81">
        <v>2474.1999999999998</v>
      </c>
      <c r="F46" s="81">
        <v>2779.4</v>
      </c>
      <c r="G46" s="82">
        <f t="shared" si="6"/>
        <v>7154.1</v>
      </c>
      <c r="H46" s="81">
        <v>1283.2</v>
      </c>
      <c r="I46" s="81">
        <v>2111.1</v>
      </c>
      <c r="J46" s="81">
        <v>3000.9</v>
      </c>
      <c r="K46" s="81">
        <v>1863.7</v>
      </c>
      <c r="L46" s="82">
        <f t="shared" si="4"/>
        <v>8258.9000000000015</v>
      </c>
      <c r="M46" s="81">
        <v>1751.5</v>
      </c>
      <c r="N46" s="81">
        <v>2609.6</v>
      </c>
      <c r="O46" s="81">
        <v>3146.9</v>
      </c>
      <c r="P46" s="81">
        <v>2248.4</v>
      </c>
      <c r="Q46" s="82">
        <f t="shared" si="5"/>
        <v>9756.4</v>
      </c>
      <c r="R46" s="81">
        <v>1050.4000000000001</v>
      </c>
      <c r="S46" s="81">
        <v>1288.2</v>
      </c>
      <c r="T46" s="81">
        <v>3859.6</v>
      </c>
      <c r="U46" s="81">
        <v>2339</v>
      </c>
      <c r="V46" s="83">
        <f t="shared" si="1"/>
        <v>8537.2000000000007</v>
      </c>
      <c r="W46" s="81">
        <v>560.70000000000005</v>
      </c>
      <c r="X46" s="81">
        <v>641.9</v>
      </c>
      <c r="Y46" s="81">
        <v>1751.1</v>
      </c>
      <c r="Z46" s="81">
        <v>2023.7</v>
      </c>
      <c r="AA46" s="83">
        <f t="shared" si="2"/>
        <v>4977.3999999999996</v>
      </c>
      <c r="AB46" s="81">
        <v>949</v>
      </c>
      <c r="AC46" s="81">
        <v>777.5</v>
      </c>
      <c r="AD46" s="81">
        <v>3469.6</v>
      </c>
      <c r="AE46" s="81">
        <v>1007.4</v>
      </c>
      <c r="AF46" s="81">
        <v>6203.5</v>
      </c>
      <c r="AG46" s="84">
        <v>693.5</v>
      </c>
      <c r="AH46" s="84">
        <v>1353.5</v>
      </c>
      <c r="AI46" s="84">
        <v>7425.8</v>
      </c>
      <c r="AJ46" s="84">
        <v>6662.6</v>
      </c>
      <c r="AK46" s="83">
        <f t="shared" si="3"/>
        <v>16135.4</v>
      </c>
      <c r="AL46" s="83">
        <v>4231.6000000000004</v>
      </c>
      <c r="AM46" s="83">
        <v>6987.1</v>
      </c>
      <c r="AN46" s="83">
        <v>11562.8</v>
      </c>
      <c r="AO46" s="83">
        <v>9267.1</v>
      </c>
      <c r="AP46" s="83">
        <v>32048.6</v>
      </c>
      <c r="AQ46" s="83">
        <v>9532.9</v>
      </c>
      <c r="AR46" s="83">
        <v>7119.2</v>
      </c>
      <c r="AS46" s="83">
        <v>10278.700000000001</v>
      </c>
      <c r="AT46" s="83">
        <v>7009.4</v>
      </c>
      <c r="AU46" s="83">
        <v>33940.199999999997</v>
      </c>
      <c r="AV46" s="84">
        <v>6706.2</v>
      </c>
      <c r="AW46" s="84">
        <v>7955</v>
      </c>
      <c r="AX46" s="84">
        <v>7864.1</v>
      </c>
      <c r="AY46" s="85">
        <v>5924.4</v>
      </c>
      <c r="AZ46" s="84">
        <v>28449.7</v>
      </c>
      <c r="BA46" s="84">
        <v>6278</v>
      </c>
      <c r="BB46" s="84">
        <v>5264.6</v>
      </c>
      <c r="BC46" s="84">
        <v>5718</v>
      </c>
      <c r="BD46" s="86">
        <v>4415.5</v>
      </c>
      <c r="BE46" s="84">
        <v>21676.1</v>
      </c>
      <c r="BF46" s="84">
        <v>4379.4085299999997</v>
      </c>
      <c r="BG46" s="87">
        <v>3741.0975199999998</v>
      </c>
      <c r="BH46" s="88">
        <v>5690.1607100000001</v>
      </c>
      <c r="BI46" s="56">
        <v>3321.4123500000001</v>
      </c>
      <c r="BJ46" s="56">
        <v>17132.079109999999</v>
      </c>
      <c r="BK46" s="56">
        <f>IF(2424.86922="","-",2424.86922)</f>
        <v>2424.86922</v>
      </c>
      <c r="BL46" s="56">
        <f>IF(3086.58996="","-",3086.58996)</f>
        <v>3086.5899599999998</v>
      </c>
      <c r="BM46" s="56">
        <f>IF(5461.26366="","-",5461.26366)</f>
        <v>5461.2636599999996</v>
      </c>
      <c r="BN46" s="56">
        <f>IF(3291.80651="","-",3291.80651)</f>
        <v>3291.8065099999999</v>
      </c>
      <c r="BO46" s="56">
        <f>IF(14264.52935="","-",14264.52935)</f>
        <v>14264.529350000001</v>
      </c>
      <c r="BP46" s="56">
        <v>3614.7474900000002</v>
      </c>
      <c r="BQ46" s="46">
        <v>2618.3332799999998</v>
      </c>
      <c r="BR46" s="46">
        <v>5695.7533000000003</v>
      </c>
      <c r="BS46" s="56">
        <v>3311.2101299999999</v>
      </c>
      <c r="BT46" s="56">
        <v>15240.0442</v>
      </c>
      <c r="BU46" s="56">
        <v>3172.6215699999998</v>
      </c>
      <c r="BV46" s="56">
        <v>2797.6120000000001</v>
      </c>
      <c r="BW46" s="56">
        <v>5096.4705100000001</v>
      </c>
      <c r="BX46" s="56">
        <v>3218.1717699999999</v>
      </c>
      <c r="BY46" s="56">
        <v>14284.87585</v>
      </c>
      <c r="BZ46" s="56">
        <v>2991.8449900000001</v>
      </c>
      <c r="CA46" s="56">
        <v>1593.61077</v>
      </c>
      <c r="CB46" s="56">
        <v>3509.6844700000001</v>
      </c>
      <c r="CC46" s="56">
        <v>2382.3351600000001</v>
      </c>
      <c r="CD46" s="56">
        <v>10477.47539</v>
      </c>
      <c r="CE46" s="56">
        <v>2184.8980099999999</v>
      </c>
      <c r="CF46" s="56">
        <v>2177.2441100000001</v>
      </c>
      <c r="CG46" s="56">
        <v>4427.6795400000001</v>
      </c>
      <c r="CH46" s="56">
        <v>3641.0087600000002</v>
      </c>
      <c r="CI46" s="56">
        <v>12430.83042</v>
      </c>
      <c r="CJ46" s="56">
        <v>3054.3691800000001</v>
      </c>
      <c r="CK46" s="56">
        <v>3382.66248</v>
      </c>
      <c r="CL46" s="56">
        <v>5851.2170800000004</v>
      </c>
      <c r="CM46" s="56">
        <v>5195.9301100000002</v>
      </c>
      <c r="CN46" s="56">
        <v>17484.17885</v>
      </c>
      <c r="CO46" s="56">
        <v>4123.6379200000001</v>
      </c>
      <c r="CP46" s="56">
        <v>3012.9840800000002</v>
      </c>
      <c r="CQ46" s="56">
        <v>6403.18498</v>
      </c>
      <c r="CR46" s="56">
        <v>3007.5652500000001</v>
      </c>
      <c r="CS46" s="56">
        <v>16547.372230000001</v>
      </c>
      <c r="CT46" s="66" t="s">
        <v>32</v>
      </c>
      <c r="CU46" s="60" t="s">
        <v>167</v>
      </c>
    </row>
    <row r="47" spans="1:99" s="9" customFormat="1" ht="78.75">
      <c r="A47" s="66" t="s">
        <v>33</v>
      </c>
      <c r="B47" s="60" t="s">
        <v>239</v>
      </c>
      <c r="C47" s="81">
        <v>142.4</v>
      </c>
      <c r="D47" s="81">
        <v>272.2</v>
      </c>
      <c r="E47" s="81">
        <v>81.599999999999994</v>
      </c>
      <c r="F47" s="81">
        <v>117.8</v>
      </c>
      <c r="G47" s="82">
        <f t="shared" si="6"/>
        <v>614</v>
      </c>
      <c r="H47" s="81">
        <v>147.69999999999999</v>
      </c>
      <c r="I47" s="81">
        <v>58</v>
      </c>
      <c r="J47" s="81">
        <v>81.8</v>
      </c>
      <c r="K47" s="81">
        <v>41</v>
      </c>
      <c r="L47" s="82">
        <f t="shared" si="4"/>
        <v>328.5</v>
      </c>
      <c r="M47" s="81">
        <v>72.599999999999994</v>
      </c>
      <c r="N47" s="81">
        <v>68.8</v>
      </c>
      <c r="O47" s="81">
        <v>14</v>
      </c>
      <c r="P47" s="81">
        <v>165.1</v>
      </c>
      <c r="Q47" s="82">
        <f t="shared" si="5"/>
        <v>320.5</v>
      </c>
      <c r="R47" s="81">
        <v>504.3</v>
      </c>
      <c r="S47" s="81">
        <v>1114.3</v>
      </c>
      <c r="T47" s="81">
        <v>2096.3000000000002</v>
      </c>
      <c r="U47" s="81">
        <v>1184.8</v>
      </c>
      <c r="V47" s="83">
        <f t="shared" si="1"/>
        <v>4899.7</v>
      </c>
      <c r="W47" s="81">
        <v>874.1</v>
      </c>
      <c r="X47" s="81">
        <v>1479.7</v>
      </c>
      <c r="Y47" s="81">
        <v>869.4</v>
      </c>
      <c r="Z47" s="81">
        <v>537.70000000000005</v>
      </c>
      <c r="AA47" s="83">
        <f t="shared" si="2"/>
        <v>3760.9000000000005</v>
      </c>
      <c r="AB47" s="81">
        <v>978</v>
      </c>
      <c r="AC47" s="81">
        <v>635.6</v>
      </c>
      <c r="AD47" s="81">
        <v>818.6</v>
      </c>
      <c r="AE47" s="81">
        <v>1005.3</v>
      </c>
      <c r="AF47" s="81">
        <v>3437.5</v>
      </c>
      <c r="AG47" s="84">
        <v>1395.2</v>
      </c>
      <c r="AH47" s="84">
        <v>3725.4</v>
      </c>
      <c r="AI47" s="84">
        <v>4325.2</v>
      </c>
      <c r="AJ47" s="84">
        <v>3208</v>
      </c>
      <c r="AK47" s="83">
        <f t="shared" si="3"/>
        <v>12653.8</v>
      </c>
      <c r="AL47" s="83">
        <v>2925.8</v>
      </c>
      <c r="AM47" s="83">
        <v>3283.9</v>
      </c>
      <c r="AN47" s="83">
        <v>4215.5</v>
      </c>
      <c r="AO47" s="83">
        <v>4411.7</v>
      </c>
      <c r="AP47" s="83">
        <v>14836.9</v>
      </c>
      <c r="AQ47" s="83">
        <v>4050.1</v>
      </c>
      <c r="AR47" s="83">
        <v>4268.8999999999996</v>
      </c>
      <c r="AS47" s="83">
        <v>4514</v>
      </c>
      <c r="AT47" s="83">
        <v>2833.9</v>
      </c>
      <c r="AU47" s="83">
        <v>15666.9</v>
      </c>
      <c r="AV47" s="84">
        <v>2057.1</v>
      </c>
      <c r="AW47" s="84">
        <v>1637.3</v>
      </c>
      <c r="AX47" s="84">
        <v>3593.7</v>
      </c>
      <c r="AY47" s="85">
        <v>3725.3</v>
      </c>
      <c r="AZ47" s="84">
        <v>11013.4</v>
      </c>
      <c r="BA47" s="84">
        <v>4195.7</v>
      </c>
      <c r="BB47" s="84">
        <v>3292.9</v>
      </c>
      <c r="BC47" s="84">
        <v>5486</v>
      </c>
      <c r="BD47" s="86">
        <v>3812</v>
      </c>
      <c r="BE47" s="84">
        <v>16786.599999999999</v>
      </c>
      <c r="BF47" s="84">
        <v>4831.8023800000001</v>
      </c>
      <c r="BG47" s="87">
        <v>5656.7720200000003</v>
      </c>
      <c r="BH47" s="88">
        <v>4754.7691400000003</v>
      </c>
      <c r="BI47" s="56">
        <v>2751.1642499999998</v>
      </c>
      <c r="BJ47" s="56">
        <v>17994.50779</v>
      </c>
      <c r="BK47" s="56">
        <f>IF(4804.72538="","-",4804.72538)</f>
        <v>4804.7253799999999</v>
      </c>
      <c r="BL47" s="56">
        <f>IF(4043.31918="","-",4043.31918)</f>
        <v>4043.31918</v>
      </c>
      <c r="BM47" s="56">
        <f>IF(3245.38853="","-",3245.38853)</f>
        <v>3245.3885300000002</v>
      </c>
      <c r="BN47" s="56">
        <f>IF(2047.20303="","-",2047.20303)</f>
        <v>2047.2030299999999</v>
      </c>
      <c r="BO47" s="56">
        <f>IF(14140.63612="","-",14140.63612)</f>
        <v>14140.636119999999</v>
      </c>
      <c r="BP47" s="56">
        <v>2805.0654199999999</v>
      </c>
      <c r="BQ47" s="46">
        <v>1721.1963900000001</v>
      </c>
      <c r="BR47" s="46">
        <v>896.60483999999997</v>
      </c>
      <c r="BS47" s="56">
        <v>530.84825999999998</v>
      </c>
      <c r="BT47" s="56">
        <v>5953.7149099999997</v>
      </c>
      <c r="BU47" s="56">
        <v>333.25754999999998</v>
      </c>
      <c r="BV47" s="56">
        <v>120.96937</v>
      </c>
      <c r="BW47" s="56">
        <v>281.57375000000002</v>
      </c>
      <c r="BX47" s="56">
        <v>207.25596999999999</v>
      </c>
      <c r="BY47" s="56">
        <v>943.05664000000002</v>
      </c>
      <c r="BZ47" s="56">
        <v>307.25877000000003</v>
      </c>
      <c r="CA47" s="56">
        <v>400.72561000000002</v>
      </c>
      <c r="CB47" s="56">
        <v>409.93117000000001</v>
      </c>
      <c r="CC47" s="56">
        <v>482.60521999999997</v>
      </c>
      <c r="CD47" s="56">
        <v>1600.5207700000001</v>
      </c>
      <c r="CE47" s="56">
        <v>199.01956000000001</v>
      </c>
      <c r="CF47" s="56">
        <v>447.19571999999999</v>
      </c>
      <c r="CG47" s="56">
        <v>333.93049999999999</v>
      </c>
      <c r="CH47" s="56">
        <v>251.84885</v>
      </c>
      <c r="CI47" s="56">
        <v>1231.9946299999999</v>
      </c>
      <c r="CJ47" s="56">
        <v>366.11799999999999</v>
      </c>
      <c r="CK47" s="56">
        <v>457.11207000000002</v>
      </c>
      <c r="CL47" s="56">
        <v>815.05682000000002</v>
      </c>
      <c r="CM47" s="56">
        <v>657.15902000000006</v>
      </c>
      <c r="CN47" s="56">
        <v>2295.4459099999999</v>
      </c>
      <c r="CO47" s="56">
        <v>629.88104999999996</v>
      </c>
      <c r="CP47" s="56">
        <v>429.04237999999998</v>
      </c>
      <c r="CQ47" s="56">
        <v>251.64616000000001</v>
      </c>
      <c r="CR47" s="56">
        <v>190.91622000000001</v>
      </c>
      <c r="CS47" s="56">
        <v>1501.4858099999999</v>
      </c>
      <c r="CT47" s="66" t="s">
        <v>33</v>
      </c>
      <c r="CU47" s="60" t="s">
        <v>239</v>
      </c>
    </row>
    <row r="48" spans="1:99" s="9" customFormat="1" ht="18.75" customHeight="1">
      <c r="A48" s="66" t="s">
        <v>34</v>
      </c>
      <c r="B48" s="60" t="s">
        <v>168</v>
      </c>
      <c r="C48" s="82" t="s">
        <v>115</v>
      </c>
      <c r="D48" s="81">
        <v>39.4</v>
      </c>
      <c r="E48" s="81">
        <v>2.6</v>
      </c>
      <c r="F48" s="81">
        <v>32.299999999999997</v>
      </c>
      <c r="G48" s="82">
        <f t="shared" si="6"/>
        <v>74.3</v>
      </c>
      <c r="H48" s="81">
        <v>2.6</v>
      </c>
      <c r="I48" s="81">
        <v>13</v>
      </c>
      <c r="J48" s="81">
        <v>35.200000000000003</v>
      </c>
      <c r="K48" s="81">
        <v>198.8</v>
      </c>
      <c r="L48" s="82">
        <f t="shared" si="4"/>
        <v>249.60000000000002</v>
      </c>
      <c r="M48" s="81">
        <v>85.8</v>
      </c>
      <c r="N48" s="81">
        <v>90.6</v>
      </c>
      <c r="O48" s="81">
        <v>63.7</v>
      </c>
      <c r="P48" s="81">
        <v>0.8</v>
      </c>
      <c r="Q48" s="82">
        <f t="shared" si="5"/>
        <v>240.89999999999998</v>
      </c>
      <c r="R48" s="81">
        <v>0.8</v>
      </c>
      <c r="S48" s="81">
        <v>30.2</v>
      </c>
      <c r="T48" s="81">
        <v>6.4</v>
      </c>
      <c r="U48" s="81">
        <v>17.100000000000001</v>
      </c>
      <c r="V48" s="83">
        <f t="shared" si="1"/>
        <v>54.5</v>
      </c>
      <c r="W48" s="81">
        <v>4.9000000000000004</v>
      </c>
      <c r="X48" s="81">
        <v>76.400000000000006</v>
      </c>
      <c r="Y48" s="81">
        <v>55.1</v>
      </c>
      <c r="Z48" s="81">
        <v>72.5</v>
      </c>
      <c r="AA48" s="83">
        <f t="shared" si="2"/>
        <v>208.9</v>
      </c>
      <c r="AB48" s="81">
        <v>57.9</v>
      </c>
      <c r="AC48" s="81">
        <v>17.3</v>
      </c>
      <c r="AD48" s="81">
        <v>99.1</v>
      </c>
      <c r="AE48" s="81">
        <v>35.299999999999997</v>
      </c>
      <c r="AF48" s="81">
        <v>209.6</v>
      </c>
      <c r="AG48" s="84">
        <v>7.1</v>
      </c>
      <c r="AH48" s="84">
        <v>71.599999999999994</v>
      </c>
      <c r="AI48" s="84">
        <v>25.7</v>
      </c>
      <c r="AJ48" s="84">
        <v>2.2000000000000002</v>
      </c>
      <c r="AK48" s="83">
        <f t="shared" si="3"/>
        <v>106.6</v>
      </c>
      <c r="AL48" s="83">
        <v>30.1</v>
      </c>
      <c r="AM48" s="83">
        <v>82</v>
      </c>
      <c r="AN48" s="83">
        <v>25.9</v>
      </c>
      <c r="AO48" s="83">
        <v>5.2</v>
      </c>
      <c r="AP48" s="83">
        <v>143.19999999999999</v>
      </c>
      <c r="AQ48" s="84">
        <v>31.2</v>
      </c>
      <c r="AR48" s="84">
        <v>6.6</v>
      </c>
      <c r="AS48" s="84">
        <v>52.3</v>
      </c>
      <c r="AT48" s="84">
        <v>23.4</v>
      </c>
      <c r="AU48" s="84">
        <v>113.5</v>
      </c>
      <c r="AV48" s="84">
        <v>59.8</v>
      </c>
      <c r="AW48" s="84">
        <v>56.8</v>
      </c>
      <c r="AX48" s="84">
        <v>106.5</v>
      </c>
      <c r="AY48" s="85">
        <v>63.1</v>
      </c>
      <c r="AZ48" s="84">
        <v>286.2</v>
      </c>
      <c r="BA48" s="84">
        <v>122.4</v>
      </c>
      <c r="BB48" s="84">
        <v>53.6</v>
      </c>
      <c r="BC48" s="84">
        <v>121.2</v>
      </c>
      <c r="BD48" s="86">
        <v>38</v>
      </c>
      <c r="BE48" s="84">
        <v>335.2</v>
      </c>
      <c r="BF48" s="84">
        <v>3.5620699999999998</v>
      </c>
      <c r="BG48" s="87">
        <v>90.364320000000006</v>
      </c>
      <c r="BH48" s="88">
        <v>63.088569999999997</v>
      </c>
      <c r="BI48" s="56">
        <v>6.6831399999999999</v>
      </c>
      <c r="BJ48" s="56">
        <v>163.69810000000001</v>
      </c>
      <c r="BK48" s="56">
        <f>IF(4.35053="","-",4.35053)</f>
        <v>4.35053</v>
      </c>
      <c r="BL48" s="56">
        <f>IF(4.53901="","-",4.53901)</f>
        <v>4.5390100000000002</v>
      </c>
      <c r="BM48" s="56">
        <f>IF(284.98526="","-",284.98526)</f>
        <v>284.98525999999998</v>
      </c>
      <c r="BN48" s="56">
        <f>IF(480.63885="","-",480.63885)</f>
        <v>480.63884999999999</v>
      </c>
      <c r="BO48" s="56">
        <f>IF(774.51365="","-",774.51365)</f>
        <v>774.51364999999998</v>
      </c>
      <c r="BP48" s="56">
        <v>276.476</v>
      </c>
      <c r="BQ48" s="46">
        <v>221.73830000000001</v>
      </c>
      <c r="BR48" s="46">
        <v>286.33521999999999</v>
      </c>
      <c r="BS48" s="56">
        <v>413.95461999999998</v>
      </c>
      <c r="BT48" s="56">
        <v>1198.50414</v>
      </c>
      <c r="BU48" s="56">
        <v>282.47953999999999</v>
      </c>
      <c r="BV48" s="56">
        <v>323.90338000000003</v>
      </c>
      <c r="BW48" s="56">
        <v>247.10872000000001</v>
      </c>
      <c r="BX48" s="56">
        <v>418.21267</v>
      </c>
      <c r="BY48" s="56">
        <v>1271.7043100000001</v>
      </c>
      <c r="BZ48" s="56">
        <v>238.90171000000001</v>
      </c>
      <c r="CA48" s="56">
        <v>278.00589000000002</v>
      </c>
      <c r="CB48" s="56">
        <v>383.63610999999997</v>
      </c>
      <c r="CC48" s="56">
        <v>552.09591999999998</v>
      </c>
      <c r="CD48" s="56">
        <v>1452.6396299999999</v>
      </c>
      <c r="CE48" s="56">
        <v>362.86390999999998</v>
      </c>
      <c r="CF48" s="56">
        <v>546.21374000000003</v>
      </c>
      <c r="CG48" s="56">
        <v>420.9674</v>
      </c>
      <c r="CH48" s="56">
        <v>690.60168999999996</v>
      </c>
      <c r="CI48" s="56">
        <v>2020.6467399999999</v>
      </c>
      <c r="CJ48" s="56">
        <v>411.07094999999998</v>
      </c>
      <c r="CK48" s="56">
        <v>405.74793</v>
      </c>
      <c r="CL48" s="56">
        <v>675.43778999999995</v>
      </c>
      <c r="CM48" s="56">
        <v>549.86104</v>
      </c>
      <c r="CN48" s="56">
        <v>2042.11771</v>
      </c>
      <c r="CO48" s="56">
        <v>520.1354</v>
      </c>
      <c r="CP48" s="56">
        <v>290.42250000000001</v>
      </c>
      <c r="CQ48" s="56">
        <v>459.13959999999997</v>
      </c>
      <c r="CR48" s="56">
        <v>450.06596999999999</v>
      </c>
      <c r="CS48" s="56">
        <v>1719.7634700000001</v>
      </c>
      <c r="CT48" s="66" t="s">
        <v>34</v>
      </c>
      <c r="CU48" s="60" t="s">
        <v>168</v>
      </c>
    </row>
    <row r="49" spans="1:99" s="9" customFormat="1" ht="31.5">
      <c r="A49" s="66" t="s">
        <v>35</v>
      </c>
      <c r="B49" s="60" t="s">
        <v>169</v>
      </c>
      <c r="C49" s="81">
        <v>3.5</v>
      </c>
      <c r="D49" s="81">
        <v>234.1</v>
      </c>
      <c r="E49" s="81">
        <v>0</v>
      </c>
      <c r="F49" s="81">
        <v>6.1</v>
      </c>
      <c r="G49" s="82">
        <f t="shared" si="6"/>
        <v>243.7</v>
      </c>
      <c r="H49" s="82" t="s">
        <v>115</v>
      </c>
      <c r="I49" s="82" t="s">
        <v>115</v>
      </c>
      <c r="J49" s="82" t="s">
        <v>115</v>
      </c>
      <c r="K49" s="82" t="s">
        <v>115</v>
      </c>
      <c r="L49" s="82" t="s">
        <v>115</v>
      </c>
      <c r="M49" s="81" t="s">
        <v>117</v>
      </c>
      <c r="N49" s="81" t="s">
        <v>117</v>
      </c>
      <c r="O49" s="81" t="s">
        <v>117</v>
      </c>
      <c r="P49" s="81" t="s">
        <v>117</v>
      </c>
      <c r="Q49" s="82" t="s">
        <v>115</v>
      </c>
      <c r="R49" s="81" t="s">
        <v>117</v>
      </c>
      <c r="S49" s="81" t="s">
        <v>117</v>
      </c>
      <c r="T49" s="81" t="s">
        <v>117</v>
      </c>
      <c r="U49" s="81" t="s">
        <v>117</v>
      </c>
      <c r="V49" s="82" t="s">
        <v>115</v>
      </c>
      <c r="W49" s="81" t="s">
        <v>117</v>
      </c>
      <c r="X49" s="81" t="s">
        <v>117</v>
      </c>
      <c r="Y49" s="81" t="s">
        <v>117</v>
      </c>
      <c r="Z49" s="81" t="s">
        <v>117</v>
      </c>
      <c r="AA49" s="82" t="s">
        <v>115</v>
      </c>
      <c r="AB49" s="81" t="s">
        <v>117</v>
      </c>
      <c r="AC49" s="81" t="s">
        <v>117</v>
      </c>
      <c r="AD49" s="81" t="s">
        <v>117</v>
      </c>
      <c r="AE49" s="81" t="s">
        <v>117</v>
      </c>
      <c r="AF49" s="81" t="s">
        <v>117</v>
      </c>
      <c r="AG49" s="84" t="s">
        <v>117</v>
      </c>
      <c r="AH49" s="84" t="s">
        <v>117</v>
      </c>
      <c r="AI49" s="84" t="s">
        <v>117</v>
      </c>
      <c r="AJ49" s="84" t="s">
        <v>117</v>
      </c>
      <c r="AK49" s="81" t="s">
        <v>117</v>
      </c>
      <c r="AL49" s="83" t="s">
        <v>117</v>
      </c>
      <c r="AM49" s="83" t="s">
        <v>117</v>
      </c>
      <c r="AN49" s="83">
        <v>1.6</v>
      </c>
      <c r="AO49" s="83" t="s">
        <v>117</v>
      </c>
      <c r="AP49" s="83">
        <v>1.6</v>
      </c>
      <c r="AQ49" s="84" t="s">
        <v>117</v>
      </c>
      <c r="AR49" s="84" t="s">
        <v>117</v>
      </c>
      <c r="AS49" s="84">
        <v>0.2</v>
      </c>
      <c r="AT49" s="84" t="s">
        <v>117</v>
      </c>
      <c r="AU49" s="84">
        <v>0.2</v>
      </c>
      <c r="AV49" s="84" t="s">
        <v>117</v>
      </c>
      <c r="AW49" s="84" t="s">
        <v>117</v>
      </c>
      <c r="AX49" s="84" t="s">
        <v>117</v>
      </c>
      <c r="AY49" s="84" t="s">
        <v>117</v>
      </c>
      <c r="AZ49" s="84" t="s">
        <v>117</v>
      </c>
      <c r="BA49" s="84" t="s">
        <v>117</v>
      </c>
      <c r="BB49" s="84" t="s">
        <v>117</v>
      </c>
      <c r="BC49" s="84" t="s">
        <v>117</v>
      </c>
      <c r="BD49" s="86">
        <v>1.3</v>
      </c>
      <c r="BE49" s="84">
        <v>1.3</v>
      </c>
      <c r="BF49" s="84" t="s">
        <v>117</v>
      </c>
      <c r="BG49" s="87">
        <v>25.53473</v>
      </c>
      <c r="BH49" s="84" t="s">
        <v>117</v>
      </c>
      <c r="BI49" s="56" t="s">
        <v>117</v>
      </c>
      <c r="BJ49" s="56">
        <v>25.53473</v>
      </c>
      <c r="BK49" s="56" t="s">
        <v>117</v>
      </c>
      <c r="BL49" s="56" t="str">
        <f>IF(""="","-","")</f>
        <v>-</v>
      </c>
      <c r="BM49" s="56" t="str">
        <f>IF(""="","-","")</f>
        <v>-</v>
      </c>
      <c r="BN49" s="56">
        <f>IF(8.74741="","-",8.74741)</f>
        <v>8.7474100000000004</v>
      </c>
      <c r="BO49" s="56">
        <f>IF(8.74741="","-",8.74741)</f>
        <v>8.7474100000000004</v>
      </c>
      <c r="BP49" s="56">
        <v>2.33141</v>
      </c>
      <c r="BQ49" s="46" t="s">
        <v>117</v>
      </c>
      <c r="BR49" s="46" t="s">
        <v>117</v>
      </c>
      <c r="BS49" s="56" t="s">
        <v>117</v>
      </c>
      <c r="BT49" s="56">
        <v>2.33141</v>
      </c>
      <c r="BU49" s="56" t="s">
        <v>117</v>
      </c>
      <c r="BV49" s="56" t="s">
        <v>117</v>
      </c>
      <c r="BW49" s="56" t="s">
        <v>117</v>
      </c>
      <c r="BX49" s="56">
        <v>0.62975999999999999</v>
      </c>
      <c r="BY49" s="56">
        <v>0.62975999999999999</v>
      </c>
      <c r="BZ49" s="56">
        <v>0.11106000000000001</v>
      </c>
      <c r="CA49" s="56" t="s">
        <v>117</v>
      </c>
      <c r="CB49" s="56" t="s">
        <v>117</v>
      </c>
      <c r="CC49" s="56" t="s">
        <v>117</v>
      </c>
      <c r="CD49" s="56">
        <v>0.11106000000000001</v>
      </c>
      <c r="CE49" s="56" t="s">
        <v>117</v>
      </c>
      <c r="CF49" s="56" t="s">
        <v>117</v>
      </c>
      <c r="CG49" s="56" t="s">
        <v>117</v>
      </c>
      <c r="CH49" s="56" t="s">
        <v>117</v>
      </c>
      <c r="CI49" s="56" t="s">
        <v>117</v>
      </c>
      <c r="CJ49" s="56">
        <v>3.16E-3</v>
      </c>
      <c r="CK49" s="56">
        <v>1.54E-2</v>
      </c>
      <c r="CL49" s="56" t="s">
        <v>117</v>
      </c>
      <c r="CM49" s="56">
        <v>6.7799999999999999E-2</v>
      </c>
      <c r="CN49" s="56">
        <v>8.6360000000000006E-2</v>
      </c>
      <c r="CO49" s="56">
        <v>0.8</v>
      </c>
      <c r="CP49" s="56" t="s">
        <v>117</v>
      </c>
      <c r="CQ49" s="56">
        <v>53.36271</v>
      </c>
      <c r="CR49" s="56" t="s">
        <v>117</v>
      </c>
      <c r="CS49" s="56">
        <v>54.162709999999997</v>
      </c>
      <c r="CT49" s="66" t="s">
        <v>35</v>
      </c>
      <c r="CU49" s="60" t="s">
        <v>169</v>
      </c>
    </row>
    <row r="50" spans="1:99" s="9" customFormat="1" ht="16.5" customHeight="1">
      <c r="A50" s="66" t="s">
        <v>36</v>
      </c>
      <c r="B50" s="60" t="s">
        <v>240</v>
      </c>
      <c r="C50" s="81">
        <v>90.8</v>
      </c>
      <c r="D50" s="81">
        <v>2.7</v>
      </c>
      <c r="E50" s="82" t="s">
        <v>115</v>
      </c>
      <c r="F50" s="82" t="s">
        <v>115</v>
      </c>
      <c r="G50" s="82">
        <f t="shared" si="6"/>
        <v>93.5</v>
      </c>
      <c r="H50" s="81">
        <v>30.9</v>
      </c>
      <c r="I50" s="81">
        <v>72</v>
      </c>
      <c r="J50" s="81">
        <v>67.900000000000006</v>
      </c>
      <c r="K50" s="81">
        <v>34.200000000000003</v>
      </c>
      <c r="L50" s="82">
        <f t="shared" si="4"/>
        <v>205</v>
      </c>
      <c r="M50" s="81">
        <v>48.5</v>
      </c>
      <c r="N50" s="81">
        <v>26.3</v>
      </c>
      <c r="O50" s="81">
        <v>111.9</v>
      </c>
      <c r="P50" s="81">
        <v>16.7</v>
      </c>
      <c r="Q50" s="82">
        <f t="shared" si="5"/>
        <v>203.39999999999998</v>
      </c>
      <c r="R50" s="81">
        <v>23.6</v>
      </c>
      <c r="S50" s="81">
        <v>2.7</v>
      </c>
      <c r="T50" s="81">
        <v>10.199999999999999</v>
      </c>
      <c r="U50" s="81">
        <v>37.799999999999997</v>
      </c>
      <c r="V50" s="83">
        <f t="shared" si="1"/>
        <v>74.3</v>
      </c>
      <c r="W50" s="81">
        <v>0.2</v>
      </c>
      <c r="X50" s="81">
        <v>17.5</v>
      </c>
      <c r="Y50" s="81">
        <v>0.3</v>
      </c>
      <c r="Z50" s="81">
        <v>0.2</v>
      </c>
      <c r="AA50" s="83">
        <f t="shared" ref="AA50:AA98" si="7">SUM(W50:Z50)</f>
        <v>18.2</v>
      </c>
      <c r="AB50" s="81">
        <v>0.3</v>
      </c>
      <c r="AC50" s="81">
        <v>24.9</v>
      </c>
      <c r="AD50" s="81">
        <v>8.3000000000000007</v>
      </c>
      <c r="AE50" s="81" t="s">
        <v>117</v>
      </c>
      <c r="AF50" s="81">
        <v>33.5</v>
      </c>
      <c r="AG50" s="84" t="s">
        <v>117</v>
      </c>
      <c r="AH50" s="84" t="s">
        <v>117</v>
      </c>
      <c r="AI50" s="84">
        <v>0.4</v>
      </c>
      <c r="AJ50" s="84">
        <v>9.3000000000000007</v>
      </c>
      <c r="AK50" s="83">
        <f t="shared" si="3"/>
        <v>9.7000000000000011</v>
      </c>
      <c r="AL50" s="83" t="s">
        <v>117</v>
      </c>
      <c r="AM50" s="83" t="s">
        <v>117</v>
      </c>
      <c r="AN50" s="83" t="s">
        <v>117</v>
      </c>
      <c r="AO50" s="83" t="s">
        <v>117</v>
      </c>
      <c r="AP50" s="83" t="s">
        <v>117</v>
      </c>
      <c r="AQ50" s="84" t="s">
        <v>117</v>
      </c>
      <c r="AR50" s="84">
        <v>327</v>
      </c>
      <c r="AS50" s="84" t="s">
        <v>117</v>
      </c>
      <c r="AT50" s="84">
        <v>3.7</v>
      </c>
      <c r="AU50" s="84">
        <v>330.7</v>
      </c>
      <c r="AV50" s="84">
        <v>0.9</v>
      </c>
      <c r="AW50" s="84" t="s">
        <v>117</v>
      </c>
      <c r="AX50" s="84" t="s">
        <v>117</v>
      </c>
      <c r="AY50" s="84" t="s">
        <v>117</v>
      </c>
      <c r="AZ50" s="84">
        <v>0.9</v>
      </c>
      <c r="BA50" s="84" t="s">
        <v>117</v>
      </c>
      <c r="BB50" s="84" t="s">
        <v>117</v>
      </c>
      <c r="BC50" s="84" t="s">
        <v>117</v>
      </c>
      <c r="BD50" s="84" t="s">
        <v>117</v>
      </c>
      <c r="BE50" s="84" t="s">
        <v>117</v>
      </c>
      <c r="BF50" s="84" t="s">
        <v>117</v>
      </c>
      <c r="BG50" s="84" t="s">
        <v>117</v>
      </c>
      <c r="BH50" s="84" t="s">
        <v>117</v>
      </c>
      <c r="BI50" s="56">
        <v>0.43296000000000001</v>
      </c>
      <c r="BJ50" s="56">
        <v>0.43296000000000001</v>
      </c>
      <c r="BK50" s="56" t="str">
        <f>IF(""="","-","")</f>
        <v>-</v>
      </c>
      <c r="BL50" s="56" t="str">
        <f>IF(""="","-","")</f>
        <v>-</v>
      </c>
      <c r="BM50" s="56"/>
      <c r="BN50" s="56" t="str">
        <f>IF(""="","-","")</f>
        <v>-</v>
      </c>
      <c r="BO50" s="56" t="str">
        <f>IF(""="","-","")</f>
        <v>-</v>
      </c>
      <c r="BP50" s="56" t="s">
        <v>117</v>
      </c>
      <c r="BQ50" s="46">
        <v>7.2995000000000001</v>
      </c>
      <c r="BR50" s="46">
        <v>1.0659999999999999E-2</v>
      </c>
      <c r="BS50" s="56">
        <v>0.50865000000000005</v>
      </c>
      <c r="BT50" s="56">
        <v>7.81881</v>
      </c>
      <c r="BU50" s="56" t="s">
        <v>117</v>
      </c>
      <c r="BV50" s="56" t="s">
        <v>117</v>
      </c>
      <c r="BW50" s="56" t="s">
        <v>117</v>
      </c>
      <c r="BX50" s="56" t="s">
        <v>117</v>
      </c>
      <c r="BY50" s="56" t="s">
        <v>117</v>
      </c>
      <c r="BZ50" s="56" t="s">
        <v>117</v>
      </c>
      <c r="CA50" s="56">
        <v>3.8406799999999999</v>
      </c>
      <c r="CB50" s="56">
        <v>5.3005399999999998</v>
      </c>
      <c r="CC50" s="56">
        <v>55.248379999999997</v>
      </c>
      <c r="CD50" s="56">
        <v>64.389600000000002</v>
      </c>
      <c r="CE50" s="56">
        <v>7.7108100000000004</v>
      </c>
      <c r="CF50" s="56">
        <v>8.10534</v>
      </c>
      <c r="CG50" s="56">
        <v>2.0992999999999999</v>
      </c>
      <c r="CH50" s="56">
        <v>2.3452999999999999</v>
      </c>
      <c r="CI50" s="56">
        <v>20.260750000000002</v>
      </c>
      <c r="CJ50" s="56">
        <v>8.0844900000000006</v>
      </c>
      <c r="CK50" s="56">
        <v>3.6587499999999999</v>
      </c>
      <c r="CL50" s="56">
        <v>10.99877</v>
      </c>
      <c r="CM50" s="56" t="s">
        <v>117</v>
      </c>
      <c r="CN50" s="56">
        <v>22.742010000000001</v>
      </c>
      <c r="CO50" s="56">
        <v>12.022629999999999</v>
      </c>
      <c r="CP50" s="56" t="s">
        <v>117</v>
      </c>
      <c r="CQ50" s="56">
        <v>14.4765</v>
      </c>
      <c r="CR50" s="56">
        <v>16.114550000000001</v>
      </c>
      <c r="CS50" s="56">
        <v>42.613680000000002</v>
      </c>
      <c r="CT50" s="66" t="s">
        <v>36</v>
      </c>
      <c r="CU50" s="60" t="s">
        <v>240</v>
      </c>
    </row>
    <row r="51" spans="1:99" s="9" customFormat="1" ht="20.25" customHeight="1">
      <c r="A51" s="66" t="s">
        <v>37</v>
      </c>
      <c r="B51" s="60" t="s">
        <v>170</v>
      </c>
      <c r="C51" s="81">
        <v>158.9</v>
      </c>
      <c r="D51" s="81">
        <v>365.5</v>
      </c>
      <c r="E51" s="81">
        <v>167.4</v>
      </c>
      <c r="F51" s="81">
        <v>79</v>
      </c>
      <c r="G51" s="82">
        <f t="shared" si="6"/>
        <v>770.8</v>
      </c>
      <c r="H51" s="81">
        <v>187</v>
      </c>
      <c r="I51" s="81">
        <v>431.6</v>
      </c>
      <c r="J51" s="81">
        <v>299.3</v>
      </c>
      <c r="K51" s="81">
        <v>100.5</v>
      </c>
      <c r="L51" s="82">
        <f t="shared" si="4"/>
        <v>1018.4000000000001</v>
      </c>
      <c r="M51" s="81">
        <v>190.8</v>
      </c>
      <c r="N51" s="81">
        <v>407.1</v>
      </c>
      <c r="O51" s="81">
        <v>310.5</v>
      </c>
      <c r="P51" s="81">
        <v>176.5</v>
      </c>
      <c r="Q51" s="82">
        <f t="shared" si="5"/>
        <v>1084.9000000000001</v>
      </c>
      <c r="R51" s="81">
        <v>117.5</v>
      </c>
      <c r="S51" s="81">
        <v>968.3</v>
      </c>
      <c r="T51" s="81">
        <v>364</v>
      </c>
      <c r="U51" s="81">
        <v>135.6</v>
      </c>
      <c r="V51" s="83">
        <f t="shared" si="1"/>
        <v>1585.3999999999999</v>
      </c>
      <c r="W51" s="81">
        <v>156.6</v>
      </c>
      <c r="X51" s="81">
        <v>395.3</v>
      </c>
      <c r="Y51" s="81">
        <v>156.9</v>
      </c>
      <c r="Z51" s="81">
        <v>301.3</v>
      </c>
      <c r="AA51" s="83">
        <f t="shared" si="7"/>
        <v>1010.0999999999999</v>
      </c>
      <c r="AB51" s="81">
        <v>522.70000000000005</v>
      </c>
      <c r="AC51" s="81">
        <v>188.5</v>
      </c>
      <c r="AD51" s="81">
        <v>188.1</v>
      </c>
      <c r="AE51" s="81">
        <v>250</v>
      </c>
      <c r="AF51" s="81">
        <v>1149.3</v>
      </c>
      <c r="AG51" s="84">
        <v>306.60000000000002</v>
      </c>
      <c r="AH51" s="84">
        <v>329.1</v>
      </c>
      <c r="AI51" s="84">
        <v>199.2</v>
      </c>
      <c r="AJ51" s="84">
        <v>308.60000000000002</v>
      </c>
      <c r="AK51" s="83">
        <f t="shared" si="3"/>
        <v>1143.5</v>
      </c>
      <c r="AL51" s="83">
        <v>471.1</v>
      </c>
      <c r="AM51" s="83">
        <v>372.6</v>
      </c>
      <c r="AN51" s="83">
        <v>191.4</v>
      </c>
      <c r="AO51" s="83">
        <v>256.3</v>
      </c>
      <c r="AP51" s="83">
        <v>1291.4000000000001</v>
      </c>
      <c r="AQ51" s="84">
        <v>250</v>
      </c>
      <c r="AR51" s="84">
        <v>263.39999999999998</v>
      </c>
      <c r="AS51" s="84">
        <v>508.6</v>
      </c>
      <c r="AT51" s="84">
        <v>492</v>
      </c>
      <c r="AU51" s="84">
        <v>1514</v>
      </c>
      <c r="AV51" s="84">
        <v>209.7</v>
      </c>
      <c r="AW51" s="84">
        <v>328.7</v>
      </c>
      <c r="AX51" s="84">
        <v>311.5</v>
      </c>
      <c r="AY51" s="83">
        <v>574.5</v>
      </c>
      <c r="AZ51" s="83">
        <v>1424.4</v>
      </c>
      <c r="BA51" s="84">
        <v>294.89999999999998</v>
      </c>
      <c r="BB51" s="84">
        <v>398.2</v>
      </c>
      <c r="BC51" s="83">
        <v>718.8</v>
      </c>
      <c r="BD51" s="86">
        <v>495.7</v>
      </c>
      <c r="BE51" s="84">
        <v>1907.6</v>
      </c>
      <c r="BF51" s="84">
        <v>950.00349000000006</v>
      </c>
      <c r="BG51" s="87">
        <v>570.12302</v>
      </c>
      <c r="BH51" s="88">
        <v>843.35752000000002</v>
      </c>
      <c r="BI51" s="56">
        <v>472.88524000000001</v>
      </c>
      <c r="BJ51" s="56">
        <v>2836.3692700000001</v>
      </c>
      <c r="BK51" s="56">
        <f>IF(517.60272="","-",517.60272)</f>
        <v>517.60271999999998</v>
      </c>
      <c r="BL51" s="56">
        <f>IF(1216.5223="","-",1216.5223)</f>
        <v>1216.5223000000001</v>
      </c>
      <c r="BM51" s="56">
        <f>IF(1734.512="","-",1734.512)</f>
        <v>1734.5119999999999</v>
      </c>
      <c r="BN51" s="56">
        <f>IF(694.14956="","-",694.14956)</f>
        <v>694.14955999999995</v>
      </c>
      <c r="BO51" s="56">
        <f>IF(4162.78658="","-",4162.78658)</f>
        <v>4162.78658</v>
      </c>
      <c r="BP51" s="56">
        <v>496.62355000000002</v>
      </c>
      <c r="BQ51" s="46">
        <v>1856.1043</v>
      </c>
      <c r="BR51" s="46">
        <v>221.84520000000001</v>
      </c>
      <c r="BS51" s="56">
        <v>407.14226000000002</v>
      </c>
      <c r="BT51" s="56">
        <v>2981.71531</v>
      </c>
      <c r="BU51" s="100">
        <v>176.49772999999999</v>
      </c>
      <c r="BV51" s="56">
        <v>325.47005999999999</v>
      </c>
      <c r="BW51" s="56">
        <v>328.64109000000002</v>
      </c>
      <c r="BX51" s="56">
        <v>311.98781000000002</v>
      </c>
      <c r="BY51" s="56">
        <v>1142.5966900000001</v>
      </c>
      <c r="BZ51" s="56">
        <v>239.50646</v>
      </c>
      <c r="CA51" s="56">
        <v>233.95688999999999</v>
      </c>
      <c r="CB51" s="56">
        <v>297.26794000000001</v>
      </c>
      <c r="CC51" s="56">
        <v>500.72255999999999</v>
      </c>
      <c r="CD51" s="56">
        <v>1271.4538500000001</v>
      </c>
      <c r="CE51" s="56">
        <v>1628.5547099999999</v>
      </c>
      <c r="CF51" s="56">
        <v>910.53575999999998</v>
      </c>
      <c r="CG51" s="56">
        <v>861.26598000000001</v>
      </c>
      <c r="CH51" s="56">
        <v>671.78891999999996</v>
      </c>
      <c r="CI51" s="56">
        <v>4072.1453700000002</v>
      </c>
      <c r="CJ51" s="56">
        <v>1120.02496</v>
      </c>
      <c r="CK51" s="56">
        <v>824.07605000000001</v>
      </c>
      <c r="CL51" s="56">
        <v>1051.0899999999999</v>
      </c>
      <c r="CM51" s="56">
        <v>1246.1062099999999</v>
      </c>
      <c r="CN51" s="56">
        <v>4241.2972200000004</v>
      </c>
      <c r="CO51" s="56">
        <v>1007.97171</v>
      </c>
      <c r="CP51" s="56">
        <v>980.70718999999997</v>
      </c>
      <c r="CQ51" s="56">
        <v>941.50217999999995</v>
      </c>
      <c r="CR51" s="56">
        <v>584.82674999999995</v>
      </c>
      <c r="CS51" s="56">
        <v>3515.00783</v>
      </c>
      <c r="CT51" s="66" t="s">
        <v>37</v>
      </c>
      <c r="CU51" s="60" t="s">
        <v>170</v>
      </c>
    </row>
    <row r="52" spans="1:99" s="9" customFormat="1" ht="18.75" customHeight="1">
      <c r="A52" s="65" t="s">
        <v>100</v>
      </c>
      <c r="B52" s="59" t="s">
        <v>171</v>
      </c>
      <c r="C52" s="72">
        <v>2386.3000000000002</v>
      </c>
      <c r="D52" s="72">
        <v>3121</v>
      </c>
      <c r="E52" s="72">
        <v>3033.3</v>
      </c>
      <c r="F52" s="72">
        <v>3282.9</v>
      </c>
      <c r="G52" s="72">
        <f t="shared" si="6"/>
        <v>11823.5</v>
      </c>
      <c r="H52" s="72">
        <v>2653.1</v>
      </c>
      <c r="I52" s="72">
        <v>3965.7</v>
      </c>
      <c r="J52" s="72">
        <v>4733.7</v>
      </c>
      <c r="K52" s="72">
        <v>4635.8</v>
      </c>
      <c r="L52" s="72">
        <f t="shared" si="4"/>
        <v>15988.3</v>
      </c>
      <c r="M52" s="72">
        <v>5716.5</v>
      </c>
      <c r="N52" s="72">
        <v>8464.2999999999993</v>
      </c>
      <c r="O52" s="72">
        <v>9535.7999999999993</v>
      </c>
      <c r="P52" s="72">
        <v>9365.2000000000007</v>
      </c>
      <c r="Q52" s="72">
        <f t="shared" si="5"/>
        <v>33081.800000000003</v>
      </c>
      <c r="R52" s="72">
        <v>8910.6</v>
      </c>
      <c r="S52" s="72">
        <v>10820.2</v>
      </c>
      <c r="T52" s="72">
        <v>9589.7000000000007</v>
      </c>
      <c r="U52" s="72">
        <v>8864.7999999999993</v>
      </c>
      <c r="V52" s="75">
        <f t="shared" si="1"/>
        <v>38185.300000000003</v>
      </c>
      <c r="W52" s="72">
        <v>5693.8</v>
      </c>
      <c r="X52" s="72">
        <v>8797</v>
      </c>
      <c r="Y52" s="72">
        <v>5750.5</v>
      </c>
      <c r="Z52" s="72">
        <v>6603.1</v>
      </c>
      <c r="AA52" s="75">
        <f t="shared" si="7"/>
        <v>26844.400000000001</v>
      </c>
      <c r="AB52" s="72">
        <v>4420.2</v>
      </c>
      <c r="AC52" s="72">
        <v>7719.3</v>
      </c>
      <c r="AD52" s="72">
        <v>6446.6</v>
      </c>
      <c r="AE52" s="72">
        <v>7602.1</v>
      </c>
      <c r="AF52" s="72">
        <v>26188.2</v>
      </c>
      <c r="AG52" s="76">
        <v>12764.4</v>
      </c>
      <c r="AH52" s="76">
        <v>15725.9</v>
      </c>
      <c r="AI52" s="76">
        <v>17063.900000000001</v>
      </c>
      <c r="AJ52" s="76">
        <v>17116.5</v>
      </c>
      <c r="AK52" s="75">
        <f t="shared" si="3"/>
        <v>62670.7</v>
      </c>
      <c r="AL52" s="75">
        <v>15465.2</v>
      </c>
      <c r="AM52" s="75">
        <v>16327.2</v>
      </c>
      <c r="AN52" s="75">
        <v>14859</v>
      </c>
      <c r="AO52" s="75">
        <v>13851.8</v>
      </c>
      <c r="AP52" s="75">
        <v>60503.199999999997</v>
      </c>
      <c r="AQ52" s="75">
        <v>15733.5</v>
      </c>
      <c r="AR52" s="75">
        <v>15099.7</v>
      </c>
      <c r="AS52" s="75">
        <v>18216.599999999999</v>
      </c>
      <c r="AT52" s="75">
        <v>13614.5</v>
      </c>
      <c r="AU52" s="75">
        <v>62664.3</v>
      </c>
      <c r="AV52" s="76">
        <v>13334.4</v>
      </c>
      <c r="AW52" s="76">
        <v>12661.5</v>
      </c>
      <c r="AX52" s="76">
        <v>10097.4</v>
      </c>
      <c r="AY52" s="78">
        <v>9524.1</v>
      </c>
      <c r="AZ52" s="76">
        <v>45617.4</v>
      </c>
      <c r="BA52" s="76">
        <v>9652.4</v>
      </c>
      <c r="BB52" s="76">
        <v>11055.7</v>
      </c>
      <c r="BC52" s="70">
        <v>10555.6</v>
      </c>
      <c r="BD52" s="70">
        <v>9017</v>
      </c>
      <c r="BE52" s="70">
        <v>40280.699999999997</v>
      </c>
      <c r="BF52" s="76">
        <v>9483.0144799999998</v>
      </c>
      <c r="BG52" s="80">
        <v>8205.9332900000009</v>
      </c>
      <c r="BH52" s="89">
        <v>10737.693139999999</v>
      </c>
      <c r="BI52" s="55">
        <v>7237.4993800000002</v>
      </c>
      <c r="BJ52" s="55">
        <v>35664.140290000003</v>
      </c>
      <c r="BK52" s="55">
        <f>IF(7033.58999="","-",7033.58999)</f>
        <v>7033.5899900000004</v>
      </c>
      <c r="BL52" s="55">
        <f>IF(8567.42578="","-",8567.42578)</f>
        <v>8567.4257799999996</v>
      </c>
      <c r="BM52" s="55">
        <f>IF(9555.126="","-",9555.126)</f>
        <v>9555.1260000000002</v>
      </c>
      <c r="BN52" s="55">
        <f>IF(8258.85241="","-",8258.85241)</f>
        <v>8258.8524099999995</v>
      </c>
      <c r="BO52" s="55">
        <f>IF(33414.99418="","-",33414.99418)</f>
        <v>33414.994180000002</v>
      </c>
      <c r="BP52" s="55">
        <v>10401.14731</v>
      </c>
      <c r="BQ52" s="45">
        <v>10543.893700000001</v>
      </c>
      <c r="BR52" s="45">
        <v>9879.5285299999996</v>
      </c>
      <c r="BS52" s="55">
        <v>10618.7129</v>
      </c>
      <c r="BT52" s="55">
        <v>41443.282440000003</v>
      </c>
      <c r="BU52" s="55">
        <v>11226.31005</v>
      </c>
      <c r="BV52" s="55">
        <v>11995.061799999999</v>
      </c>
      <c r="BW52" s="55">
        <v>12773.12154</v>
      </c>
      <c r="BX52" s="55">
        <v>12579.83496</v>
      </c>
      <c r="BY52" s="55">
        <v>48574.328350000003</v>
      </c>
      <c r="BZ52" s="55">
        <v>12360.08647</v>
      </c>
      <c r="CA52" s="55">
        <v>8134.3263100000004</v>
      </c>
      <c r="CB52" s="55">
        <v>8533.3946899999992</v>
      </c>
      <c r="CC52" s="55">
        <v>10682.6211</v>
      </c>
      <c r="CD52" s="55">
        <v>39710.428569999996</v>
      </c>
      <c r="CE52" s="55">
        <v>10136.4177</v>
      </c>
      <c r="CF52" s="55">
        <v>11725.87191</v>
      </c>
      <c r="CG52" s="55">
        <v>11484.05343</v>
      </c>
      <c r="CH52" s="55">
        <v>13504.637909999999</v>
      </c>
      <c r="CI52" s="55">
        <v>46850.980949999903</v>
      </c>
      <c r="CJ52" s="55">
        <v>15067.43087</v>
      </c>
      <c r="CK52" s="55">
        <v>17476.876329999999</v>
      </c>
      <c r="CL52" s="55">
        <v>17455.034500000002</v>
      </c>
      <c r="CM52" s="55">
        <v>21285.491870000002</v>
      </c>
      <c r="CN52" s="55">
        <v>71284.833570000003</v>
      </c>
      <c r="CO52" s="55">
        <v>21849.50359</v>
      </c>
      <c r="CP52" s="55">
        <v>19467.620040000002</v>
      </c>
      <c r="CQ52" s="55">
        <v>19492.47682</v>
      </c>
      <c r="CR52" s="55">
        <v>18009.424930000001</v>
      </c>
      <c r="CS52" s="55">
        <v>78819.025380000006</v>
      </c>
      <c r="CT52" s="65" t="s">
        <v>100</v>
      </c>
      <c r="CU52" s="59" t="s">
        <v>171</v>
      </c>
    </row>
    <row r="53" spans="1:99" s="9" customFormat="1" ht="21" customHeight="1">
      <c r="A53" s="66" t="s">
        <v>38</v>
      </c>
      <c r="B53" s="60" t="s">
        <v>172</v>
      </c>
      <c r="C53" s="81">
        <v>2135.9</v>
      </c>
      <c r="D53" s="81">
        <v>2758.7</v>
      </c>
      <c r="E53" s="81">
        <v>2631.1</v>
      </c>
      <c r="F53" s="81">
        <v>2219</v>
      </c>
      <c r="G53" s="82">
        <f t="shared" si="6"/>
        <v>9744.7000000000007</v>
      </c>
      <c r="H53" s="81">
        <v>2319.5</v>
      </c>
      <c r="I53" s="81">
        <v>3354.2</v>
      </c>
      <c r="J53" s="81">
        <v>3926.5</v>
      </c>
      <c r="K53" s="81">
        <v>4163.5</v>
      </c>
      <c r="L53" s="82">
        <f t="shared" si="4"/>
        <v>13763.7</v>
      </c>
      <c r="M53" s="81">
        <v>4578.5</v>
      </c>
      <c r="N53" s="81">
        <v>5379.5</v>
      </c>
      <c r="O53" s="81">
        <v>5853.2</v>
      </c>
      <c r="P53" s="81">
        <v>6293.6</v>
      </c>
      <c r="Q53" s="82">
        <f t="shared" si="5"/>
        <v>22104.800000000003</v>
      </c>
      <c r="R53" s="81">
        <v>5409.8</v>
      </c>
      <c r="S53" s="81">
        <v>7096.7</v>
      </c>
      <c r="T53" s="81">
        <v>5503.7</v>
      </c>
      <c r="U53" s="81">
        <v>6442.2</v>
      </c>
      <c r="V53" s="83">
        <f t="shared" si="1"/>
        <v>24452.400000000001</v>
      </c>
      <c r="W53" s="81">
        <v>4412.5</v>
      </c>
      <c r="X53" s="81">
        <v>7114.2</v>
      </c>
      <c r="Y53" s="81">
        <v>4027.6</v>
      </c>
      <c r="Z53" s="81">
        <v>4379.5</v>
      </c>
      <c r="AA53" s="83">
        <f t="shared" si="7"/>
        <v>19933.800000000003</v>
      </c>
      <c r="AB53" s="81">
        <v>3212.5</v>
      </c>
      <c r="AC53" s="81">
        <v>4809</v>
      </c>
      <c r="AD53" s="81">
        <v>4457.7</v>
      </c>
      <c r="AE53" s="81">
        <v>5417.3</v>
      </c>
      <c r="AF53" s="81">
        <v>17896.5</v>
      </c>
      <c r="AG53" s="84">
        <v>6284.6</v>
      </c>
      <c r="AH53" s="84">
        <v>8549.7000000000007</v>
      </c>
      <c r="AI53" s="84">
        <v>11948.1</v>
      </c>
      <c r="AJ53" s="84">
        <v>10787.5</v>
      </c>
      <c r="AK53" s="83">
        <f t="shared" si="3"/>
        <v>37569.9</v>
      </c>
      <c r="AL53" s="83">
        <v>8646.2000000000007</v>
      </c>
      <c r="AM53" s="83">
        <v>8987.7000000000007</v>
      </c>
      <c r="AN53" s="83">
        <v>9097.7999999999993</v>
      </c>
      <c r="AO53" s="83">
        <v>8450.7000000000007</v>
      </c>
      <c r="AP53" s="83">
        <v>35182.400000000001</v>
      </c>
      <c r="AQ53" s="83">
        <v>10178.700000000001</v>
      </c>
      <c r="AR53" s="83">
        <v>10602.8</v>
      </c>
      <c r="AS53" s="83">
        <v>10840.2</v>
      </c>
      <c r="AT53" s="83">
        <v>8875.7000000000007</v>
      </c>
      <c r="AU53" s="83">
        <v>40497.4</v>
      </c>
      <c r="AV53" s="84">
        <v>8532.2999999999993</v>
      </c>
      <c r="AW53" s="84">
        <v>8919.4</v>
      </c>
      <c r="AX53" s="84">
        <v>7572.3</v>
      </c>
      <c r="AY53" s="85">
        <v>6865.6</v>
      </c>
      <c r="AZ53" s="84">
        <v>31889.599999999999</v>
      </c>
      <c r="BA53" s="84">
        <v>7613.8</v>
      </c>
      <c r="BB53" s="84">
        <v>7386.7</v>
      </c>
      <c r="BC53" s="83">
        <v>6711.2</v>
      </c>
      <c r="BD53" s="83">
        <v>5086.3999999999996</v>
      </c>
      <c r="BE53" s="83">
        <v>26798.1</v>
      </c>
      <c r="BF53" s="84">
        <v>4848.7458500000002</v>
      </c>
      <c r="BG53" s="87">
        <v>6255.37925</v>
      </c>
      <c r="BH53" s="88">
        <v>6405.6219499999997</v>
      </c>
      <c r="BI53" s="56">
        <v>5678.0143799999996</v>
      </c>
      <c r="BJ53" s="56">
        <v>23187.761429999999</v>
      </c>
      <c r="BK53" s="56">
        <f>IF(6414.61411="","-",6414.61411)</f>
        <v>6414.6141100000004</v>
      </c>
      <c r="BL53" s="56">
        <f>IF(8223.9627="","-",8223.9627)</f>
        <v>8223.9627</v>
      </c>
      <c r="BM53" s="56">
        <f>IF(8789.3975="","-",8789.3975)</f>
        <v>8789.3974999999991</v>
      </c>
      <c r="BN53" s="56">
        <f>IF(7809.66803="","-",7809.66803)</f>
        <v>7809.6680299999998</v>
      </c>
      <c r="BO53" s="56">
        <f>IF(31237.64234="","-",31237.64234)</f>
        <v>31237.642339999999</v>
      </c>
      <c r="BP53" s="56">
        <v>10121.90568</v>
      </c>
      <c r="BQ53" s="46">
        <v>10066.956609999999</v>
      </c>
      <c r="BR53" s="46">
        <v>9573.8914199999908</v>
      </c>
      <c r="BS53" s="56">
        <v>10380.020189999999</v>
      </c>
      <c r="BT53" s="56">
        <v>40142.7739</v>
      </c>
      <c r="BU53" s="56">
        <v>10769.655710000001</v>
      </c>
      <c r="BV53" s="56">
        <v>11636.41505</v>
      </c>
      <c r="BW53" s="56">
        <v>12077.603279999999</v>
      </c>
      <c r="BX53" s="56">
        <v>11658.88622</v>
      </c>
      <c r="BY53" s="56">
        <v>46142.560259999998</v>
      </c>
      <c r="BZ53" s="56">
        <v>11915.14021</v>
      </c>
      <c r="CA53" s="56">
        <v>8005.8598199999997</v>
      </c>
      <c r="CB53" s="56">
        <v>8061.2077499999996</v>
      </c>
      <c r="CC53" s="56">
        <v>9448.9101800000008</v>
      </c>
      <c r="CD53" s="56">
        <v>37431.117960000003</v>
      </c>
      <c r="CE53" s="56">
        <v>9597.3358599999992</v>
      </c>
      <c r="CF53" s="56">
        <v>11479.128129999999</v>
      </c>
      <c r="CG53" s="56">
        <v>11081.57632</v>
      </c>
      <c r="CH53" s="56">
        <v>13194.95818</v>
      </c>
      <c r="CI53" s="56">
        <v>45352.998489999998</v>
      </c>
      <c r="CJ53" s="56">
        <v>14908.83821</v>
      </c>
      <c r="CK53" s="56">
        <v>17092.8269</v>
      </c>
      <c r="CL53" s="56">
        <v>16963.587909999998</v>
      </c>
      <c r="CM53" s="56">
        <v>19912.20594</v>
      </c>
      <c r="CN53" s="56">
        <v>68877.458960000004</v>
      </c>
      <c r="CO53" s="56">
        <v>20950.811900000001</v>
      </c>
      <c r="CP53" s="56">
        <v>18911.75173</v>
      </c>
      <c r="CQ53" s="56">
        <v>18741.1325</v>
      </c>
      <c r="CR53" s="56">
        <v>17358.342860000001</v>
      </c>
      <c r="CS53" s="56">
        <v>75962.038990000001</v>
      </c>
      <c r="CT53" s="66" t="s">
        <v>38</v>
      </c>
      <c r="CU53" s="60" t="s">
        <v>172</v>
      </c>
    </row>
    <row r="54" spans="1:99" s="9" customFormat="1" ht="15.75">
      <c r="A54" s="66" t="s">
        <v>39</v>
      </c>
      <c r="B54" s="60" t="s">
        <v>173</v>
      </c>
      <c r="C54" s="81">
        <v>250.4</v>
      </c>
      <c r="D54" s="81">
        <v>362.3</v>
      </c>
      <c r="E54" s="81">
        <v>402.2</v>
      </c>
      <c r="F54" s="81">
        <v>1063.9000000000001</v>
      </c>
      <c r="G54" s="82">
        <f t="shared" si="6"/>
        <v>2078.8000000000002</v>
      </c>
      <c r="H54" s="81">
        <v>333.6</v>
      </c>
      <c r="I54" s="81">
        <v>611.5</v>
      </c>
      <c r="J54" s="81">
        <v>807.2</v>
      </c>
      <c r="K54" s="81">
        <v>472.3</v>
      </c>
      <c r="L54" s="82">
        <f t="shared" si="4"/>
        <v>2224.6000000000004</v>
      </c>
      <c r="M54" s="81">
        <v>1138</v>
      </c>
      <c r="N54" s="81">
        <v>3084.8</v>
      </c>
      <c r="O54" s="81">
        <v>3682.6</v>
      </c>
      <c r="P54" s="81">
        <v>3071.6</v>
      </c>
      <c r="Q54" s="82">
        <f t="shared" si="5"/>
        <v>10977</v>
      </c>
      <c r="R54" s="81">
        <v>3500.8</v>
      </c>
      <c r="S54" s="81">
        <v>3723.5</v>
      </c>
      <c r="T54" s="81">
        <v>4086</v>
      </c>
      <c r="U54" s="81">
        <v>2422.6</v>
      </c>
      <c r="V54" s="83">
        <f t="shared" si="1"/>
        <v>13732.9</v>
      </c>
      <c r="W54" s="81">
        <v>1281.3</v>
      </c>
      <c r="X54" s="81">
        <v>1682.8</v>
      </c>
      <c r="Y54" s="81">
        <v>1722.9</v>
      </c>
      <c r="Z54" s="81">
        <v>2223.6</v>
      </c>
      <c r="AA54" s="83">
        <f t="shared" si="7"/>
        <v>6910.6</v>
      </c>
      <c r="AB54" s="81">
        <v>1207.7</v>
      </c>
      <c r="AC54" s="81">
        <v>2910.3</v>
      </c>
      <c r="AD54" s="81">
        <v>1988.9</v>
      </c>
      <c r="AE54" s="81">
        <v>2184.8000000000002</v>
      </c>
      <c r="AF54" s="81">
        <v>8291.7000000000007</v>
      </c>
      <c r="AG54" s="84">
        <v>6479.8</v>
      </c>
      <c r="AH54" s="84">
        <v>7176.2</v>
      </c>
      <c r="AI54" s="84">
        <v>5115.8</v>
      </c>
      <c r="AJ54" s="84">
        <v>6329</v>
      </c>
      <c r="AK54" s="83">
        <f t="shared" si="3"/>
        <v>25100.799999999999</v>
      </c>
      <c r="AL54" s="83">
        <v>6819</v>
      </c>
      <c r="AM54" s="83">
        <v>7339.5</v>
      </c>
      <c r="AN54" s="83">
        <v>5761.2</v>
      </c>
      <c r="AO54" s="83">
        <v>5401.1</v>
      </c>
      <c r="AP54" s="83">
        <v>25320.799999999999</v>
      </c>
      <c r="AQ54" s="84">
        <v>5554.8</v>
      </c>
      <c r="AR54" s="84">
        <v>4496.8999999999996</v>
      </c>
      <c r="AS54" s="84">
        <v>7376.4</v>
      </c>
      <c r="AT54" s="84">
        <v>4738.8</v>
      </c>
      <c r="AU54" s="84">
        <v>22166.9</v>
      </c>
      <c r="AV54" s="84">
        <v>4802.1000000000004</v>
      </c>
      <c r="AW54" s="84">
        <v>3742.1</v>
      </c>
      <c r="AX54" s="84">
        <v>2525.1</v>
      </c>
      <c r="AY54" s="85">
        <v>2658.5</v>
      </c>
      <c r="AZ54" s="84">
        <v>13727.8</v>
      </c>
      <c r="BA54" s="84">
        <v>2038.6</v>
      </c>
      <c r="BB54" s="84">
        <v>3669</v>
      </c>
      <c r="BC54" s="84">
        <v>3844.4</v>
      </c>
      <c r="BD54" s="86">
        <v>3930.6</v>
      </c>
      <c r="BE54" s="84">
        <v>13482.6</v>
      </c>
      <c r="BF54" s="84">
        <v>4634.2686299999996</v>
      </c>
      <c r="BG54" s="87">
        <v>1950.55404</v>
      </c>
      <c r="BH54" s="88">
        <v>4332.0711899999997</v>
      </c>
      <c r="BI54" s="56">
        <v>1559.4849999999999</v>
      </c>
      <c r="BJ54" s="56">
        <v>12476.378860000001</v>
      </c>
      <c r="BK54" s="56">
        <f>IF(618.97588="","-",618.97588)</f>
        <v>618.97587999999996</v>
      </c>
      <c r="BL54" s="56">
        <f>IF(343.46308="","-",343.46308)</f>
        <v>343.46307999999999</v>
      </c>
      <c r="BM54" s="56">
        <f>IF(765.7285="","-",765.7285)</f>
        <v>765.72850000000005</v>
      </c>
      <c r="BN54" s="56">
        <f>IF(449.18438="","-",449.18438)</f>
        <v>449.18437999999998</v>
      </c>
      <c r="BO54" s="56">
        <f>IF(2177.35184="","-",2177.35184)</f>
        <v>2177.3518399999998</v>
      </c>
      <c r="BP54" s="56">
        <v>279.24162999999999</v>
      </c>
      <c r="BQ54" s="46">
        <v>476.93709000000001</v>
      </c>
      <c r="BR54" s="46">
        <v>305.63711000000001</v>
      </c>
      <c r="BS54" s="56">
        <v>238.69271000000001</v>
      </c>
      <c r="BT54" s="56">
        <v>1300.50854</v>
      </c>
      <c r="BU54" s="56">
        <v>456.65433999999999</v>
      </c>
      <c r="BV54" s="56">
        <v>358.64675</v>
      </c>
      <c r="BW54" s="56">
        <v>695.51826000000005</v>
      </c>
      <c r="BX54" s="56">
        <v>920.94874000000004</v>
      </c>
      <c r="BY54" s="56">
        <v>2431.76809</v>
      </c>
      <c r="BZ54" s="56">
        <v>444.94626</v>
      </c>
      <c r="CA54" s="56">
        <v>128.46648999999999</v>
      </c>
      <c r="CB54" s="56">
        <v>472.18693999999999</v>
      </c>
      <c r="CC54" s="56">
        <v>1233.71092</v>
      </c>
      <c r="CD54" s="56">
        <v>2279.31061</v>
      </c>
      <c r="CE54" s="56">
        <v>539.08184000000006</v>
      </c>
      <c r="CF54" s="56">
        <v>246.74377999999999</v>
      </c>
      <c r="CG54" s="56">
        <v>402.47710999999998</v>
      </c>
      <c r="CH54" s="56">
        <v>309.67973000000001</v>
      </c>
      <c r="CI54" s="56">
        <v>1497.9824599999999</v>
      </c>
      <c r="CJ54" s="56">
        <v>158.59266</v>
      </c>
      <c r="CK54" s="56">
        <v>384.04942999999997</v>
      </c>
      <c r="CL54" s="56">
        <v>491.44659000000001</v>
      </c>
      <c r="CM54" s="56">
        <v>1373.28593</v>
      </c>
      <c r="CN54" s="56">
        <v>2407.3746099999998</v>
      </c>
      <c r="CO54" s="56">
        <v>898.69168999999999</v>
      </c>
      <c r="CP54" s="56">
        <v>555.86830999999995</v>
      </c>
      <c r="CQ54" s="56">
        <v>751.34432000000004</v>
      </c>
      <c r="CR54" s="56">
        <v>651.08207000000004</v>
      </c>
      <c r="CS54" s="56">
        <v>2856.98639</v>
      </c>
      <c r="CT54" s="66" t="s">
        <v>39</v>
      </c>
      <c r="CU54" s="60" t="s">
        <v>173</v>
      </c>
    </row>
    <row r="55" spans="1:99" s="9" customFormat="1" ht="31.5" customHeight="1">
      <c r="A55" s="65" t="s">
        <v>101</v>
      </c>
      <c r="B55" s="59" t="s">
        <v>241</v>
      </c>
      <c r="C55" s="72">
        <v>17558.7</v>
      </c>
      <c r="D55" s="72">
        <v>20897.900000000001</v>
      </c>
      <c r="E55" s="72">
        <v>16156.7</v>
      </c>
      <c r="F55" s="72">
        <v>16960.900000000001</v>
      </c>
      <c r="G55" s="72">
        <f t="shared" si="6"/>
        <v>71574.200000000012</v>
      </c>
      <c r="H55" s="72">
        <v>5261.3</v>
      </c>
      <c r="I55" s="72">
        <v>5752.5</v>
      </c>
      <c r="J55" s="72">
        <v>5799</v>
      </c>
      <c r="K55" s="72">
        <v>6833.5</v>
      </c>
      <c r="L55" s="72">
        <f t="shared" si="4"/>
        <v>23646.3</v>
      </c>
      <c r="M55" s="72">
        <v>5967.5</v>
      </c>
      <c r="N55" s="72">
        <v>8025.3</v>
      </c>
      <c r="O55" s="72">
        <v>6460.2</v>
      </c>
      <c r="P55" s="72">
        <v>8611.6</v>
      </c>
      <c r="Q55" s="72">
        <f t="shared" si="5"/>
        <v>29064.6</v>
      </c>
      <c r="R55" s="72">
        <v>8917.7000000000007</v>
      </c>
      <c r="S55" s="72">
        <v>8867.4</v>
      </c>
      <c r="T55" s="72">
        <v>8548</v>
      </c>
      <c r="U55" s="72">
        <v>6967</v>
      </c>
      <c r="V55" s="75">
        <f t="shared" si="1"/>
        <v>33300.1</v>
      </c>
      <c r="W55" s="72">
        <v>5161.8999999999996</v>
      </c>
      <c r="X55" s="72">
        <v>7168.3</v>
      </c>
      <c r="Y55" s="72">
        <v>4836.3999999999996</v>
      </c>
      <c r="Z55" s="72">
        <v>6775.7</v>
      </c>
      <c r="AA55" s="75">
        <f t="shared" si="7"/>
        <v>23942.3</v>
      </c>
      <c r="AB55" s="72">
        <v>4570.3999999999996</v>
      </c>
      <c r="AC55" s="72">
        <v>6112.3</v>
      </c>
      <c r="AD55" s="72">
        <v>5708.2</v>
      </c>
      <c r="AE55" s="72">
        <v>8299.5</v>
      </c>
      <c r="AF55" s="72">
        <v>24690.400000000001</v>
      </c>
      <c r="AG55" s="76">
        <v>7343.7</v>
      </c>
      <c r="AH55" s="76">
        <v>8483.9</v>
      </c>
      <c r="AI55" s="76">
        <v>8376.7000000000007</v>
      </c>
      <c r="AJ55" s="76">
        <v>10464.6</v>
      </c>
      <c r="AK55" s="75">
        <f t="shared" si="3"/>
        <v>34668.9</v>
      </c>
      <c r="AL55" s="75">
        <v>7394.4</v>
      </c>
      <c r="AM55" s="75">
        <v>7389</v>
      </c>
      <c r="AN55" s="75">
        <v>7809</v>
      </c>
      <c r="AO55" s="75">
        <v>8361.9</v>
      </c>
      <c r="AP55" s="75">
        <v>30954.3</v>
      </c>
      <c r="AQ55" s="75">
        <v>7765.9</v>
      </c>
      <c r="AR55" s="75">
        <v>7816.4</v>
      </c>
      <c r="AS55" s="75">
        <v>8124.9</v>
      </c>
      <c r="AT55" s="75">
        <v>9710.9</v>
      </c>
      <c r="AU55" s="75">
        <v>33418.1</v>
      </c>
      <c r="AV55" s="76">
        <v>7556.6</v>
      </c>
      <c r="AW55" s="76">
        <v>10543.5</v>
      </c>
      <c r="AX55" s="76">
        <v>7426.5</v>
      </c>
      <c r="AY55" s="78">
        <v>9154.2000000000007</v>
      </c>
      <c r="AZ55" s="76">
        <v>34680.800000000003</v>
      </c>
      <c r="BA55" s="76">
        <v>5684.2</v>
      </c>
      <c r="BB55" s="76">
        <v>6620.6</v>
      </c>
      <c r="BC55" s="76">
        <v>5668.5</v>
      </c>
      <c r="BD55" s="79">
        <v>7053.5</v>
      </c>
      <c r="BE55" s="76">
        <v>25026.799999999999</v>
      </c>
      <c r="BF55" s="76">
        <v>5419.7154099999998</v>
      </c>
      <c r="BG55" s="70">
        <v>6502.7138500000001</v>
      </c>
      <c r="BH55" s="70">
        <v>5183.7956000000004</v>
      </c>
      <c r="BI55" s="55">
        <v>6824.6393900000003</v>
      </c>
      <c r="BJ55" s="55">
        <v>23930.864249999999</v>
      </c>
      <c r="BK55" s="55">
        <f>IF(5093.93741="","-",5093.93741)</f>
        <v>5093.9374100000005</v>
      </c>
      <c r="BL55" s="55">
        <f>IF(5657.00152="","-",5657.00152)</f>
        <v>5657.0015199999998</v>
      </c>
      <c r="BM55" s="55">
        <f>IF(4687.10828="","-",4687.10828)</f>
        <v>4687.1082800000004</v>
      </c>
      <c r="BN55" s="55">
        <f>IF(5412.40286="","-",5412.40286)</f>
        <v>5412.4028600000001</v>
      </c>
      <c r="BO55" s="55">
        <f>IF(20850.45007="","-",20850.45007)</f>
        <v>20850.450069999999</v>
      </c>
      <c r="BP55" s="55">
        <v>5866.5296699999999</v>
      </c>
      <c r="BQ55" s="45">
        <v>6536.1343699999998</v>
      </c>
      <c r="BR55" s="45">
        <v>5252.72991</v>
      </c>
      <c r="BS55" s="55">
        <v>4729.49838</v>
      </c>
      <c r="BT55" s="55">
        <v>22384.892329999999</v>
      </c>
      <c r="BU55" s="55">
        <v>3898.0535500000001</v>
      </c>
      <c r="BV55" s="55">
        <v>4577.6754899999996</v>
      </c>
      <c r="BW55" s="55">
        <v>4775.4523600000002</v>
      </c>
      <c r="BX55" s="55">
        <v>5651.93588</v>
      </c>
      <c r="BY55" s="55">
        <v>18903.117279999999</v>
      </c>
      <c r="BZ55" s="55">
        <v>4189.11985</v>
      </c>
      <c r="CA55" s="55">
        <v>3902.5214900000001</v>
      </c>
      <c r="CB55" s="55">
        <v>3587.7782200000001</v>
      </c>
      <c r="CC55" s="55">
        <v>3788.4830700000002</v>
      </c>
      <c r="CD55" s="55">
        <v>15467.90263</v>
      </c>
      <c r="CE55" s="55">
        <v>4641.3180700000003</v>
      </c>
      <c r="CF55" s="55">
        <v>5196.80422</v>
      </c>
      <c r="CG55" s="55">
        <v>3909.47784</v>
      </c>
      <c r="CH55" s="55">
        <v>4833.9713899999997</v>
      </c>
      <c r="CI55" s="55">
        <v>18581.571520000001</v>
      </c>
      <c r="CJ55" s="55">
        <v>4538.66237</v>
      </c>
      <c r="CK55" s="55">
        <v>6515.4557000000004</v>
      </c>
      <c r="CL55" s="55">
        <v>5246.02297</v>
      </c>
      <c r="CM55" s="55">
        <v>6104.3579600000003</v>
      </c>
      <c r="CN55" s="55">
        <v>22404.499</v>
      </c>
      <c r="CO55" s="55">
        <v>4426.3254500000003</v>
      </c>
      <c r="CP55" s="55">
        <v>5581.6189299999996</v>
      </c>
      <c r="CQ55" s="55">
        <v>4289.3981000000003</v>
      </c>
      <c r="CR55" s="55">
        <v>4674.9973900000005</v>
      </c>
      <c r="CS55" s="55">
        <v>18972.33987</v>
      </c>
      <c r="CT55" s="65" t="s">
        <v>101</v>
      </c>
      <c r="CU55" s="59" t="s">
        <v>241</v>
      </c>
    </row>
    <row r="56" spans="1:99" s="9" customFormat="1" ht="31.5">
      <c r="A56" s="66" t="s">
        <v>40</v>
      </c>
      <c r="B56" s="60" t="s">
        <v>174</v>
      </c>
      <c r="C56" s="81">
        <v>15006.9</v>
      </c>
      <c r="D56" s="81">
        <v>18144.7</v>
      </c>
      <c r="E56" s="81">
        <v>13427.5</v>
      </c>
      <c r="F56" s="81">
        <v>14005.5</v>
      </c>
      <c r="G56" s="82">
        <f t="shared" si="6"/>
        <v>60584.6</v>
      </c>
      <c r="H56" s="81">
        <v>2251.1</v>
      </c>
      <c r="I56" s="81">
        <v>2626.4</v>
      </c>
      <c r="J56" s="81">
        <v>2188.5</v>
      </c>
      <c r="K56" s="81">
        <v>2809.7</v>
      </c>
      <c r="L56" s="82">
        <f t="shared" si="4"/>
        <v>9875.7000000000007</v>
      </c>
      <c r="M56" s="81">
        <v>1980.9</v>
      </c>
      <c r="N56" s="81">
        <v>3385.2</v>
      </c>
      <c r="O56" s="81">
        <v>2503.9</v>
      </c>
      <c r="P56" s="81">
        <v>3005.2</v>
      </c>
      <c r="Q56" s="82">
        <f t="shared" si="5"/>
        <v>10875.2</v>
      </c>
      <c r="R56" s="81">
        <v>3096.2</v>
      </c>
      <c r="S56" s="81">
        <v>2801.7</v>
      </c>
      <c r="T56" s="81">
        <v>2013.3</v>
      </c>
      <c r="U56" s="81">
        <v>2145.1</v>
      </c>
      <c r="V56" s="83">
        <f t="shared" si="1"/>
        <v>10056.299999999999</v>
      </c>
      <c r="W56" s="81">
        <v>1620.9</v>
      </c>
      <c r="X56" s="81">
        <v>3053.7</v>
      </c>
      <c r="Y56" s="81">
        <v>777.1</v>
      </c>
      <c r="Z56" s="81">
        <v>1206.5999999999999</v>
      </c>
      <c r="AA56" s="83">
        <f t="shared" si="7"/>
        <v>6658.3000000000011</v>
      </c>
      <c r="AB56" s="81">
        <v>937.6</v>
      </c>
      <c r="AC56" s="81">
        <v>1294.9000000000001</v>
      </c>
      <c r="AD56" s="81">
        <v>1332.4</v>
      </c>
      <c r="AE56" s="81">
        <v>1727.8</v>
      </c>
      <c r="AF56" s="81">
        <v>5292.7</v>
      </c>
      <c r="AG56" s="84">
        <v>1915.3</v>
      </c>
      <c r="AH56" s="84">
        <v>1828.3</v>
      </c>
      <c r="AI56" s="84">
        <v>1978.2</v>
      </c>
      <c r="AJ56" s="84">
        <v>2117.6</v>
      </c>
      <c r="AK56" s="83">
        <f t="shared" si="3"/>
        <v>7839.4</v>
      </c>
      <c r="AL56" s="83">
        <v>1548.7</v>
      </c>
      <c r="AM56" s="83">
        <v>1927</v>
      </c>
      <c r="AN56" s="83">
        <v>1833.2</v>
      </c>
      <c r="AO56" s="83">
        <v>2155.5</v>
      </c>
      <c r="AP56" s="83">
        <v>7464.4</v>
      </c>
      <c r="AQ56" s="84">
        <v>1963.2</v>
      </c>
      <c r="AR56" s="84">
        <v>1646.7</v>
      </c>
      <c r="AS56" s="84">
        <v>1610.2</v>
      </c>
      <c r="AT56" s="84">
        <v>2022.1</v>
      </c>
      <c r="AU56" s="84">
        <v>7242.2</v>
      </c>
      <c r="AV56" s="84">
        <v>1664.8</v>
      </c>
      <c r="AW56" s="84">
        <v>1985.9</v>
      </c>
      <c r="AX56" s="84">
        <v>1446.9</v>
      </c>
      <c r="AY56" s="85">
        <v>1826.6</v>
      </c>
      <c r="AZ56" s="84">
        <v>6924.2</v>
      </c>
      <c r="BA56" s="84">
        <v>1177.5999999999999</v>
      </c>
      <c r="BB56" s="84">
        <v>1166.3</v>
      </c>
      <c r="BC56" s="84">
        <v>1182.3</v>
      </c>
      <c r="BD56" s="86">
        <v>1424.2</v>
      </c>
      <c r="BE56" s="84">
        <v>4950.3999999999996</v>
      </c>
      <c r="BF56" s="84">
        <v>1245.8557800000001</v>
      </c>
      <c r="BG56" s="83">
        <v>1168.47216</v>
      </c>
      <c r="BH56" s="90">
        <v>869.20205999999996</v>
      </c>
      <c r="BI56" s="56">
        <v>1138.2475199999999</v>
      </c>
      <c r="BJ56" s="56">
        <v>4421.7775199999996</v>
      </c>
      <c r="BK56" s="56">
        <f>IF(1261.07856="","-",1261.07856)</f>
        <v>1261.0785599999999</v>
      </c>
      <c r="BL56" s="56">
        <f>IF(1314.14557="","-",1314.14557)</f>
        <v>1314.1455699999999</v>
      </c>
      <c r="BM56" s="56">
        <f>IF(1068.88942="","-",1068.88942)</f>
        <v>1068.88942</v>
      </c>
      <c r="BN56" s="56">
        <f>IF(872.11596="","-",872.11596)</f>
        <v>872.11595999999997</v>
      </c>
      <c r="BO56" s="56">
        <f>IF(4516.22951="","-",4516.22951)</f>
        <v>4516.2295100000001</v>
      </c>
      <c r="BP56" s="56">
        <v>1125.0351700000001</v>
      </c>
      <c r="BQ56" s="46">
        <v>935.94883000000004</v>
      </c>
      <c r="BR56" s="46">
        <v>787.46699000000001</v>
      </c>
      <c r="BS56" s="56">
        <v>680.00680999999997</v>
      </c>
      <c r="BT56" s="56">
        <v>3528.4578000000001</v>
      </c>
      <c r="BU56" s="56">
        <v>421.49038000000002</v>
      </c>
      <c r="BV56" s="56">
        <v>455.00353999999999</v>
      </c>
      <c r="BW56" s="56">
        <v>425.04259999999999</v>
      </c>
      <c r="BX56" s="56">
        <v>523.98021000000006</v>
      </c>
      <c r="BY56" s="56">
        <v>1825.5167300000001</v>
      </c>
      <c r="BZ56" s="56">
        <v>654.02585999999997</v>
      </c>
      <c r="CA56" s="56">
        <v>219.39937</v>
      </c>
      <c r="CB56" s="56">
        <v>327.63447000000002</v>
      </c>
      <c r="CC56" s="56">
        <v>404.79807</v>
      </c>
      <c r="CD56" s="56">
        <v>1605.8577700000001</v>
      </c>
      <c r="CE56" s="56">
        <v>542.50798999999995</v>
      </c>
      <c r="CF56" s="56">
        <v>370.11874999999998</v>
      </c>
      <c r="CG56" s="56">
        <v>317.55193000000003</v>
      </c>
      <c r="CH56" s="56">
        <v>282.04039</v>
      </c>
      <c r="CI56" s="56">
        <v>1512.2190599999999</v>
      </c>
      <c r="CJ56" s="56">
        <v>415.68232</v>
      </c>
      <c r="CK56" s="56">
        <v>388.50366000000002</v>
      </c>
      <c r="CL56" s="56">
        <v>343.80543</v>
      </c>
      <c r="CM56" s="56">
        <v>457.67397999999997</v>
      </c>
      <c r="CN56" s="56">
        <v>1605.6653899999999</v>
      </c>
      <c r="CO56" s="56">
        <v>526.17398000000003</v>
      </c>
      <c r="CP56" s="56">
        <v>483.00002999999998</v>
      </c>
      <c r="CQ56" s="56">
        <v>400.92739999999998</v>
      </c>
      <c r="CR56" s="56">
        <v>503.43572999999998</v>
      </c>
      <c r="CS56" s="56">
        <v>1913.5371399999999</v>
      </c>
      <c r="CT56" s="66" t="s">
        <v>40</v>
      </c>
      <c r="CU56" s="60" t="s">
        <v>174</v>
      </c>
    </row>
    <row r="57" spans="1:99" s="9" customFormat="1" ht="50.25" customHeight="1">
      <c r="A57" s="66" t="s">
        <v>41</v>
      </c>
      <c r="B57" s="60" t="s">
        <v>175</v>
      </c>
      <c r="C57" s="81">
        <v>2509</v>
      </c>
      <c r="D57" s="81">
        <v>2751.5</v>
      </c>
      <c r="E57" s="81">
        <v>2707.6</v>
      </c>
      <c r="F57" s="81">
        <v>2936</v>
      </c>
      <c r="G57" s="82">
        <f t="shared" si="6"/>
        <v>10904.1</v>
      </c>
      <c r="H57" s="81">
        <v>2986.4</v>
      </c>
      <c r="I57" s="81">
        <v>3125.1</v>
      </c>
      <c r="J57" s="81">
        <v>3314.2</v>
      </c>
      <c r="K57" s="81">
        <v>3869</v>
      </c>
      <c r="L57" s="82">
        <f t="shared" si="4"/>
        <v>13294.7</v>
      </c>
      <c r="M57" s="81">
        <v>3978.9</v>
      </c>
      <c r="N57" s="81">
        <v>4508.3</v>
      </c>
      <c r="O57" s="81">
        <v>3849.7</v>
      </c>
      <c r="P57" s="81">
        <v>5337.6</v>
      </c>
      <c r="Q57" s="82">
        <f t="shared" si="5"/>
        <v>17674.5</v>
      </c>
      <c r="R57" s="81">
        <v>5800.3</v>
      </c>
      <c r="S57" s="81">
        <v>5853.5</v>
      </c>
      <c r="T57" s="81">
        <v>6132.3</v>
      </c>
      <c r="U57" s="81">
        <v>4791.7</v>
      </c>
      <c r="V57" s="83">
        <f t="shared" si="1"/>
        <v>22577.8</v>
      </c>
      <c r="W57" s="81">
        <v>3502.9</v>
      </c>
      <c r="X57" s="81">
        <v>3912.2</v>
      </c>
      <c r="Y57" s="81">
        <v>3858.7</v>
      </c>
      <c r="Z57" s="81">
        <v>5319.9</v>
      </c>
      <c r="AA57" s="83">
        <f t="shared" si="7"/>
        <v>16593.699999999997</v>
      </c>
      <c r="AB57" s="81">
        <v>3632.8</v>
      </c>
      <c r="AC57" s="81">
        <v>4524.7</v>
      </c>
      <c r="AD57" s="81">
        <v>4083.7</v>
      </c>
      <c r="AE57" s="81">
        <v>6427.6</v>
      </c>
      <c r="AF57" s="81">
        <v>18668.8</v>
      </c>
      <c r="AG57" s="84">
        <v>5420.1</v>
      </c>
      <c r="AH57" s="84">
        <v>5952.4</v>
      </c>
      <c r="AI57" s="84">
        <v>5639.6</v>
      </c>
      <c r="AJ57" s="84">
        <v>8180</v>
      </c>
      <c r="AK57" s="83">
        <f t="shared" si="3"/>
        <v>25192.1</v>
      </c>
      <c r="AL57" s="83">
        <v>5822.9</v>
      </c>
      <c r="AM57" s="83">
        <v>5054.2</v>
      </c>
      <c r="AN57" s="83">
        <v>5418.8</v>
      </c>
      <c r="AO57" s="83">
        <v>6077.2</v>
      </c>
      <c r="AP57" s="83">
        <v>22373.1</v>
      </c>
      <c r="AQ57" s="83">
        <v>5703.5</v>
      </c>
      <c r="AR57" s="83">
        <v>5858.7</v>
      </c>
      <c r="AS57" s="83">
        <v>5937.3</v>
      </c>
      <c r="AT57" s="83">
        <v>7673.5</v>
      </c>
      <c r="AU57" s="83">
        <v>25173</v>
      </c>
      <c r="AV57" s="84">
        <v>5883.3</v>
      </c>
      <c r="AW57" s="84">
        <v>7744.4</v>
      </c>
      <c r="AX57" s="84">
        <v>5787.9</v>
      </c>
      <c r="AY57" s="83">
        <v>7310</v>
      </c>
      <c r="AZ57" s="83">
        <v>26725.599999999999</v>
      </c>
      <c r="BA57" s="84">
        <v>4386.8</v>
      </c>
      <c r="BB57" s="84">
        <v>4997.6000000000004</v>
      </c>
      <c r="BC57" s="84">
        <v>4213.1000000000004</v>
      </c>
      <c r="BD57" s="86">
        <v>5521.5</v>
      </c>
      <c r="BE57" s="84">
        <v>19119</v>
      </c>
      <c r="BF57" s="84">
        <v>4065.6128899999999</v>
      </c>
      <c r="BG57" s="87">
        <v>4881.75918</v>
      </c>
      <c r="BH57" s="88">
        <v>4047.3136100000002</v>
      </c>
      <c r="BI57" s="56">
        <v>5591.5545599999996</v>
      </c>
      <c r="BJ57" s="56">
        <v>18586.240239999999</v>
      </c>
      <c r="BK57" s="56">
        <f>IF(3580.34146="","-",3580.34146)</f>
        <v>3580.3414600000001</v>
      </c>
      <c r="BL57" s="56">
        <f>IF(3661.34549="","-",3661.34549)</f>
        <v>3661.3454900000002</v>
      </c>
      <c r="BM57" s="56">
        <f>IF(3371.28708="","-",3371.28708)</f>
        <v>3371.2870800000001</v>
      </c>
      <c r="BN57" s="56">
        <f>IF(4526.04069="","-",4526.04069)</f>
        <v>4526.0406899999998</v>
      </c>
      <c r="BO57" s="56">
        <f>IF(15139.01472="","-",15139.01472)</f>
        <v>15139.014719999999</v>
      </c>
      <c r="BP57" s="56">
        <v>4624.69038</v>
      </c>
      <c r="BQ57" s="46">
        <v>5115.8135899999997</v>
      </c>
      <c r="BR57" s="46">
        <v>4218.9625500000002</v>
      </c>
      <c r="BS57" s="56">
        <v>3954.05024</v>
      </c>
      <c r="BT57" s="56">
        <v>17913.516759999999</v>
      </c>
      <c r="BU57" s="56">
        <v>3366.98398</v>
      </c>
      <c r="BV57" s="56">
        <v>3795.6413400000001</v>
      </c>
      <c r="BW57" s="56">
        <v>3917.4859700000002</v>
      </c>
      <c r="BX57" s="56">
        <v>5001.7882099999997</v>
      </c>
      <c r="BY57" s="56">
        <v>16081.8995</v>
      </c>
      <c r="BZ57" s="56">
        <v>3430.4299599999999</v>
      </c>
      <c r="CA57" s="56">
        <v>3448.2372099999998</v>
      </c>
      <c r="CB57" s="56">
        <v>3095.45991</v>
      </c>
      <c r="CC57" s="56">
        <v>3255.9256999999998</v>
      </c>
      <c r="CD57" s="56">
        <v>13230.05278</v>
      </c>
      <c r="CE57" s="56">
        <v>3974.60113</v>
      </c>
      <c r="CF57" s="56">
        <v>4507.18559</v>
      </c>
      <c r="CG57" s="56">
        <v>3298.3110700000002</v>
      </c>
      <c r="CH57" s="56">
        <v>4465.9621500000003</v>
      </c>
      <c r="CI57" s="56">
        <v>16246.059939999999</v>
      </c>
      <c r="CJ57" s="56">
        <v>4029.3010899999999</v>
      </c>
      <c r="CK57" s="56">
        <v>5621.9581399999997</v>
      </c>
      <c r="CL57" s="56">
        <v>4267.8149100000001</v>
      </c>
      <c r="CM57" s="56">
        <v>5473.6793799999996</v>
      </c>
      <c r="CN57" s="56">
        <v>19392.753519999998</v>
      </c>
      <c r="CO57" s="56">
        <v>3764.52162</v>
      </c>
      <c r="CP57" s="56">
        <v>4547.1584300000004</v>
      </c>
      <c r="CQ57" s="56">
        <v>3468.0321600000002</v>
      </c>
      <c r="CR57" s="56">
        <v>3983.67355</v>
      </c>
      <c r="CS57" s="56">
        <v>15763.385759999999</v>
      </c>
      <c r="CT57" s="66" t="s">
        <v>41</v>
      </c>
      <c r="CU57" s="60" t="s">
        <v>175</v>
      </c>
    </row>
    <row r="58" spans="1:99" s="9" customFormat="1" ht="15.75">
      <c r="A58" s="66" t="s">
        <v>42</v>
      </c>
      <c r="B58" s="60" t="s">
        <v>176</v>
      </c>
      <c r="C58" s="81">
        <v>42.8</v>
      </c>
      <c r="D58" s="81">
        <v>1.7</v>
      </c>
      <c r="E58" s="81">
        <v>21.6</v>
      </c>
      <c r="F58" s="81">
        <v>19.399999999999999</v>
      </c>
      <c r="G58" s="82">
        <f t="shared" si="6"/>
        <v>85.5</v>
      </c>
      <c r="H58" s="81">
        <v>23.8</v>
      </c>
      <c r="I58" s="81">
        <v>1</v>
      </c>
      <c r="J58" s="81">
        <v>296.3</v>
      </c>
      <c r="K58" s="81">
        <v>154.80000000000001</v>
      </c>
      <c r="L58" s="82">
        <f t="shared" si="4"/>
        <v>475.90000000000003</v>
      </c>
      <c r="M58" s="81">
        <v>7.7</v>
      </c>
      <c r="N58" s="81">
        <v>131.80000000000001</v>
      </c>
      <c r="O58" s="81">
        <v>106.6</v>
      </c>
      <c r="P58" s="81">
        <v>268.8</v>
      </c>
      <c r="Q58" s="82">
        <f t="shared" si="5"/>
        <v>514.9</v>
      </c>
      <c r="R58" s="81">
        <v>21.2</v>
      </c>
      <c r="S58" s="81">
        <v>212.2</v>
      </c>
      <c r="T58" s="81">
        <v>402.4</v>
      </c>
      <c r="U58" s="81">
        <v>30.2</v>
      </c>
      <c r="V58" s="83">
        <f t="shared" si="1"/>
        <v>666</v>
      </c>
      <c r="W58" s="81">
        <v>38.1</v>
      </c>
      <c r="X58" s="81">
        <v>202.4</v>
      </c>
      <c r="Y58" s="81">
        <v>200.6</v>
      </c>
      <c r="Z58" s="81">
        <v>249.2</v>
      </c>
      <c r="AA58" s="83">
        <f t="shared" si="7"/>
        <v>690.3</v>
      </c>
      <c r="AB58" s="81" t="s">
        <v>117</v>
      </c>
      <c r="AC58" s="81">
        <v>292.7</v>
      </c>
      <c r="AD58" s="81">
        <v>292.10000000000002</v>
      </c>
      <c r="AE58" s="81">
        <v>144.1</v>
      </c>
      <c r="AF58" s="81">
        <v>728.9</v>
      </c>
      <c r="AG58" s="84">
        <v>8.3000000000000007</v>
      </c>
      <c r="AH58" s="84">
        <v>703.2</v>
      </c>
      <c r="AI58" s="84">
        <v>758.9</v>
      </c>
      <c r="AJ58" s="84">
        <v>167</v>
      </c>
      <c r="AK58" s="83">
        <f t="shared" si="3"/>
        <v>1637.4</v>
      </c>
      <c r="AL58" s="83">
        <v>22.8</v>
      </c>
      <c r="AM58" s="83">
        <v>407.8</v>
      </c>
      <c r="AN58" s="83">
        <v>557</v>
      </c>
      <c r="AO58" s="83">
        <v>129.19999999999999</v>
      </c>
      <c r="AP58" s="83">
        <v>1116.8</v>
      </c>
      <c r="AQ58" s="84">
        <v>99.2</v>
      </c>
      <c r="AR58" s="84">
        <v>311</v>
      </c>
      <c r="AS58" s="84">
        <v>577.4</v>
      </c>
      <c r="AT58" s="84">
        <v>15.3</v>
      </c>
      <c r="AU58" s="84">
        <v>1002.9</v>
      </c>
      <c r="AV58" s="84">
        <v>8.5</v>
      </c>
      <c r="AW58" s="84">
        <v>813.2</v>
      </c>
      <c r="AX58" s="84">
        <v>191.7</v>
      </c>
      <c r="AY58" s="83">
        <v>17.600000000000001</v>
      </c>
      <c r="AZ58" s="83">
        <v>1031</v>
      </c>
      <c r="BA58" s="84">
        <v>119.8</v>
      </c>
      <c r="BB58" s="84">
        <v>456.7</v>
      </c>
      <c r="BC58" s="84">
        <v>273.10000000000002</v>
      </c>
      <c r="BD58" s="86">
        <v>107.8</v>
      </c>
      <c r="BE58" s="84">
        <v>957.4</v>
      </c>
      <c r="BF58" s="84">
        <v>108.24674</v>
      </c>
      <c r="BG58" s="87">
        <v>452.48250999999999</v>
      </c>
      <c r="BH58" s="88">
        <v>267.27992999999998</v>
      </c>
      <c r="BI58" s="56">
        <v>94.837310000000002</v>
      </c>
      <c r="BJ58" s="56">
        <v>922.84649000000002</v>
      </c>
      <c r="BK58" s="56">
        <f>IF(252.51739="","-",252.51739)</f>
        <v>252.51739000000001</v>
      </c>
      <c r="BL58" s="56">
        <f>IF(681.51046="","-",681.51046)</f>
        <v>681.51045999999997</v>
      </c>
      <c r="BM58" s="56">
        <f>IF(246.93178="","-",246.93178)</f>
        <v>246.93178</v>
      </c>
      <c r="BN58" s="56">
        <f>IF(14.24621="","-",14.24621)</f>
        <v>14.24621</v>
      </c>
      <c r="BO58" s="56">
        <f>IF(1195.20584="","-",1195.20584)</f>
        <v>1195.2058400000001</v>
      </c>
      <c r="BP58" s="56">
        <v>116.80412</v>
      </c>
      <c r="BQ58" s="46">
        <v>484.37195000000003</v>
      </c>
      <c r="BR58" s="46">
        <v>246.30036999999999</v>
      </c>
      <c r="BS58" s="56">
        <v>95.441329999999994</v>
      </c>
      <c r="BT58" s="56">
        <v>942.91777000000002</v>
      </c>
      <c r="BU58" s="56">
        <v>109.57919</v>
      </c>
      <c r="BV58" s="56">
        <v>327.03061000000002</v>
      </c>
      <c r="BW58" s="56">
        <v>432.92379</v>
      </c>
      <c r="BX58" s="56">
        <v>126.16746000000001</v>
      </c>
      <c r="BY58" s="56">
        <v>995.70105000000001</v>
      </c>
      <c r="BZ58" s="56">
        <v>104.66403</v>
      </c>
      <c r="CA58" s="56">
        <v>234.88490999999999</v>
      </c>
      <c r="CB58" s="56">
        <v>164.68384</v>
      </c>
      <c r="CC58" s="56">
        <v>127.7593</v>
      </c>
      <c r="CD58" s="56">
        <v>631.99207999999999</v>
      </c>
      <c r="CE58" s="56">
        <v>124.20895</v>
      </c>
      <c r="CF58" s="56">
        <v>319.49988000000002</v>
      </c>
      <c r="CG58" s="56">
        <v>293.61484000000002</v>
      </c>
      <c r="CH58" s="56">
        <v>85.968850000000003</v>
      </c>
      <c r="CI58" s="56">
        <v>823.29251999999997</v>
      </c>
      <c r="CJ58" s="56">
        <v>93.678960000000004</v>
      </c>
      <c r="CK58" s="56">
        <v>504.9939</v>
      </c>
      <c r="CL58" s="56">
        <v>634.40263000000004</v>
      </c>
      <c r="CM58" s="56">
        <v>173.00460000000001</v>
      </c>
      <c r="CN58" s="56">
        <v>1406.0800899999999</v>
      </c>
      <c r="CO58" s="56">
        <v>135.62985</v>
      </c>
      <c r="CP58" s="56">
        <v>551.46046999999999</v>
      </c>
      <c r="CQ58" s="56">
        <v>420.43853999999999</v>
      </c>
      <c r="CR58" s="56">
        <v>187.88811000000001</v>
      </c>
      <c r="CS58" s="56">
        <v>1295.41697</v>
      </c>
      <c r="CT58" s="66" t="s">
        <v>42</v>
      </c>
      <c r="CU58" s="60" t="s">
        <v>176</v>
      </c>
    </row>
    <row r="59" spans="1:99" s="9" customFormat="1" ht="63">
      <c r="A59" s="65" t="s">
        <v>102</v>
      </c>
      <c r="B59" s="59" t="s">
        <v>242</v>
      </c>
      <c r="C59" s="72">
        <v>623.5</v>
      </c>
      <c r="D59" s="72">
        <v>513.5</v>
      </c>
      <c r="E59" s="72">
        <v>644.9</v>
      </c>
      <c r="F59" s="72">
        <v>485.3</v>
      </c>
      <c r="G59" s="72">
        <f t="shared" si="6"/>
        <v>2267.2000000000003</v>
      </c>
      <c r="H59" s="72">
        <v>734.3</v>
      </c>
      <c r="I59" s="72">
        <v>890.5</v>
      </c>
      <c r="J59" s="72">
        <v>1143.3</v>
      </c>
      <c r="K59" s="72">
        <v>1210.8</v>
      </c>
      <c r="L59" s="72">
        <f t="shared" si="4"/>
        <v>3978.8999999999996</v>
      </c>
      <c r="M59" s="72">
        <v>1193.2</v>
      </c>
      <c r="N59" s="72">
        <v>1099.2</v>
      </c>
      <c r="O59" s="72">
        <v>1077.7</v>
      </c>
      <c r="P59" s="72">
        <v>907</v>
      </c>
      <c r="Q59" s="72">
        <f t="shared" si="5"/>
        <v>4277.1000000000004</v>
      </c>
      <c r="R59" s="72">
        <v>1326.7</v>
      </c>
      <c r="S59" s="72">
        <v>1391.7</v>
      </c>
      <c r="T59" s="72">
        <v>1362.1</v>
      </c>
      <c r="U59" s="72">
        <v>1311.9</v>
      </c>
      <c r="V59" s="75">
        <f t="shared" si="1"/>
        <v>5392.4</v>
      </c>
      <c r="W59" s="72">
        <v>703.5</v>
      </c>
      <c r="X59" s="72">
        <v>1129.9000000000001</v>
      </c>
      <c r="Y59" s="72">
        <v>1287</v>
      </c>
      <c r="Z59" s="72">
        <v>773.4</v>
      </c>
      <c r="AA59" s="75">
        <f t="shared" si="7"/>
        <v>3893.8</v>
      </c>
      <c r="AB59" s="72">
        <v>1049.5</v>
      </c>
      <c r="AC59" s="72">
        <v>1525.6</v>
      </c>
      <c r="AD59" s="72">
        <v>1608.1</v>
      </c>
      <c r="AE59" s="72">
        <v>1530.7</v>
      </c>
      <c r="AF59" s="72">
        <v>5713.9</v>
      </c>
      <c r="AG59" s="76">
        <v>2560.3000000000002</v>
      </c>
      <c r="AH59" s="76">
        <v>2772.5</v>
      </c>
      <c r="AI59" s="76">
        <v>2205.6999999999998</v>
      </c>
      <c r="AJ59" s="76">
        <v>2675.9</v>
      </c>
      <c r="AK59" s="75">
        <f t="shared" si="3"/>
        <v>10214.4</v>
      </c>
      <c r="AL59" s="75">
        <v>2496.1</v>
      </c>
      <c r="AM59" s="75">
        <v>4005.3</v>
      </c>
      <c r="AN59" s="75">
        <v>3048.3</v>
      </c>
      <c r="AO59" s="75">
        <v>2638.9</v>
      </c>
      <c r="AP59" s="75">
        <v>12188.6</v>
      </c>
      <c r="AQ59" s="75">
        <v>2143.5</v>
      </c>
      <c r="AR59" s="75">
        <v>2627</v>
      </c>
      <c r="AS59" s="75">
        <v>1923</v>
      </c>
      <c r="AT59" s="75">
        <v>2791.8</v>
      </c>
      <c r="AU59" s="75">
        <v>9485.2999999999993</v>
      </c>
      <c r="AV59" s="76">
        <v>2018.1</v>
      </c>
      <c r="AW59" s="76">
        <v>2207.8000000000002</v>
      </c>
      <c r="AX59" s="76">
        <v>2031.8</v>
      </c>
      <c r="AY59" s="78">
        <v>2068.3000000000002</v>
      </c>
      <c r="AZ59" s="76">
        <v>8326</v>
      </c>
      <c r="BA59" s="76">
        <v>2060.1999999999998</v>
      </c>
      <c r="BB59" s="76">
        <v>2462.6</v>
      </c>
      <c r="BC59" s="76">
        <v>1760.1</v>
      </c>
      <c r="BD59" s="79">
        <v>1703.3</v>
      </c>
      <c r="BE59" s="76">
        <v>7986.2</v>
      </c>
      <c r="BF59" s="76">
        <v>2632.5338499999998</v>
      </c>
      <c r="BG59" s="80">
        <v>2727.2822900000001</v>
      </c>
      <c r="BH59" s="89">
        <v>2279.1448399999999</v>
      </c>
      <c r="BI59" s="55">
        <v>2028.2300499999999</v>
      </c>
      <c r="BJ59" s="55">
        <v>9667.19103</v>
      </c>
      <c r="BK59" s="55">
        <f>IF(2221.31906="","-",2221.31906)</f>
        <v>2221.3190599999998</v>
      </c>
      <c r="BL59" s="55">
        <f>IF(2407.46654="","-",2407.46654)</f>
        <v>2407.4665399999999</v>
      </c>
      <c r="BM59" s="55">
        <f>IF(3010.36021="","-",3010.36021)</f>
        <v>3010.3602099999998</v>
      </c>
      <c r="BN59" s="55">
        <f>IF(2881.67307="","-",2881.67307)</f>
        <v>2881.6730699999998</v>
      </c>
      <c r="BO59" s="55">
        <f>IF(10520.81888="","-",10520.81888)</f>
        <v>10520.818880000001</v>
      </c>
      <c r="BP59" s="55">
        <v>4052.8429299999998</v>
      </c>
      <c r="BQ59" s="45">
        <v>4267.0570500000003</v>
      </c>
      <c r="BR59" s="45">
        <v>4534.4984599999998</v>
      </c>
      <c r="BS59" s="55">
        <v>5066.88418</v>
      </c>
      <c r="BT59" s="55">
        <v>17921.282620000002</v>
      </c>
      <c r="BU59" s="102">
        <v>5170.4448300000004</v>
      </c>
      <c r="BV59" s="55">
        <v>5524.7715600000001</v>
      </c>
      <c r="BW59" s="55">
        <v>5443.77063</v>
      </c>
      <c r="BX59" s="55">
        <v>5299.0080900000003</v>
      </c>
      <c r="BY59" s="55">
        <v>21437.99511</v>
      </c>
      <c r="BZ59" s="55">
        <v>4873.8750600000003</v>
      </c>
      <c r="CA59" s="55">
        <v>4742.1957400000001</v>
      </c>
      <c r="CB59" s="55">
        <v>5574.2160299999996</v>
      </c>
      <c r="CC59" s="55">
        <v>5714.64624</v>
      </c>
      <c r="CD59" s="55">
        <v>20904.933069999999</v>
      </c>
      <c r="CE59" s="55">
        <v>6064.5117399999999</v>
      </c>
      <c r="CF59" s="55">
        <v>7229.7538199999999</v>
      </c>
      <c r="CG59" s="55">
        <v>7419.3890799999999</v>
      </c>
      <c r="CH59" s="55">
        <v>7218.8930099999898</v>
      </c>
      <c r="CI59" s="55">
        <v>27932.54765</v>
      </c>
      <c r="CJ59" s="55">
        <v>8419.5478700000003</v>
      </c>
      <c r="CK59" s="55">
        <v>7861.60581</v>
      </c>
      <c r="CL59" s="55">
        <v>7536.51181</v>
      </c>
      <c r="CM59" s="55">
        <v>6001.2061599999997</v>
      </c>
      <c r="CN59" s="55">
        <v>29818.871650000001</v>
      </c>
      <c r="CO59" s="55">
        <v>7737.2486399999998</v>
      </c>
      <c r="CP59" s="55">
        <v>6896.2637999999997</v>
      </c>
      <c r="CQ59" s="55">
        <v>4159.6049400000002</v>
      </c>
      <c r="CR59" s="55">
        <v>3893.6508699999999</v>
      </c>
      <c r="CS59" s="55">
        <v>22686.768250000001</v>
      </c>
      <c r="CT59" s="65" t="s">
        <v>102</v>
      </c>
      <c r="CU59" s="59" t="s">
        <v>242</v>
      </c>
    </row>
    <row r="60" spans="1:99" s="9" customFormat="1" ht="19.5" customHeight="1">
      <c r="A60" s="66" t="s">
        <v>43</v>
      </c>
      <c r="B60" s="60" t="s">
        <v>177</v>
      </c>
      <c r="C60" s="81">
        <v>597.9</v>
      </c>
      <c r="D60" s="81">
        <v>462.4</v>
      </c>
      <c r="E60" s="81">
        <v>534.20000000000005</v>
      </c>
      <c r="F60" s="81">
        <v>425.4</v>
      </c>
      <c r="G60" s="82">
        <f t="shared" si="6"/>
        <v>2019.9</v>
      </c>
      <c r="H60" s="81">
        <v>686.8</v>
      </c>
      <c r="I60" s="81">
        <v>791.7</v>
      </c>
      <c r="J60" s="81">
        <v>951.5</v>
      </c>
      <c r="K60" s="81">
        <v>1099.0999999999999</v>
      </c>
      <c r="L60" s="82">
        <f t="shared" si="4"/>
        <v>3529.1</v>
      </c>
      <c r="M60" s="81">
        <v>974.8</v>
      </c>
      <c r="N60" s="81">
        <v>1030.7</v>
      </c>
      <c r="O60" s="81">
        <v>844.2</v>
      </c>
      <c r="P60" s="81">
        <v>722</v>
      </c>
      <c r="Q60" s="82">
        <f t="shared" si="5"/>
        <v>3571.7</v>
      </c>
      <c r="R60" s="81">
        <v>1151.2</v>
      </c>
      <c r="S60" s="81">
        <v>1198.9000000000001</v>
      </c>
      <c r="T60" s="81">
        <v>1153.5</v>
      </c>
      <c r="U60" s="81">
        <v>1081.8</v>
      </c>
      <c r="V60" s="83">
        <f t="shared" si="1"/>
        <v>4585.4000000000005</v>
      </c>
      <c r="W60" s="81">
        <v>641.1</v>
      </c>
      <c r="X60" s="81">
        <v>936.5</v>
      </c>
      <c r="Y60" s="81">
        <v>1161.7</v>
      </c>
      <c r="Z60" s="81">
        <v>713.2</v>
      </c>
      <c r="AA60" s="83">
        <f t="shared" si="7"/>
        <v>3452.5</v>
      </c>
      <c r="AB60" s="81">
        <v>964.5</v>
      </c>
      <c r="AC60" s="81">
        <v>1455.4</v>
      </c>
      <c r="AD60" s="81">
        <v>1530.4</v>
      </c>
      <c r="AE60" s="81">
        <v>1309.9000000000001</v>
      </c>
      <c r="AF60" s="81">
        <v>5260.2</v>
      </c>
      <c r="AG60" s="84">
        <v>2333.1999999999998</v>
      </c>
      <c r="AH60" s="84">
        <v>2359</v>
      </c>
      <c r="AI60" s="84">
        <v>1947</v>
      </c>
      <c r="AJ60" s="84">
        <v>2477</v>
      </c>
      <c r="AK60" s="83">
        <f t="shared" si="3"/>
        <v>9116.2000000000007</v>
      </c>
      <c r="AL60" s="83">
        <v>2295.6</v>
      </c>
      <c r="AM60" s="83">
        <v>3799.4</v>
      </c>
      <c r="AN60" s="83">
        <v>2824.7</v>
      </c>
      <c r="AO60" s="83">
        <v>2331.5</v>
      </c>
      <c r="AP60" s="83">
        <v>11251.2</v>
      </c>
      <c r="AQ60" s="83">
        <v>1865.6</v>
      </c>
      <c r="AR60" s="83">
        <v>2320.4</v>
      </c>
      <c r="AS60" s="83">
        <v>1857.2</v>
      </c>
      <c r="AT60" s="83">
        <v>2114.6999999999998</v>
      </c>
      <c r="AU60" s="83">
        <v>8157.9</v>
      </c>
      <c r="AV60" s="84">
        <v>1889.5</v>
      </c>
      <c r="AW60" s="84">
        <v>2067.3000000000002</v>
      </c>
      <c r="AX60" s="84">
        <v>1886.7</v>
      </c>
      <c r="AY60" s="85">
        <v>1702.3</v>
      </c>
      <c r="AZ60" s="84">
        <v>7545.8</v>
      </c>
      <c r="BA60" s="84">
        <v>1991.8</v>
      </c>
      <c r="BB60" s="84">
        <v>2277.8000000000002</v>
      </c>
      <c r="BC60" s="84">
        <v>1648.7</v>
      </c>
      <c r="BD60" s="86">
        <v>1605.5</v>
      </c>
      <c r="BE60" s="84">
        <v>7523.8</v>
      </c>
      <c r="BF60" s="84">
        <v>2427.87644</v>
      </c>
      <c r="BG60" s="87">
        <v>2535.9470700000002</v>
      </c>
      <c r="BH60" s="88">
        <v>2029.4843900000001</v>
      </c>
      <c r="BI60" s="56">
        <v>1867.17697</v>
      </c>
      <c r="BJ60" s="56">
        <v>8860.4848700000002</v>
      </c>
      <c r="BK60" s="56">
        <f>IF(1939.03312="","-",1939.03312)</f>
        <v>1939.0331200000001</v>
      </c>
      <c r="BL60" s="56">
        <f>IF(2258.63615="","-",2258.63615)</f>
        <v>2258.6361499999998</v>
      </c>
      <c r="BM60" s="56">
        <f>IF(2820.04474="","-",2820.04474)</f>
        <v>2820.0447399999998</v>
      </c>
      <c r="BN60" s="56">
        <f>IF(2781.89835="","-",2781.89835)</f>
        <v>2781.8983499999999</v>
      </c>
      <c r="BO60" s="56">
        <f>IF(9799.61236="","-",9799.61236)</f>
        <v>9799.6123599999992</v>
      </c>
      <c r="BP60" s="56">
        <v>3939.50722</v>
      </c>
      <c r="BQ60" s="46">
        <v>4188.0505999999996</v>
      </c>
      <c r="BR60" s="46">
        <v>4412.8909100000001</v>
      </c>
      <c r="BS60" s="56">
        <v>5017.58698</v>
      </c>
      <c r="BT60" s="56">
        <v>17558.03571</v>
      </c>
      <c r="BU60" s="100">
        <v>5152.1600500000004</v>
      </c>
      <c r="BV60" s="56">
        <v>5491.5498200000002</v>
      </c>
      <c r="BW60" s="56">
        <v>5387.8146800000004</v>
      </c>
      <c r="BX60" s="56">
        <v>5258.3536299999996</v>
      </c>
      <c r="BY60" s="56">
        <v>21289.878179999901</v>
      </c>
      <c r="BZ60" s="56">
        <v>4839.68307</v>
      </c>
      <c r="CA60" s="56">
        <v>4721.8436600000005</v>
      </c>
      <c r="CB60" s="56">
        <v>5556.0226499999999</v>
      </c>
      <c r="CC60" s="56">
        <v>5701.5818399999998</v>
      </c>
      <c r="CD60" s="56">
        <v>20819.131219999999</v>
      </c>
      <c r="CE60" s="56">
        <v>6051.23524</v>
      </c>
      <c r="CF60" s="56">
        <v>7182.6939899999998</v>
      </c>
      <c r="CG60" s="56">
        <v>7366.64336</v>
      </c>
      <c r="CH60" s="56">
        <v>7188.6633000000002</v>
      </c>
      <c r="CI60" s="56">
        <v>27789.23589</v>
      </c>
      <c r="CJ60" s="56">
        <v>8374.8381900000004</v>
      </c>
      <c r="CK60" s="56">
        <v>7811.8908000000001</v>
      </c>
      <c r="CL60" s="56">
        <v>7446.4744799999999</v>
      </c>
      <c r="CM60" s="56">
        <v>5932.7299800000001</v>
      </c>
      <c r="CN60" s="56">
        <v>29565.93345</v>
      </c>
      <c r="CO60" s="56">
        <v>7668.3717100000003</v>
      </c>
      <c r="CP60" s="56">
        <v>6873.3377099999998</v>
      </c>
      <c r="CQ60" s="56">
        <v>4120.0388300000004</v>
      </c>
      <c r="CR60" s="56">
        <v>3856.4387700000002</v>
      </c>
      <c r="CS60" s="56">
        <v>22518.187020000001</v>
      </c>
      <c r="CT60" s="66" t="s">
        <v>43</v>
      </c>
      <c r="CU60" s="60" t="s">
        <v>177</v>
      </c>
    </row>
    <row r="61" spans="1:99" s="9" customFormat="1" ht="15.75">
      <c r="A61" s="66" t="s">
        <v>44</v>
      </c>
      <c r="B61" s="60" t="s">
        <v>178</v>
      </c>
      <c r="C61" s="81">
        <v>25.6</v>
      </c>
      <c r="D61" s="81">
        <v>51.1</v>
      </c>
      <c r="E61" s="81">
        <v>110.7</v>
      </c>
      <c r="F61" s="81">
        <v>59.9</v>
      </c>
      <c r="G61" s="82">
        <f t="shared" si="6"/>
        <v>247.3</v>
      </c>
      <c r="H61" s="81">
        <v>47.5</v>
      </c>
      <c r="I61" s="81">
        <v>98.8</v>
      </c>
      <c r="J61" s="81">
        <v>191.8</v>
      </c>
      <c r="K61" s="81">
        <v>111.7</v>
      </c>
      <c r="L61" s="82">
        <f t="shared" si="4"/>
        <v>449.8</v>
      </c>
      <c r="M61" s="81">
        <v>218.4</v>
      </c>
      <c r="N61" s="81">
        <v>68.5</v>
      </c>
      <c r="O61" s="81">
        <v>233.5</v>
      </c>
      <c r="P61" s="81">
        <v>185</v>
      </c>
      <c r="Q61" s="82">
        <f t="shared" si="5"/>
        <v>705.4</v>
      </c>
      <c r="R61" s="81">
        <v>175.5</v>
      </c>
      <c r="S61" s="81">
        <v>192.8</v>
      </c>
      <c r="T61" s="81">
        <v>208.6</v>
      </c>
      <c r="U61" s="81">
        <v>228.1</v>
      </c>
      <c r="V61" s="83">
        <f t="shared" si="1"/>
        <v>805</v>
      </c>
      <c r="W61" s="81">
        <v>62.1</v>
      </c>
      <c r="X61" s="81">
        <v>193.3</v>
      </c>
      <c r="Y61" s="81">
        <v>125.2</v>
      </c>
      <c r="Z61" s="81">
        <v>60.2</v>
      </c>
      <c r="AA61" s="83">
        <f t="shared" si="7"/>
        <v>440.8</v>
      </c>
      <c r="AB61" s="81">
        <v>82</v>
      </c>
      <c r="AC61" s="81">
        <v>70.2</v>
      </c>
      <c r="AD61" s="81">
        <v>77.7</v>
      </c>
      <c r="AE61" s="81">
        <v>220.8</v>
      </c>
      <c r="AF61" s="81">
        <v>450.7</v>
      </c>
      <c r="AG61" s="84">
        <v>220.6</v>
      </c>
      <c r="AH61" s="84">
        <v>412.6</v>
      </c>
      <c r="AI61" s="84">
        <v>258.7</v>
      </c>
      <c r="AJ61" s="84">
        <v>198.8</v>
      </c>
      <c r="AK61" s="83">
        <f t="shared" si="3"/>
        <v>1090.7</v>
      </c>
      <c r="AL61" s="83">
        <v>163.80000000000001</v>
      </c>
      <c r="AM61" s="83">
        <v>205.9</v>
      </c>
      <c r="AN61" s="83">
        <v>223.6</v>
      </c>
      <c r="AO61" s="83">
        <v>307.39999999999998</v>
      </c>
      <c r="AP61" s="83">
        <v>900.7</v>
      </c>
      <c r="AQ61" s="84">
        <v>276.5</v>
      </c>
      <c r="AR61" s="84">
        <v>306.60000000000002</v>
      </c>
      <c r="AS61" s="84">
        <v>65.7</v>
      </c>
      <c r="AT61" s="84">
        <v>677.1</v>
      </c>
      <c r="AU61" s="84">
        <v>1325.9</v>
      </c>
      <c r="AV61" s="84">
        <v>128.5</v>
      </c>
      <c r="AW61" s="84">
        <v>140.5</v>
      </c>
      <c r="AX61" s="84">
        <v>145.1</v>
      </c>
      <c r="AY61" s="85">
        <v>366</v>
      </c>
      <c r="AZ61" s="84">
        <v>780.1</v>
      </c>
      <c r="BA61" s="84">
        <v>68.400000000000006</v>
      </c>
      <c r="BB61" s="84">
        <v>184.8</v>
      </c>
      <c r="BC61" s="84">
        <v>111.4</v>
      </c>
      <c r="BD61" s="86">
        <v>97.8</v>
      </c>
      <c r="BE61" s="84">
        <v>462.4</v>
      </c>
      <c r="BF61" s="84">
        <v>204.65741</v>
      </c>
      <c r="BG61" s="87">
        <v>191.30471</v>
      </c>
      <c r="BH61" s="88">
        <v>249.66045</v>
      </c>
      <c r="BI61" s="56">
        <v>161.05307999999999</v>
      </c>
      <c r="BJ61" s="56">
        <v>806.67565000000002</v>
      </c>
      <c r="BK61" s="56">
        <f>IF(282.28294="","-",282.28294)</f>
        <v>282.28294</v>
      </c>
      <c r="BL61" s="56">
        <f>IF(148.83039="","-",148.83039)</f>
        <v>148.83038999999999</v>
      </c>
      <c r="BM61" s="56">
        <f>IF(189.40374="","-",189.40374)</f>
        <v>189.40374</v>
      </c>
      <c r="BN61" s="56">
        <f>IF(99.59293="","-",99.59293)</f>
        <v>99.592929999999996</v>
      </c>
      <c r="BO61" s="56">
        <f>IF(720.11="","-",720.11)</f>
        <v>720.11</v>
      </c>
      <c r="BP61" s="56">
        <v>111.96943</v>
      </c>
      <c r="BQ61" s="46">
        <v>79.006450000000001</v>
      </c>
      <c r="BR61" s="46">
        <v>121.60755</v>
      </c>
      <c r="BS61" s="56">
        <v>49.297199999999997</v>
      </c>
      <c r="BT61" s="56">
        <v>361.88063</v>
      </c>
      <c r="BU61" s="56">
        <v>16.921710000000001</v>
      </c>
      <c r="BV61" s="56">
        <v>33.221739999999997</v>
      </c>
      <c r="BW61" s="56">
        <v>55.753570000000003</v>
      </c>
      <c r="BX61" s="56">
        <v>40.415640000000003</v>
      </c>
      <c r="BY61" s="56">
        <v>146.31265999999999</v>
      </c>
      <c r="BZ61" s="56">
        <v>34.191989999999997</v>
      </c>
      <c r="CA61" s="56">
        <v>20.344619999999999</v>
      </c>
      <c r="CB61" s="56">
        <v>18.146850000000001</v>
      </c>
      <c r="CC61" s="56">
        <v>12.664400000000001</v>
      </c>
      <c r="CD61" s="56">
        <v>85.347859999999997</v>
      </c>
      <c r="CE61" s="56">
        <v>13.15978</v>
      </c>
      <c r="CF61" s="56">
        <v>46.36983</v>
      </c>
      <c r="CG61" s="56">
        <v>52.74071</v>
      </c>
      <c r="CH61" s="56">
        <v>26.770309999999998</v>
      </c>
      <c r="CI61" s="56">
        <v>139.04062999999999</v>
      </c>
      <c r="CJ61" s="56">
        <v>44.709679999999999</v>
      </c>
      <c r="CK61" s="56">
        <v>49.715009999999999</v>
      </c>
      <c r="CL61" s="56">
        <v>79.827470000000005</v>
      </c>
      <c r="CM61" s="56">
        <v>58.625349999999997</v>
      </c>
      <c r="CN61" s="56">
        <v>232.87751</v>
      </c>
      <c r="CO61" s="56">
        <v>55.907919999999997</v>
      </c>
      <c r="CP61" s="56">
        <v>11.56648</v>
      </c>
      <c r="CQ61" s="56">
        <v>32.938009999999998</v>
      </c>
      <c r="CR61" s="56">
        <v>24.25095</v>
      </c>
      <c r="CS61" s="56">
        <v>124.66336</v>
      </c>
      <c r="CT61" s="66" t="s">
        <v>44</v>
      </c>
      <c r="CU61" s="60" t="s">
        <v>178</v>
      </c>
    </row>
    <row r="62" spans="1:99" s="9" customFormat="1" ht="31.5">
      <c r="A62" s="66" t="s">
        <v>116</v>
      </c>
      <c r="B62" s="60" t="s">
        <v>243</v>
      </c>
      <c r="C62" s="82" t="s">
        <v>115</v>
      </c>
      <c r="D62" s="82" t="s">
        <v>115</v>
      </c>
      <c r="E62" s="82" t="s">
        <v>115</v>
      </c>
      <c r="F62" s="82" t="s">
        <v>115</v>
      </c>
      <c r="G62" s="82" t="s">
        <v>115</v>
      </c>
      <c r="H62" s="82" t="s">
        <v>115</v>
      </c>
      <c r="I62" s="82" t="s">
        <v>115</v>
      </c>
      <c r="J62" s="82" t="s">
        <v>115</v>
      </c>
      <c r="K62" s="82" t="s">
        <v>115</v>
      </c>
      <c r="L62" s="82" t="s">
        <v>115</v>
      </c>
      <c r="M62" s="81" t="s">
        <v>117</v>
      </c>
      <c r="N62" s="81" t="s">
        <v>117</v>
      </c>
      <c r="O62" s="81" t="s">
        <v>117</v>
      </c>
      <c r="P62" s="81" t="s">
        <v>117</v>
      </c>
      <c r="Q62" s="82" t="s">
        <v>115</v>
      </c>
      <c r="R62" s="81" t="s">
        <v>117</v>
      </c>
      <c r="S62" s="81" t="s">
        <v>117</v>
      </c>
      <c r="T62" s="81" t="s">
        <v>117</v>
      </c>
      <c r="U62" s="81">
        <v>2</v>
      </c>
      <c r="V62" s="83">
        <f t="shared" si="1"/>
        <v>2</v>
      </c>
      <c r="W62" s="81">
        <v>0.3</v>
      </c>
      <c r="X62" s="81">
        <v>0.1</v>
      </c>
      <c r="Y62" s="81">
        <v>0.1</v>
      </c>
      <c r="Z62" s="81" t="s">
        <v>117</v>
      </c>
      <c r="AA62" s="83">
        <f t="shared" si="7"/>
        <v>0.5</v>
      </c>
      <c r="AB62" s="81">
        <v>3</v>
      </c>
      <c r="AC62" s="81" t="s">
        <v>117</v>
      </c>
      <c r="AD62" s="81" t="s">
        <v>117</v>
      </c>
      <c r="AE62" s="81" t="s">
        <v>117</v>
      </c>
      <c r="AF62" s="81">
        <v>3</v>
      </c>
      <c r="AG62" s="84">
        <v>6.5</v>
      </c>
      <c r="AH62" s="84">
        <v>0.9</v>
      </c>
      <c r="AI62" s="84">
        <v>0</v>
      </c>
      <c r="AJ62" s="84">
        <v>0.1</v>
      </c>
      <c r="AK62" s="83">
        <f t="shared" si="3"/>
        <v>7.5</v>
      </c>
      <c r="AL62" s="83">
        <v>36.700000000000003</v>
      </c>
      <c r="AM62" s="83" t="s">
        <v>117</v>
      </c>
      <c r="AN62" s="83" t="s">
        <v>117</v>
      </c>
      <c r="AO62" s="83" t="s">
        <v>117</v>
      </c>
      <c r="AP62" s="83">
        <v>36.700000000000003</v>
      </c>
      <c r="AQ62" s="84">
        <v>1.4</v>
      </c>
      <c r="AR62" s="83" t="s">
        <v>117</v>
      </c>
      <c r="AS62" s="84">
        <v>0.1</v>
      </c>
      <c r="AT62" s="84" t="s">
        <v>117</v>
      </c>
      <c r="AU62" s="84">
        <v>1.5</v>
      </c>
      <c r="AV62" s="84">
        <v>0.1</v>
      </c>
      <c r="AW62" s="84" t="s">
        <v>117</v>
      </c>
      <c r="AX62" s="84" t="s">
        <v>117</v>
      </c>
      <c r="AY62" s="84" t="s">
        <v>117</v>
      </c>
      <c r="AZ62" s="84">
        <v>0.1</v>
      </c>
      <c r="BA62" s="84" t="s">
        <v>117</v>
      </c>
      <c r="BB62" s="84" t="s">
        <v>117</v>
      </c>
      <c r="BC62" s="84" t="s">
        <v>117</v>
      </c>
      <c r="BD62" s="84" t="s">
        <v>117</v>
      </c>
      <c r="BE62" s="84" t="s">
        <v>117</v>
      </c>
      <c r="BF62" s="84" t="s">
        <v>117</v>
      </c>
      <c r="BG62" s="84">
        <v>3.0509999999999999E-2</v>
      </c>
      <c r="BH62" s="84" t="s">
        <v>117</v>
      </c>
      <c r="BI62" s="56" t="s">
        <v>117</v>
      </c>
      <c r="BJ62" s="56">
        <v>3.0509999999999999E-2</v>
      </c>
      <c r="BK62" s="56">
        <f>IF(0.003="","-",0.003)</f>
        <v>3.0000000000000001E-3</v>
      </c>
      <c r="BL62" s="56" t="str">
        <f>IF(""="","-","")</f>
        <v>-</v>
      </c>
      <c r="BM62" s="56">
        <f>IF(0.91173="","-",0.91173)</f>
        <v>0.91173000000000004</v>
      </c>
      <c r="BN62" s="56">
        <f>IF(0.18179="","-",0.18179)</f>
        <v>0.18179000000000001</v>
      </c>
      <c r="BO62" s="56">
        <f>IF(1.09652="","-",1.09652)</f>
        <v>1.0965199999999999</v>
      </c>
      <c r="BP62" s="56">
        <v>1.3662799999999999</v>
      </c>
      <c r="BQ62" s="46" t="s">
        <v>117</v>
      </c>
      <c r="BR62" s="46" t="s">
        <v>117</v>
      </c>
      <c r="BS62" s="56" t="s">
        <v>117</v>
      </c>
      <c r="BT62" s="56">
        <v>1.3662799999999999</v>
      </c>
      <c r="BU62" s="56">
        <v>1.36307</v>
      </c>
      <c r="BV62" s="56" t="s">
        <v>117</v>
      </c>
      <c r="BW62" s="56">
        <v>0.20238</v>
      </c>
      <c r="BX62" s="56">
        <v>0.23882</v>
      </c>
      <c r="BY62" s="56">
        <v>1.80427</v>
      </c>
      <c r="BZ62" s="56" t="s">
        <v>117</v>
      </c>
      <c r="CA62" s="56">
        <v>7.4599999999999996E-3</v>
      </c>
      <c r="CB62" s="56">
        <v>4.6530000000000002E-2</v>
      </c>
      <c r="CC62" s="56">
        <v>0.4</v>
      </c>
      <c r="CD62" s="56">
        <v>0.45399</v>
      </c>
      <c r="CE62" s="56">
        <v>0.11672</v>
      </c>
      <c r="CF62" s="56">
        <v>0.69</v>
      </c>
      <c r="CG62" s="56">
        <v>5.0099999999999997E-3</v>
      </c>
      <c r="CH62" s="56">
        <v>3.4594</v>
      </c>
      <c r="CI62" s="56">
        <v>4.2711300000000003</v>
      </c>
      <c r="CJ62" s="56" t="s">
        <v>117</v>
      </c>
      <c r="CK62" s="56" t="s">
        <v>117</v>
      </c>
      <c r="CL62" s="56">
        <v>10.209860000000001</v>
      </c>
      <c r="CM62" s="56">
        <v>9.8508300000000002</v>
      </c>
      <c r="CN62" s="56">
        <v>20.060690000000001</v>
      </c>
      <c r="CO62" s="56">
        <v>12.969010000000001</v>
      </c>
      <c r="CP62" s="56">
        <v>11.35961</v>
      </c>
      <c r="CQ62" s="56">
        <v>6.6280999999999999</v>
      </c>
      <c r="CR62" s="56">
        <v>12.96115</v>
      </c>
      <c r="CS62" s="56">
        <v>43.917870000000001</v>
      </c>
      <c r="CT62" s="66" t="s">
        <v>116</v>
      </c>
      <c r="CU62" s="60" t="s">
        <v>243</v>
      </c>
    </row>
    <row r="63" spans="1:99" s="9" customFormat="1" ht="47.25">
      <c r="A63" s="65" t="s">
        <v>103</v>
      </c>
      <c r="B63" s="59" t="s">
        <v>244</v>
      </c>
      <c r="C63" s="72">
        <v>2481.3000000000002</v>
      </c>
      <c r="D63" s="72">
        <v>2911.5</v>
      </c>
      <c r="E63" s="72">
        <v>3030.4</v>
      </c>
      <c r="F63" s="72">
        <v>3412</v>
      </c>
      <c r="G63" s="72">
        <f t="shared" si="6"/>
        <v>11835.2</v>
      </c>
      <c r="H63" s="72">
        <v>2946.5</v>
      </c>
      <c r="I63" s="72">
        <v>4141.8</v>
      </c>
      <c r="J63" s="72">
        <v>4844.1000000000004</v>
      </c>
      <c r="K63" s="72">
        <v>6453</v>
      </c>
      <c r="L63" s="72">
        <f t="shared" si="4"/>
        <v>18385.400000000001</v>
      </c>
      <c r="M63" s="72">
        <v>5726.7</v>
      </c>
      <c r="N63" s="72">
        <v>6097.3</v>
      </c>
      <c r="O63" s="72">
        <v>7087.3</v>
      </c>
      <c r="P63" s="72">
        <v>8408.7999999999993</v>
      </c>
      <c r="Q63" s="72">
        <f t="shared" si="5"/>
        <v>27320.1</v>
      </c>
      <c r="R63" s="72">
        <v>7142.7</v>
      </c>
      <c r="S63" s="72">
        <v>4828</v>
      </c>
      <c r="T63" s="72">
        <v>2782.3</v>
      </c>
      <c r="U63" s="72">
        <v>1953.3</v>
      </c>
      <c r="V63" s="75">
        <f t="shared" si="1"/>
        <v>16706.3</v>
      </c>
      <c r="W63" s="72">
        <v>1433.1</v>
      </c>
      <c r="X63" s="72">
        <v>1912.5</v>
      </c>
      <c r="Y63" s="72">
        <v>2089.6</v>
      </c>
      <c r="Z63" s="72">
        <v>2368.4</v>
      </c>
      <c r="AA63" s="75">
        <f t="shared" si="7"/>
        <v>7803.6</v>
      </c>
      <c r="AB63" s="72">
        <v>2756.4</v>
      </c>
      <c r="AC63" s="72">
        <v>2502</v>
      </c>
      <c r="AD63" s="72">
        <v>3174.6</v>
      </c>
      <c r="AE63" s="72">
        <v>3368</v>
      </c>
      <c r="AF63" s="72">
        <v>11801</v>
      </c>
      <c r="AG63" s="76">
        <v>6899.5</v>
      </c>
      <c r="AH63" s="76">
        <v>7529.5</v>
      </c>
      <c r="AI63" s="76">
        <v>5681.9</v>
      </c>
      <c r="AJ63" s="76">
        <v>4485.5</v>
      </c>
      <c r="AK63" s="75">
        <f t="shared" si="3"/>
        <v>24596.400000000001</v>
      </c>
      <c r="AL63" s="75">
        <v>4275.6000000000004</v>
      </c>
      <c r="AM63" s="75">
        <v>4365.7</v>
      </c>
      <c r="AN63" s="75">
        <v>6322</v>
      </c>
      <c r="AO63" s="75">
        <v>4849.2</v>
      </c>
      <c r="AP63" s="75">
        <v>19812.5</v>
      </c>
      <c r="AQ63" s="75">
        <v>6381.6</v>
      </c>
      <c r="AR63" s="75">
        <v>7363.4</v>
      </c>
      <c r="AS63" s="75">
        <v>6209.4</v>
      </c>
      <c r="AT63" s="75">
        <v>5649.9</v>
      </c>
      <c r="AU63" s="75">
        <v>25604.3</v>
      </c>
      <c r="AV63" s="76">
        <v>4479.7</v>
      </c>
      <c r="AW63" s="76">
        <v>5842.8</v>
      </c>
      <c r="AX63" s="76">
        <v>4746.6000000000004</v>
      </c>
      <c r="AY63" s="78">
        <v>4578.8999999999996</v>
      </c>
      <c r="AZ63" s="76">
        <v>19648</v>
      </c>
      <c r="BA63" s="76">
        <v>2243.3000000000002</v>
      </c>
      <c r="BB63" s="76">
        <v>2394.1999999999998</v>
      </c>
      <c r="BC63" s="76">
        <v>3001.2</v>
      </c>
      <c r="BD63" s="79">
        <v>2931.2</v>
      </c>
      <c r="BE63" s="76">
        <v>10569.9</v>
      </c>
      <c r="BF63" s="76">
        <v>2286.5945099999999</v>
      </c>
      <c r="BG63" s="80">
        <v>3235.2812800000002</v>
      </c>
      <c r="BH63" s="89">
        <v>3328.7380199999998</v>
      </c>
      <c r="BI63" s="55">
        <v>3346.5796099999998</v>
      </c>
      <c r="BJ63" s="55">
        <v>12197.19342</v>
      </c>
      <c r="BK63" s="55">
        <f>IF(2809.25962="","-",2809.25962)</f>
        <v>2809.2596199999998</v>
      </c>
      <c r="BL63" s="55">
        <f>IF(2978.99677="","-",2978.99677)</f>
        <v>2978.9967700000002</v>
      </c>
      <c r="BM63" s="55">
        <f>IF(3366.45867="","-",3366.45867)</f>
        <v>3366.45867</v>
      </c>
      <c r="BN63" s="55">
        <f>IF(4017.53276="","-",4017.53276)</f>
        <v>4017.5327600000001</v>
      </c>
      <c r="BO63" s="55">
        <f>IF(13172.24782="","-",13172.24782)</f>
        <v>13172.247820000001</v>
      </c>
      <c r="BP63" s="55">
        <v>3686.3294299999998</v>
      </c>
      <c r="BQ63" s="45">
        <v>4160.9647800000002</v>
      </c>
      <c r="BR63" s="45">
        <v>3405.67425</v>
      </c>
      <c r="BS63" s="55">
        <v>4090.2038899999998</v>
      </c>
      <c r="BT63" s="55">
        <v>15343.172350000001</v>
      </c>
      <c r="BU63" s="55">
        <v>3389.7597000000001</v>
      </c>
      <c r="BV63" s="55">
        <v>3929.7053299999998</v>
      </c>
      <c r="BW63" s="55">
        <v>4725.3303900000001</v>
      </c>
      <c r="BX63" s="55">
        <v>3889.0141400000002</v>
      </c>
      <c r="BY63" s="55">
        <v>15933.80956</v>
      </c>
      <c r="BZ63" s="55">
        <v>3269.2531899999999</v>
      </c>
      <c r="CA63" s="55">
        <v>3093.52592</v>
      </c>
      <c r="CB63" s="55">
        <v>4234.1148499999999</v>
      </c>
      <c r="CC63" s="55">
        <v>4069.5416500000001</v>
      </c>
      <c r="CD63" s="55">
        <v>14666.43561</v>
      </c>
      <c r="CE63" s="55">
        <v>3958.5717100000002</v>
      </c>
      <c r="CF63" s="55">
        <v>5336.1111600000004</v>
      </c>
      <c r="CG63" s="55">
        <v>5084.0204599999997</v>
      </c>
      <c r="CH63" s="55">
        <v>6781.73974</v>
      </c>
      <c r="CI63" s="55">
        <v>21160.443070000001</v>
      </c>
      <c r="CJ63" s="55">
        <v>6092.2247699999998</v>
      </c>
      <c r="CK63" s="55">
        <v>7980.7348099999999</v>
      </c>
      <c r="CL63" s="55">
        <v>7515.0907200000001</v>
      </c>
      <c r="CM63" s="55">
        <v>7225.3451599999999</v>
      </c>
      <c r="CN63" s="55">
        <v>28813.39546</v>
      </c>
      <c r="CO63" s="55">
        <v>7231.2494500000003</v>
      </c>
      <c r="CP63" s="55">
        <v>6837.1305899999998</v>
      </c>
      <c r="CQ63" s="55">
        <v>8381.0045699999991</v>
      </c>
      <c r="CR63" s="55">
        <v>8030.2789199999997</v>
      </c>
      <c r="CS63" s="55">
        <v>30479.663530000002</v>
      </c>
      <c r="CT63" s="65" t="s">
        <v>103</v>
      </c>
      <c r="CU63" s="59" t="s">
        <v>244</v>
      </c>
    </row>
    <row r="64" spans="1:99" s="9" customFormat="1" ht="47.25">
      <c r="A64" s="66" t="s">
        <v>45</v>
      </c>
      <c r="B64" s="60" t="s">
        <v>179</v>
      </c>
      <c r="C64" s="81">
        <v>100.3</v>
      </c>
      <c r="D64" s="81">
        <v>68.599999999999994</v>
      </c>
      <c r="E64" s="81">
        <v>64.599999999999994</v>
      </c>
      <c r="F64" s="81">
        <v>57</v>
      </c>
      <c r="G64" s="82">
        <f t="shared" si="6"/>
        <v>290.5</v>
      </c>
      <c r="H64" s="81">
        <v>57.1</v>
      </c>
      <c r="I64" s="81">
        <v>19.5</v>
      </c>
      <c r="J64" s="81">
        <v>36.700000000000003</v>
      </c>
      <c r="K64" s="81">
        <v>40.6</v>
      </c>
      <c r="L64" s="82">
        <f t="shared" si="4"/>
        <v>153.9</v>
      </c>
      <c r="M64" s="81">
        <v>26.2</v>
      </c>
      <c r="N64" s="81">
        <v>79.599999999999994</v>
      </c>
      <c r="O64" s="81">
        <v>171.7</v>
      </c>
      <c r="P64" s="81">
        <v>175.4</v>
      </c>
      <c r="Q64" s="82">
        <f t="shared" si="5"/>
        <v>452.9</v>
      </c>
      <c r="R64" s="81">
        <v>115.9</v>
      </c>
      <c r="S64" s="81">
        <v>179.6</v>
      </c>
      <c r="T64" s="81">
        <v>149.9</v>
      </c>
      <c r="U64" s="81">
        <v>135.4</v>
      </c>
      <c r="V64" s="83">
        <f t="shared" si="1"/>
        <v>580.79999999999995</v>
      </c>
      <c r="W64" s="81">
        <v>248.3</v>
      </c>
      <c r="X64" s="81">
        <v>82.2</v>
      </c>
      <c r="Y64" s="81">
        <v>287.5</v>
      </c>
      <c r="Z64" s="81">
        <v>258.10000000000002</v>
      </c>
      <c r="AA64" s="83">
        <f t="shared" si="7"/>
        <v>876.1</v>
      </c>
      <c r="AB64" s="81">
        <v>329.1</v>
      </c>
      <c r="AC64" s="81">
        <v>362.4</v>
      </c>
      <c r="AD64" s="81">
        <v>373.5</v>
      </c>
      <c r="AE64" s="81">
        <v>509.1</v>
      </c>
      <c r="AF64" s="81">
        <v>1574.1</v>
      </c>
      <c r="AG64" s="84">
        <v>512.5</v>
      </c>
      <c r="AH64" s="84">
        <v>565.29999999999995</v>
      </c>
      <c r="AI64" s="84">
        <v>381.3</v>
      </c>
      <c r="AJ64" s="84">
        <v>355.5</v>
      </c>
      <c r="AK64" s="83">
        <f t="shared" si="3"/>
        <v>1814.6</v>
      </c>
      <c r="AL64" s="83">
        <v>360.2</v>
      </c>
      <c r="AM64" s="83">
        <v>348.3</v>
      </c>
      <c r="AN64" s="83">
        <v>388.2</v>
      </c>
      <c r="AO64" s="83">
        <v>426.4</v>
      </c>
      <c r="AP64" s="83">
        <v>1523.1</v>
      </c>
      <c r="AQ64" s="84">
        <v>438.4</v>
      </c>
      <c r="AR64" s="84">
        <v>480.4</v>
      </c>
      <c r="AS64" s="84">
        <v>449.5</v>
      </c>
      <c r="AT64" s="84">
        <v>335.8</v>
      </c>
      <c r="AU64" s="84">
        <v>1704.1</v>
      </c>
      <c r="AV64" s="84">
        <v>368.4</v>
      </c>
      <c r="AW64" s="84">
        <v>454.5</v>
      </c>
      <c r="AX64" s="84">
        <v>438.5</v>
      </c>
      <c r="AY64" s="85">
        <v>457.2</v>
      </c>
      <c r="AZ64" s="84">
        <v>1718.6</v>
      </c>
      <c r="BA64" s="84">
        <v>216.9</v>
      </c>
      <c r="BB64" s="84">
        <v>603.1</v>
      </c>
      <c r="BC64" s="84">
        <v>602.5</v>
      </c>
      <c r="BD64" s="86">
        <v>624.9</v>
      </c>
      <c r="BE64" s="84">
        <v>2047.4</v>
      </c>
      <c r="BF64" s="84">
        <v>568.72784000000001</v>
      </c>
      <c r="BG64" s="87">
        <v>641.46848</v>
      </c>
      <c r="BH64" s="88">
        <v>690.84878000000003</v>
      </c>
      <c r="BI64" s="56">
        <v>734.22465999999997</v>
      </c>
      <c r="BJ64" s="56">
        <v>2635.2697600000001</v>
      </c>
      <c r="BK64" s="56">
        <f>IF(614.47671="","-",614.47671)</f>
        <v>614.47671000000003</v>
      </c>
      <c r="BL64" s="56">
        <f>IF(718.01674="","-",718.01674)</f>
        <v>718.01674000000003</v>
      </c>
      <c r="BM64" s="56">
        <f>IF(820.58362="","-",820.58362)</f>
        <v>820.58362</v>
      </c>
      <c r="BN64" s="56">
        <f>IF(859.10567="","-",859.10567)</f>
        <v>859.10567000000003</v>
      </c>
      <c r="BO64" s="56">
        <f>IF(3012.18274="","-",3012.18274)</f>
        <v>3012.1827400000002</v>
      </c>
      <c r="BP64" s="56">
        <v>719.67759000000001</v>
      </c>
      <c r="BQ64" s="46">
        <v>921.53357000000005</v>
      </c>
      <c r="BR64" s="46">
        <v>760.57689000000005</v>
      </c>
      <c r="BS64" s="56">
        <v>877.04299000000003</v>
      </c>
      <c r="BT64" s="56">
        <v>3278.83104</v>
      </c>
      <c r="BU64" s="56">
        <v>604.78152999999998</v>
      </c>
      <c r="BV64" s="56">
        <v>668.62288000000001</v>
      </c>
      <c r="BW64" s="56">
        <v>771.75600999999995</v>
      </c>
      <c r="BX64" s="56">
        <v>592.85784000000001</v>
      </c>
      <c r="BY64" s="56">
        <v>2638.0182599999998</v>
      </c>
      <c r="BZ64" s="56">
        <v>410.79340000000002</v>
      </c>
      <c r="CA64" s="56">
        <v>444.49372</v>
      </c>
      <c r="CB64" s="56">
        <v>542.15278999999998</v>
      </c>
      <c r="CC64" s="56">
        <v>660.23608999999999</v>
      </c>
      <c r="CD64" s="56">
        <v>2057.6759999999999</v>
      </c>
      <c r="CE64" s="56">
        <v>861.70284000000004</v>
      </c>
      <c r="CF64" s="56">
        <v>1578.5843299999999</v>
      </c>
      <c r="CG64" s="56">
        <v>1177.8490300000001</v>
      </c>
      <c r="CH64" s="56">
        <v>1660.4380799999999</v>
      </c>
      <c r="CI64" s="56">
        <v>5278.5742799999998</v>
      </c>
      <c r="CJ64" s="56">
        <v>921.41436999999996</v>
      </c>
      <c r="CK64" s="56">
        <v>1816.70308</v>
      </c>
      <c r="CL64" s="56">
        <v>1250.20661</v>
      </c>
      <c r="CM64" s="56">
        <v>606.16773999999998</v>
      </c>
      <c r="CN64" s="56">
        <v>4594.4917999999998</v>
      </c>
      <c r="CO64" s="56">
        <v>838.20104000000003</v>
      </c>
      <c r="CP64" s="56">
        <v>884.29772000000003</v>
      </c>
      <c r="CQ64" s="56">
        <v>794.18080999999995</v>
      </c>
      <c r="CR64" s="56">
        <v>1269.6124</v>
      </c>
      <c r="CS64" s="56">
        <v>3786.2919700000002</v>
      </c>
      <c r="CT64" s="66" t="s">
        <v>45</v>
      </c>
      <c r="CU64" s="60" t="s">
        <v>179</v>
      </c>
    </row>
    <row r="65" spans="1:99" s="9" customFormat="1" ht="15.75">
      <c r="A65" s="66" t="s">
        <v>46</v>
      </c>
      <c r="B65" s="60" t="s">
        <v>180</v>
      </c>
      <c r="C65" s="81">
        <v>2203.8000000000002</v>
      </c>
      <c r="D65" s="81">
        <v>2507.3000000000002</v>
      </c>
      <c r="E65" s="81">
        <v>2508.5</v>
      </c>
      <c r="F65" s="81">
        <v>2941.2</v>
      </c>
      <c r="G65" s="82">
        <f t="shared" si="6"/>
        <v>10160.799999999999</v>
      </c>
      <c r="H65" s="81">
        <v>2564.9</v>
      </c>
      <c r="I65" s="81">
        <v>3412.1</v>
      </c>
      <c r="J65" s="81">
        <v>4553.3999999999996</v>
      </c>
      <c r="K65" s="81">
        <v>5346.1</v>
      </c>
      <c r="L65" s="82">
        <f t="shared" si="4"/>
        <v>15876.5</v>
      </c>
      <c r="M65" s="81">
        <v>5131.2</v>
      </c>
      <c r="N65" s="81">
        <v>5547.6</v>
      </c>
      <c r="O65" s="81">
        <v>6465.7</v>
      </c>
      <c r="P65" s="81">
        <v>7201.3</v>
      </c>
      <c r="Q65" s="82">
        <f t="shared" si="5"/>
        <v>24345.8</v>
      </c>
      <c r="R65" s="81">
        <v>6210.1</v>
      </c>
      <c r="S65" s="81">
        <v>3880.9</v>
      </c>
      <c r="T65" s="81">
        <v>1840.6</v>
      </c>
      <c r="U65" s="81">
        <v>1148.2</v>
      </c>
      <c r="V65" s="83">
        <f t="shared" si="1"/>
        <v>13079.800000000001</v>
      </c>
      <c r="W65" s="81">
        <v>608.4</v>
      </c>
      <c r="X65" s="81">
        <v>1140.5</v>
      </c>
      <c r="Y65" s="81">
        <v>1438.8</v>
      </c>
      <c r="Z65" s="81">
        <v>1786.4</v>
      </c>
      <c r="AA65" s="83">
        <f t="shared" si="7"/>
        <v>4974.1000000000004</v>
      </c>
      <c r="AB65" s="81">
        <v>2032.9</v>
      </c>
      <c r="AC65" s="81">
        <v>1793.4</v>
      </c>
      <c r="AD65" s="81">
        <v>2478.6</v>
      </c>
      <c r="AE65" s="81">
        <v>2492.6999999999998</v>
      </c>
      <c r="AF65" s="81">
        <v>8797.6</v>
      </c>
      <c r="AG65" s="84">
        <v>5619.4</v>
      </c>
      <c r="AH65" s="84">
        <v>6131.7</v>
      </c>
      <c r="AI65" s="84">
        <v>4582.2</v>
      </c>
      <c r="AJ65" s="84">
        <v>3550.1</v>
      </c>
      <c r="AK65" s="83">
        <f t="shared" si="3"/>
        <v>19883.399999999998</v>
      </c>
      <c r="AL65" s="83">
        <v>3490.3</v>
      </c>
      <c r="AM65" s="83">
        <v>3570.1</v>
      </c>
      <c r="AN65" s="83">
        <v>4607</v>
      </c>
      <c r="AO65" s="83">
        <v>3746.8</v>
      </c>
      <c r="AP65" s="83">
        <v>15414.2</v>
      </c>
      <c r="AQ65" s="83">
        <v>5302.8</v>
      </c>
      <c r="AR65" s="83">
        <v>6158.2</v>
      </c>
      <c r="AS65" s="83">
        <v>5421.3</v>
      </c>
      <c r="AT65" s="83">
        <v>4657</v>
      </c>
      <c r="AU65" s="83">
        <v>21539.3</v>
      </c>
      <c r="AV65" s="84">
        <v>3544.6</v>
      </c>
      <c r="AW65" s="84">
        <v>5039.3</v>
      </c>
      <c r="AX65" s="84">
        <v>3745.7</v>
      </c>
      <c r="AY65" s="85">
        <v>3726.9</v>
      </c>
      <c r="AZ65" s="84">
        <v>16056.5</v>
      </c>
      <c r="BA65" s="84">
        <v>1654.3</v>
      </c>
      <c r="BB65" s="84">
        <v>1560.1</v>
      </c>
      <c r="BC65" s="84">
        <v>2225.8000000000002</v>
      </c>
      <c r="BD65" s="86">
        <v>2069.1999999999998</v>
      </c>
      <c r="BE65" s="84">
        <v>7509.4</v>
      </c>
      <c r="BF65" s="84">
        <v>1523.2123200000001</v>
      </c>
      <c r="BG65" s="87">
        <v>2418.8615199999999</v>
      </c>
      <c r="BH65" s="88">
        <v>2376.3652499999998</v>
      </c>
      <c r="BI65" s="56">
        <v>2302.6202400000002</v>
      </c>
      <c r="BJ65" s="56">
        <v>8621.05933</v>
      </c>
      <c r="BK65" s="56">
        <f>IF(1956.29559="","-",1956.29559)</f>
        <v>1956.2955899999999</v>
      </c>
      <c r="BL65" s="56">
        <f>IF(1982.79564="","-",1982.79564)</f>
        <v>1982.79564</v>
      </c>
      <c r="BM65" s="56">
        <f>IF(2254.68534="","-",2254.68534)</f>
        <v>2254.68534</v>
      </c>
      <c r="BN65" s="56">
        <f>IF(2767.26837="","-",2767.26837)</f>
        <v>2767.2683699999998</v>
      </c>
      <c r="BO65" s="56">
        <f>IF(8961.04494="","-",8961.04494)</f>
        <v>8961.0449399999998</v>
      </c>
      <c r="BP65" s="56">
        <v>2665.5294399999998</v>
      </c>
      <c r="BQ65" s="46">
        <v>2928.8181399999999</v>
      </c>
      <c r="BR65" s="46">
        <v>2250.8227299999999</v>
      </c>
      <c r="BS65" s="56">
        <v>2843.2436499999999</v>
      </c>
      <c r="BT65" s="56">
        <v>10688.41396</v>
      </c>
      <c r="BU65" s="56">
        <v>2474.2823100000001</v>
      </c>
      <c r="BV65" s="56">
        <v>2999.67697</v>
      </c>
      <c r="BW65" s="56">
        <v>3706.9701599999999</v>
      </c>
      <c r="BX65" s="56">
        <v>2943.9569000000001</v>
      </c>
      <c r="BY65" s="56">
        <v>12124.886339999999</v>
      </c>
      <c r="BZ65" s="56">
        <v>2553.0240100000001</v>
      </c>
      <c r="CA65" s="56">
        <v>2445.6309099999999</v>
      </c>
      <c r="CB65" s="56">
        <v>3461.3320399999998</v>
      </c>
      <c r="CC65" s="56">
        <v>2925.0487699999999</v>
      </c>
      <c r="CD65" s="56">
        <v>11385.03573</v>
      </c>
      <c r="CE65" s="56">
        <v>2659.4246199999998</v>
      </c>
      <c r="CF65" s="56">
        <v>3353.11573</v>
      </c>
      <c r="CG65" s="56">
        <v>3698.9821900000002</v>
      </c>
      <c r="CH65" s="56">
        <v>4528.82449</v>
      </c>
      <c r="CI65" s="56">
        <v>14240.347030000001</v>
      </c>
      <c r="CJ65" s="56">
        <v>4790.7987599999997</v>
      </c>
      <c r="CK65" s="56">
        <v>5825.9093899999998</v>
      </c>
      <c r="CL65" s="56">
        <v>5998.1510099999996</v>
      </c>
      <c r="CM65" s="56">
        <v>6091.2064399999999</v>
      </c>
      <c r="CN65" s="56">
        <v>22706.065600000002</v>
      </c>
      <c r="CO65" s="56">
        <v>6018.10239</v>
      </c>
      <c r="CP65" s="56">
        <v>5528.8913000000002</v>
      </c>
      <c r="CQ65" s="56">
        <v>7298.1481700000004</v>
      </c>
      <c r="CR65" s="56">
        <v>6179.8227399999996</v>
      </c>
      <c r="CS65" s="56">
        <v>25024.964599999999</v>
      </c>
      <c r="CT65" s="66" t="s">
        <v>46</v>
      </c>
      <c r="CU65" s="60" t="s">
        <v>180</v>
      </c>
    </row>
    <row r="66" spans="1:99" s="9" customFormat="1" ht="47.25">
      <c r="A66" s="66" t="s">
        <v>47</v>
      </c>
      <c r="B66" s="60" t="s">
        <v>181</v>
      </c>
      <c r="C66" s="81">
        <v>177.2</v>
      </c>
      <c r="D66" s="81">
        <v>335.6</v>
      </c>
      <c r="E66" s="81">
        <v>457.3</v>
      </c>
      <c r="F66" s="81">
        <v>413.8</v>
      </c>
      <c r="G66" s="82">
        <f t="shared" si="6"/>
        <v>1383.8999999999999</v>
      </c>
      <c r="H66" s="81">
        <v>324.5</v>
      </c>
      <c r="I66" s="81">
        <v>710.2</v>
      </c>
      <c r="J66" s="81">
        <v>254</v>
      </c>
      <c r="K66" s="81">
        <v>1066.3</v>
      </c>
      <c r="L66" s="82">
        <f t="shared" si="4"/>
        <v>2355</v>
      </c>
      <c r="M66" s="81">
        <v>569.29999999999995</v>
      </c>
      <c r="N66" s="81">
        <v>470.1</v>
      </c>
      <c r="O66" s="81">
        <v>449.9</v>
      </c>
      <c r="P66" s="81">
        <v>1032.0999999999999</v>
      </c>
      <c r="Q66" s="82">
        <f t="shared" si="5"/>
        <v>2521.4</v>
      </c>
      <c r="R66" s="81">
        <v>816.7</v>
      </c>
      <c r="S66" s="81">
        <v>767.5</v>
      </c>
      <c r="T66" s="81">
        <v>791.8</v>
      </c>
      <c r="U66" s="81">
        <v>669.7</v>
      </c>
      <c r="V66" s="83">
        <f t="shared" si="1"/>
        <v>3045.7</v>
      </c>
      <c r="W66" s="81">
        <v>576.4</v>
      </c>
      <c r="X66" s="81">
        <v>689.8</v>
      </c>
      <c r="Y66" s="81">
        <v>363.3</v>
      </c>
      <c r="Z66" s="81">
        <v>323.89999999999998</v>
      </c>
      <c r="AA66" s="83">
        <f t="shared" si="7"/>
        <v>1953.3999999999996</v>
      </c>
      <c r="AB66" s="81">
        <v>394.4</v>
      </c>
      <c r="AC66" s="81">
        <v>346.2</v>
      </c>
      <c r="AD66" s="81">
        <v>322.5</v>
      </c>
      <c r="AE66" s="81">
        <v>366.2</v>
      </c>
      <c r="AF66" s="81">
        <v>1429.3</v>
      </c>
      <c r="AG66" s="84">
        <v>767.6</v>
      </c>
      <c r="AH66" s="84">
        <v>832.5</v>
      </c>
      <c r="AI66" s="84">
        <v>718.4</v>
      </c>
      <c r="AJ66" s="84">
        <v>579.9</v>
      </c>
      <c r="AK66" s="83">
        <f t="shared" si="3"/>
        <v>2898.4</v>
      </c>
      <c r="AL66" s="83">
        <v>425.1</v>
      </c>
      <c r="AM66" s="83">
        <v>447.3</v>
      </c>
      <c r="AN66" s="83">
        <v>1326.8</v>
      </c>
      <c r="AO66" s="83">
        <v>676</v>
      </c>
      <c r="AP66" s="83">
        <v>2875.2</v>
      </c>
      <c r="AQ66" s="83">
        <v>640.4</v>
      </c>
      <c r="AR66" s="83">
        <v>724.8</v>
      </c>
      <c r="AS66" s="83">
        <v>338.6</v>
      </c>
      <c r="AT66" s="83">
        <v>657.1</v>
      </c>
      <c r="AU66" s="83">
        <v>2360.9</v>
      </c>
      <c r="AV66" s="84">
        <v>566.70000000000005</v>
      </c>
      <c r="AW66" s="84">
        <v>349</v>
      </c>
      <c r="AX66" s="84">
        <v>562.4</v>
      </c>
      <c r="AY66" s="85">
        <v>394.8</v>
      </c>
      <c r="AZ66" s="84">
        <v>1872.9</v>
      </c>
      <c r="BA66" s="84">
        <v>372.1</v>
      </c>
      <c r="BB66" s="84">
        <v>231</v>
      </c>
      <c r="BC66" s="84">
        <v>172.9</v>
      </c>
      <c r="BD66" s="86">
        <v>237.1</v>
      </c>
      <c r="BE66" s="84">
        <v>1013.1</v>
      </c>
      <c r="BF66" s="84">
        <v>194.65434999999999</v>
      </c>
      <c r="BG66" s="87">
        <v>174.95128</v>
      </c>
      <c r="BH66" s="88">
        <v>261.52399000000003</v>
      </c>
      <c r="BI66" s="56">
        <v>309.73471000000001</v>
      </c>
      <c r="BJ66" s="56">
        <v>940.86433</v>
      </c>
      <c r="BK66" s="56">
        <f>IF(238.48732="","-",238.48732)</f>
        <v>238.48732000000001</v>
      </c>
      <c r="BL66" s="56">
        <f>IF(278.18439="","-",278.18439)</f>
        <v>278.18439000000001</v>
      </c>
      <c r="BM66" s="56">
        <f>IF(291.18971="","-",291.18971)</f>
        <v>291.18970999999999</v>
      </c>
      <c r="BN66" s="56">
        <f>IF(391.15872="","-",391.15872)</f>
        <v>391.15872000000002</v>
      </c>
      <c r="BO66" s="56">
        <f>IF(1199.02014="","-",1199.02014)</f>
        <v>1199.0201400000001</v>
      </c>
      <c r="BP66" s="56">
        <v>301.12240000000003</v>
      </c>
      <c r="BQ66" s="46">
        <v>310.61306999999999</v>
      </c>
      <c r="BR66" s="46">
        <v>394.27463</v>
      </c>
      <c r="BS66" s="56">
        <v>369.91725000000002</v>
      </c>
      <c r="BT66" s="56">
        <v>1375.9273499999999</v>
      </c>
      <c r="BU66" s="56">
        <v>310.69585999999998</v>
      </c>
      <c r="BV66" s="56">
        <v>261.40548000000001</v>
      </c>
      <c r="BW66" s="56">
        <v>246.60422</v>
      </c>
      <c r="BX66" s="56">
        <v>352.19940000000003</v>
      </c>
      <c r="BY66" s="56">
        <v>1170.9049600000001</v>
      </c>
      <c r="BZ66" s="56">
        <v>305.43578000000002</v>
      </c>
      <c r="CA66" s="56">
        <v>203.40128999999999</v>
      </c>
      <c r="CB66" s="56">
        <v>230.63002</v>
      </c>
      <c r="CC66" s="56">
        <v>484.25679000000002</v>
      </c>
      <c r="CD66" s="56">
        <v>1223.72388</v>
      </c>
      <c r="CE66" s="56">
        <v>437.44425000000001</v>
      </c>
      <c r="CF66" s="56">
        <v>404.41109999999998</v>
      </c>
      <c r="CG66" s="56">
        <v>207.18924000000001</v>
      </c>
      <c r="CH66" s="56">
        <v>592.47717</v>
      </c>
      <c r="CI66" s="56">
        <v>1641.5217600000001</v>
      </c>
      <c r="CJ66" s="56">
        <v>380.01164</v>
      </c>
      <c r="CK66" s="56">
        <v>338.12234000000001</v>
      </c>
      <c r="CL66" s="56">
        <v>266.73309999999998</v>
      </c>
      <c r="CM66" s="56">
        <v>527.97098000000005</v>
      </c>
      <c r="CN66" s="56">
        <v>1512.83806</v>
      </c>
      <c r="CO66" s="56">
        <v>374.94601999999998</v>
      </c>
      <c r="CP66" s="56">
        <v>423.94157000000001</v>
      </c>
      <c r="CQ66" s="56">
        <v>288.67559</v>
      </c>
      <c r="CR66" s="56">
        <v>580.84378000000004</v>
      </c>
      <c r="CS66" s="56">
        <v>1668.40696</v>
      </c>
      <c r="CT66" s="66" t="s">
        <v>47</v>
      </c>
      <c r="CU66" s="60" t="s">
        <v>181</v>
      </c>
    </row>
    <row r="67" spans="1:99" s="9" customFormat="1" ht="15.75">
      <c r="A67" s="65" t="s">
        <v>104</v>
      </c>
      <c r="B67" s="59" t="s">
        <v>182</v>
      </c>
      <c r="C67" s="72">
        <v>46026.9</v>
      </c>
      <c r="D67" s="72">
        <v>45894.7</v>
      </c>
      <c r="E67" s="72">
        <v>54277.599999999999</v>
      </c>
      <c r="F67" s="72">
        <v>47725.4</v>
      </c>
      <c r="G67" s="72">
        <f t="shared" si="6"/>
        <v>193924.6</v>
      </c>
      <c r="H67" s="72">
        <v>50793.1</v>
      </c>
      <c r="I67" s="72">
        <v>52411.7</v>
      </c>
      <c r="J67" s="72">
        <v>59734.400000000001</v>
      </c>
      <c r="K67" s="72">
        <v>64929.9</v>
      </c>
      <c r="L67" s="72">
        <f t="shared" si="4"/>
        <v>227869.09999999998</v>
      </c>
      <c r="M67" s="72">
        <v>63358</v>
      </c>
      <c r="N67" s="72">
        <v>64731.6</v>
      </c>
      <c r="O67" s="72">
        <v>70329.2</v>
      </c>
      <c r="P67" s="72">
        <v>77792.600000000006</v>
      </c>
      <c r="Q67" s="72">
        <f t="shared" si="5"/>
        <v>276211.40000000002</v>
      </c>
      <c r="R67" s="72">
        <v>76926.399999999994</v>
      </c>
      <c r="S67" s="72">
        <v>78737.2</v>
      </c>
      <c r="T67" s="72">
        <v>85331.7</v>
      </c>
      <c r="U67" s="72">
        <v>72920</v>
      </c>
      <c r="V67" s="75">
        <f t="shared" si="1"/>
        <v>313915.3</v>
      </c>
      <c r="W67" s="72">
        <v>57469.5</v>
      </c>
      <c r="X67" s="72">
        <v>59206.9</v>
      </c>
      <c r="Y67" s="72">
        <v>70791.5</v>
      </c>
      <c r="Z67" s="72">
        <v>70321.8</v>
      </c>
      <c r="AA67" s="75">
        <f t="shared" si="7"/>
        <v>257789.7</v>
      </c>
      <c r="AB67" s="72">
        <v>60581.1</v>
      </c>
      <c r="AC67" s="72">
        <v>61490.5</v>
      </c>
      <c r="AD67" s="72">
        <v>69809.5</v>
      </c>
      <c r="AE67" s="72">
        <v>75812.2</v>
      </c>
      <c r="AF67" s="72">
        <v>267693.3</v>
      </c>
      <c r="AG67" s="76">
        <v>71143.8</v>
      </c>
      <c r="AH67" s="76">
        <v>87417.4</v>
      </c>
      <c r="AI67" s="76">
        <v>100069.9</v>
      </c>
      <c r="AJ67" s="76">
        <v>96038.7</v>
      </c>
      <c r="AK67" s="75">
        <f t="shared" si="3"/>
        <v>354669.8</v>
      </c>
      <c r="AL67" s="75">
        <v>86888.3</v>
      </c>
      <c r="AM67" s="75">
        <v>86549.7</v>
      </c>
      <c r="AN67" s="75">
        <v>86861.7</v>
      </c>
      <c r="AO67" s="75">
        <v>83147.399999999994</v>
      </c>
      <c r="AP67" s="75">
        <v>343447.1</v>
      </c>
      <c r="AQ67" s="75">
        <v>76790.399999999994</v>
      </c>
      <c r="AR67" s="75">
        <v>80849.2</v>
      </c>
      <c r="AS67" s="75">
        <v>88855.9</v>
      </c>
      <c r="AT67" s="75">
        <v>84003.4</v>
      </c>
      <c r="AU67" s="75">
        <v>330498.90000000002</v>
      </c>
      <c r="AV67" s="76">
        <v>81444.899999999994</v>
      </c>
      <c r="AW67" s="70">
        <v>89569</v>
      </c>
      <c r="AX67" s="70">
        <v>89315.1</v>
      </c>
      <c r="AY67" s="70">
        <v>69806.100000000006</v>
      </c>
      <c r="AZ67" s="70">
        <v>330135.09999999998</v>
      </c>
      <c r="BA67" s="70">
        <v>60786.7</v>
      </c>
      <c r="BB67" s="70">
        <v>71129.600000000006</v>
      </c>
      <c r="BC67" s="70">
        <v>73826.5</v>
      </c>
      <c r="BD67" s="70">
        <v>67971.3</v>
      </c>
      <c r="BE67" s="70">
        <v>273714.09999999998</v>
      </c>
      <c r="BF67" s="76">
        <v>70925.888049999994</v>
      </c>
      <c r="BG67" s="80">
        <v>80153.233389999994</v>
      </c>
      <c r="BH67" s="89">
        <v>81846.337719999996</v>
      </c>
      <c r="BI67" s="55">
        <v>74329.157359999997</v>
      </c>
      <c r="BJ67" s="55">
        <v>307254.61651999998</v>
      </c>
      <c r="BK67" s="55">
        <f>IF(80466.76433="","-",80466.76433)</f>
        <v>80466.764330000005</v>
      </c>
      <c r="BL67" s="55">
        <f>IF(83530.30644="","-",83530.30644)</f>
        <v>83530.30644</v>
      </c>
      <c r="BM67" s="55">
        <f>IF(89796.71577="","-",89796.71577)</f>
        <v>89796.715769999995</v>
      </c>
      <c r="BN67" s="55">
        <v>92899.27</v>
      </c>
      <c r="BO67" s="55">
        <v>346693.05</v>
      </c>
      <c r="BP67" s="55">
        <v>96778.027870000005</v>
      </c>
      <c r="BQ67" s="45">
        <v>93084.045010000002</v>
      </c>
      <c r="BR67" s="45">
        <v>92018.236149999997</v>
      </c>
      <c r="BS67" s="55">
        <v>86873.637650000004</v>
      </c>
      <c r="BT67" s="55">
        <v>368753.94667999999</v>
      </c>
      <c r="BU67" s="55">
        <v>79576.641040000002</v>
      </c>
      <c r="BV67" s="55">
        <v>88035.876820000005</v>
      </c>
      <c r="BW67" s="55">
        <v>80393.094630000007</v>
      </c>
      <c r="BX67" s="55">
        <v>77357.672690000007</v>
      </c>
      <c r="BY67" s="55">
        <v>325363.28518000001</v>
      </c>
      <c r="BZ67" s="55">
        <v>71992.211899999995</v>
      </c>
      <c r="CA67" s="55">
        <v>53436.64286</v>
      </c>
      <c r="CB67" s="55">
        <v>83727.237059999999</v>
      </c>
      <c r="CC67" s="55">
        <v>80630.107900000003</v>
      </c>
      <c r="CD67" s="55">
        <v>289786.19971999998</v>
      </c>
      <c r="CE67" s="55">
        <v>74584.957070000004</v>
      </c>
      <c r="CF67" s="55">
        <v>87068.206720000002</v>
      </c>
      <c r="CG67" s="55">
        <v>83105.392219999994</v>
      </c>
      <c r="CH67" s="55">
        <v>89207.217579999997</v>
      </c>
      <c r="CI67" s="55">
        <v>333965.77359</v>
      </c>
      <c r="CJ67" s="55">
        <v>85723.675940000001</v>
      </c>
      <c r="CK67" s="55">
        <v>91481.132259999998</v>
      </c>
      <c r="CL67" s="55">
        <v>88166.31654</v>
      </c>
      <c r="CM67" s="55">
        <v>91851.268920000002</v>
      </c>
      <c r="CN67" s="55">
        <v>357222.39366</v>
      </c>
      <c r="CO67" s="55">
        <v>89578.525930000003</v>
      </c>
      <c r="CP67" s="55">
        <v>91657.978900000002</v>
      </c>
      <c r="CQ67" s="55">
        <v>87947.914090000006</v>
      </c>
      <c r="CR67" s="55">
        <v>83267.187019999998</v>
      </c>
      <c r="CS67" s="55">
        <v>352451.60593999998</v>
      </c>
      <c r="CT67" s="65" t="s">
        <v>104</v>
      </c>
      <c r="CU67" s="59" t="s">
        <v>182</v>
      </c>
    </row>
    <row r="68" spans="1:99" s="9" customFormat="1" ht="15.75">
      <c r="A68" s="66" t="s">
        <v>48</v>
      </c>
      <c r="B68" s="60" t="s">
        <v>183</v>
      </c>
      <c r="C68" s="81">
        <v>1.3</v>
      </c>
      <c r="D68" s="81">
        <v>0</v>
      </c>
      <c r="E68" s="81">
        <v>2.2999999999999998</v>
      </c>
      <c r="F68" s="81">
        <v>0.8</v>
      </c>
      <c r="G68" s="83">
        <f t="shared" si="6"/>
        <v>4.3999999999999995</v>
      </c>
      <c r="H68" s="82" t="s">
        <v>115</v>
      </c>
      <c r="I68" s="82" t="s">
        <v>115</v>
      </c>
      <c r="J68" s="82" t="s">
        <v>115</v>
      </c>
      <c r="K68" s="82" t="s">
        <v>115</v>
      </c>
      <c r="L68" s="82" t="s">
        <v>115</v>
      </c>
      <c r="M68" s="81" t="s">
        <v>117</v>
      </c>
      <c r="N68" s="81" t="s">
        <v>117</v>
      </c>
      <c r="O68" s="81" t="s">
        <v>117</v>
      </c>
      <c r="P68" s="81">
        <v>1.2</v>
      </c>
      <c r="Q68" s="82">
        <f t="shared" si="5"/>
        <v>1.2</v>
      </c>
      <c r="R68" s="81">
        <v>0.3</v>
      </c>
      <c r="S68" s="81" t="s">
        <v>117</v>
      </c>
      <c r="T68" s="81" t="s">
        <v>117</v>
      </c>
      <c r="U68" s="81" t="s">
        <v>117</v>
      </c>
      <c r="V68" s="83">
        <f t="shared" si="1"/>
        <v>0.3</v>
      </c>
      <c r="W68" s="81" t="s">
        <v>117</v>
      </c>
      <c r="X68" s="81">
        <v>1.7</v>
      </c>
      <c r="Y68" s="81" t="s">
        <v>117</v>
      </c>
      <c r="Z68" s="81">
        <v>7.1</v>
      </c>
      <c r="AA68" s="83">
        <f t="shared" si="7"/>
        <v>8.7999999999999989</v>
      </c>
      <c r="AB68" s="81" t="s">
        <v>117</v>
      </c>
      <c r="AC68" s="81">
        <v>3.8</v>
      </c>
      <c r="AD68" s="81" t="s">
        <v>117</v>
      </c>
      <c r="AE68" s="81">
        <v>11.4</v>
      </c>
      <c r="AF68" s="81">
        <v>15.2</v>
      </c>
      <c r="AG68" s="84">
        <v>1.3</v>
      </c>
      <c r="AH68" s="84">
        <v>2.1</v>
      </c>
      <c r="AI68" s="84" t="s">
        <v>117</v>
      </c>
      <c r="AJ68" s="84">
        <v>0.7</v>
      </c>
      <c r="AK68" s="83">
        <f t="shared" si="3"/>
        <v>4.1000000000000005</v>
      </c>
      <c r="AL68" s="83">
        <v>5.9</v>
      </c>
      <c r="AM68" s="83">
        <v>3</v>
      </c>
      <c r="AN68" s="83" t="s">
        <v>117</v>
      </c>
      <c r="AO68" s="83" t="s">
        <v>117</v>
      </c>
      <c r="AP68" s="83">
        <v>8.9</v>
      </c>
      <c r="AQ68" s="83" t="s">
        <v>117</v>
      </c>
      <c r="AR68" s="83" t="s">
        <v>117</v>
      </c>
      <c r="AS68" s="84" t="s">
        <v>117</v>
      </c>
      <c r="AT68" s="84" t="s">
        <v>117</v>
      </c>
      <c r="AU68" s="84" t="s">
        <v>117</v>
      </c>
      <c r="AV68" s="84" t="s">
        <v>117</v>
      </c>
      <c r="AW68" s="84" t="s">
        <v>117</v>
      </c>
      <c r="AX68" s="84" t="s">
        <v>117</v>
      </c>
      <c r="AY68" s="84" t="s">
        <v>117</v>
      </c>
      <c r="AZ68" s="84" t="s">
        <v>117</v>
      </c>
      <c r="BA68" s="84" t="s">
        <v>117</v>
      </c>
      <c r="BB68" s="84" t="s">
        <v>117</v>
      </c>
      <c r="BC68" s="84" t="s">
        <v>117</v>
      </c>
      <c r="BD68" s="84" t="s">
        <v>117</v>
      </c>
      <c r="BE68" s="84" t="s">
        <v>117</v>
      </c>
      <c r="BF68" s="84">
        <v>0.70670999999999995</v>
      </c>
      <c r="BG68" s="87">
        <v>0.77515999999999996</v>
      </c>
      <c r="BH68" s="84" t="s">
        <v>117</v>
      </c>
      <c r="BI68" s="55" t="s">
        <v>117</v>
      </c>
      <c r="BJ68" s="56">
        <v>1.48187</v>
      </c>
      <c r="BK68" s="56">
        <f>IF(8.37436="","-",8.37436)</f>
        <v>8.3743599999999994</v>
      </c>
      <c r="BL68" s="56" t="str">
        <f>IF(""="","-","")</f>
        <v>-</v>
      </c>
      <c r="BM68" s="55" t="s">
        <v>117</v>
      </c>
      <c r="BN68" s="55" t="s">
        <v>117</v>
      </c>
      <c r="BO68" s="56">
        <f>IF(8.37436="","-",8.37436)</f>
        <v>8.3743599999999994</v>
      </c>
      <c r="BP68" s="55" t="s">
        <v>117</v>
      </c>
      <c r="BQ68" s="46" t="s">
        <v>117</v>
      </c>
      <c r="BR68" s="46" t="s">
        <v>117</v>
      </c>
      <c r="BS68" s="55" t="s">
        <v>117</v>
      </c>
      <c r="BT68" s="56" t="s">
        <v>117</v>
      </c>
      <c r="BU68" s="56">
        <v>0.81667000000000001</v>
      </c>
      <c r="BV68" s="56" t="s">
        <v>117</v>
      </c>
      <c r="BW68" s="56" t="s">
        <v>117</v>
      </c>
      <c r="BX68" s="56">
        <v>6.1319699999999999</v>
      </c>
      <c r="BY68" s="56">
        <v>6.9486400000000001</v>
      </c>
      <c r="BZ68" s="56" t="s">
        <v>117</v>
      </c>
      <c r="CA68" s="56" t="s">
        <v>117</v>
      </c>
      <c r="CB68" s="56" t="s">
        <v>117</v>
      </c>
      <c r="CC68" s="56" t="s">
        <v>117</v>
      </c>
      <c r="CD68" s="56" t="s">
        <v>117</v>
      </c>
      <c r="CE68" s="56" t="s">
        <v>117</v>
      </c>
      <c r="CF68" s="56" t="s">
        <v>117</v>
      </c>
      <c r="CG68" s="56" t="s">
        <v>117</v>
      </c>
      <c r="CH68" s="56">
        <v>0.72258</v>
      </c>
      <c r="CI68" s="56">
        <v>0.72258</v>
      </c>
      <c r="CJ68" s="56" t="s">
        <v>117</v>
      </c>
      <c r="CK68" s="56" t="s">
        <v>117</v>
      </c>
      <c r="CL68" s="56" t="s">
        <v>117</v>
      </c>
      <c r="CM68" s="56" t="s">
        <v>117</v>
      </c>
      <c r="CN68" s="56" t="s">
        <v>117</v>
      </c>
      <c r="CO68" s="56" t="s">
        <v>117</v>
      </c>
      <c r="CP68" s="56" t="s">
        <v>117</v>
      </c>
      <c r="CQ68" s="56" t="s">
        <v>117</v>
      </c>
      <c r="CR68" s="56" t="s">
        <v>117</v>
      </c>
      <c r="CS68" s="56" t="s">
        <v>117</v>
      </c>
      <c r="CT68" s="66" t="s">
        <v>48</v>
      </c>
      <c r="CU68" s="60" t="s">
        <v>183</v>
      </c>
    </row>
    <row r="69" spans="1:99" s="9" customFormat="1" ht="31.5" customHeight="1">
      <c r="A69" s="66" t="s">
        <v>49</v>
      </c>
      <c r="B69" s="60" t="s">
        <v>184</v>
      </c>
      <c r="C69" s="81">
        <v>55.5</v>
      </c>
      <c r="D69" s="81">
        <v>114.4</v>
      </c>
      <c r="E69" s="81">
        <v>173.6</v>
      </c>
      <c r="F69" s="81">
        <v>77.5</v>
      </c>
      <c r="G69" s="82">
        <f t="shared" ref="G69:G115" si="8">SUM(C69:F69)</f>
        <v>421</v>
      </c>
      <c r="H69" s="81">
        <v>192.4</v>
      </c>
      <c r="I69" s="81">
        <v>367.4</v>
      </c>
      <c r="J69" s="81">
        <v>246.8</v>
      </c>
      <c r="K69" s="81">
        <v>542.20000000000005</v>
      </c>
      <c r="L69" s="82">
        <f t="shared" si="4"/>
        <v>1348.8</v>
      </c>
      <c r="M69" s="81">
        <v>843</v>
      </c>
      <c r="N69" s="81">
        <v>605.6</v>
      </c>
      <c r="O69" s="81">
        <v>347.6</v>
      </c>
      <c r="P69" s="81">
        <v>460.3</v>
      </c>
      <c r="Q69" s="82">
        <f t="shared" si="5"/>
        <v>2256.5</v>
      </c>
      <c r="R69" s="81">
        <v>401.5</v>
      </c>
      <c r="S69" s="81">
        <v>198.7</v>
      </c>
      <c r="T69" s="81">
        <v>440.6</v>
      </c>
      <c r="U69" s="81">
        <v>235.5</v>
      </c>
      <c r="V69" s="83">
        <f t="shared" si="1"/>
        <v>1276.3000000000002</v>
      </c>
      <c r="W69" s="81">
        <v>27.4</v>
      </c>
      <c r="X69" s="81">
        <v>124.9</v>
      </c>
      <c r="Y69" s="81">
        <v>123.2</v>
      </c>
      <c r="Z69" s="81">
        <v>186.6</v>
      </c>
      <c r="AA69" s="83">
        <f t="shared" si="7"/>
        <v>462.1</v>
      </c>
      <c r="AB69" s="81">
        <v>173.2</v>
      </c>
      <c r="AC69" s="81">
        <v>161.69999999999999</v>
      </c>
      <c r="AD69" s="81">
        <v>209.6</v>
      </c>
      <c r="AE69" s="81">
        <v>668.6</v>
      </c>
      <c r="AF69" s="81">
        <v>1213.0999999999999</v>
      </c>
      <c r="AG69" s="84">
        <v>323.2</v>
      </c>
      <c r="AH69" s="84">
        <v>514.79999999999995</v>
      </c>
      <c r="AI69" s="84">
        <v>785.5</v>
      </c>
      <c r="AJ69" s="84">
        <v>487.2</v>
      </c>
      <c r="AK69" s="83">
        <f t="shared" si="3"/>
        <v>2110.6999999999998</v>
      </c>
      <c r="AL69" s="83">
        <v>282.2</v>
      </c>
      <c r="AM69" s="83">
        <v>406.5</v>
      </c>
      <c r="AN69" s="83">
        <v>447.4</v>
      </c>
      <c r="AO69" s="83">
        <v>302.8</v>
      </c>
      <c r="AP69" s="83">
        <v>1438.9</v>
      </c>
      <c r="AQ69" s="84">
        <v>102.9</v>
      </c>
      <c r="AR69" s="84">
        <v>218.7</v>
      </c>
      <c r="AS69" s="84">
        <v>404.8</v>
      </c>
      <c r="AT69" s="84">
        <v>543.9</v>
      </c>
      <c r="AU69" s="84">
        <v>1270.3</v>
      </c>
      <c r="AV69" s="84">
        <v>38.799999999999997</v>
      </c>
      <c r="AW69" s="84">
        <v>324.39999999999998</v>
      </c>
      <c r="AX69" s="84">
        <v>427.3</v>
      </c>
      <c r="AY69" s="85">
        <v>241.7</v>
      </c>
      <c r="AZ69" s="84">
        <v>1032.2</v>
      </c>
      <c r="BA69" s="84">
        <v>42.6</v>
      </c>
      <c r="BB69" s="84">
        <v>484.6</v>
      </c>
      <c r="BC69" s="83">
        <v>293.60000000000002</v>
      </c>
      <c r="BD69" s="86">
        <v>146.19999999999999</v>
      </c>
      <c r="BE69" s="84">
        <v>967</v>
      </c>
      <c r="BF69" s="84">
        <v>84.057419999999993</v>
      </c>
      <c r="BG69" s="87">
        <v>243.76429999999999</v>
      </c>
      <c r="BH69" s="88">
        <v>249.74572000000001</v>
      </c>
      <c r="BI69" s="56">
        <v>134.72254000000001</v>
      </c>
      <c r="BJ69" s="56">
        <v>712.28998000000001</v>
      </c>
      <c r="BK69" s="56">
        <f>IF(45.92645="","-",45.92645)</f>
        <v>45.926450000000003</v>
      </c>
      <c r="BL69" s="56">
        <f>IF(316.66447="","-",316.66447)</f>
        <v>316.66446999999999</v>
      </c>
      <c r="BM69" s="56">
        <f>IF(110.23891="","-",110.23891)</f>
        <v>110.23891</v>
      </c>
      <c r="BN69" s="56">
        <f>IF(43.71714="","-",43.71714)</f>
        <v>43.717140000000001</v>
      </c>
      <c r="BO69" s="56">
        <f>IF(516.54697="","-",516.54697)</f>
        <v>516.54696999999999</v>
      </c>
      <c r="BP69" s="56">
        <v>62.087699999999998</v>
      </c>
      <c r="BQ69" s="46">
        <v>185.07467</v>
      </c>
      <c r="BR69" s="46">
        <v>89.552890000000005</v>
      </c>
      <c r="BS69" s="56">
        <v>148.01329000000001</v>
      </c>
      <c r="BT69" s="56">
        <v>484.72854999999998</v>
      </c>
      <c r="BU69" s="56">
        <v>115.70988</v>
      </c>
      <c r="BV69" s="56">
        <v>131.16215</v>
      </c>
      <c r="BW69" s="56">
        <v>94.767840000000007</v>
      </c>
      <c r="BX69" s="56">
        <v>102.13674</v>
      </c>
      <c r="BY69" s="56">
        <v>443.77661000000001</v>
      </c>
      <c r="BZ69" s="56">
        <v>23.7484</v>
      </c>
      <c r="CA69" s="56">
        <v>41.132480000000001</v>
      </c>
      <c r="CB69" s="56">
        <v>181.81189000000001</v>
      </c>
      <c r="CC69" s="56">
        <v>88.157060000000001</v>
      </c>
      <c r="CD69" s="56">
        <v>334.84983</v>
      </c>
      <c r="CE69" s="56">
        <v>42.99447</v>
      </c>
      <c r="CF69" s="56">
        <v>93.314030000000002</v>
      </c>
      <c r="CG69" s="56">
        <v>44.702950000000001</v>
      </c>
      <c r="CH69" s="56">
        <v>112.11677</v>
      </c>
      <c r="CI69" s="56">
        <v>293.12822</v>
      </c>
      <c r="CJ69" s="56">
        <v>27.71519</v>
      </c>
      <c r="CK69" s="56">
        <v>49.326279999999997</v>
      </c>
      <c r="CL69" s="56">
        <v>101.54415</v>
      </c>
      <c r="CM69" s="56">
        <v>78.167559999999995</v>
      </c>
      <c r="CN69" s="56">
        <v>256.75317999999999</v>
      </c>
      <c r="CO69" s="56">
        <v>175.30918</v>
      </c>
      <c r="CP69" s="56">
        <v>196.33393000000001</v>
      </c>
      <c r="CQ69" s="56">
        <v>114.58437000000001</v>
      </c>
      <c r="CR69" s="56">
        <v>26.32348</v>
      </c>
      <c r="CS69" s="56">
        <v>512.55096000000003</v>
      </c>
      <c r="CT69" s="66" t="s">
        <v>49</v>
      </c>
      <c r="CU69" s="60" t="s">
        <v>184</v>
      </c>
    </row>
    <row r="70" spans="1:99" s="9" customFormat="1" ht="15.75">
      <c r="A70" s="66" t="s">
        <v>50</v>
      </c>
      <c r="B70" s="60" t="s">
        <v>185</v>
      </c>
      <c r="C70" s="81">
        <v>279.10000000000002</v>
      </c>
      <c r="D70" s="81">
        <v>240.7</v>
      </c>
      <c r="E70" s="81">
        <v>225.7</v>
      </c>
      <c r="F70" s="81">
        <v>258.60000000000002</v>
      </c>
      <c r="G70" s="82">
        <f t="shared" si="8"/>
        <v>1004.1</v>
      </c>
      <c r="H70" s="81">
        <v>235.2</v>
      </c>
      <c r="I70" s="81">
        <v>100.8</v>
      </c>
      <c r="J70" s="81">
        <v>164</v>
      </c>
      <c r="K70" s="81">
        <v>185.5</v>
      </c>
      <c r="L70" s="82">
        <f t="shared" si="4"/>
        <v>685.5</v>
      </c>
      <c r="M70" s="81">
        <v>81.2</v>
      </c>
      <c r="N70" s="81">
        <v>185.5</v>
      </c>
      <c r="O70" s="81">
        <v>169.3</v>
      </c>
      <c r="P70" s="81">
        <v>52.1</v>
      </c>
      <c r="Q70" s="82">
        <f t="shared" si="5"/>
        <v>488.1</v>
      </c>
      <c r="R70" s="81">
        <v>165.9</v>
      </c>
      <c r="S70" s="81">
        <v>151.30000000000001</v>
      </c>
      <c r="T70" s="81">
        <v>257.89999999999998</v>
      </c>
      <c r="U70" s="81">
        <v>108.1</v>
      </c>
      <c r="V70" s="83">
        <f t="shared" si="1"/>
        <v>683.2</v>
      </c>
      <c r="W70" s="81">
        <v>133.5</v>
      </c>
      <c r="X70" s="81">
        <v>182.2</v>
      </c>
      <c r="Y70" s="81">
        <v>309</v>
      </c>
      <c r="Z70" s="81">
        <v>202.5</v>
      </c>
      <c r="AA70" s="83">
        <f t="shared" si="7"/>
        <v>827.2</v>
      </c>
      <c r="AB70" s="81">
        <v>136</v>
      </c>
      <c r="AC70" s="81">
        <v>283.7</v>
      </c>
      <c r="AD70" s="81">
        <v>291.2</v>
      </c>
      <c r="AE70" s="81">
        <v>558.70000000000005</v>
      </c>
      <c r="AF70" s="81">
        <v>1269.5999999999999</v>
      </c>
      <c r="AG70" s="84">
        <v>912.5</v>
      </c>
      <c r="AH70" s="84">
        <v>746.8</v>
      </c>
      <c r="AI70" s="84">
        <v>1013.7</v>
      </c>
      <c r="AJ70" s="84">
        <v>540.5</v>
      </c>
      <c r="AK70" s="83">
        <f t="shared" si="3"/>
        <v>3213.5</v>
      </c>
      <c r="AL70" s="83">
        <v>825</v>
      </c>
      <c r="AM70" s="83">
        <v>825.2</v>
      </c>
      <c r="AN70" s="83">
        <v>1052.3</v>
      </c>
      <c r="AO70" s="83">
        <v>818.2</v>
      </c>
      <c r="AP70" s="83">
        <v>3520.7</v>
      </c>
      <c r="AQ70" s="84">
        <v>770.2</v>
      </c>
      <c r="AR70" s="84">
        <v>900.9</v>
      </c>
      <c r="AS70" s="84">
        <v>808.1</v>
      </c>
      <c r="AT70" s="84">
        <v>344.6</v>
      </c>
      <c r="AU70" s="84">
        <v>2823.8</v>
      </c>
      <c r="AV70" s="84">
        <v>214.2</v>
      </c>
      <c r="AW70" s="84">
        <v>337.1</v>
      </c>
      <c r="AX70" s="84">
        <v>1240.7</v>
      </c>
      <c r="AY70" s="85">
        <v>676.7</v>
      </c>
      <c r="AZ70" s="84">
        <v>2468.6999999999998</v>
      </c>
      <c r="BA70" s="84">
        <v>1429.2</v>
      </c>
      <c r="BB70" s="84">
        <v>1176.2</v>
      </c>
      <c r="BC70" s="84">
        <v>1799.7</v>
      </c>
      <c r="BD70" s="86">
        <v>573.4</v>
      </c>
      <c r="BE70" s="84">
        <v>4978.5</v>
      </c>
      <c r="BF70" s="84">
        <v>647.01099999999997</v>
      </c>
      <c r="BG70" s="87">
        <v>802.97230000000002</v>
      </c>
      <c r="BH70" s="88">
        <v>580.40718000000004</v>
      </c>
      <c r="BI70" s="56">
        <v>547.61604</v>
      </c>
      <c r="BJ70" s="56">
        <v>2578.0065199999999</v>
      </c>
      <c r="BK70" s="56">
        <f>IF(708.0461="","-",708.0461)</f>
        <v>708.04610000000002</v>
      </c>
      <c r="BL70" s="56">
        <f>IF(519.85="","-",519.85)</f>
        <v>519.85</v>
      </c>
      <c r="BM70" s="56">
        <f>IF(286.02084="","-",286.02084)</f>
        <v>286.02084000000002</v>
      </c>
      <c r="BN70" s="56">
        <f>IF(296.71686="","-",296.71686)</f>
        <v>296.71686</v>
      </c>
      <c r="BO70" s="56">
        <f>IF(1810.6338="","-",1810.6338)</f>
        <v>1810.6338000000001</v>
      </c>
      <c r="BP70" s="56">
        <v>176.91498999999999</v>
      </c>
      <c r="BQ70" s="46">
        <v>307.35725000000002</v>
      </c>
      <c r="BR70" s="46">
        <v>318.66750000000002</v>
      </c>
      <c r="BS70" s="56">
        <v>290.80941999999999</v>
      </c>
      <c r="BT70" s="56">
        <v>1093.7491600000001</v>
      </c>
      <c r="BU70" s="56">
        <v>79.370009999999994</v>
      </c>
      <c r="BV70" s="56">
        <v>44.4983</v>
      </c>
      <c r="BW70" s="56">
        <v>76.741100000000003</v>
      </c>
      <c r="BX70" s="56">
        <v>81.007900000000006</v>
      </c>
      <c r="BY70" s="56">
        <v>281.61730999999997</v>
      </c>
      <c r="BZ70" s="56">
        <v>98.064070000000001</v>
      </c>
      <c r="CA70" s="56">
        <v>88.432929999999999</v>
      </c>
      <c r="CB70" s="56">
        <v>175.29159000000001</v>
      </c>
      <c r="CC70" s="56">
        <v>79.49709</v>
      </c>
      <c r="CD70" s="56">
        <v>441.28568000000001</v>
      </c>
      <c r="CE70" s="56">
        <v>131.85495</v>
      </c>
      <c r="CF70" s="56">
        <v>109.34817</v>
      </c>
      <c r="CG70" s="56">
        <v>64.98169</v>
      </c>
      <c r="CH70" s="56">
        <v>123.80188</v>
      </c>
      <c r="CI70" s="56">
        <v>429.98669000000001</v>
      </c>
      <c r="CJ70" s="56">
        <v>61.971040000000002</v>
      </c>
      <c r="CK70" s="56">
        <v>216.12383</v>
      </c>
      <c r="CL70" s="56">
        <v>87.790750000000003</v>
      </c>
      <c r="CM70" s="56">
        <v>145.09795</v>
      </c>
      <c r="CN70" s="56">
        <v>510.98356999999999</v>
      </c>
      <c r="CO70" s="56">
        <v>147.76999000000001</v>
      </c>
      <c r="CP70" s="56">
        <v>144.49492000000001</v>
      </c>
      <c r="CQ70" s="56">
        <v>137.12705</v>
      </c>
      <c r="CR70" s="56">
        <v>303.29104999999998</v>
      </c>
      <c r="CS70" s="56">
        <v>732.68300999999997</v>
      </c>
      <c r="CT70" s="66" t="s">
        <v>50</v>
      </c>
      <c r="CU70" s="60" t="s">
        <v>185</v>
      </c>
    </row>
    <row r="71" spans="1:99" s="9" customFormat="1" ht="31.5">
      <c r="A71" s="66" t="s">
        <v>51</v>
      </c>
      <c r="B71" s="60" t="s">
        <v>186</v>
      </c>
      <c r="C71" s="81">
        <v>24.2</v>
      </c>
      <c r="D71" s="81">
        <v>8.6999999999999993</v>
      </c>
      <c r="E71" s="81">
        <v>0.5</v>
      </c>
      <c r="F71" s="81">
        <v>2</v>
      </c>
      <c r="G71" s="82">
        <f t="shared" si="8"/>
        <v>35.4</v>
      </c>
      <c r="H71" s="81">
        <v>23.8</v>
      </c>
      <c r="I71" s="81">
        <v>16.8</v>
      </c>
      <c r="J71" s="81">
        <v>9.6</v>
      </c>
      <c r="K71" s="81">
        <v>7.4</v>
      </c>
      <c r="L71" s="82">
        <f t="shared" si="4"/>
        <v>57.6</v>
      </c>
      <c r="M71" s="81">
        <v>17.3</v>
      </c>
      <c r="N71" s="81">
        <v>10.9</v>
      </c>
      <c r="O71" s="81">
        <v>29.2</v>
      </c>
      <c r="P71" s="81">
        <v>14.2</v>
      </c>
      <c r="Q71" s="82">
        <f t="shared" si="5"/>
        <v>71.600000000000009</v>
      </c>
      <c r="R71" s="81">
        <v>4</v>
      </c>
      <c r="S71" s="81">
        <v>21.5</v>
      </c>
      <c r="T71" s="81">
        <v>33</v>
      </c>
      <c r="U71" s="81">
        <v>56.4</v>
      </c>
      <c r="V71" s="83">
        <f t="shared" ref="V71:V121" si="9">SUM(R71:U71)</f>
        <v>114.9</v>
      </c>
      <c r="W71" s="81">
        <v>22</v>
      </c>
      <c r="X71" s="81">
        <v>31</v>
      </c>
      <c r="Y71" s="81">
        <v>7.5</v>
      </c>
      <c r="Z71" s="81">
        <v>0.8</v>
      </c>
      <c r="AA71" s="83">
        <f t="shared" si="7"/>
        <v>61.3</v>
      </c>
      <c r="AB71" s="81">
        <v>1.6</v>
      </c>
      <c r="AC71" s="81">
        <v>9</v>
      </c>
      <c r="AD71" s="81">
        <v>14</v>
      </c>
      <c r="AE71" s="81">
        <v>14.8</v>
      </c>
      <c r="AF71" s="81">
        <v>39.4</v>
      </c>
      <c r="AG71" s="84">
        <v>26.6</v>
      </c>
      <c r="AH71" s="84">
        <v>23.7</v>
      </c>
      <c r="AI71" s="84">
        <v>56.9</v>
      </c>
      <c r="AJ71" s="84">
        <v>46.8</v>
      </c>
      <c r="AK71" s="83">
        <f t="shared" ref="AK71:AK121" si="10">SUM(AG71:AJ71)</f>
        <v>154</v>
      </c>
      <c r="AL71" s="83">
        <v>45.1</v>
      </c>
      <c r="AM71" s="83">
        <v>40.700000000000003</v>
      </c>
      <c r="AN71" s="83">
        <v>99.8</v>
      </c>
      <c r="AO71" s="83">
        <v>47.7</v>
      </c>
      <c r="AP71" s="83">
        <v>233.3</v>
      </c>
      <c r="AQ71" s="84">
        <v>85.8</v>
      </c>
      <c r="AR71" s="84">
        <v>27.5</v>
      </c>
      <c r="AS71" s="84">
        <v>22</v>
      </c>
      <c r="AT71" s="84" t="s">
        <v>117</v>
      </c>
      <c r="AU71" s="84">
        <v>135.30000000000001</v>
      </c>
      <c r="AV71" s="84">
        <v>2.4</v>
      </c>
      <c r="AW71" s="84" t="s">
        <v>117</v>
      </c>
      <c r="AX71" s="84">
        <v>3.4</v>
      </c>
      <c r="AY71" s="84" t="s">
        <v>117</v>
      </c>
      <c r="AZ71" s="84">
        <v>5.8</v>
      </c>
      <c r="BA71" s="84">
        <v>5.8</v>
      </c>
      <c r="BB71" s="84" t="s">
        <v>117</v>
      </c>
      <c r="BC71" s="84">
        <v>4.9000000000000004</v>
      </c>
      <c r="BD71" s="86">
        <v>37.700000000000003</v>
      </c>
      <c r="BE71" s="84">
        <v>48.4</v>
      </c>
      <c r="BF71" s="84">
        <v>0.38503999999999999</v>
      </c>
      <c r="BG71" s="84">
        <v>4.7219999999999998E-2</v>
      </c>
      <c r="BH71" s="84" t="s">
        <v>117</v>
      </c>
      <c r="BI71" s="56">
        <v>0.58462000000000003</v>
      </c>
      <c r="BJ71" s="56">
        <v>1.01688</v>
      </c>
      <c r="BK71" s="56">
        <f>IF(1.60546="","-",1.60546)</f>
        <v>1.6054600000000001</v>
      </c>
      <c r="BL71" s="56">
        <f>IF(1.73335="","-",1.73335)</f>
        <v>1.7333499999999999</v>
      </c>
      <c r="BM71" s="56">
        <f>IF(0.44976="","-",0.44976)</f>
        <v>0.44975999999999999</v>
      </c>
      <c r="BN71" s="56">
        <f>IF(0.48536="","-",0.48536)</f>
        <v>0.48536000000000001</v>
      </c>
      <c r="BO71" s="56">
        <f>IF(4.27393="","-",4.27393)</f>
        <v>4.27393</v>
      </c>
      <c r="BP71" s="56">
        <v>0.34608</v>
      </c>
      <c r="BQ71" s="46" t="s">
        <v>117</v>
      </c>
      <c r="BR71" s="46" t="s">
        <v>117</v>
      </c>
      <c r="BS71" s="56">
        <v>2.5129000000000001</v>
      </c>
      <c r="BT71" s="56">
        <v>2.8589799999999999</v>
      </c>
      <c r="BU71" s="56" t="s">
        <v>117</v>
      </c>
      <c r="BV71" s="56" t="s">
        <v>117</v>
      </c>
      <c r="BW71" s="56" t="s">
        <v>117</v>
      </c>
      <c r="BX71" s="56">
        <v>0.66593000000000002</v>
      </c>
      <c r="BY71" s="56">
        <v>0.66593000000000002</v>
      </c>
      <c r="BZ71" s="56">
        <v>4.0094399999999997</v>
      </c>
      <c r="CA71" s="56" t="s">
        <v>117</v>
      </c>
      <c r="CB71" s="56">
        <v>59.46405</v>
      </c>
      <c r="CC71" s="56">
        <v>106.31645</v>
      </c>
      <c r="CD71" s="56">
        <v>169.78994</v>
      </c>
      <c r="CE71" s="56">
        <v>0.14921999999999999</v>
      </c>
      <c r="CF71" s="56">
        <v>9.1504799999999999</v>
      </c>
      <c r="CG71" s="56">
        <v>4.9636500000000003</v>
      </c>
      <c r="CH71" s="56">
        <v>3.05681</v>
      </c>
      <c r="CI71" s="56">
        <v>17.320160000000001</v>
      </c>
      <c r="CJ71" s="56">
        <v>17.35549</v>
      </c>
      <c r="CK71" s="56">
        <v>12.055910000000001</v>
      </c>
      <c r="CL71" s="56">
        <v>15.477040000000001</v>
      </c>
      <c r="CM71" s="56">
        <v>8.4362300000000001</v>
      </c>
      <c r="CN71" s="56">
        <v>53.324669999999998</v>
      </c>
      <c r="CO71" s="56">
        <v>13.81259</v>
      </c>
      <c r="CP71" s="56">
        <v>6.4624100000000002</v>
      </c>
      <c r="CQ71" s="56">
        <v>1.71885</v>
      </c>
      <c r="CR71" s="56">
        <v>18.026409999999998</v>
      </c>
      <c r="CS71" s="56">
        <v>40.02026</v>
      </c>
      <c r="CT71" s="66" t="s">
        <v>51</v>
      </c>
      <c r="CU71" s="60" t="s">
        <v>186</v>
      </c>
    </row>
    <row r="72" spans="1:99" s="9" customFormat="1" ht="16.5" customHeight="1">
      <c r="A72" s="66" t="s">
        <v>52</v>
      </c>
      <c r="B72" s="60" t="s">
        <v>245</v>
      </c>
      <c r="C72" s="81">
        <v>156.9</v>
      </c>
      <c r="D72" s="81">
        <v>188.4</v>
      </c>
      <c r="E72" s="81">
        <v>96.8</v>
      </c>
      <c r="F72" s="81">
        <v>97</v>
      </c>
      <c r="G72" s="82">
        <f t="shared" si="8"/>
        <v>539.1</v>
      </c>
      <c r="H72" s="81">
        <v>210.5</v>
      </c>
      <c r="I72" s="81">
        <v>69.599999999999994</v>
      </c>
      <c r="J72" s="81">
        <v>140</v>
      </c>
      <c r="K72" s="81">
        <v>196.8</v>
      </c>
      <c r="L72" s="82">
        <f t="shared" si="4"/>
        <v>616.90000000000009</v>
      </c>
      <c r="M72" s="81">
        <v>362.5</v>
      </c>
      <c r="N72" s="81">
        <v>341.3</v>
      </c>
      <c r="O72" s="81">
        <v>240.8</v>
      </c>
      <c r="P72" s="81">
        <v>337.6</v>
      </c>
      <c r="Q72" s="82">
        <f t="shared" si="5"/>
        <v>1282.1999999999998</v>
      </c>
      <c r="R72" s="81">
        <v>371.3</v>
      </c>
      <c r="S72" s="81">
        <v>475.7</v>
      </c>
      <c r="T72" s="81">
        <v>383.5</v>
      </c>
      <c r="U72" s="81">
        <v>194.1</v>
      </c>
      <c r="V72" s="83">
        <f t="shared" si="9"/>
        <v>1424.6</v>
      </c>
      <c r="W72" s="81">
        <v>333</v>
      </c>
      <c r="X72" s="81">
        <v>146.69999999999999</v>
      </c>
      <c r="Y72" s="81">
        <v>267.5</v>
      </c>
      <c r="Z72" s="81">
        <v>191.4</v>
      </c>
      <c r="AA72" s="83">
        <f t="shared" si="7"/>
        <v>938.6</v>
      </c>
      <c r="AB72" s="81">
        <v>153.1</v>
      </c>
      <c r="AC72" s="81">
        <v>64.599999999999994</v>
      </c>
      <c r="AD72" s="81">
        <v>362.2</v>
      </c>
      <c r="AE72" s="81">
        <v>232.8</v>
      </c>
      <c r="AF72" s="81">
        <v>812.7</v>
      </c>
      <c r="AG72" s="84">
        <v>606</v>
      </c>
      <c r="AH72" s="84">
        <v>1290.9000000000001</v>
      </c>
      <c r="AI72" s="84">
        <v>1097.3</v>
      </c>
      <c r="AJ72" s="84">
        <v>2001.2</v>
      </c>
      <c r="AK72" s="83">
        <f t="shared" si="10"/>
        <v>4995.3999999999996</v>
      </c>
      <c r="AL72" s="83">
        <v>1644.8</v>
      </c>
      <c r="AM72" s="83">
        <v>592.6</v>
      </c>
      <c r="AN72" s="83">
        <v>662.7</v>
      </c>
      <c r="AO72" s="83">
        <v>901.6</v>
      </c>
      <c r="AP72" s="83">
        <v>3801.7</v>
      </c>
      <c r="AQ72" s="84">
        <v>1204.9000000000001</v>
      </c>
      <c r="AR72" s="84">
        <v>543.6</v>
      </c>
      <c r="AS72" s="84">
        <v>967</v>
      </c>
      <c r="AT72" s="84">
        <v>1505.4</v>
      </c>
      <c r="AU72" s="84">
        <v>4220.8999999999996</v>
      </c>
      <c r="AV72" s="84">
        <v>848.2</v>
      </c>
      <c r="AW72" s="84">
        <v>1114.8</v>
      </c>
      <c r="AX72" s="84">
        <v>558.29999999999995</v>
      </c>
      <c r="AY72" s="85">
        <v>894</v>
      </c>
      <c r="AZ72" s="84">
        <v>3415.3</v>
      </c>
      <c r="BA72" s="84">
        <v>492.5</v>
      </c>
      <c r="BB72" s="84">
        <v>516.4</v>
      </c>
      <c r="BC72" s="84">
        <v>767.8</v>
      </c>
      <c r="BD72" s="86">
        <v>1573.9</v>
      </c>
      <c r="BE72" s="84">
        <v>3350.6</v>
      </c>
      <c r="BF72" s="84">
        <v>825.65513999999996</v>
      </c>
      <c r="BG72" s="87">
        <v>830.32236999999998</v>
      </c>
      <c r="BH72" s="88">
        <v>1496.3781899999999</v>
      </c>
      <c r="BI72" s="56">
        <v>1602.3351600000001</v>
      </c>
      <c r="BJ72" s="56">
        <v>4754.6908599999997</v>
      </c>
      <c r="BK72" s="56">
        <f>IF(1825.0869="","-",1825.0869)</f>
        <v>1825.0869</v>
      </c>
      <c r="BL72" s="56">
        <f>IF(1751.60397="","-",1751.60397)</f>
        <v>1751.6039699999999</v>
      </c>
      <c r="BM72" s="56">
        <f>IF(1292.87925="","-",1292.87925)</f>
        <v>1292.87925</v>
      </c>
      <c r="BN72" s="56">
        <f>IF(1187.96826="","-",1187.96826)</f>
        <v>1187.9682600000001</v>
      </c>
      <c r="BO72" s="56">
        <f>IF(6057.53838="","-",6057.53838)</f>
        <v>6057.53838</v>
      </c>
      <c r="BP72" s="56">
        <v>1881.27287</v>
      </c>
      <c r="BQ72" s="46">
        <v>1573.02811</v>
      </c>
      <c r="BR72" s="46">
        <v>1490.4838099999999</v>
      </c>
      <c r="BS72" s="56">
        <v>2039.91011</v>
      </c>
      <c r="BT72" s="56">
        <v>6984.6949000000004</v>
      </c>
      <c r="BU72" s="56">
        <v>2455.74215</v>
      </c>
      <c r="BV72" s="56">
        <v>2575.5719300000001</v>
      </c>
      <c r="BW72" s="56">
        <v>2219.1401599999999</v>
      </c>
      <c r="BX72" s="56">
        <v>2162.0314899999998</v>
      </c>
      <c r="BY72" s="56">
        <v>9412.4857300000003</v>
      </c>
      <c r="BZ72" s="56">
        <v>2029.09447</v>
      </c>
      <c r="CA72" s="56">
        <v>439.39661999999998</v>
      </c>
      <c r="CB72" s="56">
        <v>1792.6746599999999</v>
      </c>
      <c r="CC72" s="56">
        <v>1416.7606000000001</v>
      </c>
      <c r="CD72" s="56">
        <v>5677.9263499999997</v>
      </c>
      <c r="CE72" s="56">
        <v>1311.2180800000001</v>
      </c>
      <c r="CF72" s="56">
        <v>1861.5798600000001</v>
      </c>
      <c r="CG72" s="56">
        <v>1568.9114</v>
      </c>
      <c r="CH72" s="56">
        <v>1293.55342</v>
      </c>
      <c r="CI72" s="56">
        <v>6035.2627599999996</v>
      </c>
      <c r="CJ72" s="56">
        <v>1398.76377</v>
      </c>
      <c r="CK72" s="56">
        <v>1059.8906400000001</v>
      </c>
      <c r="CL72" s="56">
        <v>1329.4602500000001</v>
      </c>
      <c r="CM72" s="56">
        <v>1318.01324</v>
      </c>
      <c r="CN72" s="56">
        <v>5106.1279000000004</v>
      </c>
      <c r="CO72" s="56">
        <v>1692.7714100000001</v>
      </c>
      <c r="CP72" s="56">
        <v>1391.6991599999999</v>
      </c>
      <c r="CQ72" s="56">
        <v>866.27856999999995</v>
      </c>
      <c r="CR72" s="56">
        <v>927.04903999999999</v>
      </c>
      <c r="CS72" s="56">
        <v>4877.7981799999998</v>
      </c>
      <c r="CT72" s="66" t="s">
        <v>52</v>
      </c>
      <c r="CU72" s="60" t="s">
        <v>245</v>
      </c>
    </row>
    <row r="73" spans="1:99" s="9" customFormat="1" ht="15.75">
      <c r="A73" s="66" t="s">
        <v>53</v>
      </c>
      <c r="B73" s="60" t="s">
        <v>187</v>
      </c>
      <c r="C73" s="81">
        <v>133.19999999999999</v>
      </c>
      <c r="D73" s="81">
        <v>512.4</v>
      </c>
      <c r="E73" s="81">
        <v>1432.7</v>
      </c>
      <c r="F73" s="81">
        <v>2542.3000000000002</v>
      </c>
      <c r="G73" s="82">
        <f t="shared" si="8"/>
        <v>4620.6000000000004</v>
      </c>
      <c r="H73" s="81">
        <v>625.79999999999995</v>
      </c>
      <c r="I73" s="81">
        <v>494.2</v>
      </c>
      <c r="J73" s="81">
        <v>475.3</v>
      </c>
      <c r="K73" s="81">
        <v>437.8</v>
      </c>
      <c r="L73" s="82">
        <f t="shared" si="4"/>
        <v>2033.1</v>
      </c>
      <c r="M73" s="81">
        <v>471.3</v>
      </c>
      <c r="N73" s="81">
        <v>521.4</v>
      </c>
      <c r="O73" s="81">
        <v>402.9</v>
      </c>
      <c r="P73" s="81">
        <v>664.5</v>
      </c>
      <c r="Q73" s="82">
        <f t="shared" si="5"/>
        <v>2060.1</v>
      </c>
      <c r="R73" s="81">
        <v>267.39999999999998</v>
      </c>
      <c r="S73" s="81">
        <v>671.4</v>
      </c>
      <c r="T73" s="81">
        <v>2174.4</v>
      </c>
      <c r="U73" s="81">
        <v>1467.3</v>
      </c>
      <c r="V73" s="83">
        <f t="shared" si="9"/>
        <v>4580.5</v>
      </c>
      <c r="W73" s="81">
        <v>73.2</v>
      </c>
      <c r="X73" s="81">
        <v>251.6</v>
      </c>
      <c r="Y73" s="81">
        <v>282.7</v>
      </c>
      <c r="Z73" s="81">
        <v>383.5</v>
      </c>
      <c r="AA73" s="83">
        <f t="shared" si="7"/>
        <v>991</v>
      </c>
      <c r="AB73" s="81">
        <v>155.1</v>
      </c>
      <c r="AC73" s="81">
        <v>223.5</v>
      </c>
      <c r="AD73" s="81">
        <v>446.2</v>
      </c>
      <c r="AE73" s="81">
        <v>1108.7</v>
      </c>
      <c r="AF73" s="81">
        <v>1933.5</v>
      </c>
      <c r="AG73" s="84">
        <v>873.1</v>
      </c>
      <c r="AH73" s="84">
        <v>1381</v>
      </c>
      <c r="AI73" s="84">
        <v>2366.6</v>
      </c>
      <c r="AJ73" s="84">
        <v>2211.1</v>
      </c>
      <c r="AK73" s="83">
        <f t="shared" si="10"/>
        <v>6831.7999999999993</v>
      </c>
      <c r="AL73" s="83">
        <v>2244.8000000000002</v>
      </c>
      <c r="AM73" s="83">
        <v>1786.4</v>
      </c>
      <c r="AN73" s="83">
        <v>2057.1999999999998</v>
      </c>
      <c r="AO73" s="83">
        <v>2775</v>
      </c>
      <c r="AP73" s="83">
        <v>8863.4</v>
      </c>
      <c r="AQ73" s="84">
        <v>1128</v>
      </c>
      <c r="AR73" s="84">
        <v>864.3</v>
      </c>
      <c r="AS73" s="84">
        <v>524.5</v>
      </c>
      <c r="AT73" s="84">
        <v>824.5</v>
      </c>
      <c r="AU73" s="84">
        <v>3341.3</v>
      </c>
      <c r="AV73" s="84">
        <v>355.6</v>
      </c>
      <c r="AW73" s="84">
        <v>199.3</v>
      </c>
      <c r="AX73" s="84">
        <v>326.8</v>
      </c>
      <c r="AY73" s="85">
        <v>384.5</v>
      </c>
      <c r="AZ73" s="84">
        <v>1266.2</v>
      </c>
      <c r="BA73" s="84">
        <v>372.7</v>
      </c>
      <c r="BB73" s="84">
        <v>567.20000000000005</v>
      </c>
      <c r="BC73" s="84">
        <v>328.8</v>
      </c>
      <c r="BD73" s="86">
        <v>455.4</v>
      </c>
      <c r="BE73" s="84">
        <v>1724.1</v>
      </c>
      <c r="BF73" s="84">
        <v>553.40787</v>
      </c>
      <c r="BG73" s="87">
        <v>1598.62401</v>
      </c>
      <c r="BH73" s="88">
        <v>1201.6864599999999</v>
      </c>
      <c r="BI73" s="56">
        <v>951.41001000000006</v>
      </c>
      <c r="BJ73" s="56">
        <v>4305.12835</v>
      </c>
      <c r="BK73" s="56">
        <f>IF(1022.83227="","-",1022.83227)</f>
        <v>1022.83227</v>
      </c>
      <c r="BL73" s="56">
        <f>IF(1011.02315="","-",1011.02315)</f>
        <v>1011.02315</v>
      </c>
      <c r="BM73" s="56">
        <f>IF(1082.63727="","-",1082.63727)</f>
        <v>1082.6372699999999</v>
      </c>
      <c r="BN73" s="56">
        <f>IF(655.96325="","-",655.96325)</f>
        <v>655.96325000000002</v>
      </c>
      <c r="BO73" s="56">
        <f>IF(3772.45594="","-",3772.45594)</f>
        <v>3772.4559399999998</v>
      </c>
      <c r="BP73" s="56">
        <v>505.69375000000002</v>
      </c>
      <c r="BQ73" s="46">
        <v>145.38452000000001</v>
      </c>
      <c r="BR73" s="46">
        <v>53.028269999999999</v>
      </c>
      <c r="BS73" s="56">
        <v>907.60371999999995</v>
      </c>
      <c r="BT73" s="56">
        <v>1611.7102600000001</v>
      </c>
      <c r="BU73" s="56">
        <v>675.28427999999997</v>
      </c>
      <c r="BV73" s="56">
        <v>157.49588</v>
      </c>
      <c r="BW73" s="56">
        <v>192.63839999999999</v>
      </c>
      <c r="BX73" s="56">
        <v>131.25894</v>
      </c>
      <c r="BY73" s="56">
        <v>1156.6775</v>
      </c>
      <c r="BZ73" s="56">
        <v>142.27816000000001</v>
      </c>
      <c r="CA73" s="56">
        <v>102.03028999999999</v>
      </c>
      <c r="CB73" s="56">
        <v>143.02440000000001</v>
      </c>
      <c r="CC73" s="56">
        <v>163.21333000000001</v>
      </c>
      <c r="CD73" s="56">
        <v>550.54618000000005</v>
      </c>
      <c r="CE73" s="56">
        <v>24.101389999999999</v>
      </c>
      <c r="CF73" s="56">
        <v>34.94021</v>
      </c>
      <c r="CG73" s="56">
        <v>35.618259999999999</v>
      </c>
      <c r="CH73" s="56">
        <v>95.412170000000003</v>
      </c>
      <c r="CI73" s="56">
        <v>190.07203000000001</v>
      </c>
      <c r="CJ73" s="56">
        <v>230.01713000000001</v>
      </c>
      <c r="CK73" s="56">
        <v>166.24802</v>
      </c>
      <c r="CL73" s="56">
        <v>102.2997</v>
      </c>
      <c r="CM73" s="56">
        <v>344.02193999999997</v>
      </c>
      <c r="CN73" s="56">
        <v>842.58678999999995</v>
      </c>
      <c r="CO73" s="56">
        <v>328.29021</v>
      </c>
      <c r="CP73" s="56">
        <v>217.02054000000001</v>
      </c>
      <c r="CQ73" s="56">
        <v>277.77195999999998</v>
      </c>
      <c r="CR73" s="56">
        <v>31.33961</v>
      </c>
      <c r="CS73" s="56">
        <v>854.42232000000001</v>
      </c>
      <c r="CT73" s="66" t="s">
        <v>53</v>
      </c>
      <c r="CU73" s="60" t="s">
        <v>187</v>
      </c>
    </row>
    <row r="74" spans="1:99" s="9" customFormat="1" ht="31.5">
      <c r="A74" s="66" t="s">
        <v>54</v>
      </c>
      <c r="B74" s="60" t="s">
        <v>246</v>
      </c>
      <c r="C74" s="81">
        <v>154.5</v>
      </c>
      <c r="D74" s="81">
        <v>51.6</v>
      </c>
      <c r="E74" s="81">
        <v>87.7</v>
      </c>
      <c r="F74" s="81">
        <v>98.5</v>
      </c>
      <c r="G74" s="82">
        <f t="shared" si="8"/>
        <v>392.3</v>
      </c>
      <c r="H74" s="81">
        <v>315</v>
      </c>
      <c r="I74" s="81">
        <v>167.1</v>
      </c>
      <c r="J74" s="81">
        <v>27.1</v>
      </c>
      <c r="K74" s="81">
        <v>139.80000000000001</v>
      </c>
      <c r="L74" s="82">
        <f t="shared" ref="L74:L121" si="11">SUM(H74:K74)</f>
        <v>649</v>
      </c>
      <c r="M74" s="81">
        <v>145.19999999999999</v>
      </c>
      <c r="N74" s="81">
        <v>78.3</v>
      </c>
      <c r="O74" s="81">
        <v>40.700000000000003</v>
      </c>
      <c r="P74" s="81">
        <v>23.7</v>
      </c>
      <c r="Q74" s="82">
        <f t="shared" ref="Q74:Q120" si="12">SUM(M74:P74)</f>
        <v>287.89999999999998</v>
      </c>
      <c r="R74" s="81">
        <v>49.3</v>
      </c>
      <c r="S74" s="81">
        <v>94.6</v>
      </c>
      <c r="T74" s="81">
        <v>149.6</v>
      </c>
      <c r="U74" s="81">
        <v>33.200000000000003</v>
      </c>
      <c r="V74" s="83">
        <f t="shared" si="9"/>
        <v>326.7</v>
      </c>
      <c r="W74" s="81">
        <v>36</v>
      </c>
      <c r="X74" s="81">
        <v>39.1</v>
      </c>
      <c r="Y74" s="81">
        <v>69.5</v>
      </c>
      <c r="Z74" s="81">
        <v>51.9</v>
      </c>
      <c r="AA74" s="83">
        <f t="shared" si="7"/>
        <v>196.5</v>
      </c>
      <c r="AB74" s="81">
        <v>34.9</v>
      </c>
      <c r="AC74" s="81">
        <v>4.5</v>
      </c>
      <c r="AD74" s="81">
        <v>52.7</v>
      </c>
      <c r="AE74" s="81">
        <v>103.1</v>
      </c>
      <c r="AF74" s="81">
        <v>195.2</v>
      </c>
      <c r="AG74" s="84">
        <v>337.4</v>
      </c>
      <c r="AH74" s="84">
        <v>596.5</v>
      </c>
      <c r="AI74" s="84">
        <v>1150.0999999999999</v>
      </c>
      <c r="AJ74" s="84">
        <v>1109.3</v>
      </c>
      <c r="AK74" s="83">
        <f t="shared" si="10"/>
        <v>3193.3</v>
      </c>
      <c r="AL74" s="83">
        <v>906.6</v>
      </c>
      <c r="AM74" s="83">
        <v>1613.4</v>
      </c>
      <c r="AN74" s="83">
        <v>954.5</v>
      </c>
      <c r="AO74" s="83">
        <v>487.4</v>
      </c>
      <c r="AP74" s="83">
        <v>3961.9</v>
      </c>
      <c r="AQ74" s="84">
        <v>773.9</v>
      </c>
      <c r="AR74" s="84">
        <v>445</v>
      </c>
      <c r="AS74" s="84">
        <v>104</v>
      </c>
      <c r="AT74" s="84">
        <v>157.69999999999999</v>
      </c>
      <c r="AU74" s="84">
        <v>1480.6</v>
      </c>
      <c r="AV74" s="84">
        <v>90.9</v>
      </c>
      <c r="AW74" s="84">
        <v>213.6</v>
      </c>
      <c r="AX74" s="84">
        <v>61.3</v>
      </c>
      <c r="AY74" s="85">
        <v>110.6</v>
      </c>
      <c r="AZ74" s="84">
        <v>476.4</v>
      </c>
      <c r="BA74" s="84">
        <v>57.5</v>
      </c>
      <c r="BB74" s="84">
        <v>26</v>
      </c>
      <c r="BC74" s="84">
        <v>260.60000000000002</v>
      </c>
      <c r="BD74" s="86">
        <v>497.8</v>
      </c>
      <c r="BE74" s="84">
        <v>841.9</v>
      </c>
      <c r="BF74" s="84">
        <v>89.754540000000006</v>
      </c>
      <c r="BG74" s="87">
        <v>89.04616</v>
      </c>
      <c r="BH74" s="88">
        <v>145.94281000000001</v>
      </c>
      <c r="BI74" s="56">
        <v>163.18516</v>
      </c>
      <c r="BJ74" s="56">
        <v>487.92867000000001</v>
      </c>
      <c r="BK74" s="56">
        <f>IF(150.12503="","-",150.12503)</f>
        <v>150.12503000000001</v>
      </c>
      <c r="BL74" s="56">
        <f>IF(188.17149="","-",188.17149)</f>
        <v>188.17149000000001</v>
      </c>
      <c r="BM74" s="56">
        <f>IF(85.89334="","-",85.89334)</f>
        <v>85.893339999999995</v>
      </c>
      <c r="BN74" s="56">
        <f>IF(130.28319="","-",130.28319)</f>
        <v>130.28318999999999</v>
      </c>
      <c r="BO74" s="56">
        <f>IF(554.47305="","-",554.47305)</f>
        <v>554.47304999999994</v>
      </c>
      <c r="BP74" s="56">
        <v>93.634370000000004</v>
      </c>
      <c r="BQ74" s="46">
        <v>123.32731</v>
      </c>
      <c r="BR74" s="46">
        <v>66.172070000000005</v>
      </c>
      <c r="BS74" s="56">
        <v>53.778170000000003</v>
      </c>
      <c r="BT74" s="56">
        <v>336.91192000000001</v>
      </c>
      <c r="BU74" s="56">
        <v>93.293559999999999</v>
      </c>
      <c r="BV74" s="56">
        <v>30.446300000000001</v>
      </c>
      <c r="BW74" s="56">
        <v>48.052900000000001</v>
      </c>
      <c r="BX74" s="56">
        <v>57.029000000000003</v>
      </c>
      <c r="BY74" s="56">
        <v>228.82176000000001</v>
      </c>
      <c r="BZ74" s="56">
        <v>67.376519999999999</v>
      </c>
      <c r="CA74" s="56">
        <v>809.35002999999995</v>
      </c>
      <c r="CB74" s="56">
        <v>572.96663999999998</v>
      </c>
      <c r="CC74" s="56">
        <v>768.99570000000006</v>
      </c>
      <c r="CD74" s="56">
        <v>2218.6888899999999</v>
      </c>
      <c r="CE74" s="56">
        <v>397.57459</v>
      </c>
      <c r="CF74" s="56">
        <v>151.72122999999999</v>
      </c>
      <c r="CG74" s="56">
        <v>114.68064</v>
      </c>
      <c r="CH74" s="56">
        <v>341.15712000000002</v>
      </c>
      <c r="CI74" s="56">
        <v>1005.1335800000001</v>
      </c>
      <c r="CJ74" s="56">
        <v>604.05425000000002</v>
      </c>
      <c r="CK74" s="56">
        <v>143.50287</v>
      </c>
      <c r="CL74" s="56">
        <v>286.29964999999999</v>
      </c>
      <c r="CM74" s="56">
        <v>440.92756000000003</v>
      </c>
      <c r="CN74" s="56">
        <v>1474.78433</v>
      </c>
      <c r="CO74" s="56">
        <v>184.2243</v>
      </c>
      <c r="CP74" s="56">
        <v>104.50497</v>
      </c>
      <c r="CQ74" s="56">
        <v>326.99937</v>
      </c>
      <c r="CR74" s="56">
        <v>561.33565999999996</v>
      </c>
      <c r="CS74" s="56">
        <v>1177.0643</v>
      </c>
      <c r="CT74" s="66" t="s">
        <v>54</v>
      </c>
      <c r="CU74" s="60" t="s">
        <v>246</v>
      </c>
    </row>
    <row r="75" spans="1:99" s="9" customFormat="1" ht="15.75">
      <c r="A75" s="66" t="s">
        <v>55</v>
      </c>
      <c r="B75" s="60" t="s">
        <v>188</v>
      </c>
      <c r="C75" s="81">
        <v>3227.4</v>
      </c>
      <c r="D75" s="81">
        <v>2728.2</v>
      </c>
      <c r="E75" s="81">
        <v>3205.1</v>
      </c>
      <c r="F75" s="81">
        <v>3913.4</v>
      </c>
      <c r="G75" s="82">
        <f t="shared" si="8"/>
        <v>13074.1</v>
      </c>
      <c r="H75" s="81">
        <v>4152</v>
      </c>
      <c r="I75" s="81">
        <v>4705.7</v>
      </c>
      <c r="J75" s="81">
        <v>4842.6000000000004</v>
      </c>
      <c r="K75" s="81">
        <v>6412.4</v>
      </c>
      <c r="L75" s="82">
        <f t="shared" si="11"/>
        <v>20112.7</v>
      </c>
      <c r="M75" s="81">
        <v>6983.6</v>
      </c>
      <c r="N75" s="81">
        <v>5887.1</v>
      </c>
      <c r="O75" s="81">
        <v>7041.9</v>
      </c>
      <c r="P75" s="81">
        <v>8544.9</v>
      </c>
      <c r="Q75" s="82">
        <f t="shared" si="12"/>
        <v>28457.5</v>
      </c>
      <c r="R75" s="81">
        <v>9712.9</v>
      </c>
      <c r="S75" s="81">
        <v>8378.4</v>
      </c>
      <c r="T75" s="81">
        <v>8419.1</v>
      </c>
      <c r="U75" s="81">
        <v>7595.9</v>
      </c>
      <c r="V75" s="83">
        <f t="shared" si="9"/>
        <v>34106.300000000003</v>
      </c>
      <c r="W75" s="81">
        <v>4663.8</v>
      </c>
      <c r="X75" s="81">
        <v>4253.6000000000004</v>
      </c>
      <c r="Y75" s="81">
        <v>5165.1000000000004</v>
      </c>
      <c r="Z75" s="81">
        <v>7295.9</v>
      </c>
      <c r="AA75" s="83">
        <f t="shared" si="7"/>
        <v>21378.400000000001</v>
      </c>
      <c r="AB75" s="81">
        <v>6135.8</v>
      </c>
      <c r="AC75" s="81">
        <v>4648.3</v>
      </c>
      <c r="AD75" s="81">
        <v>5964.3</v>
      </c>
      <c r="AE75" s="81">
        <v>7391.4</v>
      </c>
      <c r="AF75" s="81">
        <v>24139.8</v>
      </c>
      <c r="AG75" s="84">
        <v>6156.2</v>
      </c>
      <c r="AH75" s="84">
        <v>6318.1</v>
      </c>
      <c r="AI75" s="84">
        <v>7954.2</v>
      </c>
      <c r="AJ75" s="84">
        <v>8311.9</v>
      </c>
      <c r="AK75" s="83">
        <f t="shared" si="10"/>
        <v>28740.400000000001</v>
      </c>
      <c r="AL75" s="83">
        <v>7731.7</v>
      </c>
      <c r="AM75" s="83">
        <v>5924</v>
      </c>
      <c r="AN75" s="83">
        <v>7627.6</v>
      </c>
      <c r="AO75" s="83">
        <v>10487.2</v>
      </c>
      <c r="AP75" s="83">
        <v>31770.5</v>
      </c>
      <c r="AQ75" s="84">
        <v>7105.4</v>
      </c>
      <c r="AR75" s="84">
        <v>6725.3</v>
      </c>
      <c r="AS75" s="84">
        <v>8296.7000000000007</v>
      </c>
      <c r="AT75" s="84">
        <v>9638.2999999999993</v>
      </c>
      <c r="AU75" s="84">
        <v>31765.7</v>
      </c>
      <c r="AV75" s="84">
        <v>8096.9</v>
      </c>
      <c r="AW75" s="84">
        <v>5788.7</v>
      </c>
      <c r="AX75" s="84">
        <v>7566.1</v>
      </c>
      <c r="AY75" s="85">
        <v>7287</v>
      </c>
      <c r="AZ75" s="84">
        <v>28738.7</v>
      </c>
      <c r="BA75" s="84">
        <v>3533.3</v>
      </c>
      <c r="BB75" s="84">
        <v>4063.3</v>
      </c>
      <c r="BC75" s="84">
        <v>4456.8999999999996</v>
      </c>
      <c r="BD75" s="86">
        <v>3713</v>
      </c>
      <c r="BE75" s="84">
        <v>15766.5</v>
      </c>
      <c r="BF75" s="84">
        <v>2803.7121699999998</v>
      </c>
      <c r="BG75" s="87">
        <v>2803.1711700000001</v>
      </c>
      <c r="BH75" s="88">
        <v>3307.1145200000001</v>
      </c>
      <c r="BI75" s="56">
        <v>4475.2889299999997</v>
      </c>
      <c r="BJ75" s="56">
        <v>13389.28679</v>
      </c>
      <c r="BK75" s="56">
        <f>IF(3546.8478="","-",3546.8478)</f>
        <v>3546.8478</v>
      </c>
      <c r="BL75" s="56">
        <f>IF(3887.44488="","-",3887.44488)</f>
        <v>3887.44488</v>
      </c>
      <c r="BM75" s="56">
        <f>IF(3605.86127="","-",3605.86127)</f>
        <v>3605.8612699999999</v>
      </c>
      <c r="BN75" s="56">
        <f>IF(4918.48367="","-",4918.48367)</f>
        <v>4918.4836699999996</v>
      </c>
      <c r="BO75" s="56">
        <f>IF(15958.63762="","-",15958.63762)</f>
        <v>15958.63762</v>
      </c>
      <c r="BP75" s="56">
        <v>4131.9151700000002</v>
      </c>
      <c r="BQ75" s="46">
        <v>2709.9109899999999</v>
      </c>
      <c r="BR75" s="46">
        <v>3282.88418</v>
      </c>
      <c r="BS75" s="56">
        <v>3785.1768000000002</v>
      </c>
      <c r="BT75" s="56">
        <v>13909.887140000001</v>
      </c>
      <c r="BU75" s="56">
        <v>2837.6240400000002</v>
      </c>
      <c r="BV75" s="56">
        <v>3059.9065000000001</v>
      </c>
      <c r="BW75" s="56">
        <v>3282.3591999999999</v>
      </c>
      <c r="BX75" s="56">
        <v>3741.79898</v>
      </c>
      <c r="BY75" s="56">
        <v>12921.68872</v>
      </c>
      <c r="BZ75" s="56">
        <v>3588.8575900000001</v>
      </c>
      <c r="CA75" s="56">
        <v>2119.6437099999998</v>
      </c>
      <c r="CB75" s="56">
        <v>3852.6258499999999</v>
      </c>
      <c r="CC75" s="56">
        <v>5337.7449200000001</v>
      </c>
      <c r="CD75" s="56">
        <v>14898.872069999999</v>
      </c>
      <c r="CE75" s="56">
        <v>5541.1795199999997</v>
      </c>
      <c r="CF75" s="56">
        <v>5387.9821599999996</v>
      </c>
      <c r="CG75" s="56">
        <v>4049.0158499999998</v>
      </c>
      <c r="CH75" s="56">
        <v>4766.2481399999997</v>
      </c>
      <c r="CI75" s="56">
        <v>19744.425670000001</v>
      </c>
      <c r="CJ75" s="56">
        <v>3507.1648799999998</v>
      </c>
      <c r="CK75" s="56">
        <v>2463.2854699999998</v>
      </c>
      <c r="CL75" s="56">
        <v>3332.47919</v>
      </c>
      <c r="CM75" s="56">
        <v>3625.4648499999998</v>
      </c>
      <c r="CN75" s="56">
        <v>12928.394389999999</v>
      </c>
      <c r="CO75" s="56">
        <v>3612.56351</v>
      </c>
      <c r="CP75" s="56">
        <v>3632.8328799999999</v>
      </c>
      <c r="CQ75" s="56">
        <v>2591.59818</v>
      </c>
      <c r="CR75" s="56">
        <v>3978.7496500000002</v>
      </c>
      <c r="CS75" s="56">
        <v>13815.74422</v>
      </c>
      <c r="CT75" s="66" t="s">
        <v>55</v>
      </c>
      <c r="CU75" s="60" t="s">
        <v>188</v>
      </c>
    </row>
    <row r="76" spans="1:99" s="9" customFormat="1" ht="31.5">
      <c r="A76" s="66" t="s">
        <v>56</v>
      </c>
      <c r="B76" s="60" t="s">
        <v>189</v>
      </c>
      <c r="C76" s="81">
        <v>34</v>
      </c>
      <c r="D76" s="81">
        <v>70.2</v>
      </c>
      <c r="E76" s="81">
        <v>68.400000000000006</v>
      </c>
      <c r="F76" s="81">
        <v>36.799999999999997</v>
      </c>
      <c r="G76" s="82">
        <f t="shared" si="8"/>
        <v>209.40000000000003</v>
      </c>
      <c r="H76" s="81">
        <v>193.6</v>
      </c>
      <c r="I76" s="81">
        <v>32.700000000000003</v>
      </c>
      <c r="J76" s="81">
        <v>39.4</v>
      </c>
      <c r="K76" s="81">
        <v>203.1</v>
      </c>
      <c r="L76" s="82">
        <f t="shared" si="11"/>
        <v>468.79999999999995</v>
      </c>
      <c r="M76" s="81">
        <v>68.3</v>
      </c>
      <c r="N76" s="81">
        <v>67.400000000000006</v>
      </c>
      <c r="O76" s="81">
        <v>34</v>
      </c>
      <c r="P76" s="81">
        <v>139.30000000000001</v>
      </c>
      <c r="Q76" s="82">
        <f t="shared" si="12"/>
        <v>309</v>
      </c>
      <c r="R76" s="81">
        <v>79</v>
      </c>
      <c r="S76" s="81">
        <v>69.8</v>
      </c>
      <c r="T76" s="81">
        <v>91.3</v>
      </c>
      <c r="U76" s="81">
        <v>124.7</v>
      </c>
      <c r="V76" s="83">
        <f t="shared" si="9"/>
        <v>364.8</v>
      </c>
      <c r="W76" s="81">
        <v>108.5</v>
      </c>
      <c r="X76" s="81">
        <v>31.8</v>
      </c>
      <c r="Y76" s="81">
        <v>110.7</v>
      </c>
      <c r="Z76" s="81">
        <v>86.8</v>
      </c>
      <c r="AA76" s="83">
        <f t="shared" si="7"/>
        <v>337.8</v>
      </c>
      <c r="AB76" s="81">
        <v>112.8</v>
      </c>
      <c r="AC76" s="81">
        <v>46.2</v>
      </c>
      <c r="AD76" s="81">
        <v>67.8</v>
      </c>
      <c r="AE76" s="81">
        <v>153.80000000000001</v>
      </c>
      <c r="AF76" s="81">
        <v>380.6</v>
      </c>
      <c r="AG76" s="84">
        <v>288.2</v>
      </c>
      <c r="AH76" s="84">
        <v>374.6</v>
      </c>
      <c r="AI76" s="84">
        <v>393.9</v>
      </c>
      <c r="AJ76" s="84">
        <v>578.20000000000005</v>
      </c>
      <c r="AK76" s="83">
        <f t="shared" si="10"/>
        <v>1634.8999999999999</v>
      </c>
      <c r="AL76" s="83">
        <v>467.9</v>
      </c>
      <c r="AM76" s="83">
        <v>572.1</v>
      </c>
      <c r="AN76" s="83">
        <v>797.2</v>
      </c>
      <c r="AO76" s="83">
        <v>791.4</v>
      </c>
      <c r="AP76" s="83">
        <v>2628.6</v>
      </c>
      <c r="AQ76" s="84">
        <v>382.7</v>
      </c>
      <c r="AR76" s="84">
        <v>433.1</v>
      </c>
      <c r="AS76" s="84">
        <v>311.60000000000002</v>
      </c>
      <c r="AT76" s="84">
        <v>272.39999999999998</v>
      </c>
      <c r="AU76" s="84">
        <v>1399.8</v>
      </c>
      <c r="AV76" s="84">
        <v>115.4</v>
      </c>
      <c r="AW76" s="84">
        <v>148.69999999999999</v>
      </c>
      <c r="AX76" s="84">
        <v>112.5</v>
      </c>
      <c r="AY76" s="85">
        <v>142.9</v>
      </c>
      <c r="AZ76" s="84">
        <v>519.5</v>
      </c>
      <c r="BA76" s="84">
        <v>64.5</v>
      </c>
      <c r="BB76" s="84">
        <v>23.6</v>
      </c>
      <c r="BC76" s="84">
        <v>53.2</v>
      </c>
      <c r="BD76" s="86">
        <v>293.3</v>
      </c>
      <c r="BE76" s="84">
        <v>434.6</v>
      </c>
      <c r="BF76" s="84">
        <v>189.37349</v>
      </c>
      <c r="BG76" s="87">
        <v>197.03004999999999</v>
      </c>
      <c r="BH76" s="88">
        <v>194.10307</v>
      </c>
      <c r="BI76" s="56">
        <v>360.88179000000002</v>
      </c>
      <c r="BJ76" s="56">
        <v>941.38840000000005</v>
      </c>
      <c r="BK76" s="56">
        <f>IF(289.47703="","-",289.47703)</f>
        <v>289.47703000000001</v>
      </c>
      <c r="BL76" s="56">
        <f>IF(446.64269="","-",446.64269)</f>
        <v>446.64269000000002</v>
      </c>
      <c r="BM76" s="56">
        <f>IF(408.40409="","-",408.40409)</f>
        <v>408.40409</v>
      </c>
      <c r="BN76" s="56">
        <f>IF(351.44653="","-",351.44653)</f>
        <v>351.44653</v>
      </c>
      <c r="BO76" s="56">
        <f>IF(1495.97034="","-",1495.97034)</f>
        <v>1495.9703400000001</v>
      </c>
      <c r="BP76" s="56">
        <v>222.96302</v>
      </c>
      <c r="BQ76" s="46">
        <v>80.319400000000002</v>
      </c>
      <c r="BR76" s="46">
        <v>72.202510000000004</v>
      </c>
      <c r="BS76" s="56">
        <v>195.23796999999999</v>
      </c>
      <c r="BT76" s="56">
        <v>570.72289999999998</v>
      </c>
      <c r="BU76" s="56">
        <v>166.41909999999999</v>
      </c>
      <c r="BV76" s="56">
        <v>219.42680999999999</v>
      </c>
      <c r="BW76" s="56">
        <v>125.10187999999999</v>
      </c>
      <c r="BX76" s="56">
        <v>181.68235999999999</v>
      </c>
      <c r="BY76" s="56">
        <v>692.63014999999996</v>
      </c>
      <c r="BZ76" s="56">
        <v>114.37669</v>
      </c>
      <c r="CA76" s="56">
        <v>36.459989999999998</v>
      </c>
      <c r="CB76" s="56">
        <v>86.956230000000005</v>
      </c>
      <c r="CC76" s="56">
        <v>103.83132000000001</v>
      </c>
      <c r="CD76" s="56">
        <v>341.62423000000001</v>
      </c>
      <c r="CE76" s="56">
        <v>84.053150000000002</v>
      </c>
      <c r="CF76" s="56">
        <v>127.8626</v>
      </c>
      <c r="CG76" s="56">
        <v>104.16723</v>
      </c>
      <c r="CH76" s="56">
        <v>120.65215999999999</v>
      </c>
      <c r="CI76" s="56">
        <v>436.73514</v>
      </c>
      <c r="CJ76" s="56">
        <v>91.83381</v>
      </c>
      <c r="CK76" s="56">
        <v>117.42418000000001</v>
      </c>
      <c r="CL76" s="56">
        <v>124.95632000000001</v>
      </c>
      <c r="CM76" s="56">
        <v>180.44284999999999</v>
      </c>
      <c r="CN76" s="56">
        <v>514.65715999999998</v>
      </c>
      <c r="CO76" s="56">
        <v>264.60194000000001</v>
      </c>
      <c r="CP76" s="56">
        <v>266.30869000000001</v>
      </c>
      <c r="CQ76" s="56">
        <v>149.12606</v>
      </c>
      <c r="CR76" s="56">
        <v>223.07230000000001</v>
      </c>
      <c r="CS76" s="56">
        <v>903.10898999999995</v>
      </c>
      <c r="CT76" s="66" t="s">
        <v>56</v>
      </c>
      <c r="CU76" s="60" t="s">
        <v>189</v>
      </c>
    </row>
    <row r="77" spans="1:99" s="9" customFormat="1" ht="31.5">
      <c r="A77" s="66" t="s">
        <v>57</v>
      </c>
      <c r="B77" s="60" t="s">
        <v>190</v>
      </c>
      <c r="C77" s="81">
        <v>55.8</v>
      </c>
      <c r="D77" s="81">
        <v>91.1</v>
      </c>
      <c r="E77" s="81">
        <v>64.2</v>
      </c>
      <c r="F77" s="81">
        <v>377.6</v>
      </c>
      <c r="G77" s="82">
        <f t="shared" si="8"/>
        <v>588.70000000000005</v>
      </c>
      <c r="H77" s="81">
        <v>22.9</v>
      </c>
      <c r="I77" s="81">
        <v>37.299999999999997</v>
      </c>
      <c r="J77" s="81">
        <v>148.69999999999999</v>
      </c>
      <c r="K77" s="81">
        <v>119.5</v>
      </c>
      <c r="L77" s="82">
        <f t="shared" si="11"/>
        <v>328.4</v>
      </c>
      <c r="M77" s="81">
        <v>75.099999999999994</v>
      </c>
      <c r="N77" s="81">
        <v>144.5</v>
      </c>
      <c r="O77" s="81">
        <v>125.8</v>
      </c>
      <c r="P77" s="81">
        <v>160.5</v>
      </c>
      <c r="Q77" s="82">
        <f t="shared" si="12"/>
        <v>505.9</v>
      </c>
      <c r="R77" s="81">
        <v>48.5</v>
      </c>
      <c r="S77" s="81">
        <v>66.3</v>
      </c>
      <c r="T77" s="81">
        <v>73.7</v>
      </c>
      <c r="U77" s="81">
        <v>99.7</v>
      </c>
      <c r="V77" s="83">
        <f t="shared" si="9"/>
        <v>288.2</v>
      </c>
      <c r="W77" s="81">
        <v>113.8</v>
      </c>
      <c r="X77" s="81">
        <v>54.1</v>
      </c>
      <c r="Y77" s="81">
        <v>98.4</v>
      </c>
      <c r="Z77" s="81">
        <v>54.2</v>
      </c>
      <c r="AA77" s="83">
        <f t="shared" si="7"/>
        <v>320.5</v>
      </c>
      <c r="AB77" s="81">
        <v>7.3</v>
      </c>
      <c r="AC77" s="81">
        <v>37.4</v>
      </c>
      <c r="AD77" s="81">
        <v>40.6</v>
      </c>
      <c r="AE77" s="81">
        <v>30.3</v>
      </c>
      <c r="AF77" s="81">
        <v>115.6</v>
      </c>
      <c r="AG77" s="84">
        <v>136.80000000000001</v>
      </c>
      <c r="AH77" s="84">
        <v>220.2</v>
      </c>
      <c r="AI77" s="84">
        <v>186.5</v>
      </c>
      <c r="AJ77" s="84">
        <v>168.7</v>
      </c>
      <c r="AK77" s="83">
        <f t="shared" si="10"/>
        <v>712.2</v>
      </c>
      <c r="AL77" s="83">
        <v>132.5</v>
      </c>
      <c r="AM77" s="83">
        <v>246.7</v>
      </c>
      <c r="AN77" s="83">
        <v>199.9</v>
      </c>
      <c r="AO77" s="83">
        <v>258.5</v>
      </c>
      <c r="AP77" s="83">
        <v>837.6</v>
      </c>
      <c r="AQ77" s="84">
        <v>296.7</v>
      </c>
      <c r="AR77" s="84">
        <v>30.6</v>
      </c>
      <c r="AS77" s="84">
        <v>130.30000000000001</v>
      </c>
      <c r="AT77" s="84">
        <v>77.7</v>
      </c>
      <c r="AU77" s="84">
        <v>535.29999999999995</v>
      </c>
      <c r="AV77" s="84">
        <v>178.2</v>
      </c>
      <c r="AW77" s="84">
        <v>197</v>
      </c>
      <c r="AX77" s="84">
        <v>134</v>
      </c>
      <c r="AY77" s="85">
        <v>139.80000000000001</v>
      </c>
      <c r="AZ77" s="84">
        <v>649</v>
      </c>
      <c r="BA77" s="84">
        <v>88.1</v>
      </c>
      <c r="BB77" s="84">
        <v>15.3</v>
      </c>
      <c r="BC77" s="84">
        <v>45.2</v>
      </c>
      <c r="BD77" s="86">
        <v>212</v>
      </c>
      <c r="BE77" s="84">
        <v>360.6</v>
      </c>
      <c r="BF77" s="84">
        <v>262.05157000000003</v>
      </c>
      <c r="BG77" s="87">
        <v>420.53518000000003</v>
      </c>
      <c r="BH77" s="88">
        <v>630.81934999999999</v>
      </c>
      <c r="BI77" s="56">
        <v>653.08921999999995</v>
      </c>
      <c r="BJ77" s="56">
        <v>1966.49532</v>
      </c>
      <c r="BK77" s="56">
        <f>IF(676.21053="","-",676.21053)</f>
        <v>676.21052999999995</v>
      </c>
      <c r="BL77" s="56">
        <f>IF(788.86342="","-",788.86342)</f>
        <v>788.86342000000002</v>
      </c>
      <c r="BM77" s="56">
        <f>IF(337.00322="","-",337.00322)</f>
        <v>337.00322</v>
      </c>
      <c r="BN77" s="56">
        <f>IF(37.28386="","-",37.28386)</f>
        <v>37.283859999999997</v>
      </c>
      <c r="BO77" s="56">
        <f>IF(1839.36103="","-",1839.36103)</f>
        <v>1839.36103</v>
      </c>
      <c r="BP77" s="56">
        <v>93.129000000000005</v>
      </c>
      <c r="BQ77" s="46">
        <v>152.24706</v>
      </c>
      <c r="BR77" s="46">
        <v>60.713740000000001</v>
      </c>
      <c r="BS77" s="56">
        <v>71.328400000000002</v>
      </c>
      <c r="BT77" s="56">
        <v>377.41820000000001</v>
      </c>
      <c r="BU77" s="56">
        <v>79.488249999999994</v>
      </c>
      <c r="BV77" s="56">
        <v>140.19524999999999</v>
      </c>
      <c r="BW77" s="56">
        <v>86.468630000000005</v>
      </c>
      <c r="BX77" s="56">
        <v>158.49478999999999</v>
      </c>
      <c r="BY77" s="56">
        <v>464.64692000000002</v>
      </c>
      <c r="BZ77" s="56">
        <v>81.933639999999997</v>
      </c>
      <c r="CA77" s="56">
        <v>59.684370000000001</v>
      </c>
      <c r="CB77" s="56">
        <v>122.82209</v>
      </c>
      <c r="CC77" s="56">
        <v>114.89739</v>
      </c>
      <c r="CD77" s="56">
        <v>379.33749</v>
      </c>
      <c r="CE77" s="56">
        <v>79.383139999999997</v>
      </c>
      <c r="CF77" s="56">
        <v>60.665260000000004</v>
      </c>
      <c r="CG77" s="56">
        <v>44.627369999999999</v>
      </c>
      <c r="CH77" s="56">
        <v>572.66405999999995</v>
      </c>
      <c r="CI77" s="56">
        <v>757.33983000000001</v>
      </c>
      <c r="CJ77" s="56">
        <v>1401.1133299999999</v>
      </c>
      <c r="CK77" s="56">
        <v>1188.5687</v>
      </c>
      <c r="CL77" s="56">
        <v>519.27116999999998</v>
      </c>
      <c r="CM77" s="56">
        <v>719.38984000000005</v>
      </c>
      <c r="CN77" s="56">
        <v>3828.3430400000002</v>
      </c>
      <c r="CO77" s="56">
        <v>437.84735000000001</v>
      </c>
      <c r="CP77" s="56">
        <v>213.99859000000001</v>
      </c>
      <c r="CQ77" s="56">
        <v>360.53969000000001</v>
      </c>
      <c r="CR77" s="56">
        <v>274.22555999999997</v>
      </c>
      <c r="CS77" s="56">
        <v>1286.6111900000001</v>
      </c>
      <c r="CT77" s="66" t="s">
        <v>57</v>
      </c>
      <c r="CU77" s="60" t="s">
        <v>190</v>
      </c>
    </row>
    <row r="78" spans="1:99" s="9" customFormat="1" ht="15.75">
      <c r="A78" s="66" t="s">
        <v>58</v>
      </c>
      <c r="B78" s="60" t="s">
        <v>191</v>
      </c>
      <c r="C78" s="81">
        <v>324.3</v>
      </c>
      <c r="D78" s="81">
        <v>93.8</v>
      </c>
      <c r="E78" s="81">
        <v>205.1</v>
      </c>
      <c r="F78" s="81">
        <v>20.7</v>
      </c>
      <c r="G78" s="82">
        <f t="shared" si="8"/>
        <v>643.90000000000009</v>
      </c>
      <c r="H78" s="81">
        <v>47.6</v>
      </c>
      <c r="I78" s="81">
        <v>291.2</v>
      </c>
      <c r="J78" s="81">
        <v>108.2</v>
      </c>
      <c r="K78" s="81">
        <v>92.8</v>
      </c>
      <c r="L78" s="82">
        <f t="shared" si="11"/>
        <v>539.79999999999995</v>
      </c>
      <c r="M78" s="81">
        <v>133.69999999999999</v>
      </c>
      <c r="N78" s="81">
        <v>76.2</v>
      </c>
      <c r="O78" s="81">
        <v>34.700000000000003</v>
      </c>
      <c r="P78" s="81">
        <v>430.3</v>
      </c>
      <c r="Q78" s="82">
        <f t="shared" si="12"/>
        <v>674.9</v>
      </c>
      <c r="R78" s="81">
        <v>357.6</v>
      </c>
      <c r="S78" s="81">
        <v>467.1</v>
      </c>
      <c r="T78" s="81">
        <v>522.29999999999995</v>
      </c>
      <c r="U78" s="81">
        <v>594.1</v>
      </c>
      <c r="V78" s="83">
        <f t="shared" si="9"/>
        <v>1941.1</v>
      </c>
      <c r="W78" s="81">
        <v>274.3</v>
      </c>
      <c r="X78" s="81">
        <v>796</v>
      </c>
      <c r="Y78" s="81">
        <v>925.8</v>
      </c>
      <c r="Z78" s="81">
        <v>912.5</v>
      </c>
      <c r="AA78" s="83">
        <f t="shared" si="7"/>
        <v>2908.6</v>
      </c>
      <c r="AB78" s="81">
        <v>692.9</v>
      </c>
      <c r="AC78" s="81">
        <v>660</v>
      </c>
      <c r="AD78" s="81">
        <v>1318.1</v>
      </c>
      <c r="AE78" s="81">
        <v>1248.5999999999999</v>
      </c>
      <c r="AF78" s="81">
        <v>3919.6</v>
      </c>
      <c r="AG78" s="84">
        <v>1977</v>
      </c>
      <c r="AH78" s="84">
        <v>3284.7</v>
      </c>
      <c r="AI78" s="84">
        <v>4242.8999999999996</v>
      </c>
      <c r="AJ78" s="84">
        <v>6166.6</v>
      </c>
      <c r="AK78" s="83">
        <f t="shared" si="10"/>
        <v>15671.199999999999</v>
      </c>
      <c r="AL78" s="83">
        <v>5985.7</v>
      </c>
      <c r="AM78" s="83">
        <v>4808.8999999999996</v>
      </c>
      <c r="AN78" s="83">
        <v>5114.8999999999996</v>
      </c>
      <c r="AO78" s="83">
        <v>4714.1000000000004</v>
      </c>
      <c r="AP78" s="83">
        <v>20623.599999999999</v>
      </c>
      <c r="AQ78" s="84">
        <v>4333.8999999999996</v>
      </c>
      <c r="AR78" s="84">
        <v>3741.6</v>
      </c>
      <c r="AS78" s="84">
        <v>4779.8999999999996</v>
      </c>
      <c r="AT78" s="84">
        <v>3865.3</v>
      </c>
      <c r="AU78" s="84">
        <v>16720.7</v>
      </c>
      <c r="AV78" s="84">
        <v>3437.3</v>
      </c>
      <c r="AW78" s="84">
        <v>3444.4</v>
      </c>
      <c r="AX78" s="84">
        <v>3281.2</v>
      </c>
      <c r="AY78" s="85">
        <v>1777.6</v>
      </c>
      <c r="AZ78" s="84">
        <v>11940.5</v>
      </c>
      <c r="BA78" s="84">
        <v>1885.4</v>
      </c>
      <c r="BB78" s="84">
        <v>1262.5999999999999</v>
      </c>
      <c r="BC78" s="84">
        <v>1646.4</v>
      </c>
      <c r="BD78" s="83">
        <v>3853.8</v>
      </c>
      <c r="BE78" s="83">
        <v>8648.2000000000007</v>
      </c>
      <c r="BF78" s="84">
        <v>7402.3951500000003</v>
      </c>
      <c r="BG78" s="87">
        <v>8161.1704300000001</v>
      </c>
      <c r="BH78" s="88">
        <v>4108.5693499999998</v>
      </c>
      <c r="BI78" s="56">
        <v>4723.6573600000002</v>
      </c>
      <c r="BJ78" s="56">
        <v>24395.792290000001</v>
      </c>
      <c r="BK78" s="56">
        <f>IF(6232.53925="","-",6232.53925)</f>
        <v>6232.5392499999998</v>
      </c>
      <c r="BL78" s="56">
        <f>IF(6039.35033="","-",6039.35033)</f>
        <v>6039.3503300000002</v>
      </c>
      <c r="BM78" s="56">
        <f>IF(3647.217="","-",3647.217)</f>
        <v>3647.2170000000001</v>
      </c>
      <c r="BN78" s="56">
        <f>IF(2950.17567="","-",2950.17567)</f>
        <v>2950.1756700000001</v>
      </c>
      <c r="BO78" s="56">
        <f>IF(18869.28225="","-",18869.28225)</f>
        <v>18869.28225</v>
      </c>
      <c r="BP78" s="56">
        <v>3298.6707099999999</v>
      </c>
      <c r="BQ78" s="46">
        <v>2615.3478700000001</v>
      </c>
      <c r="BR78" s="46">
        <v>2480.8935999999999</v>
      </c>
      <c r="BS78" s="56">
        <v>2232.9502600000001</v>
      </c>
      <c r="BT78" s="56">
        <v>10627.862440000001</v>
      </c>
      <c r="BU78" s="56">
        <v>977.93282999999997</v>
      </c>
      <c r="BV78" s="56">
        <v>900.48180000000002</v>
      </c>
      <c r="BW78" s="56">
        <v>134.92252999999999</v>
      </c>
      <c r="BX78" s="56">
        <v>182.66973999999999</v>
      </c>
      <c r="BY78" s="56">
        <v>2196.0068999999999</v>
      </c>
      <c r="BZ78" s="56">
        <v>133.26615000000001</v>
      </c>
      <c r="CA78" s="56">
        <v>109.29764</v>
      </c>
      <c r="CB78" s="56">
        <v>185.40814</v>
      </c>
      <c r="CC78" s="56">
        <v>214.04164</v>
      </c>
      <c r="CD78" s="56">
        <v>642.01356999999996</v>
      </c>
      <c r="CE78" s="56">
        <v>78.189449999999994</v>
      </c>
      <c r="CF78" s="56">
        <v>171.82113000000001</v>
      </c>
      <c r="CG78" s="56">
        <v>64.05583</v>
      </c>
      <c r="CH78" s="56">
        <v>295.42189999999999</v>
      </c>
      <c r="CI78" s="56">
        <v>609.48830999999996</v>
      </c>
      <c r="CJ78" s="56">
        <v>49.918390000000002</v>
      </c>
      <c r="CK78" s="56">
        <v>64.85718</v>
      </c>
      <c r="CL78" s="56">
        <v>165.87903</v>
      </c>
      <c r="CM78" s="56">
        <v>689.25912000000005</v>
      </c>
      <c r="CN78" s="56">
        <v>969.91372000000001</v>
      </c>
      <c r="CO78" s="56">
        <v>404.93374</v>
      </c>
      <c r="CP78" s="56">
        <v>86.908699999999996</v>
      </c>
      <c r="CQ78" s="56">
        <v>143.37939</v>
      </c>
      <c r="CR78" s="56">
        <v>438.69269000000003</v>
      </c>
      <c r="CS78" s="56">
        <v>1073.91452</v>
      </c>
      <c r="CT78" s="66" t="s">
        <v>58</v>
      </c>
      <c r="CU78" s="60" t="s">
        <v>191</v>
      </c>
    </row>
    <row r="79" spans="1:99" s="9" customFormat="1" ht="31.5">
      <c r="A79" s="66" t="s">
        <v>59</v>
      </c>
      <c r="B79" s="60" t="s">
        <v>192</v>
      </c>
      <c r="C79" s="81">
        <v>17957.099999999999</v>
      </c>
      <c r="D79" s="81">
        <v>19010.400000000001</v>
      </c>
      <c r="E79" s="81">
        <v>20267.2</v>
      </c>
      <c r="F79" s="81">
        <v>14638.1</v>
      </c>
      <c r="G79" s="82">
        <f t="shared" si="8"/>
        <v>71872.800000000003</v>
      </c>
      <c r="H79" s="81">
        <v>18509.8</v>
      </c>
      <c r="I79" s="81">
        <v>17616.900000000001</v>
      </c>
      <c r="J79" s="81">
        <v>21250.7</v>
      </c>
      <c r="K79" s="81">
        <v>21095.1</v>
      </c>
      <c r="L79" s="82">
        <f t="shared" si="11"/>
        <v>78472.5</v>
      </c>
      <c r="M79" s="81">
        <v>21722.5</v>
      </c>
      <c r="N79" s="81">
        <v>23526.3</v>
      </c>
      <c r="O79" s="81">
        <v>24002.1</v>
      </c>
      <c r="P79" s="81">
        <v>26921</v>
      </c>
      <c r="Q79" s="82">
        <f t="shared" si="12"/>
        <v>96171.9</v>
      </c>
      <c r="R79" s="81">
        <v>27780.1</v>
      </c>
      <c r="S79" s="81">
        <v>27016.5</v>
      </c>
      <c r="T79" s="81">
        <v>28366.5</v>
      </c>
      <c r="U79" s="81">
        <v>25001.599999999999</v>
      </c>
      <c r="V79" s="83">
        <f t="shared" si="9"/>
        <v>108164.70000000001</v>
      </c>
      <c r="W79" s="81">
        <v>20724.7</v>
      </c>
      <c r="X79" s="81">
        <v>23223.7</v>
      </c>
      <c r="Y79" s="81">
        <v>25783.200000000001</v>
      </c>
      <c r="Z79" s="81">
        <v>27536.5</v>
      </c>
      <c r="AA79" s="83">
        <f t="shared" si="7"/>
        <v>97268.1</v>
      </c>
      <c r="AB79" s="81">
        <v>22888.7</v>
      </c>
      <c r="AC79" s="81">
        <v>25710</v>
      </c>
      <c r="AD79" s="81">
        <v>26689.1</v>
      </c>
      <c r="AE79" s="81">
        <v>27263.5</v>
      </c>
      <c r="AF79" s="81">
        <v>102551.3</v>
      </c>
      <c r="AG79" s="84">
        <v>25176.6</v>
      </c>
      <c r="AH79" s="84">
        <v>31479.1</v>
      </c>
      <c r="AI79" s="84">
        <v>30484.5</v>
      </c>
      <c r="AJ79" s="84">
        <v>28380.6</v>
      </c>
      <c r="AK79" s="83">
        <f t="shared" si="10"/>
        <v>115520.79999999999</v>
      </c>
      <c r="AL79" s="83">
        <v>26261.8</v>
      </c>
      <c r="AM79" s="83">
        <v>27107.8</v>
      </c>
      <c r="AN79" s="83">
        <v>27009.8</v>
      </c>
      <c r="AO79" s="83">
        <v>23442.2</v>
      </c>
      <c r="AP79" s="83">
        <v>103821.6</v>
      </c>
      <c r="AQ79" s="83">
        <v>24654.799999999999</v>
      </c>
      <c r="AR79" s="83">
        <v>29904.1</v>
      </c>
      <c r="AS79" s="83">
        <v>30222.400000000001</v>
      </c>
      <c r="AT79" s="83">
        <v>28144.799999999999</v>
      </c>
      <c r="AU79" s="83">
        <v>112926.1</v>
      </c>
      <c r="AV79" s="84">
        <v>27740.6</v>
      </c>
      <c r="AW79" s="84">
        <v>32560.9</v>
      </c>
      <c r="AX79" s="84">
        <v>28954.5</v>
      </c>
      <c r="AY79" s="85">
        <v>20089</v>
      </c>
      <c r="AZ79" s="84">
        <v>109345</v>
      </c>
      <c r="BA79" s="84">
        <v>19565.7</v>
      </c>
      <c r="BB79" s="84">
        <v>25255.8</v>
      </c>
      <c r="BC79" s="84">
        <v>22121</v>
      </c>
      <c r="BD79" s="86">
        <v>18035.900000000001</v>
      </c>
      <c r="BE79" s="84">
        <v>84978.4</v>
      </c>
      <c r="BF79" s="84">
        <v>21509.00174</v>
      </c>
      <c r="BG79" s="87">
        <v>23085.1096</v>
      </c>
      <c r="BH79" s="88">
        <v>24867.57519</v>
      </c>
      <c r="BI79" s="56">
        <v>22387.068569999999</v>
      </c>
      <c r="BJ79" s="56">
        <v>91848.755099999995</v>
      </c>
      <c r="BK79" s="56">
        <f>IF(24018.88901="","-",24018.88901)</f>
        <v>24018.889009999999</v>
      </c>
      <c r="BL79" s="56">
        <f>IF(21396.5694="","-",21396.5694)</f>
        <v>21396.5694</v>
      </c>
      <c r="BM79" s="56">
        <f>IF(26720.54625="","-",26720.54625)</f>
        <v>26720.546249999999</v>
      </c>
      <c r="BN79" s="56">
        <f>IF(27229.67053="","-",27229.67053)</f>
        <v>27229.670529999999</v>
      </c>
      <c r="BO79" s="56">
        <f>IF(99365.67519="","-",99365.67519)</f>
        <v>99365.675189999994</v>
      </c>
      <c r="BP79" s="56">
        <v>29720.581259999999</v>
      </c>
      <c r="BQ79" s="46">
        <v>29246.479749999999</v>
      </c>
      <c r="BR79" s="46">
        <v>26114.130519999999</v>
      </c>
      <c r="BS79" s="56">
        <v>26620.106919999998</v>
      </c>
      <c r="BT79" s="56">
        <v>111701.29845</v>
      </c>
      <c r="BU79" s="56">
        <v>22734.063150000002</v>
      </c>
      <c r="BV79" s="56">
        <v>24006.019339999999</v>
      </c>
      <c r="BW79" s="56">
        <v>22391.51079</v>
      </c>
      <c r="BX79" s="56">
        <v>23510.8979</v>
      </c>
      <c r="BY79" s="56">
        <v>92642.491179999997</v>
      </c>
      <c r="BZ79" s="56">
        <v>22094.893929999998</v>
      </c>
      <c r="CA79" s="56">
        <v>15948.785</v>
      </c>
      <c r="CB79" s="56">
        <v>25706.20018</v>
      </c>
      <c r="CC79" s="56">
        <v>25751.977709999999</v>
      </c>
      <c r="CD79" s="56">
        <v>89501.856820000001</v>
      </c>
      <c r="CE79" s="56">
        <v>24142.12327</v>
      </c>
      <c r="CF79" s="56">
        <v>28199.975539999999</v>
      </c>
      <c r="CG79" s="56">
        <v>26748.403849999999</v>
      </c>
      <c r="CH79" s="56">
        <v>31158.53717</v>
      </c>
      <c r="CI79" s="56">
        <v>110249.03982999999</v>
      </c>
      <c r="CJ79" s="56">
        <v>26080.564429999999</v>
      </c>
      <c r="CK79" s="56">
        <v>30134.442060000001</v>
      </c>
      <c r="CL79" s="56">
        <v>26672.64457</v>
      </c>
      <c r="CM79" s="56">
        <v>28874.085080000001</v>
      </c>
      <c r="CN79" s="56">
        <v>111761.73613999999</v>
      </c>
      <c r="CO79" s="56">
        <v>25355.146049999999</v>
      </c>
      <c r="CP79" s="56">
        <v>25348.100009999998</v>
      </c>
      <c r="CQ79" s="56">
        <v>24402.639439999999</v>
      </c>
      <c r="CR79" s="56">
        <v>21078.578539999999</v>
      </c>
      <c r="CS79" s="56">
        <v>96184.464040000006</v>
      </c>
      <c r="CT79" s="66" t="s">
        <v>59</v>
      </c>
      <c r="CU79" s="60" t="s">
        <v>192</v>
      </c>
    </row>
    <row r="80" spans="1:99" s="9" customFormat="1" ht="31.5">
      <c r="A80" s="66" t="s">
        <v>60</v>
      </c>
      <c r="B80" s="60" t="s">
        <v>193</v>
      </c>
      <c r="C80" s="81">
        <v>23357.599999999999</v>
      </c>
      <c r="D80" s="81">
        <v>22565.3</v>
      </c>
      <c r="E80" s="81">
        <v>27808.799999999999</v>
      </c>
      <c r="F80" s="81">
        <v>25119</v>
      </c>
      <c r="G80" s="82">
        <f t="shared" si="8"/>
        <v>98850.7</v>
      </c>
      <c r="H80" s="81">
        <v>25937.1</v>
      </c>
      <c r="I80" s="81">
        <v>28099.599999999999</v>
      </c>
      <c r="J80" s="81">
        <v>32007.3</v>
      </c>
      <c r="K80" s="81">
        <v>35267.300000000003</v>
      </c>
      <c r="L80" s="82">
        <f t="shared" si="11"/>
        <v>121311.3</v>
      </c>
      <c r="M80" s="81">
        <v>31991.5</v>
      </c>
      <c r="N80" s="81">
        <v>32642.3</v>
      </c>
      <c r="O80" s="81">
        <v>37294.5</v>
      </c>
      <c r="P80" s="81">
        <v>39527.9</v>
      </c>
      <c r="Q80" s="82">
        <f t="shared" si="12"/>
        <v>141456.20000000001</v>
      </c>
      <c r="R80" s="81">
        <v>36775.4</v>
      </c>
      <c r="S80" s="81">
        <v>39742.300000000003</v>
      </c>
      <c r="T80" s="81">
        <v>43346.8</v>
      </c>
      <c r="U80" s="81">
        <v>36701</v>
      </c>
      <c r="V80" s="83">
        <f t="shared" si="9"/>
        <v>156565.5</v>
      </c>
      <c r="W80" s="81">
        <v>30183.9</v>
      </c>
      <c r="X80" s="81">
        <v>29191.4</v>
      </c>
      <c r="Y80" s="81">
        <v>36274.1</v>
      </c>
      <c r="Z80" s="81">
        <v>31711.9</v>
      </c>
      <c r="AA80" s="83">
        <f t="shared" si="7"/>
        <v>127361.29999999999</v>
      </c>
      <c r="AB80" s="81">
        <v>28914</v>
      </c>
      <c r="AC80" s="81">
        <v>28583.4</v>
      </c>
      <c r="AD80" s="81">
        <v>33272.6</v>
      </c>
      <c r="AE80" s="81">
        <v>35725.699999999997</v>
      </c>
      <c r="AF80" s="81">
        <v>126495.7</v>
      </c>
      <c r="AG80" s="84">
        <v>33156.1</v>
      </c>
      <c r="AH80" s="84">
        <v>38806.300000000003</v>
      </c>
      <c r="AI80" s="84">
        <v>45147.8</v>
      </c>
      <c r="AJ80" s="84">
        <v>40264.199999999997</v>
      </c>
      <c r="AK80" s="83">
        <f t="shared" si="10"/>
        <v>157374.39999999999</v>
      </c>
      <c r="AL80" s="83">
        <v>34921.199999999997</v>
      </c>
      <c r="AM80" s="83">
        <v>37891.9</v>
      </c>
      <c r="AN80" s="83">
        <v>37610.6</v>
      </c>
      <c r="AO80" s="83">
        <v>35388.9</v>
      </c>
      <c r="AP80" s="83">
        <v>145812.6</v>
      </c>
      <c r="AQ80" s="83">
        <v>32655.9</v>
      </c>
      <c r="AR80" s="83">
        <v>34601.4</v>
      </c>
      <c r="AS80" s="83">
        <v>39410.5</v>
      </c>
      <c r="AT80" s="83">
        <v>35710.199999999997</v>
      </c>
      <c r="AU80" s="83">
        <v>142378</v>
      </c>
      <c r="AV80" s="84">
        <v>38525.5</v>
      </c>
      <c r="AW80" s="83">
        <v>43187.4</v>
      </c>
      <c r="AX80" s="83">
        <v>44599</v>
      </c>
      <c r="AY80" s="85">
        <v>35900</v>
      </c>
      <c r="AZ80" s="84">
        <v>162211.9</v>
      </c>
      <c r="BA80" s="83">
        <v>30475.7</v>
      </c>
      <c r="BB80" s="83">
        <v>35181.800000000003</v>
      </c>
      <c r="BC80" s="83">
        <v>39062</v>
      </c>
      <c r="BD80" s="86">
        <v>35035</v>
      </c>
      <c r="BE80" s="84">
        <v>139754.5</v>
      </c>
      <c r="BF80" s="84">
        <v>33334.424630000001</v>
      </c>
      <c r="BG80" s="87">
        <v>37649.557979999998</v>
      </c>
      <c r="BH80" s="88">
        <v>42146.882299999997</v>
      </c>
      <c r="BI80" s="56">
        <v>35205.049500000001</v>
      </c>
      <c r="BJ80" s="56">
        <v>148335.91441</v>
      </c>
      <c r="BK80" s="56">
        <f>IF(37612.48098="","-",37612.48098)</f>
        <v>37612.48098</v>
      </c>
      <c r="BL80" s="56">
        <f>IF(42281.05703="","-",42281.05703)</f>
        <v>42281.057030000004</v>
      </c>
      <c r="BM80" s="56">
        <f>IF(46715.3302="","-",46715.3302)</f>
        <v>46715.330199999997</v>
      </c>
      <c r="BN80" s="56">
        <v>48950.48</v>
      </c>
      <c r="BO80" s="56">
        <v>175559.35</v>
      </c>
      <c r="BP80" s="56">
        <v>48837.401669999999</v>
      </c>
      <c r="BQ80" s="46">
        <v>49275.66418</v>
      </c>
      <c r="BR80" s="46">
        <v>51684.720500000003</v>
      </c>
      <c r="BS80" s="56">
        <v>45404.756289999998</v>
      </c>
      <c r="BT80" s="56">
        <v>195202.54264</v>
      </c>
      <c r="BU80" s="56">
        <v>43605.605250000001</v>
      </c>
      <c r="BV80" s="56">
        <v>50290.302929999998</v>
      </c>
      <c r="BW80" s="56">
        <v>46481.495860000003</v>
      </c>
      <c r="BX80" s="56">
        <v>41989.149149999997</v>
      </c>
      <c r="BY80" s="56">
        <v>182366.55319000001</v>
      </c>
      <c r="BZ80" s="56">
        <v>36491.9107</v>
      </c>
      <c r="CA80" s="56">
        <v>29644.30312</v>
      </c>
      <c r="CB80" s="56">
        <v>44991.343769999999</v>
      </c>
      <c r="CC80" s="56">
        <v>38241.652399999999</v>
      </c>
      <c r="CD80" s="56">
        <v>149369.20999</v>
      </c>
      <c r="CE80" s="56">
        <v>34805.783029999999</v>
      </c>
      <c r="CF80" s="56">
        <v>42872.15913</v>
      </c>
      <c r="CG80" s="56">
        <v>42829.276919999997</v>
      </c>
      <c r="CH80" s="56">
        <v>42095.629410000001</v>
      </c>
      <c r="CI80" s="56">
        <v>162602.84849</v>
      </c>
      <c r="CJ80" s="56">
        <v>42668.259380000003</v>
      </c>
      <c r="CK80" s="56">
        <v>46766.020949999998</v>
      </c>
      <c r="CL80" s="56">
        <v>45531.652520000003</v>
      </c>
      <c r="CM80" s="56">
        <v>45524.354090000001</v>
      </c>
      <c r="CN80" s="56">
        <v>180490.28693999999</v>
      </c>
      <c r="CO80" s="56">
        <v>46061.123059999998</v>
      </c>
      <c r="CP80" s="56">
        <v>47611.6973</v>
      </c>
      <c r="CQ80" s="56">
        <v>48196.096570000002</v>
      </c>
      <c r="CR80" s="56">
        <v>45813.498919999998</v>
      </c>
      <c r="CS80" s="56">
        <v>187682.41584999999</v>
      </c>
      <c r="CT80" s="66" t="s">
        <v>60</v>
      </c>
      <c r="CU80" s="60" t="s">
        <v>193</v>
      </c>
    </row>
    <row r="81" spans="1:99" s="9" customFormat="1" ht="31.5">
      <c r="A81" s="66" t="s">
        <v>61</v>
      </c>
      <c r="B81" s="60" t="s">
        <v>194</v>
      </c>
      <c r="C81" s="81">
        <v>266</v>
      </c>
      <c r="D81" s="81">
        <v>219.5</v>
      </c>
      <c r="E81" s="81">
        <v>639.5</v>
      </c>
      <c r="F81" s="81">
        <v>543.1</v>
      </c>
      <c r="G81" s="82">
        <f t="shared" si="8"/>
        <v>1668.1</v>
      </c>
      <c r="H81" s="81">
        <v>327.39999999999998</v>
      </c>
      <c r="I81" s="81">
        <v>412.4</v>
      </c>
      <c r="J81" s="81">
        <v>274.7</v>
      </c>
      <c r="K81" s="81">
        <v>230.2</v>
      </c>
      <c r="L81" s="82">
        <f t="shared" si="11"/>
        <v>1244.7</v>
      </c>
      <c r="M81" s="81">
        <v>462.8</v>
      </c>
      <c r="N81" s="81">
        <v>644.79999999999995</v>
      </c>
      <c r="O81" s="81">
        <v>565.70000000000005</v>
      </c>
      <c r="P81" s="81">
        <v>515.1</v>
      </c>
      <c r="Q81" s="82">
        <f t="shared" si="12"/>
        <v>2188.4</v>
      </c>
      <c r="R81" s="81">
        <v>913.2</v>
      </c>
      <c r="S81" s="81">
        <v>1383.6</v>
      </c>
      <c r="T81" s="81">
        <v>1073</v>
      </c>
      <c r="U81" s="81">
        <v>708.4</v>
      </c>
      <c r="V81" s="83">
        <f t="shared" si="9"/>
        <v>4078.2000000000003</v>
      </c>
      <c r="W81" s="81">
        <v>775.4</v>
      </c>
      <c r="X81" s="81">
        <v>879.1</v>
      </c>
      <c r="Y81" s="81">
        <v>1374.8</v>
      </c>
      <c r="Z81" s="81">
        <v>1700.2</v>
      </c>
      <c r="AA81" s="83">
        <f t="shared" si="7"/>
        <v>4729.5</v>
      </c>
      <c r="AB81" s="81">
        <v>1175.7</v>
      </c>
      <c r="AC81" s="81">
        <v>1054.4000000000001</v>
      </c>
      <c r="AD81" s="81">
        <v>1081.0999999999999</v>
      </c>
      <c r="AE81" s="81">
        <v>1300.8</v>
      </c>
      <c r="AF81" s="81">
        <v>4612</v>
      </c>
      <c r="AG81" s="84">
        <v>1172.8</v>
      </c>
      <c r="AH81" s="84">
        <v>2378.6</v>
      </c>
      <c r="AI81" s="84">
        <v>5190</v>
      </c>
      <c r="AJ81" s="84">
        <v>5771.7</v>
      </c>
      <c r="AK81" s="83">
        <f t="shared" si="10"/>
        <v>14513.099999999999</v>
      </c>
      <c r="AL81" s="83">
        <v>5433.1</v>
      </c>
      <c r="AM81" s="83">
        <v>4730.5</v>
      </c>
      <c r="AN81" s="83">
        <v>3227.8</v>
      </c>
      <c r="AO81" s="83">
        <v>2732.4</v>
      </c>
      <c r="AP81" s="83">
        <v>16123.8</v>
      </c>
      <c r="AQ81" s="83">
        <v>3295.3</v>
      </c>
      <c r="AR81" s="83">
        <v>2413.1</v>
      </c>
      <c r="AS81" s="83">
        <v>2874.1</v>
      </c>
      <c r="AT81" s="83">
        <v>2918.6</v>
      </c>
      <c r="AU81" s="83">
        <v>11501.1</v>
      </c>
      <c r="AV81" s="84">
        <v>1800.9</v>
      </c>
      <c r="AW81" s="84">
        <v>2052.6999999999998</v>
      </c>
      <c r="AX81" s="84">
        <v>2050</v>
      </c>
      <c r="AY81" s="83">
        <v>2162.3000000000002</v>
      </c>
      <c r="AZ81" s="83">
        <v>8065.9</v>
      </c>
      <c r="BA81" s="84">
        <v>2773.7</v>
      </c>
      <c r="BB81" s="84">
        <v>2556.8000000000002</v>
      </c>
      <c r="BC81" s="84">
        <v>2986.4</v>
      </c>
      <c r="BD81" s="86">
        <v>3543.9</v>
      </c>
      <c r="BE81" s="84">
        <v>11860.8</v>
      </c>
      <c r="BF81" s="84">
        <v>3223.9515799999999</v>
      </c>
      <c r="BG81" s="87">
        <v>4271.1074600000002</v>
      </c>
      <c r="BH81" s="88">
        <v>2917.1135800000002</v>
      </c>
      <c r="BI81" s="56">
        <v>3124.2684599999998</v>
      </c>
      <c r="BJ81" s="56">
        <v>13536.441080000001</v>
      </c>
      <c r="BK81" s="56">
        <f>IF(4328.32316="","-",4328.32316)</f>
        <v>4328.3231599999999</v>
      </c>
      <c r="BL81" s="56">
        <f>IF(4901.33226="","-",4901.33226)</f>
        <v>4901.3322600000001</v>
      </c>
      <c r="BM81" s="56">
        <f>IF(5504.23437="","-",5504.23437)</f>
        <v>5504.2343700000001</v>
      </c>
      <c r="BN81" s="56">
        <f>IF(6146.58635="","-",6146.58635)</f>
        <v>6146.5863499999996</v>
      </c>
      <c r="BO81" s="56">
        <f>IF(20880.47614="","-",20880.47614)</f>
        <v>20880.476139999999</v>
      </c>
      <c r="BP81" s="56">
        <v>7753.4172799999997</v>
      </c>
      <c r="BQ81" s="46">
        <v>6669.9039000000002</v>
      </c>
      <c r="BR81" s="46">
        <v>6304.7865599999996</v>
      </c>
      <c r="BS81" s="56">
        <v>5121.4534000000003</v>
      </c>
      <c r="BT81" s="56">
        <v>25849.561140000002</v>
      </c>
      <c r="BU81" s="56">
        <v>5755.29187</v>
      </c>
      <c r="BV81" s="56">
        <v>6480.3696300000001</v>
      </c>
      <c r="BW81" s="56">
        <v>5259.89534</v>
      </c>
      <c r="BX81" s="56">
        <v>5052.7178000000004</v>
      </c>
      <c r="BY81" s="56">
        <v>22548.27464</v>
      </c>
      <c r="BZ81" s="56">
        <v>7122.4021400000001</v>
      </c>
      <c r="CA81" s="56">
        <v>4038.1266799999999</v>
      </c>
      <c r="CB81" s="56">
        <v>5856.6475700000001</v>
      </c>
      <c r="CC81" s="56">
        <v>8243.0222900000008</v>
      </c>
      <c r="CD81" s="56">
        <v>25260.198680000001</v>
      </c>
      <c r="CE81" s="56">
        <v>7946.3528100000003</v>
      </c>
      <c r="CF81" s="56">
        <v>7987.6869200000001</v>
      </c>
      <c r="CG81" s="56">
        <v>7431.9865799999998</v>
      </c>
      <c r="CH81" s="56">
        <v>8228.2439900000008</v>
      </c>
      <c r="CI81" s="56">
        <v>31594.2703</v>
      </c>
      <c r="CJ81" s="56">
        <v>9584.9448499999999</v>
      </c>
      <c r="CK81" s="56">
        <v>9099.3861699999998</v>
      </c>
      <c r="CL81" s="56">
        <v>9896.5622000000003</v>
      </c>
      <c r="CM81" s="56">
        <v>9903.6086099999993</v>
      </c>
      <c r="CN81" s="56">
        <v>38484.501830000001</v>
      </c>
      <c r="CO81" s="56">
        <v>10900.132600000001</v>
      </c>
      <c r="CP81" s="56">
        <v>12437.6168</v>
      </c>
      <c r="CQ81" s="56">
        <v>10380.05459</v>
      </c>
      <c r="CR81" s="56">
        <v>9593.0041099999999</v>
      </c>
      <c r="CS81" s="56">
        <v>43310.808100000002</v>
      </c>
      <c r="CT81" s="66" t="s">
        <v>61</v>
      </c>
      <c r="CU81" s="60" t="s">
        <v>194</v>
      </c>
    </row>
    <row r="82" spans="1:99" s="9" customFormat="1" ht="63">
      <c r="A82" s="65" t="s">
        <v>105</v>
      </c>
      <c r="B82" s="59" t="s">
        <v>247</v>
      </c>
      <c r="C82" s="72">
        <v>6876</v>
      </c>
      <c r="D82" s="72">
        <v>5289</v>
      </c>
      <c r="E82" s="72">
        <v>8217.2999999999993</v>
      </c>
      <c r="F82" s="72">
        <v>6206.4</v>
      </c>
      <c r="G82" s="72">
        <f t="shared" si="8"/>
        <v>26588.699999999997</v>
      </c>
      <c r="H82" s="72">
        <v>7282.7</v>
      </c>
      <c r="I82" s="72">
        <v>7202.9</v>
      </c>
      <c r="J82" s="72">
        <v>9278.7999999999993</v>
      </c>
      <c r="K82" s="72">
        <v>7195.6</v>
      </c>
      <c r="L82" s="72">
        <f t="shared" si="11"/>
        <v>30960</v>
      </c>
      <c r="M82" s="72">
        <v>10403.4</v>
      </c>
      <c r="N82" s="72">
        <v>8792.5</v>
      </c>
      <c r="O82" s="72">
        <v>11742.5</v>
      </c>
      <c r="P82" s="72">
        <v>9314</v>
      </c>
      <c r="Q82" s="72">
        <f t="shared" si="12"/>
        <v>40252.400000000001</v>
      </c>
      <c r="R82" s="72">
        <v>13399.6</v>
      </c>
      <c r="S82" s="72">
        <v>12004.4</v>
      </c>
      <c r="T82" s="72">
        <v>13750.7</v>
      </c>
      <c r="U82" s="72">
        <v>8848.2999999999993</v>
      </c>
      <c r="V82" s="75">
        <f t="shared" si="9"/>
        <v>48003</v>
      </c>
      <c r="W82" s="72">
        <v>7778.4</v>
      </c>
      <c r="X82" s="72">
        <v>5583.1</v>
      </c>
      <c r="Y82" s="72">
        <v>7116.2</v>
      </c>
      <c r="Z82" s="72">
        <v>5898.5</v>
      </c>
      <c r="AA82" s="75">
        <f t="shared" si="7"/>
        <v>26376.2</v>
      </c>
      <c r="AB82" s="72">
        <v>7056.5</v>
      </c>
      <c r="AC82" s="72">
        <v>6258.2</v>
      </c>
      <c r="AD82" s="72">
        <v>9395</v>
      </c>
      <c r="AE82" s="72">
        <v>7931.8</v>
      </c>
      <c r="AF82" s="72">
        <v>30641.5</v>
      </c>
      <c r="AG82" s="76">
        <v>13478.7</v>
      </c>
      <c r="AH82" s="76">
        <v>10108.4</v>
      </c>
      <c r="AI82" s="76">
        <v>15020.1</v>
      </c>
      <c r="AJ82" s="76">
        <v>11335.8</v>
      </c>
      <c r="AK82" s="75">
        <f t="shared" si="10"/>
        <v>49943</v>
      </c>
      <c r="AL82" s="75">
        <v>15303.1</v>
      </c>
      <c r="AM82" s="75">
        <v>9431.7999999999993</v>
      </c>
      <c r="AN82" s="75">
        <v>8984.7000000000007</v>
      </c>
      <c r="AO82" s="75">
        <v>6315.2</v>
      </c>
      <c r="AP82" s="75">
        <v>40034.800000000003</v>
      </c>
      <c r="AQ82" s="76">
        <v>10016</v>
      </c>
      <c r="AR82" s="76">
        <v>8027.5</v>
      </c>
      <c r="AS82" s="76">
        <v>11201.8</v>
      </c>
      <c r="AT82" s="75">
        <v>6832.8</v>
      </c>
      <c r="AU82" s="75">
        <v>36078.1</v>
      </c>
      <c r="AV82" s="76">
        <v>9161.6</v>
      </c>
      <c r="AW82" s="70">
        <v>7924.5</v>
      </c>
      <c r="AX82" s="76">
        <v>9894</v>
      </c>
      <c r="AY82" s="78">
        <v>7064.4</v>
      </c>
      <c r="AZ82" s="76">
        <v>34044.5</v>
      </c>
      <c r="BA82" s="76">
        <v>6733.4</v>
      </c>
      <c r="BB82" s="76">
        <v>5563.8</v>
      </c>
      <c r="BC82" s="76">
        <v>6034.5</v>
      </c>
      <c r="BD82" s="79">
        <v>5682.1</v>
      </c>
      <c r="BE82" s="76">
        <v>24013.8</v>
      </c>
      <c r="BF82" s="76">
        <v>7704.5127400000001</v>
      </c>
      <c r="BG82" s="80">
        <v>7453.4679500000002</v>
      </c>
      <c r="BH82" s="89">
        <v>7443.70352</v>
      </c>
      <c r="BI82" s="55">
        <v>6744.2081699999999</v>
      </c>
      <c r="BJ82" s="55">
        <v>29345.892380000001</v>
      </c>
      <c r="BK82" s="55">
        <f>IF(8474.76595="","-",8474.76595)</f>
        <v>8474.7659500000009</v>
      </c>
      <c r="BL82" s="55">
        <f>IF(7793.21383="","-",7793.21383)</f>
        <v>7793.2138299999997</v>
      </c>
      <c r="BM82" s="55">
        <f>IF(9382.91542="","-",9382.91542)</f>
        <v>9382.9154199999994</v>
      </c>
      <c r="BN82" s="55">
        <f>IF(8345.61662="","-",8345.61662)</f>
        <v>8345.6166200000007</v>
      </c>
      <c r="BO82" s="55">
        <f>IF(33996.51182="","-",33996.51182)</f>
        <v>33996.51182</v>
      </c>
      <c r="BP82" s="55">
        <v>9916.32186</v>
      </c>
      <c r="BQ82" s="45">
        <v>9005.5819200000005</v>
      </c>
      <c r="BR82" s="45">
        <v>9504.3425499999994</v>
      </c>
      <c r="BS82" s="55">
        <v>8021.93289</v>
      </c>
      <c r="BT82" s="55">
        <v>36448.179219999998</v>
      </c>
      <c r="BU82" s="55">
        <v>8438.2139299999999</v>
      </c>
      <c r="BV82" s="55">
        <v>8926.4312499999996</v>
      </c>
      <c r="BW82" s="55">
        <v>9760.3438100000003</v>
      </c>
      <c r="BX82" s="55">
        <v>7838.82762</v>
      </c>
      <c r="BY82" s="55">
        <v>34963.816610000002</v>
      </c>
      <c r="BZ82" s="55">
        <v>9715.89077</v>
      </c>
      <c r="CA82" s="55">
        <v>5237.9158500000003</v>
      </c>
      <c r="CB82" s="55">
        <v>9919.9051999999992</v>
      </c>
      <c r="CC82" s="55">
        <v>8849.4709600000006</v>
      </c>
      <c r="CD82" s="55">
        <v>33723.182780000003</v>
      </c>
      <c r="CE82" s="55">
        <v>8797.6077600000008</v>
      </c>
      <c r="CF82" s="55">
        <v>10081.84196</v>
      </c>
      <c r="CG82" s="55">
        <v>9393.1198100000001</v>
      </c>
      <c r="CH82" s="55">
        <v>9898.7202400000006</v>
      </c>
      <c r="CI82" s="55">
        <v>38171.289770000003</v>
      </c>
      <c r="CJ82" s="55">
        <v>9992.0102399999996</v>
      </c>
      <c r="CK82" s="55">
        <v>10481.81115</v>
      </c>
      <c r="CL82" s="55">
        <v>9518.2375400000001</v>
      </c>
      <c r="CM82" s="55">
        <v>12619.27037</v>
      </c>
      <c r="CN82" s="55">
        <v>42611.329299999998</v>
      </c>
      <c r="CO82" s="55">
        <v>8844.1666100000002</v>
      </c>
      <c r="CP82" s="55">
        <v>8619.2801199999994</v>
      </c>
      <c r="CQ82" s="55">
        <v>6499.5839800000003</v>
      </c>
      <c r="CR82" s="55">
        <v>4639.8830900000003</v>
      </c>
      <c r="CS82" s="55">
        <v>28602.913799999998</v>
      </c>
      <c r="CT82" s="65" t="s">
        <v>105</v>
      </c>
      <c r="CU82" s="59" t="s">
        <v>247</v>
      </c>
    </row>
    <row r="83" spans="1:99" s="9" customFormat="1" ht="15.75">
      <c r="A83" s="66" t="s">
        <v>62</v>
      </c>
      <c r="B83" s="60" t="s">
        <v>195</v>
      </c>
      <c r="C83" s="81">
        <v>6845</v>
      </c>
      <c r="D83" s="81">
        <v>5240.2</v>
      </c>
      <c r="E83" s="81">
        <v>8170.3</v>
      </c>
      <c r="F83" s="81">
        <v>6186.7</v>
      </c>
      <c r="G83" s="82">
        <f t="shared" si="8"/>
        <v>26442.2</v>
      </c>
      <c r="H83" s="81">
        <v>7261.6</v>
      </c>
      <c r="I83" s="81">
        <v>7178.8</v>
      </c>
      <c r="J83" s="81">
        <v>9167.9</v>
      </c>
      <c r="K83" s="81">
        <v>7142.7</v>
      </c>
      <c r="L83" s="82">
        <f t="shared" si="11"/>
        <v>30751.000000000004</v>
      </c>
      <c r="M83" s="81">
        <v>10316.799999999999</v>
      </c>
      <c r="N83" s="81">
        <v>8742.9</v>
      </c>
      <c r="O83" s="81">
        <v>11616.1</v>
      </c>
      <c r="P83" s="81">
        <v>9221.6</v>
      </c>
      <c r="Q83" s="82">
        <f t="shared" si="12"/>
        <v>39897.399999999994</v>
      </c>
      <c r="R83" s="81">
        <v>13358.4</v>
      </c>
      <c r="S83" s="81">
        <v>11874.1</v>
      </c>
      <c r="T83" s="81">
        <v>13655.6</v>
      </c>
      <c r="U83" s="81">
        <v>8667.4</v>
      </c>
      <c r="V83" s="83">
        <f t="shared" si="9"/>
        <v>47555.5</v>
      </c>
      <c r="W83" s="81">
        <v>7749</v>
      </c>
      <c r="X83" s="81">
        <v>5471</v>
      </c>
      <c r="Y83" s="81">
        <v>7002.9</v>
      </c>
      <c r="Z83" s="81">
        <v>5846.8</v>
      </c>
      <c r="AA83" s="83">
        <f t="shared" si="7"/>
        <v>26069.7</v>
      </c>
      <c r="AB83" s="81">
        <v>7025.4</v>
      </c>
      <c r="AC83" s="81">
        <v>6185</v>
      </c>
      <c r="AD83" s="81">
        <v>9277.9</v>
      </c>
      <c r="AE83" s="81">
        <v>7886.4</v>
      </c>
      <c r="AF83" s="81">
        <v>30374.7</v>
      </c>
      <c r="AG83" s="84">
        <v>13362.7</v>
      </c>
      <c r="AH83" s="84">
        <v>9994.7000000000007</v>
      </c>
      <c r="AI83" s="84">
        <v>14860.4</v>
      </c>
      <c r="AJ83" s="84">
        <v>11234.1</v>
      </c>
      <c r="AK83" s="83">
        <f t="shared" si="10"/>
        <v>49451.9</v>
      </c>
      <c r="AL83" s="83">
        <v>15263.7</v>
      </c>
      <c r="AM83" s="83">
        <v>9326.2000000000007</v>
      </c>
      <c r="AN83" s="83">
        <v>8898.5</v>
      </c>
      <c r="AO83" s="83">
        <v>6230.3</v>
      </c>
      <c r="AP83" s="83">
        <v>39718.699999999997</v>
      </c>
      <c r="AQ83" s="84">
        <v>9958.2999999999993</v>
      </c>
      <c r="AR83" s="84">
        <v>7942.7</v>
      </c>
      <c r="AS83" s="84">
        <v>11072.5</v>
      </c>
      <c r="AT83" s="83">
        <v>6739.6</v>
      </c>
      <c r="AU83" s="83">
        <v>35713.1</v>
      </c>
      <c r="AV83" s="84">
        <v>9134.4</v>
      </c>
      <c r="AW83" s="83">
        <v>7782.9</v>
      </c>
      <c r="AX83" s="84">
        <v>9583.6</v>
      </c>
      <c r="AY83" s="85">
        <v>7003.1</v>
      </c>
      <c r="AZ83" s="84">
        <v>33504</v>
      </c>
      <c r="BA83" s="84">
        <v>6695.4</v>
      </c>
      <c r="BB83" s="84">
        <v>5478</v>
      </c>
      <c r="BC83" s="84">
        <v>5960.1</v>
      </c>
      <c r="BD83" s="86">
        <v>5622.1</v>
      </c>
      <c r="BE83" s="84">
        <v>23755.599999999999</v>
      </c>
      <c r="BF83" s="84">
        <v>7669.4609499999997</v>
      </c>
      <c r="BG83" s="87">
        <v>7365.6954800000003</v>
      </c>
      <c r="BH83" s="88">
        <v>7226.4834799999999</v>
      </c>
      <c r="BI83" s="56">
        <v>6645.4460099999997</v>
      </c>
      <c r="BJ83" s="56">
        <v>28907.085920000001</v>
      </c>
      <c r="BK83" s="56">
        <f>IF(8278.63997="","-",8278.63997)</f>
        <v>8278.6399700000002</v>
      </c>
      <c r="BL83" s="56">
        <f>IF(7571.43993="","-",7571.43993)</f>
        <v>7571.4399299999995</v>
      </c>
      <c r="BM83" s="56">
        <f>IF(9209.74388="","-",9209.74388)</f>
        <v>9209.74388</v>
      </c>
      <c r="BN83" s="56">
        <f>IF(8232.7912="","-",8232.7912)</f>
        <v>8232.7911999999997</v>
      </c>
      <c r="BO83" s="56">
        <f>IF(33292.61498="","-",33292.61498)</f>
        <v>33292.614979999998</v>
      </c>
      <c r="BP83" s="56">
        <v>9842.3165399999998</v>
      </c>
      <c r="BQ83" s="46">
        <v>8878.4228399999993</v>
      </c>
      <c r="BR83" s="46">
        <v>9357.28024</v>
      </c>
      <c r="BS83" s="56">
        <v>7941.6947099999998</v>
      </c>
      <c r="BT83" s="56">
        <v>36019.714330000003</v>
      </c>
      <c r="BU83" s="56">
        <v>8336.2236300000004</v>
      </c>
      <c r="BV83" s="56">
        <v>8813.0949099999998</v>
      </c>
      <c r="BW83" s="56">
        <v>9607.6943900000006</v>
      </c>
      <c r="BX83" s="56">
        <v>7769.46083</v>
      </c>
      <c r="BY83" s="56">
        <v>34526.473760000001</v>
      </c>
      <c r="BZ83" s="56">
        <v>9665.5104200000005</v>
      </c>
      <c r="CA83" s="56">
        <v>5186.1026499999998</v>
      </c>
      <c r="CB83" s="56">
        <v>9812.9931899999992</v>
      </c>
      <c r="CC83" s="56">
        <v>8729.5724900000005</v>
      </c>
      <c r="CD83" s="56">
        <v>33394.178749999999</v>
      </c>
      <c r="CE83" s="56">
        <v>8451.9533499999998</v>
      </c>
      <c r="CF83" s="56">
        <v>9880.3069099999993</v>
      </c>
      <c r="CG83" s="56">
        <v>9082.9731200000006</v>
      </c>
      <c r="CH83" s="56">
        <v>9714.3978800000004</v>
      </c>
      <c r="CI83" s="56">
        <v>37129.631260000002</v>
      </c>
      <c r="CJ83" s="56">
        <v>9673.3552600000003</v>
      </c>
      <c r="CK83" s="56">
        <v>10127.74921</v>
      </c>
      <c r="CL83" s="56">
        <v>9245.5676899999999</v>
      </c>
      <c r="CM83" s="56">
        <v>12386.850200000001</v>
      </c>
      <c r="CN83" s="56">
        <v>41433.522360000003</v>
      </c>
      <c r="CO83" s="56">
        <v>8547.5545500000007</v>
      </c>
      <c r="CP83" s="56">
        <v>8389.0657800000008</v>
      </c>
      <c r="CQ83" s="56">
        <v>6148.1378000000004</v>
      </c>
      <c r="CR83" s="56">
        <v>4476.4939299999996</v>
      </c>
      <c r="CS83" s="56">
        <v>27561.252059999999</v>
      </c>
      <c r="CT83" s="66" t="s">
        <v>62</v>
      </c>
      <c r="CU83" s="60" t="s">
        <v>195</v>
      </c>
    </row>
    <row r="84" spans="1:99" s="9" customFormat="1" ht="19.5" customHeight="1">
      <c r="A84" s="66" t="s">
        <v>63</v>
      </c>
      <c r="B84" s="60" t="s">
        <v>196</v>
      </c>
      <c r="C84" s="81">
        <v>31</v>
      </c>
      <c r="D84" s="81">
        <v>30.4</v>
      </c>
      <c r="E84" s="81">
        <v>45.6</v>
      </c>
      <c r="F84" s="81">
        <v>18.5</v>
      </c>
      <c r="G84" s="82">
        <f t="shared" si="8"/>
        <v>125.5</v>
      </c>
      <c r="H84" s="81">
        <v>21.1</v>
      </c>
      <c r="I84" s="81">
        <v>24</v>
      </c>
      <c r="J84" s="81">
        <v>85.5</v>
      </c>
      <c r="K84" s="81">
        <v>52.9</v>
      </c>
      <c r="L84" s="82">
        <f t="shared" si="11"/>
        <v>183.5</v>
      </c>
      <c r="M84" s="81">
        <v>86.6</v>
      </c>
      <c r="N84" s="81">
        <v>37.799999999999997</v>
      </c>
      <c r="O84" s="81">
        <v>120.4</v>
      </c>
      <c r="P84" s="81">
        <v>47.3</v>
      </c>
      <c r="Q84" s="82">
        <f t="shared" si="12"/>
        <v>292.10000000000002</v>
      </c>
      <c r="R84" s="81">
        <v>41</v>
      </c>
      <c r="S84" s="81">
        <v>130.30000000000001</v>
      </c>
      <c r="T84" s="81">
        <v>95.1</v>
      </c>
      <c r="U84" s="81">
        <v>180.3</v>
      </c>
      <c r="V84" s="83">
        <f t="shared" si="9"/>
        <v>446.7</v>
      </c>
      <c r="W84" s="81">
        <v>29.3</v>
      </c>
      <c r="X84" s="81">
        <v>112.1</v>
      </c>
      <c r="Y84" s="81">
        <v>110.5</v>
      </c>
      <c r="Z84" s="81">
        <v>51.7</v>
      </c>
      <c r="AA84" s="83">
        <f t="shared" si="7"/>
        <v>303.60000000000002</v>
      </c>
      <c r="AB84" s="81">
        <v>30.8</v>
      </c>
      <c r="AC84" s="81">
        <v>73.099999999999994</v>
      </c>
      <c r="AD84" s="81">
        <v>111.1</v>
      </c>
      <c r="AE84" s="81">
        <v>45.4</v>
      </c>
      <c r="AF84" s="81">
        <v>260.39999999999998</v>
      </c>
      <c r="AG84" s="84">
        <v>115.3</v>
      </c>
      <c r="AH84" s="84">
        <v>112.2</v>
      </c>
      <c r="AI84" s="84">
        <v>159.69999999999999</v>
      </c>
      <c r="AJ84" s="84">
        <v>101.5</v>
      </c>
      <c r="AK84" s="83">
        <f t="shared" si="10"/>
        <v>488.7</v>
      </c>
      <c r="AL84" s="83">
        <v>39.4</v>
      </c>
      <c r="AM84" s="83">
        <v>99.1</v>
      </c>
      <c r="AN84" s="83">
        <v>86.2</v>
      </c>
      <c r="AO84" s="83">
        <v>84.7</v>
      </c>
      <c r="AP84" s="83">
        <v>309.39999999999998</v>
      </c>
      <c r="AQ84" s="84">
        <v>57.5</v>
      </c>
      <c r="AR84" s="84">
        <v>84.8</v>
      </c>
      <c r="AS84" s="84">
        <v>126.9</v>
      </c>
      <c r="AT84" s="84">
        <v>90.5</v>
      </c>
      <c r="AU84" s="84">
        <v>359.7</v>
      </c>
      <c r="AV84" s="84">
        <v>26.4</v>
      </c>
      <c r="AW84" s="84">
        <v>134.5</v>
      </c>
      <c r="AX84" s="84">
        <v>305.2</v>
      </c>
      <c r="AY84" s="85">
        <v>60.7</v>
      </c>
      <c r="AZ84" s="84">
        <v>526.79999999999995</v>
      </c>
      <c r="BA84" s="84">
        <v>34.700000000000003</v>
      </c>
      <c r="BB84" s="84">
        <v>77.900000000000006</v>
      </c>
      <c r="BC84" s="84">
        <v>67.099999999999994</v>
      </c>
      <c r="BD84" s="86">
        <v>59</v>
      </c>
      <c r="BE84" s="84">
        <v>238.7</v>
      </c>
      <c r="BF84" s="84">
        <v>30.329039999999999</v>
      </c>
      <c r="BG84" s="87">
        <v>80.216539999999995</v>
      </c>
      <c r="BH84" s="88">
        <v>211.23281</v>
      </c>
      <c r="BI84" s="56">
        <v>94.194419999999994</v>
      </c>
      <c r="BJ84" s="56">
        <v>415.97280999999998</v>
      </c>
      <c r="BK84" s="56">
        <f>IF(188.70291="","-",188.70291)</f>
        <v>188.70291</v>
      </c>
      <c r="BL84" s="56">
        <f>IF(213.69845="","-",213.69845)</f>
        <v>213.69845000000001</v>
      </c>
      <c r="BM84" s="56">
        <f>IF(161.77202="","-",161.77202)</f>
        <v>161.77202</v>
      </c>
      <c r="BN84" s="56">
        <f>IF(99.91092="","-",99.91092)</f>
        <v>99.910920000000004</v>
      </c>
      <c r="BO84" s="56">
        <f>IF(664.0843="","-",664.0843)</f>
        <v>664.08429999999998</v>
      </c>
      <c r="BP84" s="56">
        <v>71.754450000000006</v>
      </c>
      <c r="BQ84" s="46">
        <v>126.63224</v>
      </c>
      <c r="BR84" s="46">
        <v>142.66166000000001</v>
      </c>
      <c r="BS84" s="56">
        <v>71.823520000000002</v>
      </c>
      <c r="BT84" s="56">
        <v>412.87187</v>
      </c>
      <c r="BU84" s="56">
        <v>101.78651000000001</v>
      </c>
      <c r="BV84" s="56">
        <v>110.19025000000001</v>
      </c>
      <c r="BW84" s="56">
        <v>149.82374999999999</v>
      </c>
      <c r="BX84" s="56">
        <v>51.87809</v>
      </c>
      <c r="BY84" s="56">
        <v>413.67860000000002</v>
      </c>
      <c r="BZ84" s="56">
        <v>47.675440000000002</v>
      </c>
      <c r="CA84" s="56">
        <v>49.729599999999998</v>
      </c>
      <c r="CB84" s="56">
        <v>103.39189</v>
      </c>
      <c r="CC84" s="56">
        <v>109.48452</v>
      </c>
      <c r="CD84" s="56">
        <v>310.28145000000001</v>
      </c>
      <c r="CE84" s="56">
        <v>335.46503000000001</v>
      </c>
      <c r="CF84" s="56">
        <v>199.58423999999999</v>
      </c>
      <c r="CG84" s="56">
        <v>305.14384000000001</v>
      </c>
      <c r="CH84" s="56">
        <v>169.48486</v>
      </c>
      <c r="CI84" s="56">
        <v>1009.67797</v>
      </c>
      <c r="CJ84" s="56">
        <v>302.79264000000001</v>
      </c>
      <c r="CK84" s="56">
        <v>343.26702</v>
      </c>
      <c r="CL84" s="56">
        <v>228.78816</v>
      </c>
      <c r="CM84" s="56">
        <v>211.14006000000001</v>
      </c>
      <c r="CN84" s="56">
        <v>1085.9878799999999</v>
      </c>
      <c r="CO84" s="56">
        <v>287.86365999999998</v>
      </c>
      <c r="CP84" s="56">
        <v>225.39169000000001</v>
      </c>
      <c r="CQ84" s="56">
        <v>330.64791000000002</v>
      </c>
      <c r="CR84" s="56">
        <v>159.38550000000001</v>
      </c>
      <c r="CS84" s="56">
        <v>1003.28876</v>
      </c>
      <c r="CT84" s="66" t="s">
        <v>63</v>
      </c>
      <c r="CU84" s="60" t="s">
        <v>196</v>
      </c>
    </row>
    <row r="85" spans="1:99" s="9" customFormat="1" ht="31.5">
      <c r="A85" s="66" t="s">
        <v>64</v>
      </c>
      <c r="B85" s="60" t="s">
        <v>248</v>
      </c>
      <c r="C85" s="82" t="s">
        <v>115</v>
      </c>
      <c r="D85" s="81">
        <v>18.399999999999999</v>
      </c>
      <c r="E85" s="81">
        <v>1.4</v>
      </c>
      <c r="F85" s="81">
        <v>1.2</v>
      </c>
      <c r="G85" s="82">
        <f t="shared" si="8"/>
        <v>20.999999999999996</v>
      </c>
      <c r="H85" s="82" t="s">
        <v>115</v>
      </c>
      <c r="I85" s="82" t="s">
        <v>115</v>
      </c>
      <c r="J85" s="81">
        <v>25.4</v>
      </c>
      <c r="K85" s="82" t="s">
        <v>115</v>
      </c>
      <c r="L85" s="82">
        <f t="shared" si="11"/>
        <v>25.4</v>
      </c>
      <c r="M85" s="81" t="s">
        <v>117</v>
      </c>
      <c r="N85" s="81">
        <v>11.8</v>
      </c>
      <c r="O85" s="81">
        <v>5.0999999999999996</v>
      </c>
      <c r="P85" s="81" t="s">
        <v>117</v>
      </c>
      <c r="Q85" s="82">
        <f t="shared" si="12"/>
        <v>16.899999999999999</v>
      </c>
      <c r="R85" s="81" t="s">
        <v>117</v>
      </c>
      <c r="S85" s="81" t="s">
        <v>117</v>
      </c>
      <c r="T85" s="81" t="s">
        <v>117</v>
      </c>
      <c r="U85" s="81">
        <v>0.6</v>
      </c>
      <c r="V85" s="83">
        <f t="shared" si="9"/>
        <v>0.6</v>
      </c>
      <c r="W85" s="81">
        <v>0.1</v>
      </c>
      <c r="X85" s="81" t="s">
        <v>117</v>
      </c>
      <c r="Y85" s="81">
        <v>2.8</v>
      </c>
      <c r="Z85" s="81" t="s">
        <v>117</v>
      </c>
      <c r="AA85" s="83">
        <f t="shared" si="7"/>
        <v>2.9</v>
      </c>
      <c r="AB85" s="81">
        <v>0.3</v>
      </c>
      <c r="AC85" s="81" t="s">
        <v>117</v>
      </c>
      <c r="AD85" s="81" t="s">
        <v>117</v>
      </c>
      <c r="AE85" s="81" t="s">
        <v>117</v>
      </c>
      <c r="AF85" s="81">
        <v>0.3</v>
      </c>
      <c r="AG85" s="84">
        <v>0.7</v>
      </c>
      <c r="AH85" s="84">
        <v>1.5</v>
      </c>
      <c r="AI85" s="84" t="s">
        <v>117</v>
      </c>
      <c r="AJ85" s="84" t="s">
        <v>117</v>
      </c>
      <c r="AK85" s="83">
        <f t="shared" si="10"/>
        <v>2.2000000000000002</v>
      </c>
      <c r="AL85" s="83" t="s">
        <v>117</v>
      </c>
      <c r="AM85" s="83" t="s">
        <v>117</v>
      </c>
      <c r="AN85" s="83" t="s">
        <v>117</v>
      </c>
      <c r="AO85" s="83" t="s">
        <v>117</v>
      </c>
      <c r="AP85" s="83" t="s">
        <v>117</v>
      </c>
      <c r="AQ85" s="84" t="s">
        <v>117</v>
      </c>
      <c r="AR85" s="83" t="s">
        <v>117</v>
      </c>
      <c r="AS85" s="84" t="s">
        <v>117</v>
      </c>
      <c r="AT85" s="84">
        <v>1.2</v>
      </c>
      <c r="AU85" s="84">
        <v>1.2</v>
      </c>
      <c r="AV85" s="84" t="s">
        <v>117</v>
      </c>
      <c r="AW85" s="84">
        <v>0.1</v>
      </c>
      <c r="AX85" s="84">
        <v>0.1</v>
      </c>
      <c r="AY85" s="84" t="s">
        <v>117</v>
      </c>
      <c r="AZ85" s="84">
        <v>0.2</v>
      </c>
      <c r="BA85" s="84" t="s">
        <v>117</v>
      </c>
      <c r="BB85" s="84" t="s">
        <v>117</v>
      </c>
      <c r="BC85" s="84">
        <v>0.1</v>
      </c>
      <c r="BD85" s="84" t="s">
        <v>117</v>
      </c>
      <c r="BE85" s="84">
        <v>0.1</v>
      </c>
      <c r="BF85" s="84" t="s">
        <v>117</v>
      </c>
      <c r="BG85" s="87">
        <v>5.04819</v>
      </c>
      <c r="BH85" s="88">
        <v>0.14036999999999999</v>
      </c>
      <c r="BI85" s="56">
        <v>0.36143999999999998</v>
      </c>
      <c r="BJ85" s="56">
        <v>5.55</v>
      </c>
      <c r="BK85" s="56" t="str">
        <f>IF(""="","-","")</f>
        <v>-</v>
      </c>
      <c r="BL85" s="56">
        <f>IF(5.92158="","-",5.92158)</f>
        <v>5.9215799999999996</v>
      </c>
      <c r="BM85" s="56">
        <f>IF(2.85756="","-",2.85756)</f>
        <v>2.8575599999999999</v>
      </c>
      <c r="BN85" s="56">
        <f>IF(0.15124="","-",0.15124)</f>
        <v>0.15124000000000001</v>
      </c>
      <c r="BO85" s="56">
        <f>IF(8.93038="","-",8.93038)</f>
        <v>8.9303799999999995</v>
      </c>
      <c r="BP85" s="56">
        <v>4.8000000000000001E-4</v>
      </c>
      <c r="BQ85" s="46">
        <v>0.11856</v>
      </c>
      <c r="BR85" s="46">
        <v>1.2257800000000001</v>
      </c>
      <c r="BS85" s="56">
        <v>0.38535999999999998</v>
      </c>
      <c r="BT85" s="56">
        <v>1.7301800000000001</v>
      </c>
      <c r="BU85" s="56">
        <v>3.4000000000000002E-4</v>
      </c>
      <c r="BV85" s="56">
        <v>0.11422</v>
      </c>
      <c r="BW85" s="56">
        <v>1.4726399999999999</v>
      </c>
      <c r="BX85" s="56">
        <v>3.8609999999999998E-2</v>
      </c>
      <c r="BY85" s="56">
        <v>1.62581</v>
      </c>
      <c r="BZ85" s="56">
        <v>0.18795999999999999</v>
      </c>
      <c r="CA85" s="56">
        <v>1.0149999999999999E-2</v>
      </c>
      <c r="CB85" s="56">
        <v>2.409E-2</v>
      </c>
      <c r="CC85" s="56" t="s">
        <v>117</v>
      </c>
      <c r="CD85" s="56">
        <v>0.22220000000000001</v>
      </c>
      <c r="CE85" s="56" t="s">
        <v>117</v>
      </c>
      <c r="CF85" s="56">
        <v>1.6219999999999998E-2</v>
      </c>
      <c r="CG85" s="56">
        <v>4.1849999999999998E-2</v>
      </c>
      <c r="CH85" s="56">
        <v>4.0640000000000003E-2</v>
      </c>
      <c r="CI85" s="56">
        <v>9.8710000000000006E-2</v>
      </c>
      <c r="CJ85" s="56">
        <v>2.74247</v>
      </c>
      <c r="CK85" s="56">
        <v>6.5180000000000002E-2</v>
      </c>
      <c r="CL85" s="56">
        <v>33.707349999999998</v>
      </c>
      <c r="CM85" s="56">
        <v>0.16858000000000001</v>
      </c>
      <c r="CN85" s="56">
        <v>36.683579999999999</v>
      </c>
      <c r="CO85" s="56">
        <v>8.7029999999999996E-2</v>
      </c>
      <c r="CP85" s="56">
        <v>2.1230199999999999</v>
      </c>
      <c r="CQ85" s="56">
        <v>0.95628000000000002</v>
      </c>
      <c r="CR85" s="56">
        <v>0.01</v>
      </c>
      <c r="CS85" s="56">
        <v>3.1763300000000001</v>
      </c>
      <c r="CT85" s="66" t="s">
        <v>64</v>
      </c>
      <c r="CU85" s="60" t="s">
        <v>248</v>
      </c>
    </row>
    <row r="86" spans="1:99" s="9" customFormat="1" ht="31.5">
      <c r="A86" s="66" t="s">
        <v>65</v>
      </c>
      <c r="B86" s="60" t="s">
        <v>197</v>
      </c>
      <c r="C86" s="82" t="s">
        <v>115</v>
      </c>
      <c r="D86" s="82" t="s">
        <v>115</v>
      </c>
      <c r="E86" s="82" t="s">
        <v>115</v>
      </c>
      <c r="F86" s="82" t="s">
        <v>115</v>
      </c>
      <c r="G86" s="82" t="s">
        <v>115</v>
      </c>
      <c r="H86" s="82" t="s">
        <v>115</v>
      </c>
      <c r="I86" s="81">
        <v>0.1</v>
      </c>
      <c r="J86" s="82" t="s">
        <v>115</v>
      </c>
      <c r="K86" s="82" t="s">
        <v>115</v>
      </c>
      <c r="L86" s="82">
        <f t="shared" si="11"/>
        <v>0.1</v>
      </c>
      <c r="M86" s="81" t="s">
        <v>117</v>
      </c>
      <c r="N86" s="81" t="s">
        <v>117</v>
      </c>
      <c r="O86" s="81">
        <v>0.9</v>
      </c>
      <c r="P86" s="81">
        <v>45.1</v>
      </c>
      <c r="Q86" s="82">
        <f t="shared" si="12"/>
        <v>46</v>
      </c>
      <c r="R86" s="81">
        <v>0.2</v>
      </c>
      <c r="S86" s="81" t="s">
        <v>117</v>
      </c>
      <c r="T86" s="81" t="s">
        <v>117</v>
      </c>
      <c r="U86" s="81" t="s">
        <v>117</v>
      </c>
      <c r="V86" s="83">
        <f t="shared" si="9"/>
        <v>0.2</v>
      </c>
      <c r="W86" s="81" t="s">
        <v>117</v>
      </c>
      <c r="X86" s="81" t="s">
        <v>117</v>
      </c>
      <c r="Y86" s="81" t="s">
        <v>117</v>
      </c>
      <c r="Z86" s="81" t="s">
        <v>117</v>
      </c>
      <c r="AA86" s="82" t="s">
        <v>115</v>
      </c>
      <c r="AB86" s="81" t="s">
        <v>117</v>
      </c>
      <c r="AC86" s="81">
        <v>0.1</v>
      </c>
      <c r="AD86" s="81">
        <v>6</v>
      </c>
      <c r="AE86" s="81" t="s">
        <v>117</v>
      </c>
      <c r="AF86" s="81">
        <v>6.1</v>
      </c>
      <c r="AG86" s="84" t="s">
        <v>117</v>
      </c>
      <c r="AH86" s="84" t="s">
        <v>117</v>
      </c>
      <c r="AI86" s="84" t="s">
        <v>117</v>
      </c>
      <c r="AJ86" s="84">
        <v>0.2</v>
      </c>
      <c r="AK86" s="83">
        <f t="shared" si="10"/>
        <v>0.2</v>
      </c>
      <c r="AL86" s="83" t="s">
        <v>117</v>
      </c>
      <c r="AM86" s="83">
        <v>6.5</v>
      </c>
      <c r="AN86" s="83" t="s">
        <v>117</v>
      </c>
      <c r="AO86" s="83">
        <v>0.2</v>
      </c>
      <c r="AP86" s="83">
        <v>6.7</v>
      </c>
      <c r="AQ86" s="84">
        <v>0.2</v>
      </c>
      <c r="AR86" s="83" t="s">
        <v>117</v>
      </c>
      <c r="AS86" s="84">
        <v>2.4</v>
      </c>
      <c r="AT86" s="84">
        <v>1.5</v>
      </c>
      <c r="AU86" s="84">
        <v>4.0999999999999996</v>
      </c>
      <c r="AV86" s="84">
        <v>0.8</v>
      </c>
      <c r="AW86" s="84">
        <v>7</v>
      </c>
      <c r="AX86" s="84">
        <v>5.0999999999999996</v>
      </c>
      <c r="AY86" s="85">
        <v>0.6</v>
      </c>
      <c r="AZ86" s="84">
        <v>13.5</v>
      </c>
      <c r="BA86" s="84">
        <v>3.3</v>
      </c>
      <c r="BB86" s="84">
        <v>7.9</v>
      </c>
      <c r="BC86" s="84">
        <v>7.2</v>
      </c>
      <c r="BD86" s="86">
        <v>1</v>
      </c>
      <c r="BE86" s="84">
        <v>19.399999999999999</v>
      </c>
      <c r="BF86" s="84">
        <v>4.7227499999999996</v>
      </c>
      <c r="BG86" s="87">
        <v>2.5077400000000001</v>
      </c>
      <c r="BH86" s="88">
        <v>5.8468600000000004</v>
      </c>
      <c r="BI86" s="56">
        <v>4.2062999999999997</v>
      </c>
      <c r="BJ86" s="56">
        <v>17.283650000000002</v>
      </c>
      <c r="BK86" s="56">
        <f>IF(7.42307="","-",7.42307)</f>
        <v>7.4230700000000001</v>
      </c>
      <c r="BL86" s="56">
        <f>IF(2.15387="","-",2.15387)</f>
        <v>2.15387</v>
      </c>
      <c r="BM86" s="56">
        <f>IF(8.54196="","-",8.54196)</f>
        <v>8.5419599999999996</v>
      </c>
      <c r="BN86" s="56">
        <f>IF(12.76326="","-",12.76326)</f>
        <v>12.763260000000001</v>
      </c>
      <c r="BO86" s="56">
        <f>IF(30.88216="","-",30.88216)</f>
        <v>30.882159999999999</v>
      </c>
      <c r="BP86" s="56">
        <v>2.2503899999999999</v>
      </c>
      <c r="BQ86" s="46">
        <v>0.40827999999999998</v>
      </c>
      <c r="BR86" s="46">
        <v>3.1748699999999999</v>
      </c>
      <c r="BS86" s="56">
        <v>8.0292999999999992</v>
      </c>
      <c r="BT86" s="56">
        <v>13.86284</v>
      </c>
      <c r="BU86" s="56">
        <v>0.20344999999999999</v>
      </c>
      <c r="BV86" s="56">
        <v>3.0318700000000001</v>
      </c>
      <c r="BW86" s="56">
        <v>1.35303</v>
      </c>
      <c r="BX86" s="56">
        <v>17.450089999999999</v>
      </c>
      <c r="BY86" s="56">
        <v>22.038440000000001</v>
      </c>
      <c r="BZ86" s="56">
        <v>2.51695</v>
      </c>
      <c r="CA86" s="56">
        <v>2.0734499999999998</v>
      </c>
      <c r="CB86" s="56">
        <v>3.4960300000000002</v>
      </c>
      <c r="CC86" s="56">
        <v>10.41395</v>
      </c>
      <c r="CD86" s="56">
        <v>18.50038</v>
      </c>
      <c r="CE86" s="56">
        <v>10.18938</v>
      </c>
      <c r="CF86" s="56">
        <v>1.93459</v>
      </c>
      <c r="CG86" s="56">
        <v>4.9610000000000003</v>
      </c>
      <c r="CH86" s="56">
        <v>14.796860000000001</v>
      </c>
      <c r="CI86" s="56">
        <v>31.881830000000001</v>
      </c>
      <c r="CJ86" s="56">
        <v>13.119870000000001</v>
      </c>
      <c r="CK86" s="56">
        <v>10.72974</v>
      </c>
      <c r="CL86" s="56">
        <v>10.174340000000001</v>
      </c>
      <c r="CM86" s="56">
        <v>21.111529999999998</v>
      </c>
      <c r="CN86" s="56">
        <v>55.135480000000001</v>
      </c>
      <c r="CO86" s="56">
        <v>8.6613699999999998</v>
      </c>
      <c r="CP86" s="56">
        <v>2.69963</v>
      </c>
      <c r="CQ86" s="56">
        <v>19.841989999999999</v>
      </c>
      <c r="CR86" s="56">
        <v>3.9936600000000002</v>
      </c>
      <c r="CS86" s="56">
        <v>35.196649999999998</v>
      </c>
      <c r="CT86" s="66" t="s">
        <v>65</v>
      </c>
      <c r="CU86" s="60" t="s">
        <v>197</v>
      </c>
    </row>
    <row r="87" spans="1:99" s="9" customFormat="1" ht="47.25">
      <c r="A87" s="65" t="s">
        <v>106</v>
      </c>
      <c r="B87" s="59" t="s">
        <v>198</v>
      </c>
      <c r="C87" s="72">
        <v>3648</v>
      </c>
      <c r="D87" s="72">
        <v>4540</v>
      </c>
      <c r="E87" s="72">
        <v>4673.8999999999996</v>
      </c>
      <c r="F87" s="72">
        <v>5861.6</v>
      </c>
      <c r="G87" s="72">
        <f t="shared" si="8"/>
        <v>18723.5</v>
      </c>
      <c r="H87" s="72">
        <v>4510.1000000000004</v>
      </c>
      <c r="I87" s="72">
        <v>6974.4</v>
      </c>
      <c r="J87" s="72">
        <v>10508.9</v>
      </c>
      <c r="K87" s="72">
        <v>10590</v>
      </c>
      <c r="L87" s="72">
        <f t="shared" si="11"/>
        <v>32583.4</v>
      </c>
      <c r="M87" s="72">
        <v>9015.2000000000007</v>
      </c>
      <c r="N87" s="72">
        <v>12798.7</v>
      </c>
      <c r="O87" s="72">
        <v>14366.5</v>
      </c>
      <c r="P87" s="72">
        <v>15092.5</v>
      </c>
      <c r="Q87" s="72">
        <f t="shared" si="12"/>
        <v>51272.9</v>
      </c>
      <c r="R87" s="72">
        <v>12258.4</v>
      </c>
      <c r="S87" s="72">
        <v>16232.6</v>
      </c>
      <c r="T87" s="72">
        <v>14160.6</v>
      </c>
      <c r="U87" s="72">
        <v>9851.2999999999993</v>
      </c>
      <c r="V87" s="75">
        <f t="shared" si="9"/>
        <v>52502.899999999994</v>
      </c>
      <c r="W87" s="72">
        <v>5065.1000000000004</v>
      </c>
      <c r="X87" s="72">
        <v>6224.1</v>
      </c>
      <c r="Y87" s="72">
        <v>7974.2</v>
      </c>
      <c r="Z87" s="72">
        <v>6567.7</v>
      </c>
      <c r="AA87" s="75">
        <f t="shared" si="7"/>
        <v>25831.100000000002</v>
      </c>
      <c r="AB87" s="72">
        <v>5745.8</v>
      </c>
      <c r="AC87" s="72">
        <v>8439.5</v>
      </c>
      <c r="AD87" s="72">
        <v>10497.7</v>
      </c>
      <c r="AE87" s="72">
        <v>10643</v>
      </c>
      <c r="AF87" s="72">
        <v>35326</v>
      </c>
      <c r="AG87" s="76">
        <v>7771</v>
      </c>
      <c r="AH87" s="76">
        <v>13187.1</v>
      </c>
      <c r="AI87" s="76">
        <v>13983.8</v>
      </c>
      <c r="AJ87" s="76">
        <v>11228.6</v>
      </c>
      <c r="AK87" s="75">
        <f t="shared" si="10"/>
        <v>46170.499999999993</v>
      </c>
      <c r="AL87" s="75">
        <v>8226.6</v>
      </c>
      <c r="AM87" s="75">
        <v>8826.1</v>
      </c>
      <c r="AN87" s="75">
        <v>10790.1</v>
      </c>
      <c r="AO87" s="75">
        <v>9933.9</v>
      </c>
      <c r="AP87" s="75">
        <v>37776.699999999997</v>
      </c>
      <c r="AQ87" s="75">
        <v>9698.6</v>
      </c>
      <c r="AR87" s="75">
        <v>15163.4</v>
      </c>
      <c r="AS87" s="75">
        <v>19459.400000000001</v>
      </c>
      <c r="AT87" s="75">
        <v>13805.4</v>
      </c>
      <c r="AU87" s="75">
        <v>58126.8</v>
      </c>
      <c r="AV87" s="76">
        <v>13626.1</v>
      </c>
      <c r="AW87" s="76">
        <v>16600</v>
      </c>
      <c r="AX87" s="70">
        <v>17853.2</v>
      </c>
      <c r="AY87" s="78">
        <v>10591.2</v>
      </c>
      <c r="AZ87" s="76">
        <v>58670.5</v>
      </c>
      <c r="BA87" s="76">
        <v>8203.1</v>
      </c>
      <c r="BB87" s="70">
        <v>11344.8</v>
      </c>
      <c r="BC87" s="76">
        <v>12885</v>
      </c>
      <c r="BD87" s="79">
        <v>9345.9</v>
      </c>
      <c r="BE87" s="76">
        <v>41778.800000000003</v>
      </c>
      <c r="BF87" s="76">
        <v>8078.0889100000004</v>
      </c>
      <c r="BG87" s="80">
        <v>12667.546850000001</v>
      </c>
      <c r="BH87" s="91">
        <v>13929.30647</v>
      </c>
      <c r="BI87" s="55">
        <v>9649.7401399999999</v>
      </c>
      <c r="BJ87" s="55">
        <v>44324.682370000002</v>
      </c>
      <c r="BK87" s="55">
        <f>IF(7976.62277="","-",7976.62277)</f>
        <v>7976.6227699999999</v>
      </c>
      <c r="BL87" s="55">
        <f>IF(9775.6422="","-",9775.6422)</f>
        <v>9775.6422000000002</v>
      </c>
      <c r="BM87" s="55">
        <f>IF(12557.85929="","-",12557.85929)</f>
        <v>12557.85929</v>
      </c>
      <c r="BN87" s="55">
        <f>IF(11769.53095="","-",11769.53095)</f>
        <v>11769.53095</v>
      </c>
      <c r="BO87" s="55">
        <f>IF(42079.6552099999="","-",42079.6552099999)</f>
        <v>42079.655209999903</v>
      </c>
      <c r="BP87" s="55">
        <v>12567.59042</v>
      </c>
      <c r="BQ87" s="45">
        <v>14911.49937</v>
      </c>
      <c r="BR87" s="45">
        <v>15616.50974</v>
      </c>
      <c r="BS87" s="55">
        <v>13189.23732</v>
      </c>
      <c r="BT87" s="55">
        <v>56284.83685</v>
      </c>
      <c r="BU87" s="55">
        <v>11841.080029999999</v>
      </c>
      <c r="BV87" s="55">
        <v>14080.7593</v>
      </c>
      <c r="BW87" s="55">
        <v>16444.598020000001</v>
      </c>
      <c r="BX87" s="55">
        <v>13227.24762</v>
      </c>
      <c r="BY87" s="55">
        <v>55593.684970000002</v>
      </c>
      <c r="BZ87" s="55">
        <v>13926.91084</v>
      </c>
      <c r="CA87" s="55">
        <v>12455.087020000001</v>
      </c>
      <c r="CB87" s="55">
        <v>17678.51382</v>
      </c>
      <c r="CC87" s="55">
        <v>15440.506939999999</v>
      </c>
      <c r="CD87" s="55">
        <v>59501.018620000003</v>
      </c>
      <c r="CE87" s="55">
        <v>15696.91798</v>
      </c>
      <c r="CF87" s="55">
        <v>20627.758310000001</v>
      </c>
      <c r="CG87" s="55">
        <v>23553.581450000001</v>
      </c>
      <c r="CH87" s="55">
        <v>23148.148109999998</v>
      </c>
      <c r="CI87" s="55">
        <v>83026.405849999996</v>
      </c>
      <c r="CJ87" s="55">
        <v>28181.78671</v>
      </c>
      <c r="CK87" s="55">
        <v>28571.812689999999</v>
      </c>
      <c r="CL87" s="55">
        <v>33474.27968</v>
      </c>
      <c r="CM87" s="55">
        <v>31095.38637</v>
      </c>
      <c r="CN87" s="55">
        <v>121323.26545000001</v>
      </c>
      <c r="CO87" s="55">
        <v>34505.680439999996</v>
      </c>
      <c r="CP87" s="55">
        <v>30717.487000000001</v>
      </c>
      <c r="CQ87" s="55">
        <v>28100.189020000002</v>
      </c>
      <c r="CR87" s="55">
        <v>21937.968769999999</v>
      </c>
      <c r="CS87" s="55">
        <v>115261.32523</v>
      </c>
      <c r="CT87" s="65" t="s">
        <v>106</v>
      </c>
      <c r="CU87" s="59" t="s">
        <v>198</v>
      </c>
    </row>
    <row r="88" spans="1:99" s="9" customFormat="1" ht="33" customHeight="1">
      <c r="A88" s="66" t="s">
        <v>66</v>
      </c>
      <c r="B88" s="60" t="s">
        <v>199</v>
      </c>
      <c r="C88" s="81">
        <v>335.1</v>
      </c>
      <c r="D88" s="81">
        <v>462.1</v>
      </c>
      <c r="E88" s="81">
        <v>384.9</v>
      </c>
      <c r="F88" s="81">
        <v>473.4</v>
      </c>
      <c r="G88" s="82">
        <f t="shared" si="8"/>
        <v>1655.5</v>
      </c>
      <c r="H88" s="81">
        <v>473.6</v>
      </c>
      <c r="I88" s="81">
        <v>588.1</v>
      </c>
      <c r="J88" s="81">
        <v>615.4</v>
      </c>
      <c r="K88" s="81">
        <v>693.2</v>
      </c>
      <c r="L88" s="82">
        <f t="shared" si="11"/>
        <v>2370.3000000000002</v>
      </c>
      <c r="M88" s="81">
        <v>812</v>
      </c>
      <c r="N88" s="81">
        <v>823.8</v>
      </c>
      <c r="O88" s="81">
        <v>1100.7</v>
      </c>
      <c r="P88" s="81">
        <v>893.9</v>
      </c>
      <c r="Q88" s="82">
        <f t="shared" si="12"/>
        <v>3630.4</v>
      </c>
      <c r="R88" s="81">
        <v>1013.8</v>
      </c>
      <c r="S88" s="81">
        <v>835.3</v>
      </c>
      <c r="T88" s="81">
        <v>817.8</v>
      </c>
      <c r="U88" s="81">
        <v>389.1</v>
      </c>
      <c r="V88" s="83">
        <f t="shared" si="9"/>
        <v>3055.9999999999995</v>
      </c>
      <c r="W88" s="81">
        <v>280</v>
      </c>
      <c r="X88" s="81">
        <v>272.60000000000002</v>
      </c>
      <c r="Y88" s="81">
        <v>261.89999999999998</v>
      </c>
      <c r="Z88" s="81">
        <v>185.4</v>
      </c>
      <c r="AA88" s="83">
        <f t="shared" si="7"/>
        <v>999.9</v>
      </c>
      <c r="AB88" s="81">
        <v>117</v>
      </c>
      <c r="AC88" s="81">
        <v>204.6</v>
      </c>
      <c r="AD88" s="81">
        <v>202.5</v>
      </c>
      <c r="AE88" s="81">
        <v>156.80000000000001</v>
      </c>
      <c r="AF88" s="81">
        <v>680.9</v>
      </c>
      <c r="AG88" s="84">
        <v>196.1</v>
      </c>
      <c r="AH88" s="84">
        <v>500.6</v>
      </c>
      <c r="AI88" s="84">
        <v>934</v>
      </c>
      <c r="AJ88" s="84">
        <v>715.6</v>
      </c>
      <c r="AK88" s="83">
        <f t="shared" si="10"/>
        <v>2346.3000000000002</v>
      </c>
      <c r="AL88" s="83">
        <v>342.6</v>
      </c>
      <c r="AM88" s="83">
        <v>650.70000000000005</v>
      </c>
      <c r="AN88" s="83">
        <v>303.2</v>
      </c>
      <c r="AO88" s="83">
        <v>301.3</v>
      </c>
      <c r="AP88" s="83">
        <v>1597.8</v>
      </c>
      <c r="AQ88" s="83">
        <v>205.6</v>
      </c>
      <c r="AR88" s="84">
        <v>285.60000000000002</v>
      </c>
      <c r="AS88" s="84">
        <v>361.3</v>
      </c>
      <c r="AT88" s="84">
        <v>293</v>
      </c>
      <c r="AU88" s="84">
        <v>1145.5</v>
      </c>
      <c r="AV88" s="84">
        <v>162.80000000000001</v>
      </c>
      <c r="AW88" s="84">
        <v>245</v>
      </c>
      <c r="AX88" s="84">
        <v>317.3</v>
      </c>
      <c r="AY88" s="85">
        <v>233.2</v>
      </c>
      <c r="AZ88" s="84">
        <v>958.3</v>
      </c>
      <c r="BA88" s="84">
        <v>174.9</v>
      </c>
      <c r="BB88" s="84">
        <v>249.2</v>
      </c>
      <c r="BC88" s="84">
        <v>489.9</v>
      </c>
      <c r="BD88" s="86">
        <v>436.9</v>
      </c>
      <c r="BE88" s="84">
        <v>1350.9</v>
      </c>
      <c r="BF88" s="84">
        <v>328.89255000000003</v>
      </c>
      <c r="BG88" s="87">
        <v>249.72490999999999</v>
      </c>
      <c r="BH88" s="88">
        <v>438.97131000000002</v>
      </c>
      <c r="BI88" s="56">
        <v>268.13745</v>
      </c>
      <c r="BJ88" s="56">
        <v>1285.72622</v>
      </c>
      <c r="BK88" s="56">
        <f>IF(157.81086="","-",157.81086)</f>
        <v>157.81085999999999</v>
      </c>
      <c r="BL88" s="56">
        <f>IF(313.30542="","-",313.30542)</f>
        <v>313.30542000000003</v>
      </c>
      <c r="BM88" s="56">
        <f>IF(270.23078="","-",270.23078)</f>
        <v>270.23077999999998</v>
      </c>
      <c r="BN88" s="56">
        <f>IF(218.78054="","-",218.78054)</f>
        <v>218.78054</v>
      </c>
      <c r="BO88" s="56">
        <f>IF(960.1276="","-",960.1276)</f>
        <v>960.12760000000003</v>
      </c>
      <c r="BP88" s="56">
        <v>186.66548</v>
      </c>
      <c r="BQ88" s="46">
        <v>759.16287999999997</v>
      </c>
      <c r="BR88" s="46">
        <v>1150.29252</v>
      </c>
      <c r="BS88" s="56">
        <v>813.57956000000001</v>
      </c>
      <c r="BT88" s="56">
        <v>2909.7004400000001</v>
      </c>
      <c r="BU88" s="56">
        <v>307.61194999999998</v>
      </c>
      <c r="BV88" s="56">
        <v>421.98084</v>
      </c>
      <c r="BW88" s="56">
        <v>419.61147</v>
      </c>
      <c r="BX88" s="56">
        <v>374.39181000000002</v>
      </c>
      <c r="BY88" s="56">
        <v>1523.5960700000001</v>
      </c>
      <c r="BZ88" s="56">
        <v>327.94294000000002</v>
      </c>
      <c r="CA88" s="56">
        <v>317.87880000000001</v>
      </c>
      <c r="CB88" s="56">
        <v>550.37940000000003</v>
      </c>
      <c r="CC88" s="56">
        <v>1024.0048999999999</v>
      </c>
      <c r="CD88" s="56">
        <v>2220.20604</v>
      </c>
      <c r="CE88" s="56">
        <v>432.43700000000001</v>
      </c>
      <c r="CF88" s="56">
        <v>648.16042000000004</v>
      </c>
      <c r="CG88" s="56">
        <v>706.55655000000002</v>
      </c>
      <c r="CH88" s="56">
        <v>910.68676000000005</v>
      </c>
      <c r="CI88" s="56">
        <v>2697.8407299999999</v>
      </c>
      <c r="CJ88" s="56">
        <v>592.52449999999999</v>
      </c>
      <c r="CK88" s="56">
        <v>992.46956999999998</v>
      </c>
      <c r="CL88" s="56">
        <v>805.59253999999999</v>
      </c>
      <c r="CM88" s="56">
        <v>819.00121000000001</v>
      </c>
      <c r="CN88" s="56">
        <v>3209.5878200000002</v>
      </c>
      <c r="CO88" s="56">
        <v>1037.94452</v>
      </c>
      <c r="CP88" s="56">
        <v>1032.5266200000001</v>
      </c>
      <c r="CQ88" s="56">
        <v>916.66558999999995</v>
      </c>
      <c r="CR88" s="56">
        <v>511.05430000000001</v>
      </c>
      <c r="CS88" s="56">
        <v>3498.19103</v>
      </c>
      <c r="CT88" s="66" t="s">
        <v>66</v>
      </c>
      <c r="CU88" s="60" t="s">
        <v>199</v>
      </c>
    </row>
    <row r="89" spans="1:99" s="9" customFormat="1" ht="18" customHeight="1">
      <c r="A89" s="66" t="s">
        <v>67</v>
      </c>
      <c r="B89" s="60" t="s">
        <v>200</v>
      </c>
      <c r="C89" s="81">
        <v>627.1</v>
      </c>
      <c r="D89" s="81">
        <v>637.6</v>
      </c>
      <c r="E89" s="81">
        <v>304.8</v>
      </c>
      <c r="F89" s="81">
        <v>458.6</v>
      </c>
      <c r="G89" s="82">
        <f t="shared" si="8"/>
        <v>2028.1</v>
      </c>
      <c r="H89" s="81">
        <v>151.1</v>
      </c>
      <c r="I89" s="81">
        <v>458.1</v>
      </c>
      <c r="J89" s="81">
        <v>665.5</v>
      </c>
      <c r="K89" s="81">
        <v>787.5</v>
      </c>
      <c r="L89" s="82">
        <f t="shared" si="11"/>
        <v>2062.1999999999998</v>
      </c>
      <c r="M89" s="81">
        <v>1392.7</v>
      </c>
      <c r="N89" s="81">
        <v>1753.7</v>
      </c>
      <c r="O89" s="81">
        <v>2518.8000000000002</v>
      </c>
      <c r="P89" s="81">
        <v>1888.4</v>
      </c>
      <c r="Q89" s="82">
        <f t="shared" si="12"/>
        <v>7553.6</v>
      </c>
      <c r="R89" s="81">
        <v>2008.4</v>
      </c>
      <c r="S89" s="81">
        <v>2477</v>
      </c>
      <c r="T89" s="81">
        <v>1652.2</v>
      </c>
      <c r="U89" s="81">
        <v>827.6</v>
      </c>
      <c r="V89" s="83">
        <f t="shared" si="9"/>
        <v>6965.2</v>
      </c>
      <c r="W89" s="81">
        <v>248.4</v>
      </c>
      <c r="X89" s="81">
        <v>549.70000000000005</v>
      </c>
      <c r="Y89" s="81">
        <v>673.1</v>
      </c>
      <c r="Z89" s="81">
        <v>368</v>
      </c>
      <c r="AA89" s="83">
        <f t="shared" si="7"/>
        <v>1839.2</v>
      </c>
      <c r="AB89" s="81">
        <v>175.3</v>
      </c>
      <c r="AC89" s="81">
        <v>444.3</v>
      </c>
      <c r="AD89" s="81">
        <v>637.79999999999995</v>
      </c>
      <c r="AE89" s="81">
        <v>656.2</v>
      </c>
      <c r="AF89" s="81">
        <v>1913.6</v>
      </c>
      <c r="AG89" s="84">
        <v>852.5</v>
      </c>
      <c r="AH89" s="84">
        <v>1715.1</v>
      </c>
      <c r="AI89" s="84">
        <v>1746.6</v>
      </c>
      <c r="AJ89" s="84">
        <v>1071.5</v>
      </c>
      <c r="AK89" s="83">
        <f t="shared" si="10"/>
        <v>5385.7</v>
      </c>
      <c r="AL89" s="83">
        <v>1060.5999999999999</v>
      </c>
      <c r="AM89" s="83">
        <v>759.4</v>
      </c>
      <c r="AN89" s="83">
        <v>1035.4000000000001</v>
      </c>
      <c r="AO89" s="83">
        <v>844.1</v>
      </c>
      <c r="AP89" s="83">
        <v>3699.5</v>
      </c>
      <c r="AQ89" s="83">
        <v>1042.9000000000001</v>
      </c>
      <c r="AR89" s="83">
        <v>1079.8</v>
      </c>
      <c r="AS89" s="83">
        <v>1401.9</v>
      </c>
      <c r="AT89" s="83">
        <v>1170.0999999999999</v>
      </c>
      <c r="AU89" s="83">
        <v>4694.7</v>
      </c>
      <c r="AV89" s="84">
        <v>1398.4</v>
      </c>
      <c r="AW89" s="84">
        <v>874.8</v>
      </c>
      <c r="AX89" s="83">
        <v>633.29999999999995</v>
      </c>
      <c r="AY89" s="85">
        <v>232.8</v>
      </c>
      <c r="AZ89" s="84">
        <v>3139.3</v>
      </c>
      <c r="BA89" s="84">
        <v>129.80000000000001</v>
      </c>
      <c r="BB89" s="84">
        <v>262</v>
      </c>
      <c r="BC89" s="84">
        <v>458</v>
      </c>
      <c r="BD89" s="86">
        <v>169.4</v>
      </c>
      <c r="BE89" s="84">
        <v>1019.2</v>
      </c>
      <c r="BF89" s="84">
        <v>258.08501999999999</v>
      </c>
      <c r="BG89" s="87">
        <v>392.577</v>
      </c>
      <c r="BH89" s="88">
        <v>598.98512000000005</v>
      </c>
      <c r="BI89" s="56">
        <v>461.60124999999999</v>
      </c>
      <c r="BJ89" s="56">
        <v>1711.24839</v>
      </c>
      <c r="BK89" s="56">
        <f>IF(397.6486="","-",397.6486)</f>
        <v>397.64859999999999</v>
      </c>
      <c r="BL89" s="56">
        <f>IF(636.55582="","-",636.55582)</f>
        <v>636.55582000000004</v>
      </c>
      <c r="BM89" s="56">
        <f>IF(763.34875="","-",763.34875)</f>
        <v>763.34875</v>
      </c>
      <c r="BN89" s="56">
        <f>IF(609.82608="","-",609.82608)</f>
        <v>609.82608000000005</v>
      </c>
      <c r="BO89" s="56">
        <f>IF(2407.37925="","-",2407.37925)</f>
        <v>2407.37925</v>
      </c>
      <c r="BP89" s="56">
        <v>584.18677000000002</v>
      </c>
      <c r="BQ89" s="46">
        <v>744.16418999999996</v>
      </c>
      <c r="BR89" s="46">
        <v>599.50449000000003</v>
      </c>
      <c r="BS89" s="56">
        <v>338.19477999999998</v>
      </c>
      <c r="BT89" s="56">
        <v>2266.0502299999998</v>
      </c>
      <c r="BU89" s="56">
        <v>405.64744000000002</v>
      </c>
      <c r="BV89" s="56">
        <v>686.15525000000002</v>
      </c>
      <c r="BW89" s="56">
        <v>850.27383999999995</v>
      </c>
      <c r="BX89" s="56">
        <v>504.67547000000002</v>
      </c>
      <c r="BY89" s="56">
        <v>2446.752</v>
      </c>
      <c r="BZ89" s="56">
        <v>638.25715000000002</v>
      </c>
      <c r="CA89" s="56">
        <v>742.06754000000001</v>
      </c>
      <c r="CB89" s="56">
        <v>1241.5059699999999</v>
      </c>
      <c r="CC89" s="56">
        <v>834.21277999999995</v>
      </c>
      <c r="CD89" s="56">
        <v>3456.0434399999999</v>
      </c>
      <c r="CE89" s="56">
        <v>767.67638999999997</v>
      </c>
      <c r="CF89" s="56">
        <v>1265.0443499999999</v>
      </c>
      <c r="CG89" s="56">
        <v>1306.4763499999999</v>
      </c>
      <c r="CH89" s="56">
        <v>1328.34952</v>
      </c>
      <c r="CI89" s="56">
        <v>4667.5466100000003</v>
      </c>
      <c r="CJ89" s="56">
        <v>919.94410000000005</v>
      </c>
      <c r="CK89" s="56">
        <v>1027.8952200000001</v>
      </c>
      <c r="CL89" s="56">
        <v>796.40698999999995</v>
      </c>
      <c r="CM89" s="56">
        <v>481.80115000000001</v>
      </c>
      <c r="CN89" s="56">
        <v>3226.0474599999998</v>
      </c>
      <c r="CO89" s="56">
        <v>251.25631000000001</v>
      </c>
      <c r="CP89" s="56">
        <v>335.46222</v>
      </c>
      <c r="CQ89" s="56">
        <v>405.76648999999998</v>
      </c>
      <c r="CR89" s="56">
        <v>405.17993999999999</v>
      </c>
      <c r="CS89" s="56">
        <v>1397.6649600000001</v>
      </c>
      <c r="CT89" s="66" t="s">
        <v>67</v>
      </c>
      <c r="CU89" s="60" t="s">
        <v>200</v>
      </c>
    </row>
    <row r="90" spans="1:99" s="9" customFormat="1" ht="15.75">
      <c r="A90" s="66" t="s">
        <v>68</v>
      </c>
      <c r="B90" s="60" t="s">
        <v>201</v>
      </c>
      <c r="C90" s="81">
        <v>2685.8</v>
      </c>
      <c r="D90" s="81">
        <v>3440.3</v>
      </c>
      <c r="E90" s="81">
        <v>3984.2</v>
      </c>
      <c r="F90" s="81">
        <v>4929.6000000000004</v>
      </c>
      <c r="G90" s="82">
        <f t="shared" si="8"/>
        <v>15039.9</v>
      </c>
      <c r="H90" s="81">
        <v>3885.4</v>
      </c>
      <c r="I90" s="81">
        <v>5928.2</v>
      </c>
      <c r="J90" s="81">
        <v>9228</v>
      </c>
      <c r="K90" s="81">
        <v>9109.2999999999993</v>
      </c>
      <c r="L90" s="82">
        <f t="shared" si="11"/>
        <v>28150.899999999998</v>
      </c>
      <c r="M90" s="81">
        <v>6810.5</v>
      </c>
      <c r="N90" s="81">
        <v>10221.200000000001</v>
      </c>
      <c r="O90" s="81">
        <v>10747</v>
      </c>
      <c r="P90" s="81">
        <v>12310.2</v>
      </c>
      <c r="Q90" s="82">
        <f t="shared" si="12"/>
        <v>40088.9</v>
      </c>
      <c r="R90" s="81">
        <v>9236.2000000000007</v>
      </c>
      <c r="S90" s="81">
        <v>12920.3</v>
      </c>
      <c r="T90" s="81">
        <v>11690.6</v>
      </c>
      <c r="U90" s="81">
        <v>8634.6</v>
      </c>
      <c r="V90" s="83">
        <f t="shared" si="9"/>
        <v>42481.7</v>
      </c>
      <c r="W90" s="81">
        <v>4536.7</v>
      </c>
      <c r="X90" s="81">
        <v>5401.8</v>
      </c>
      <c r="Y90" s="81">
        <v>7039.2</v>
      </c>
      <c r="Z90" s="81">
        <v>6014.3</v>
      </c>
      <c r="AA90" s="83">
        <f t="shared" si="7"/>
        <v>22992</v>
      </c>
      <c r="AB90" s="81">
        <v>5453.5</v>
      </c>
      <c r="AC90" s="81">
        <v>7790.6</v>
      </c>
      <c r="AD90" s="81">
        <v>9657.4</v>
      </c>
      <c r="AE90" s="81">
        <v>9830</v>
      </c>
      <c r="AF90" s="81">
        <v>32731.5</v>
      </c>
      <c r="AG90" s="84">
        <v>6722.4</v>
      </c>
      <c r="AH90" s="84">
        <v>10971.4</v>
      </c>
      <c r="AI90" s="84">
        <v>11303.2</v>
      </c>
      <c r="AJ90" s="84">
        <v>9441.5</v>
      </c>
      <c r="AK90" s="83">
        <f t="shared" si="10"/>
        <v>38438.5</v>
      </c>
      <c r="AL90" s="83">
        <v>6823.4</v>
      </c>
      <c r="AM90" s="83">
        <v>7416</v>
      </c>
      <c r="AN90" s="83">
        <v>9451.5</v>
      </c>
      <c r="AO90" s="83">
        <v>8788.5</v>
      </c>
      <c r="AP90" s="83">
        <v>32479.4</v>
      </c>
      <c r="AQ90" s="83">
        <v>8450.1</v>
      </c>
      <c r="AR90" s="83">
        <v>13798</v>
      </c>
      <c r="AS90" s="83">
        <v>17696.2</v>
      </c>
      <c r="AT90" s="83">
        <v>12342.3</v>
      </c>
      <c r="AU90" s="83">
        <v>52286.6</v>
      </c>
      <c r="AV90" s="84">
        <v>12064.9</v>
      </c>
      <c r="AW90" s="84">
        <v>15480.2</v>
      </c>
      <c r="AX90" s="83">
        <v>16902.599999999999</v>
      </c>
      <c r="AY90" s="85">
        <v>10125.200000000001</v>
      </c>
      <c r="AZ90" s="84">
        <v>54572.9</v>
      </c>
      <c r="BA90" s="84">
        <v>7898.4</v>
      </c>
      <c r="BB90" s="83">
        <v>10833.6</v>
      </c>
      <c r="BC90" s="84">
        <v>11937.1</v>
      </c>
      <c r="BD90" s="86">
        <v>8739.6</v>
      </c>
      <c r="BE90" s="84">
        <v>39408.699999999997</v>
      </c>
      <c r="BF90" s="84">
        <v>7491.1113400000004</v>
      </c>
      <c r="BG90" s="87">
        <v>12025.24494</v>
      </c>
      <c r="BH90" s="90">
        <v>12891.350039999999</v>
      </c>
      <c r="BI90" s="56">
        <v>8920.00144</v>
      </c>
      <c r="BJ90" s="56">
        <v>41327.707759999998</v>
      </c>
      <c r="BK90" s="56">
        <f>IF(7421.16331="","-",7421.16331)</f>
        <v>7421.1633099999999</v>
      </c>
      <c r="BL90" s="56">
        <f>IF(8825.78096="","-",8825.78096)</f>
        <v>8825.7809600000001</v>
      </c>
      <c r="BM90" s="56">
        <f>IF(11524.27976="","-",11524.27976)</f>
        <v>11524.279759999999</v>
      </c>
      <c r="BN90" s="56">
        <f>IF(10940.92433="","-",10940.92433)</f>
        <v>10940.92433</v>
      </c>
      <c r="BO90" s="56">
        <f>IF(38712.14836="","-",38712.14836)</f>
        <v>38712.148359999999</v>
      </c>
      <c r="BP90" s="56">
        <v>11796.738170000001</v>
      </c>
      <c r="BQ90" s="46">
        <v>13408.1723</v>
      </c>
      <c r="BR90" s="46">
        <v>13866.712729999999</v>
      </c>
      <c r="BS90" s="56">
        <v>12037.46298</v>
      </c>
      <c r="BT90" s="56">
        <v>51109.086179999998</v>
      </c>
      <c r="BU90" s="56">
        <v>11127.82064</v>
      </c>
      <c r="BV90" s="56">
        <v>12972.62321</v>
      </c>
      <c r="BW90" s="56">
        <v>15174.71271</v>
      </c>
      <c r="BX90" s="56">
        <v>12348.180340000001</v>
      </c>
      <c r="BY90" s="56">
        <v>51623.336900000002</v>
      </c>
      <c r="BZ90" s="56">
        <v>12960.71075</v>
      </c>
      <c r="CA90" s="56">
        <v>11395.14068</v>
      </c>
      <c r="CB90" s="56">
        <v>15886.62845</v>
      </c>
      <c r="CC90" s="56">
        <v>13582.28926</v>
      </c>
      <c r="CD90" s="56">
        <v>53824.769139999997</v>
      </c>
      <c r="CE90" s="56">
        <v>14496.80459</v>
      </c>
      <c r="CF90" s="56">
        <v>18714.553540000001</v>
      </c>
      <c r="CG90" s="56">
        <v>21540.54855</v>
      </c>
      <c r="CH90" s="56">
        <v>20909.111830000002</v>
      </c>
      <c r="CI90" s="56">
        <v>75661.018509999994</v>
      </c>
      <c r="CJ90" s="56">
        <v>26669.31811</v>
      </c>
      <c r="CK90" s="56">
        <v>26551.447899999999</v>
      </c>
      <c r="CL90" s="56">
        <v>31872.280149999999</v>
      </c>
      <c r="CM90" s="56">
        <v>29794.584009999999</v>
      </c>
      <c r="CN90" s="56">
        <v>114887.63017</v>
      </c>
      <c r="CO90" s="56">
        <v>33216.479610000002</v>
      </c>
      <c r="CP90" s="56">
        <v>29349.498159999999</v>
      </c>
      <c r="CQ90" s="56">
        <v>26777.756939999999</v>
      </c>
      <c r="CR90" s="56">
        <v>21021.734530000002</v>
      </c>
      <c r="CS90" s="56">
        <v>110365.46924000001</v>
      </c>
      <c r="CT90" s="66" t="s">
        <v>68</v>
      </c>
      <c r="CU90" s="60" t="s">
        <v>201</v>
      </c>
    </row>
    <row r="91" spans="1:99" s="9" customFormat="1" ht="63">
      <c r="A91" s="65" t="s">
        <v>108</v>
      </c>
      <c r="B91" s="59" t="s">
        <v>202</v>
      </c>
      <c r="C91" s="72">
        <v>2</v>
      </c>
      <c r="D91" s="72">
        <v>100.6</v>
      </c>
      <c r="E91" s="72">
        <v>17.899999999999999</v>
      </c>
      <c r="F91" s="72">
        <v>28.8</v>
      </c>
      <c r="G91" s="72">
        <f t="shared" si="8"/>
        <v>149.30000000000001</v>
      </c>
      <c r="H91" s="72">
        <v>28.4</v>
      </c>
      <c r="I91" s="72">
        <v>0.6</v>
      </c>
      <c r="J91" s="72">
        <v>74.2</v>
      </c>
      <c r="K91" s="72">
        <v>47.3</v>
      </c>
      <c r="L91" s="72">
        <f t="shared" si="11"/>
        <v>150.5</v>
      </c>
      <c r="M91" s="72">
        <v>5.3</v>
      </c>
      <c r="N91" s="72">
        <v>23.1</v>
      </c>
      <c r="O91" s="72">
        <v>17</v>
      </c>
      <c r="P91" s="75" t="s">
        <v>117</v>
      </c>
      <c r="Q91" s="72">
        <f t="shared" si="12"/>
        <v>45.400000000000006</v>
      </c>
      <c r="R91" s="72">
        <v>7.3</v>
      </c>
      <c r="S91" s="72">
        <v>13.9</v>
      </c>
      <c r="T91" s="72">
        <v>201</v>
      </c>
      <c r="U91" s="72">
        <v>1</v>
      </c>
      <c r="V91" s="75">
        <f t="shared" si="9"/>
        <v>223.2</v>
      </c>
      <c r="W91" s="72">
        <v>11.7</v>
      </c>
      <c r="X91" s="72">
        <v>53.2</v>
      </c>
      <c r="Y91" s="72">
        <v>57.6</v>
      </c>
      <c r="Z91" s="72">
        <v>264</v>
      </c>
      <c r="AA91" s="75">
        <f t="shared" si="7"/>
        <v>386.5</v>
      </c>
      <c r="AB91" s="72">
        <v>59.4</v>
      </c>
      <c r="AC91" s="72">
        <v>69.3</v>
      </c>
      <c r="AD91" s="72">
        <v>105.1</v>
      </c>
      <c r="AE91" s="72">
        <v>57.4</v>
      </c>
      <c r="AF91" s="72">
        <v>291.2</v>
      </c>
      <c r="AG91" s="76">
        <v>81.5</v>
      </c>
      <c r="AH91" s="76">
        <v>287.8</v>
      </c>
      <c r="AI91" s="76">
        <v>79.099999999999994</v>
      </c>
      <c r="AJ91" s="76">
        <v>3934.2</v>
      </c>
      <c r="AK91" s="75">
        <f t="shared" si="10"/>
        <v>4382.5999999999995</v>
      </c>
      <c r="AL91" s="75">
        <v>589.70000000000005</v>
      </c>
      <c r="AM91" s="75">
        <v>837.7</v>
      </c>
      <c r="AN91" s="75">
        <v>446.2</v>
      </c>
      <c r="AO91" s="75">
        <v>395.7</v>
      </c>
      <c r="AP91" s="75">
        <v>2269.3000000000002</v>
      </c>
      <c r="AQ91" s="75">
        <v>390.3</v>
      </c>
      <c r="AR91" s="75">
        <v>118.4</v>
      </c>
      <c r="AS91" s="75">
        <v>427.2</v>
      </c>
      <c r="AT91" s="75">
        <v>163.4</v>
      </c>
      <c r="AU91" s="75">
        <v>1099.3</v>
      </c>
      <c r="AV91" s="76">
        <v>500.3</v>
      </c>
      <c r="AW91" s="76">
        <v>149.9</v>
      </c>
      <c r="AX91" s="76">
        <v>295.60000000000002</v>
      </c>
      <c r="AY91" s="78">
        <v>475</v>
      </c>
      <c r="AZ91" s="76">
        <v>1420.8</v>
      </c>
      <c r="BA91" s="76">
        <v>215.6</v>
      </c>
      <c r="BB91" s="76">
        <v>240.4</v>
      </c>
      <c r="BC91" s="76">
        <v>88.6</v>
      </c>
      <c r="BD91" s="79">
        <v>279.60000000000002</v>
      </c>
      <c r="BE91" s="76">
        <v>824.2</v>
      </c>
      <c r="BF91" s="76">
        <v>82.232979999999998</v>
      </c>
      <c r="BG91" s="70">
        <v>223.28586000000001</v>
      </c>
      <c r="BH91" s="89">
        <v>244.56050999999999</v>
      </c>
      <c r="BI91" s="55">
        <v>208.13069999999999</v>
      </c>
      <c r="BJ91" s="55">
        <v>758.21005000000002</v>
      </c>
      <c r="BK91" s="55">
        <f>IF(197.176="","-",197.176)</f>
        <v>197.17599999999999</v>
      </c>
      <c r="BL91" s="55">
        <f>IF(303.65866="","-",303.65866)</f>
        <v>303.65866</v>
      </c>
      <c r="BM91" s="55">
        <f>IF(207.33566="","-",207.33566)</f>
        <v>207.33565999999999</v>
      </c>
      <c r="BN91" s="55">
        <f>IF(505.86984="","-",505.86984)</f>
        <v>505.86984000000001</v>
      </c>
      <c r="BO91" s="55">
        <f>IF(1214.04016="","-",1214.04016)</f>
        <v>1214.04016</v>
      </c>
      <c r="BP91" s="55">
        <v>378.90231</v>
      </c>
      <c r="BQ91" s="45">
        <v>418.072</v>
      </c>
      <c r="BR91" s="45">
        <v>328.53025000000002</v>
      </c>
      <c r="BS91" s="55">
        <v>467.83951999999999</v>
      </c>
      <c r="BT91" s="55">
        <v>1593.3440800000001</v>
      </c>
      <c r="BU91" s="55">
        <v>343.37986000000001</v>
      </c>
      <c r="BV91" s="55">
        <v>466.55957000000001</v>
      </c>
      <c r="BW91" s="55">
        <v>402.32182999999998</v>
      </c>
      <c r="BX91" s="55">
        <v>329.17216999999999</v>
      </c>
      <c r="BY91" s="55">
        <v>1541.43343</v>
      </c>
      <c r="BZ91" s="55">
        <v>294.35455000000002</v>
      </c>
      <c r="CA91" s="55">
        <v>83.627049999999997</v>
      </c>
      <c r="CB91" s="55">
        <v>300.81540999999999</v>
      </c>
      <c r="CC91" s="55">
        <v>338.24856999999997</v>
      </c>
      <c r="CD91" s="55">
        <v>1017.04558</v>
      </c>
      <c r="CE91" s="55">
        <v>132.74916999999999</v>
      </c>
      <c r="CF91" s="55">
        <v>481.23478999999998</v>
      </c>
      <c r="CG91" s="55">
        <v>213.24827999999999</v>
      </c>
      <c r="CH91" s="55">
        <v>559.80487000000005</v>
      </c>
      <c r="CI91" s="55">
        <v>1387.03711</v>
      </c>
      <c r="CJ91" s="55">
        <v>377.41426999999999</v>
      </c>
      <c r="CK91" s="55">
        <v>1061.82637</v>
      </c>
      <c r="CL91" s="55">
        <v>865.99557000000004</v>
      </c>
      <c r="CM91" s="55">
        <v>720.70948999999996</v>
      </c>
      <c r="CN91" s="55">
        <v>3025.9457000000002</v>
      </c>
      <c r="CO91" s="55">
        <v>711.62120000000004</v>
      </c>
      <c r="CP91" s="55">
        <v>700.48328000000004</v>
      </c>
      <c r="CQ91" s="55">
        <v>623.51931999999999</v>
      </c>
      <c r="CR91" s="55">
        <v>1575.74809</v>
      </c>
      <c r="CS91" s="55">
        <v>3611.3718899999999</v>
      </c>
      <c r="CT91" s="65" t="s">
        <v>108</v>
      </c>
      <c r="CU91" s="59" t="s">
        <v>202</v>
      </c>
    </row>
    <row r="92" spans="1:99" s="9" customFormat="1" ht="63">
      <c r="A92" s="66" t="s">
        <v>69</v>
      </c>
      <c r="B92" s="60" t="s">
        <v>202</v>
      </c>
      <c r="C92" s="81">
        <v>2</v>
      </c>
      <c r="D92" s="81">
        <v>100.6</v>
      </c>
      <c r="E92" s="81">
        <v>17.899999999999999</v>
      </c>
      <c r="F92" s="81">
        <v>28.8</v>
      </c>
      <c r="G92" s="82">
        <f t="shared" si="8"/>
        <v>149.30000000000001</v>
      </c>
      <c r="H92" s="81">
        <v>28.4</v>
      </c>
      <c r="I92" s="81">
        <v>0.6</v>
      </c>
      <c r="J92" s="81">
        <v>74.2</v>
      </c>
      <c r="K92" s="81">
        <v>47.3</v>
      </c>
      <c r="L92" s="82">
        <f t="shared" si="11"/>
        <v>150.5</v>
      </c>
      <c r="M92" s="81">
        <v>5.3</v>
      </c>
      <c r="N92" s="81">
        <v>23.1</v>
      </c>
      <c r="O92" s="81">
        <v>17</v>
      </c>
      <c r="P92" s="81" t="s">
        <v>117</v>
      </c>
      <c r="Q92" s="82">
        <f t="shared" si="12"/>
        <v>45.400000000000006</v>
      </c>
      <c r="R92" s="81">
        <v>7.3</v>
      </c>
      <c r="S92" s="81">
        <v>13.9</v>
      </c>
      <c r="T92" s="81">
        <v>201</v>
      </c>
      <c r="U92" s="81">
        <v>1</v>
      </c>
      <c r="V92" s="83">
        <f t="shared" si="9"/>
        <v>223.2</v>
      </c>
      <c r="W92" s="81">
        <v>11.7</v>
      </c>
      <c r="X92" s="81">
        <v>53.2</v>
      </c>
      <c r="Y92" s="81">
        <v>57.6</v>
      </c>
      <c r="Z92" s="81">
        <v>264</v>
      </c>
      <c r="AA92" s="83">
        <f t="shared" si="7"/>
        <v>386.5</v>
      </c>
      <c r="AB92" s="81">
        <v>59.4</v>
      </c>
      <c r="AC92" s="81">
        <v>69.3</v>
      </c>
      <c r="AD92" s="81">
        <v>105.1</v>
      </c>
      <c r="AE92" s="81">
        <v>57.4</v>
      </c>
      <c r="AF92" s="81">
        <v>291.2</v>
      </c>
      <c r="AG92" s="84">
        <v>81.5</v>
      </c>
      <c r="AH92" s="84">
        <v>287.8</v>
      </c>
      <c r="AI92" s="84">
        <v>79.099999999999994</v>
      </c>
      <c r="AJ92" s="84">
        <v>3934.2</v>
      </c>
      <c r="AK92" s="83">
        <f t="shared" si="10"/>
        <v>4382.5999999999995</v>
      </c>
      <c r="AL92" s="83">
        <v>589.70000000000005</v>
      </c>
      <c r="AM92" s="83">
        <v>837.7</v>
      </c>
      <c r="AN92" s="83">
        <v>446.2</v>
      </c>
      <c r="AO92" s="83">
        <v>395.7</v>
      </c>
      <c r="AP92" s="83">
        <v>2269.3000000000002</v>
      </c>
      <c r="AQ92" s="83">
        <v>390.3</v>
      </c>
      <c r="AR92" s="83">
        <v>118.4</v>
      </c>
      <c r="AS92" s="83">
        <v>427.2</v>
      </c>
      <c r="AT92" s="83">
        <v>163.4</v>
      </c>
      <c r="AU92" s="83">
        <v>1099.3</v>
      </c>
      <c r="AV92" s="84">
        <v>500.3</v>
      </c>
      <c r="AW92" s="84">
        <v>149.9</v>
      </c>
      <c r="AX92" s="84">
        <v>295.60000000000002</v>
      </c>
      <c r="AY92" s="85">
        <v>475</v>
      </c>
      <c r="AZ92" s="84">
        <v>1420.8</v>
      </c>
      <c r="BA92" s="84">
        <v>215.6</v>
      </c>
      <c r="BB92" s="84">
        <v>240.4</v>
      </c>
      <c r="BC92" s="84">
        <v>88.6</v>
      </c>
      <c r="BD92" s="86">
        <v>279.60000000000002</v>
      </c>
      <c r="BE92" s="84">
        <v>824.2</v>
      </c>
      <c r="BF92" s="84">
        <v>82.232979999999998</v>
      </c>
      <c r="BG92" s="90">
        <v>223.28586000000001</v>
      </c>
      <c r="BH92" s="88">
        <v>244.56050999999999</v>
      </c>
      <c r="BI92" s="56">
        <v>208.13069999999999</v>
      </c>
      <c r="BJ92" s="56">
        <v>758.21005000000002</v>
      </c>
      <c r="BK92" s="56">
        <f>IF(197.176="","-",197.176)</f>
        <v>197.17599999999999</v>
      </c>
      <c r="BL92" s="56">
        <f>IF(303.65866="","-",303.65866)</f>
        <v>303.65866</v>
      </c>
      <c r="BM92" s="56">
        <f>IF(207.33566="","-",207.33566)</f>
        <v>207.33565999999999</v>
      </c>
      <c r="BN92" s="56">
        <f>IF(505.86984="","-",505.86984)</f>
        <v>505.86984000000001</v>
      </c>
      <c r="BO92" s="56">
        <f>IF(1214.04016="","-",1214.04016)</f>
        <v>1214.04016</v>
      </c>
      <c r="BP92" s="56">
        <v>378.90231</v>
      </c>
      <c r="BQ92" s="46">
        <v>418.072</v>
      </c>
      <c r="BR92" s="46">
        <v>328.53025000000002</v>
      </c>
      <c r="BS92" s="56">
        <v>467.83951999999999</v>
      </c>
      <c r="BT92" s="56">
        <v>1593.3440800000001</v>
      </c>
      <c r="BU92" s="56">
        <v>343.37986000000001</v>
      </c>
      <c r="BV92" s="56">
        <v>466.55957000000001</v>
      </c>
      <c r="BW92" s="56">
        <v>402.32182999999998</v>
      </c>
      <c r="BX92" s="56">
        <v>329.17216999999999</v>
      </c>
      <c r="BY92" s="56">
        <v>1541.43343</v>
      </c>
      <c r="BZ92" s="56">
        <v>294.35455000000002</v>
      </c>
      <c r="CA92" s="56">
        <v>83.627049999999997</v>
      </c>
      <c r="CB92" s="56">
        <v>300.81540999999999</v>
      </c>
      <c r="CC92" s="56">
        <v>338.24856999999997</v>
      </c>
      <c r="CD92" s="56">
        <v>1017.04558</v>
      </c>
      <c r="CE92" s="56">
        <v>132.74916999999999</v>
      </c>
      <c r="CF92" s="56">
        <v>481.23478999999998</v>
      </c>
      <c r="CG92" s="56">
        <v>213.24827999999999</v>
      </c>
      <c r="CH92" s="56">
        <v>559.80487000000005</v>
      </c>
      <c r="CI92" s="56">
        <v>1387.03711</v>
      </c>
      <c r="CJ92" s="56">
        <v>377.41426999999999</v>
      </c>
      <c r="CK92" s="56">
        <v>1061.82637</v>
      </c>
      <c r="CL92" s="56">
        <v>865.99557000000004</v>
      </c>
      <c r="CM92" s="56">
        <v>720.70948999999996</v>
      </c>
      <c r="CN92" s="56">
        <v>3025.9457000000002</v>
      </c>
      <c r="CO92" s="56">
        <v>711.62120000000004</v>
      </c>
      <c r="CP92" s="56">
        <v>700.48328000000004</v>
      </c>
      <c r="CQ92" s="56">
        <v>623.51931999999999</v>
      </c>
      <c r="CR92" s="56">
        <v>1575.74809</v>
      </c>
      <c r="CS92" s="56">
        <v>3611.3718899999999</v>
      </c>
      <c r="CT92" s="66" t="s">
        <v>69</v>
      </c>
      <c r="CU92" s="60" t="s">
        <v>202</v>
      </c>
    </row>
    <row r="93" spans="1:99" s="9" customFormat="1" ht="15.75">
      <c r="A93" s="65" t="s">
        <v>107</v>
      </c>
      <c r="B93" s="59" t="s">
        <v>203</v>
      </c>
      <c r="C93" s="72">
        <v>4451.1000000000004</v>
      </c>
      <c r="D93" s="72">
        <v>11353.3</v>
      </c>
      <c r="E93" s="72">
        <v>14494.6</v>
      </c>
      <c r="F93" s="72">
        <v>18448.2</v>
      </c>
      <c r="G93" s="75">
        <f t="shared" si="8"/>
        <v>48747.199999999997</v>
      </c>
      <c r="H93" s="72">
        <v>9087.2999999999993</v>
      </c>
      <c r="I93" s="72">
        <v>11607</v>
      </c>
      <c r="J93" s="72">
        <v>21582.3</v>
      </c>
      <c r="K93" s="72">
        <v>33570.400000000001</v>
      </c>
      <c r="L93" s="75">
        <f t="shared" si="11"/>
        <v>75847</v>
      </c>
      <c r="M93" s="72">
        <v>22613.599999999999</v>
      </c>
      <c r="N93" s="72">
        <v>32617.5</v>
      </c>
      <c r="O93" s="72">
        <v>22274.400000000001</v>
      </c>
      <c r="P93" s="72">
        <v>32991.1</v>
      </c>
      <c r="Q93" s="75">
        <f t="shared" si="12"/>
        <v>110496.6</v>
      </c>
      <c r="R93" s="72">
        <v>28129.7</v>
      </c>
      <c r="S93" s="72">
        <v>33996.400000000001</v>
      </c>
      <c r="T93" s="72">
        <v>37714.699999999997</v>
      </c>
      <c r="U93" s="72">
        <v>19264.7</v>
      </c>
      <c r="V93" s="75">
        <f t="shared" si="9"/>
        <v>119105.5</v>
      </c>
      <c r="W93" s="72">
        <v>4328.1000000000004</v>
      </c>
      <c r="X93" s="72">
        <v>7290</v>
      </c>
      <c r="Y93" s="72">
        <v>8998.2999999999993</v>
      </c>
      <c r="Z93" s="72">
        <v>8797.1</v>
      </c>
      <c r="AA93" s="75">
        <f t="shared" si="7"/>
        <v>29413.5</v>
      </c>
      <c r="AB93" s="72">
        <v>6461.3</v>
      </c>
      <c r="AC93" s="72">
        <v>11636.8</v>
      </c>
      <c r="AD93" s="72">
        <v>17672</v>
      </c>
      <c r="AE93" s="72">
        <v>22491.9</v>
      </c>
      <c r="AF93" s="72">
        <v>58262</v>
      </c>
      <c r="AG93" s="76">
        <v>23932.1</v>
      </c>
      <c r="AH93" s="76">
        <v>46507.6</v>
      </c>
      <c r="AI93" s="76">
        <v>23567.9</v>
      </c>
      <c r="AJ93" s="76">
        <v>18927.599999999999</v>
      </c>
      <c r="AK93" s="75">
        <f t="shared" si="10"/>
        <v>112935.20000000001</v>
      </c>
      <c r="AL93" s="75">
        <v>17732.8</v>
      </c>
      <c r="AM93" s="75">
        <v>17468.7</v>
      </c>
      <c r="AN93" s="75">
        <v>18118.8</v>
      </c>
      <c r="AO93" s="75">
        <v>19997.2</v>
      </c>
      <c r="AP93" s="75">
        <v>73317.5</v>
      </c>
      <c r="AQ93" s="75">
        <v>48892.1</v>
      </c>
      <c r="AR93" s="75">
        <v>38261.4</v>
      </c>
      <c r="AS93" s="75">
        <v>21871.7</v>
      </c>
      <c r="AT93" s="75">
        <v>14267.9</v>
      </c>
      <c r="AU93" s="75">
        <v>123293.1</v>
      </c>
      <c r="AV93" s="76">
        <v>12785.1</v>
      </c>
      <c r="AW93" s="76">
        <v>16118.7</v>
      </c>
      <c r="AX93" s="70">
        <v>14793.6</v>
      </c>
      <c r="AY93" s="78">
        <v>11442.1</v>
      </c>
      <c r="AZ93" s="76">
        <v>55139.5</v>
      </c>
      <c r="BA93" s="76">
        <v>10999.1</v>
      </c>
      <c r="BB93" s="76">
        <v>11190.5</v>
      </c>
      <c r="BC93" s="70">
        <v>11206.7</v>
      </c>
      <c r="BD93" s="79">
        <v>9847.9</v>
      </c>
      <c r="BE93" s="76">
        <v>43244.2</v>
      </c>
      <c r="BF93" s="70">
        <v>9599.4647100000002</v>
      </c>
      <c r="BG93" s="80">
        <v>13127.38731</v>
      </c>
      <c r="BH93" s="89">
        <v>12401.545109999999</v>
      </c>
      <c r="BI93" s="55">
        <v>8362.7148199999992</v>
      </c>
      <c r="BJ93" s="55">
        <v>43491.111949999999</v>
      </c>
      <c r="BK93" s="55">
        <f>IF(11102.99334="","-",11102.99334)</f>
        <v>11102.993340000001</v>
      </c>
      <c r="BL93" s="55">
        <f>IF(12499.87875="","-",12499.87875)</f>
        <v>12499.87875</v>
      </c>
      <c r="BM93" s="55">
        <f>IF(12103.61349="","-",12103.61349)</f>
        <v>12103.61349</v>
      </c>
      <c r="BN93" s="55">
        <f>IF(12606.22905="","-",12606.22905)</f>
        <v>12606.22905</v>
      </c>
      <c r="BO93" s="55">
        <f>IF(48312.71463="","-",48312.71463)</f>
        <v>48312.714630000002</v>
      </c>
      <c r="BP93" s="55">
        <v>10747.58452</v>
      </c>
      <c r="BQ93" s="45">
        <v>12105.95012</v>
      </c>
      <c r="BR93" s="45">
        <v>11903.370440000001</v>
      </c>
      <c r="BS93" s="55">
        <v>12307.77448</v>
      </c>
      <c r="BT93" s="55">
        <v>47064.679559999997</v>
      </c>
      <c r="BU93" s="102">
        <v>10009.044889999999</v>
      </c>
      <c r="BV93" s="55">
        <v>12083.27815</v>
      </c>
      <c r="BW93" s="55">
        <v>12521.84346</v>
      </c>
      <c r="BX93" s="55">
        <v>10094.293799999999</v>
      </c>
      <c r="BY93" s="55">
        <v>44708.460299999999</v>
      </c>
      <c r="BZ93" s="55">
        <v>9778.7168399999991</v>
      </c>
      <c r="CA93" s="55">
        <v>9376.8160000000007</v>
      </c>
      <c r="CB93" s="55">
        <v>18990.440320000002</v>
      </c>
      <c r="CC93" s="55">
        <v>18559.002369999998</v>
      </c>
      <c r="CD93" s="55">
        <v>56704.975530000003</v>
      </c>
      <c r="CE93" s="55">
        <v>26560.754349999999</v>
      </c>
      <c r="CF93" s="55">
        <v>41637.72479</v>
      </c>
      <c r="CG93" s="117">
        <v>37511.276819999999</v>
      </c>
      <c r="CH93" s="55">
        <v>37952.150809999999</v>
      </c>
      <c r="CI93" s="55">
        <v>143661.90677</v>
      </c>
      <c r="CJ93" s="55">
        <v>35056.63927</v>
      </c>
      <c r="CK93" s="55">
        <v>31562.716059999999</v>
      </c>
      <c r="CL93" s="55">
        <v>21327.9771</v>
      </c>
      <c r="CM93" s="55">
        <v>19872.880249999998</v>
      </c>
      <c r="CN93" s="55">
        <v>107820.21268</v>
      </c>
      <c r="CO93" s="55">
        <v>22611.344359999999</v>
      </c>
      <c r="CP93" s="55">
        <v>18631.346430000001</v>
      </c>
      <c r="CQ93" s="55">
        <v>19070.077079999999</v>
      </c>
      <c r="CR93" s="55">
        <v>21516.67741</v>
      </c>
      <c r="CS93" s="55">
        <v>81829.44528</v>
      </c>
      <c r="CT93" s="65" t="s">
        <v>107</v>
      </c>
      <c r="CU93" s="59" t="s">
        <v>203</v>
      </c>
    </row>
    <row r="94" spans="1:99" s="9" customFormat="1" ht="15.75">
      <c r="A94" s="66" t="s">
        <v>70</v>
      </c>
      <c r="B94" s="60" t="s">
        <v>204</v>
      </c>
      <c r="C94" s="81">
        <v>366</v>
      </c>
      <c r="D94" s="81">
        <v>2911.9</v>
      </c>
      <c r="E94" s="81">
        <v>5979.2</v>
      </c>
      <c r="F94" s="81">
        <v>9201.5</v>
      </c>
      <c r="G94" s="82">
        <f t="shared" si="8"/>
        <v>18458.599999999999</v>
      </c>
      <c r="H94" s="81">
        <v>3136.3</v>
      </c>
      <c r="I94" s="81">
        <v>448.8</v>
      </c>
      <c r="J94" s="81">
        <v>11739.4</v>
      </c>
      <c r="K94" s="81">
        <v>16424.599999999999</v>
      </c>
      <c r="L94" s="82">
        <f t="shared" si="11"/>
        <v>31749.1</v>
      </c>
      <c r="M94" s="81">
        <v>5756.5</v>
      </c>
      <c r="N94" s="81">
        <v>11617.4</v>
      </c>
      <c r="O94" s="81">
        <v>4430.1000000000004</v>
      </c>
      <c r="P94" s="81">
        <v>16660.3</v>
      </c>
      <c r="Q94" s="82">
        <f t="shared" si="12"/>
        <v>38464.300000000003</v>
      </c>
      <c r="R94" s="81">
        <v>9598.5</v>
      </c>
      <c r="S94" s="81">
        <v>16282.7</v>
      </c>
      <c r="T94" s="81">
        <v>18065.400000000001</v>
      </c>
      <c r="U94" s="81">
        <v>7258.7</v>
      </c>
      <c r="V94" s="83">
        <f t="shared" si="9"/>
        <v>51205.3</v>
      </c>
      <c r="W94" s="81">
        <v>417.8</v>
      </c>
      <c r="X94" s="81">
        <v>460.5</v>
      </c>
      <c r="Y94" s="81">
        <v>692.1</v>
      </c>
      <c r="Z94" s="81">
        <v>616</v>
      </c>
      <c r="AA94" s="83">
        <f t="shared" si="7"/>
        <v>2186.4</v>
      </c>
      <c r="AB94" s="81">
        <v>353.5</v>
      </c>
      <c r="AC94" s="81">
        <v>1445.7</v>
      </c>
      <c r="AD94" s="81">
        <v>5132.2</v>
      </c>
      <c r="AE94" s="81">
        <v>9175.2000000000007</v>
      </c>
      <c r="AF94" s="81">
        <v>16106.6</v>
      </c>
      <c r="AG94" s="84">
        <v>9616.2000000000007</v>
      </c>
      <c r="AH94" s="84">
        <v>21134.799999999999</v>
      </c>
      <c r="AI94" s="84">
        <v>1642.2</v>
      </c>
      <c r="AJ94" s="84">
        <v>3576.6</v>
      </c>
      <c r="AK94" s="83">
        <f t="shared" si="10"/>
        <v>35969.800000000003</v>
      </c>
      <c r="AL94" s="83">
        <v>5331.7</v>
      </c>
      <c r="AM94" s="83">
        <v>3574</v>
      </c>
      <c r="AN94" s="83">
        <v>1953.6</v>
      </c>
      <c r="AO94" s="83">
        <v>4157.8999999999996</v>
      </c>
      <c r="AP94" s="83">
        <v>15017.2</v>
      </c>
      <c r="AQ94" s="83">
        <v>11648.3</v>
      </c>
      <c r="AR94" s="84">
        <v>22335.9</v>
      </c>
      <c r="AS94" s="84">
        <v>5832</v>
      </c>
      <c r="AT94" s="84">
        <v>1252.4000000000001</v>
      </c>
      <c r="AU94" s="84">
        <v>41068.6</v>
      </c>
      <c r="AV94" s="84">
        <v>746.2</v>
      </c>
      <c r="AW94" s="84">
        <v>3400.5</v>
      </c>
      <c r="AX94" s="83">
        <v>1085.5999999999999</v>
      </c>
      <c r="AY94" s="85">
        <v>507.8</v>
      </c>
      <c r="AZ94" s="84">
        <v>5740.1</v>
      </c>
      <c r="BA94" s="84">
        <v>655.7</v>
      </c>
      <c r="BB94" s="84">
        <v>534.29999999999995</v>
      </c>
      <c r="BC94" s="84">
        <v>283.39999999999998</v>
      </c>
      <c r="BD94" s="86">
        <v>500.9</v>
      </c>
      <c r="BE94" s="84">
        <v>1974.3</v>
      </c>
      <c r="BF94" s="84">
        <v>764.89580000000001</v>
      </c>
      <c r="BG94" s="87">
        <v>541.32939999999996</v>
      </c>
      <c r="BH94" s="88">
        <v>849.92415000000005</v>
      </c>
      <c r="BI94" s="56">
        <v>445.38405</v>
      </c>
      <c r="BJ94" s="56">
        <v>2601.5333999999998</v>
      </c>
      <c r="BK94" s="56">
        <f>IF(974.53327="","-",974.53327)</f>
        <v>974.53327000000002</v>
      </c>
      <c r="BL94" s="56">
        <f>IF(532.39077="","-",532.39077)</f>
        <v>532.39076999999997</v>
      </c>
      <c r="BM94" s="56">
        <f>IF(618.36248="","-",618.36248)</f>
        <v>618.36248000000001</v>
      </c>
      <c r="BN94" s="56">
        <f>IF(809.35745="","-",809.35745)</f>
        <v>809.35744999999997</v>
      </c>
      <c r="BO94" s="56">
        <f>IF(2934.64397="","-",2934.64397)</f>
        <v>2934.6439700000001</v>
      </c>
      <c r="BP94" s="56">
        <v>150.65380999999999</v>
      </c>
      <c r="BQ94" s="46">
        <v>723.73307999999997</v>
      </c>
      <c r="BR94" s="46">
        <v>716.12175000000002</v>
      </c>
      <c r="BS94" s="56">
        <v>1893.01648</v>
      </c>
      <c r="BT94" s="56">
        <v>3483.5251199999998</v>
      </c>
      <c r="BU94" s="56">
        <v>305.32355999999999</v>
      </c>
      <c r="BV94" s="56">
        <v>1077.60482</v>
      </c>
      <c r="BW94" s="56">
        <v>1181.1961100000001</v>
      </c>
      <c r="BX94" s="56">
        <v>465.33427999999998</v>
      </c>
      <c r="BY94" s="56">
        <v>3029.4587700000002</v>
      </c>
      <c r="BZ94" s="56">
        <v>170.03272000000001</v>
      </c>
      <c r="CA94" s="56">
        <v>196.80197999999999</v>
      </c>
      <c r="CB94" s="56">
        <v>2555.9665100000002</v>
      </c>
      <c r="CC94" s="56">
        <v>3770.3140600000002</v>
      </c>
      <c r="CD94" s="56">
        <v>6693.1152700000002</v>
      </c>
      <c r="CE94" s="56">
        <v>6729.4299000000001</v>
      </c>
      <c r="CF94" s="56">
        <v>14064.02528</v>
      </c>
      <c r="CG94" s="118">
        <v>11351.628930000001</v>
      </c>
      <c r="CH94" s="56">
        <v>11076.102999999999</v>
      </c>
      <c r="CI94" s="56">
        <v>43221.187109999999</v>
      </c>
      <c r="CJ94" s="56">
        <v>6841.0778600000003</v>
      </c>
      <c r="CK94" s="56">
        <v>9374.8122600000006</v>
      </c>
      <c r="CL94" s="56">
        <v>1508.74937</v>
      </c>
      <c r="CM94" s="56">
        <v>3685.8510200000001</v>
      </c>
      <c r="CN94" s="56">
        <v>21410.49051</v>
      </c>
      <c r="CO94" s="56">
        <v>3163.6361499999998</v>
      </c>
      <c r="CP94" s="56">
        <v>1618.76614</v>
      </c>
      <c r="CQ94" s="56">
        <v>1376.50117</v>
      </c>
      <c r="CR94" s="56">
        <v>1239.07864</v>
      </c>
      <c r="CS94" s="56">
        <v>7397.9821000000002</v>
      </c>
      <c r="CT94" s="66" t="s">
        <v>70</v>
      </c>
      <c r="CU94" s="60" t="s">
        <v>204</v>
      </c>
    </row>
    <row r="95" spans="1:99" s="9" customFormat="1" ht="15.75">
      <c r="A95" s="66" t="s">
        <v>71</v>
      </c>
      <c r="B95" s="60" t="s">
        <v>205</v>
      </c>
      <c r="C95" s="81">
        <v>427.4</v>
      </c>
      <c r="D95" s="81">
        <v>847.8</v>
      </c>
      <c r="E95" s="81">
        <v>1365.9</v>
      </c>
      <c r="F95" s="81">
        <v>1872</v>
      </c>
      <c r="G95" s="82">
        <f t="shared" si="8"/>
        <v>4513.1000000000004</v>
      </c>
      <c r="H95" s="81">
        <v>1068.0999999999999</v>
      </c>
      <c r="I95" s="81">
        <v>1665.7</v>
      </c>
      <c r="J95" s="81">
        <v>2070.1999999999998</v>
      </c>
      <c r="K95" s="81">
        <v>3098</v>
      </c>
      <c r="L95" s="82">
        <f t="shared" si="11"/>
        <v>7902</v>
      </c>
      <c r="M95" s="81">
        <v>2960</v>
      </c>
      <c r="N95" s="81">
        <v>3350.8</v>
      </c>
      <c r="O95" s="81">
        <v>5733.2</v>
      </c>
      <c r="P95" s="81">
        <v>3423.3</v>
      </c>
      <c r="Q95" s="82">
        <f t="shared" si="12"/>
        <v>15467.3</v>
      </c>
      <c r="R95" s="81">
        <v>7163.6</v>
      </c>
      <c r="S95" s="81">
        <v>7130.2</v>
      </c>
      <c r="T95" s="81">
        <v>7584.5</v>
      </c>
      <c r="U95" s="81">
        <v>4374.6000000000004</v>
      </c>
      <c r="V95" s="83">
        <f t="shared" si="9"/>
        <v>26252.9</v>
      </c>
      <c r="W95" s="81">
        <v>1906.8</v>
      </c>
      <c r="X95" s="81">
        <v>3345.8</v>
      </c>
      <c r="Y95" s="81">
        <v>4733.1000000000004</v>
      </c>
      <c r="Z95" s="81">
        <v>3572.7</v>
      </c>
      <c r="AA95" s="83">
        <f t="shared" si="7"/>
        <v>13558.400000000001</v>
      </c>
      <c r="AB95" s="81">
        <v>1774.7</v>
      </c>
      <c r="AC95" s="81">
        <v>3851.2</v>
      </c>
      <c r="AD95" s="81">
        <v>5024.6000000000004</v>
      </c>
      <c r="AE95" s="81">
        <v>4655.8999999999996</v>
      </c>
      <c r="AF95" s="81">
        <v>15306.4</v>
      </c>
      <c r="AG95" s="84">
        <v>3963.5</v>
      </c>
      <c r="AH95" s="84">
        <v>7313.5</v>
      </c>
      <c r="AI95" s="84">
        <v>7122.9</v>
      </c>
      <c r="AJ95" s="84">
        <v>7099.9</v>
      </c>
      <c r="AK95" s="83">
        <f t="shared" si="10"/>
        <v>25499.800000000003</v>
      </c>
      <c r="AL95" s="83">
        <v>4259.8</v>
      </c>
      <c r="AM95" s="83">
        <v>4748</v>
      </c>
      <c r="AN95" s="83">
        <v>5783.7</v>
      </c>
      <c r="AO95" s="83">
        <v>5343.3</v>
      </c>
      <c r="AP95" s="83">
        <v>20134.8</v>
      </c>
      <c r="AQ95" s="83">
        <v>5275.7</v>
      </c>
      <c r="AR95" s="83">
        <v>6386.9</v>
      </c>
      <c r="AS95" s="83">
        <v>6785.1</v>
      </c>
      <c r="AT95" s="83">
        <v>5157.2</v>
      </c>
      <c r="AU95" s="83">
        <v>23604.9</v>
      </c>
      <c r="AV95" s="84">
        <v>3354</v>
      </c>
      <c r="AW95" s="84">
        <v>3717.8</v>
      </c>
      <c r="AX95" s="84">
        <v>4855</v>
      </c>
      <c r="AY95" s="85">
        <v>3292.1</v>
      </c>
      <c r="AZ95" s="84">
        <v>15218.9</v>
      </c>
      <c r="BA95" s="84">
        <v>2771.7</v>
      </c>
      <c r="BB95" s="84">
        <v>3154.9</v>
      </c>
      <c r="BC95" s="84">
        <v>3995.7</v>
      </c>
      <c r="BD95" s="86">
        <v>3847</v>
      </c>
      <c r="BE95" s="84">
        <v>13769.3</v>
      </c>
      <c r="BF95" s="83">
        <v>2834.7055999999998</v>
      </c>
      <c r="BG95" s="87">
        <v>4479.0849099999996</v>
      </c>
      <c r="BH95" s="88">
        <v>3763.0808699999998</v>
      </c>
      <c r="BI95" s="56">
        <v>2603.5660200000002</v>
      </c>
      <c r="BJ95" s="56">
        <v>13680.437400000001</v>
      </c>
      <c r="BK95" s="56">
        <f>IF(3224.2372="","-",3224.2372)</f>
        <v>3224.2372</v>
      </c>
      <c r="BL95" s="56">
        <f>IF(3687.59963="","-",3687.59963)</f>
        <v>3687.5996300000002</v>
      </c>
      <c r="BM95" s="56">
        <f>IF(3880.62837="","-",3880.62837)</f>
        <v>3880.6283699999999</v>
      </c>
      <c r="BN95" s="56">
        <f>IF(4245.43425="","-",4245.43425)</f>
        <v>4245.4342500000002</v>
      </c>
      <c r="BO95" s="56">
        <f>IF(15037.89945="","-",15037.89945)</f>
        <v>15037.899450000001</v>
      </c>
      <c r="BP95" s="56">
        <v>3959.3683299999998</v>
      </c>
      <c r="BQ95" s="46">
        <v>4094.9818799999998</v>
      </c>
      <c r="BR95" s="46">
        <v>4217.4993100000002</v>
      </c>
      <c r="BS95" s="56">
        <v>4198.1075600000004</v>
      </c>
      <c r="BT95" s="56">
        <v>16469.95708</v>
      </c>
      <c r="BU95" s="100">
        <v>4416.3289699999996</v>
      </c>
      <c r="BV95" s="56">
        <v>4397.0914400000001</v>
      </c>
      <c r="BW95" s="56">
        <v>4632.5922899999996</v>
      </c>
      <c r="BX95" s="56">
        <v>3693.4135700000002</v>
      </c>
      <c r="BY95" s="56">
        <v>17139.42627</v>
      </c>
      <c r="BZ95" s="56">
        <v>4448.4471400000002</v>
      </c>
      <c r="CA95" s="56">
        <v>4441.3638899999996</v>
      </c>
      <c r="CB95" s="56">
        <v>6353.28748</v>
      </c>
      <c r="CC95" s="56">
        <v>4837.8340399999997</v>
      </c>
      <c r="CD95" s="56">
        <v>20080.932550000001</v>
      </c>
      <c r="CE95" s="56">
        <v>7459.0694999999996</v>
      </c>
      <c r="CF95" s="56">
        <v>11961.811729999999</v>
      </c>
      <c r="CG95" s="118">
        <v>10974.1217</v>
      </c>
      <c r="CH95" s="56">
        <v>10691.41728</v>
      </c>
      <c r="CI95" s="56">
        <v>41086.420209999997</v>
      </c>
      <c r="CJ95" s="56">
        <v>10816.24575</v>
      </c>
      <c r="CK95" s="56">
        <v>7578.1267600000001</v>
      </c>
      <c r="CL95" s="56">
        <v>10800.40108</v>
      </c>
      <c r="CM95" s="56">
        <v>7794.9353199999996</v>
      </c>
      <c r="CN95" s="56">
        <v>36989.708910000001</v>
      </c>
      <c r="CO95" s="56">
        <v>7029.3755000000001</v>
      </c>
      <c r="CP95" s="56">
        <v>8815.5820800000001</v>
      </c>
      <c r="CQ95" s="56">
        <v>9149.7965000000004</v>
      </c>
      <c r="CR95" s="56">
        <v>8331.0020999999997</v>
      </c>
      <c r="CS95" s="56">
        <v>33325.756179999997</v>
      </c>
      <c r="CT95" s="66" t="s">
        <v>71</v>
      </c>
      <c r="CU95" s="60" t="s">
        <v>205</v>
      </c>
    </row>
    <row r="96" spans="1:99" s="9" customFormat="1" ht="15.75">
      <c r="A96" s="66" t="s">
        <v>72</v>
      </c>
      <c r="B96" s="60" t="s">
        <v>206</v>
      </c>
      <c r="C96" s="81">
        <v>505.7</v>
      </c>
      <c r="D96" s="81">
        <v>614.4</v>
      </c>
      <c r="E96" s="81">
        <v>639.70000000000005</v>
      </c>
      <c r="F96" s="81">
        <v>671.7</v>
      </c>
      <c r="G96" s="82">
        <f t="shared" si="8"/>
        <v>2431.5</v>
      </c>
      <c r="H96" s="81">
        <v>415</v>
      </c>
      <c r="I96" s="81">
        <v>838</v>
      </c>
      <c r="J96" s="81">
        <v>122.3</v>
      </c>
      <c r="K96" s="81">
        <v>6006.8</v>
      </c>
      <c r="L96" s="82">
        <f t="shared" si="11"/>
        <v>7382.1</v>
      </c>
      <c r="M96" s="81">
        <v>2867.1</v>
      </c>
      <c r="N96" s="81">
        <v>4933.8999999999996</v>
      </c>
      <c r="O96" s="81">
        <v>2795.1</v>
      </c>
      <c r="P96" s="81">
        <v>3233</v>
      </c>
      <c r="Q96" s="82">
        <f t="shared" si="12"/>
        <v>13829.1</v>
      </c>
      <c r="R96" s="81">
        <v>4726.8999999999996</v>
      </c>
      <c r="S96" s="81">
        <v>3877.9</v>
      </c>
      <c r="T96" s="81">
        <v>3148.4</v>
      </c>
      <c r="U96" s="81">
        <v>983</v>
      </c>
      <c r="V96" s="83">
        <f t="shared" si="9"/>
        <v>12736.199999999999</v>
      </c>
      <c r="W96" s="81">
        <v>196.1</v>
      </c>
      <c r="X96" s="81">
        <v>548.5</v>
      </c>
      <c r="Y96" s="81">
        <v>1277.8</v>
      </c>
      <c r="Z96" s="81">
        <v>1750</v>
      </c>
      <c r="AA96" s="83">
        <f t="shared" si="7"/>
        <v>3772.4</v>
      </c>
      <c r="AB96" s="81">
        <v>1895.1</v>
      </c>
      <c r="AC96" s="81">
        <v>3328.5</v>
      </c>
      <c r="AD96" s="81">
        <v>4639.6000000000004</v>
      </c>
      <c r="AE96" s="81">
        <v>5392.6</v>
      </c>
      <c r="AF96" s="81">
        <v>15255.8</v>
      </c>
      <c r="AG96" s="84">
        <v>7689.3</v>
      </c>
      <c r="AH96" s="84">
        <v>12811.9</v>
      </c>
      <c r="AI96" s="84">
        <v>9491.7000000000007</v>
      </c>
      <c r="AJ96" s="84">
        <v>2857.1</v>
      </c>
      <c r="AK96" s="83">
        <f t="shared" si="10"/>
        <v>32850</v>
      </c>
      <c r="AL96" s="83">
        <v>4576.2</v>
      </c>
      <c r="AM96" s="83">
        <v>4805.5</v>
      </c>
      <c r="AN96" s="83">
        <v>4008.8</v>
      </c>
      <c r="AO96" s="83">
        <v>4236.8999999999996</v>
      </c>
      <c r="AP96" s="83">
        <v>17627.400000000001</v>
      </c>
      <c r="AQ96" s="84">
        <v>4266.7</v>
      </c>
      <c r="AR96" s="84">
        <v>3805</v>
      </c>
      <c r="AS96" s="84">
        <v>3119.5</v>
      </c>
      <c r="AT96" s="84">
        <v>3289.1</v>
      </c>
      <c r="AU96" s="84">
        <v>14480.3</v>
      </c>
      <c r="AV96" s="84">
        <v>3991.8</v>
      </c>
      <c r="AW96" s="84">
        <v>4769.5</v>
      </c>
      <c r="AX96" s="84">
        <v>4863.1000000000004</v>
      </c>
      <c r="AY96" s="85">
        <v>4363.8</v>
      </c>
      <c r="AZ96" s="84">
        <v>17988.2</v>
      </c>
      <c r="BA96" s="84">
        <v>3734.5</v>
      </c>
      <c r="BB96" s="84">
        <v>4085.3</v>
      </c>
      <c r="BC96" s="84">
        <v>3071.7</v>
      </c>
      <c r="BD96" s="86">
        <v>1946</v>
      </c>
      <c r="BE96" s="84">
        <v>12837.5</v>
      </c>
      <c r="BF96" s="84">
        <v>1915.10798</v>
      </c>
      <c r="BG96" s="87">
        <v>2476.8497400000001</v>
      </c>
      <c r="BH96" s="88">
        <v>2714.5966699999999</v>
      </c>
      <c r="BI96" s="56">
        <v>1865.91813</v>
      </c>
      <c r="BJ96" s="56">
        <v>8972.4725199999993</v>
      </c>
      <c r="BK96" s="56">
        <f>IF(3482.89935="","-",3482.89935)</f>
        <v>3482.8993500000001</v>
      </c>
      <c r="BL96" s="56">
        <f>IF(3706.47627="","-",3706.47627)</f>
        <v>3706.4762700000001</v>
      </c>
      <c r="BM96" s="56">
        <f>IF(3499.09264="","-",3499.09264)</f>
        <v>3499.0926399999998</v>
      </c>
      <c r="BN96" s="56">
        <f>IF(3764.95491="","-",3764.95491)</f>
        <v>3764.9549099999999</v>
      </c>
      <c r="BO96" s="56">
        <f>IF(14453.42317="","-",14453.42317)</f>
        <v>14453.42317</v>
      </c>
      <c r="BP96" s="56">
        <v>3476.51496</v>
      </c>
      <c r="BQ96" s="46">
        <v>4064.7692099999999</v>
      </c>
      <c r="BR96" s="46">
        <v>3796.2538500000001</v>
      </c>
      <c r="BS96" s="56">
        <v>3204.5493900000001</v>
      </c>
      <c r="BT96" s="56">
        <v>14542.08741</v>
      </c>
      <c r="BU96" s="56">
        <v>3058.9153799999999</v>
      </c>
      <c r="BV96" s="56">
        <v>3753.1713300000001</v>
      </c>
      <c r="BW96" s="56">
        <v>2816.95084</v>
      </c>
      <c r="BX96" s="56">
        <v>2665.9331400000001</v>
      </c>
      <c r="BY96" s="56">
        <v>12294.97069</v>
      </c>
      <c r="BZ96" s="56">
        <v>1959.4210800000001</v>
      </c>
      <c r="CA96" s="56">
        <v>2506.5597600000001</v>
      </c>
      <c r="CB96" s="56">
        <v>6649.9323999999997</v>
      </c>
      <c r="CC96" s="56">
        <v>5365.8865599999999</v>
      </c>
      <c r="CD96" s="56">
        <v>16481.799800000001</v>
      </c>
      <c r="CE96" s="56">
        <v>7529.9201999999996</v>
      </c>
      <c r="CF96" s="56">
        <v>9334.6893700000001</v>
      </c>
      <c r="CG96" s="56">
        <v>7769.1102499999997</v>
      </c>
      <c r="CH96" s="56">
        <v>8645.2460100000008</v>
      </c>
      <c r="CI96" s="56">
        <v>33278.965830000001</v>
      </c>
      <c r="CJ96" s="56">
        <v>7270.8569600000001</v>
      </c>
      <c r="CK96" s="56">
        <v>6882.0075100000004</v>
      </c>
      <c r="CL96" s="56">
        <v>3131.7723900000001</v>
      </c>
      <c r="CM96" s="56">
        <v>3869.56547</v>
      </c>
      <c r="CN96" s="56">
        <v>21154.20233</v>
      </c>
      <c r="CO96" s="56">
        <v>6056.7668999999996</v>
      </c>
      <c r="CP96" s="56">
        <v>3317.6023700000001</v>
      </c>
      <c r="CQ96" s="56">
        <v>3707.5594799999999</v>
      </c>
      <c r="CR96" s="56">
        <v>6702.5261799999998</v>
      </c>
      <c r="CS96" s="56">
        <v>19784.45493</v>
      </c>
      <c r="CT96" s="66" t="s">
        <v>72</v>
      </c>
      <c r="CU96" s="60" t="s">
        <v>206</v>
      </c>
    </row>
    <row r="97" spans="1:99" s="9" customFormat="1" ht="15.75">
      <c r="A97" s="66" t="s">
        <v>73</v>
      </c>
      <c r="B97" s="60" t="s">
        <v>207</v>
      </c>
      <c r="C97" s="82" t="s">
        <v>115</v>
      </c>
      <c r="D97" s="82" t="s">
        <v>115</v>
      </c>
      <c r="E97" s="82" t="s">
        <v>115</v>
      </c>
      <c r="F97" s="82" t="s">
        <v>115</v>
      </c>
      <c r="G97" s="82" t="s">
        <v>115</v>
      </c>
      <c r="H97" s="82" t="s">
        <v>115</v>
      </c>
      <c r="I97" s="81">
        <v>13</v>
      </c>
      <c r="J97" s="82" t="s">
        <v>115</v>
      </c>
      <c r="K97" s="81">
        <v>43.7</v>
      </c>
      <c r="L97" s="82">
        <f t="shared" si="11"/>
        <v>56.7</v>
      </c>
      <c r="M97" s="81">
        <v>80.599999999999994</v>
      </c>
      <c r="N97" s="81" t="s">
        <v>117</v>
      </c>
      <c r="O97" s="81" t="s">
        <v>117</v>
      </c>
      <c r="P97" s="81" t="s">
        <v>117</v>
      </c>
      <c r="Q97" s="82">
        <f t="shared" si="12"/>
        <v>80.599999999999994</v>
      </c>
      <c r="R97" s="81" t="s">
        <v>117</v>
      </c>
      <c r="S97" s="81" t="s">
        <v>117</v>
      </c>
      <c r="T97" s="81">
        <v>1.9</v>
      </c>
      <c r="U97" s="81" t="s">
        <v>117</v>
      </c>
      <c r="V97" s="83">
        <f t="shared" si="9"/>
        <v>1.9</v>
      </c>
      <c r="W97" s="81" t="s">
        <v>117</v>
      </c>
      <c r="X97" s="81" t="s">
        <v>117</v>
      </c>
      <c r="Y97" s="81" t="s">
        <v>117</v>
      </c>
      <c r="Z97" s="81">
        <v>2.1</v>
      </c>
      <c r="AA97" s="83">
        <f t="shared" si="7"/>
        <v>2.1</v>
      </c>
      <c r="AB97" s="81" t="s">
        <v>117</v>
      </c>
      <c r="AC97" s="81" t="s">
        <v>117</v>
      </c>
      <c r="AD97" s="81" t="s">
        <v>117</v>
      </c>
      <c r="AE97" s="81" t="s">
        <v>117</v>
      </c>
      <c r="AF97" s="81" t="s">
        <v>117</v>
      </c>
      <c r="AG97" s="84" t="s">
        <v>117</v>
      </c>
      <c r="AH97" s="84" t="s">
        <v>117</v>
      </c>
      <c r="AI97" s="84" t="s">
        <v>117</v>
      </c>
      <c r="AJ97" s="84" t="s">
        <v>117</v>
      </c>
      <c r="AK97" s="81" t="s">
        <v>117</v>
      </c>
      <c r="AL97" s="83">
        <v>5.9</v>
      </c>
      <c r="AM97" s="83">
        <v>15.9</v>
      </c>
      <c r="AN97" s="83">
        <v>26.5</v>
      </c>
      <c r="AO97" s="83">
        <v>13.8</v>
      </c>
      <c r="AP97" s="83">
        <v>62.1</v>
      </c>
      <c r="AQ97" s="84">
        <v>10.199999999999999</v>
      </c>
      <c r="AR97" s="84">
        <v>14.3</v>
      </c>
      <c r="AS97" s="84">
        <v>431.8</v>
      </c>
      <c r="AT97" s="84">
        <v>14.2</v>
      </c>
      <c r="AU97" s="84">
        <v>470.5</v>
      </c>
      <c r="AV97" s="84">
        <v>14.2</v>
      </c>
      <c r="AW97" s="84">
        <v>17.600000000000001</v>
      </c>
      <c r="AX97" s="84">
        <v>33.9</v>
      </c>
      <c r="AY97" s="85">
        <v>16.5</v>
      </c>
      <c r="AZ97" s="84">
        <v>82.2</v>
      </c>
      <c r="BA97" s="84">
        <v>16.5</v>
      </c>
      <c r="BB97" s="84">
        <v>18.7</v>
      </c>
      <c r="BC97" s="84">
        <v>16.7</v>
      </c>
      <c r="BD97" s="86">
        <v>33.299999999999997</v>
      </c>
      <c r="BE97" s="84">
        <v>85.2</v>
      </c>
      <c r="BF97" s="84">
        <v>16.259039999999999</v>
      </c>
      <c r="BG97" s="87">
        <v>16.259039999999999</v>
      </c>
      <c r="BH97" s="88">
        <v>18.279039999999998</v>
      </c>
      <c r="BI97" s="56">
        <v>16.259039999999999</v>
      </c>
      <c r="BJ97" s="56">
        <v>67.056160000000006</v>
      </c>
      <c r="BK97" s="56">
        <f>IF(25.90704="","-",25.90704)</f>
        <v>25.907039999999999</v>
      </c>
      <c r="BL97" s="56">
        <f>IF(61.78489="","-",61.78489)</f>
        <v>61.784889999999997</v>
      </c>
      <c r="BM97" s="56">
        <f>IF(177.41157="","-",177.41157)</f>
        <v>177.41157000000001</v>
      </c>
      <c r="BN97" s="56">
        <f>IF(118.20251="","-",118.20251)</f>
        <v>118.20251</v>
      </c>
      <c r="BO97" s="56">
        <f>IF(383.30601="","-",383.30601)</f>
        <v>383.30601000000001</v>
      </c>
      <c r="BP97" s="56">
        <v>23.657599999999999</v>
      </c>
      <c r="BQ97" s="46">
        <v>171.23937000000001</v>
      </c>
      <c r="BR97" s="46">
        <v>182.12427</v>
      </c>
      <c r="BS97" s="56">
        <v>135.75735</v>
      </c>
      <c r="BT97" s="56">
        <v>512.77859000000001</v>
      </c>
      <c r="BU97" s="56">
        <v>14.1431</v>
      </c>
      <c r="BV97" s="56">
        <v>90.193610000000007</v>
      </c>
      <c r="BW97" s="56">
        <v>166.44400999999999</v>
      </c>
      <c r="BX97" s="56">
        <v>219.81589</v>
      </c>
      <c r="BY97" s="56">
        <v>490.59661</v>
      </c>
      <c r="BZ97" s="56">
        <v>132.43295000000001</v>
      </c>
      <c r="CA97" s="56">
        <v>73.46414</v>
      </c>
      <c r="CB97" s="56">
        <v>165.08094</v>
      </c>
      <c r="CC97" s="56">
        <v>135.75969000000001</v>
      </c>
      <c r="CD97" s="56">
        <v>506.73772000000002</v>
      </c>
      <c r="CE97" s="56">
        <v>64.155640000000005</v>
      </c>
      <c r="CF97" s="56">
        <v>234.33458999999999</v>
      </c>
      <c r="CG97" s="56">
        <v>315.60538000000003</v>
      </c>
      <c r="CH97" s="56">
        <v>396.17894999999999</v>
      </c>
      <c r="CI97" s="56">
        <v>1010.27456</v>
      </c>
      <c r="CJ97" s="56">
        <v>382.08719000000002</v>
      </c>
      <c r="CK97" s="56">
        <v>171.42671000000001</v>
      </c>
      <c r="CL97" s="56">
        <v>74.403390000000002</v>
      </c>
      <c r="CM97" s="56">
        <v>136.20180999999999</v>
      </c>
      <c r="CN97" s="56">
        <v>764.1191</v>
      </c>
      <c r="CO97" s="56">
        <v>125.95243000000001</v>
      </c>
      <c r="CP97" s="56">
        <v>70.338579999999993</v>
      </c>
      <c r="CQ97" s="56">
        <v>58.963799999999999</v>
      </c>
      <c r="CR97" s="56">
        <v>60.732190000000003</v>
      </c>
      <c r="CS97" s="56">
        <v>315.98700000000002</v>
      </c>
      <c r="CT97" s="66" t="s">
        <v>73</v>
      </c>
      <c r="CU97" s="60" t="s">
        <v>207</v>
      </c>
    </row>
    <row r="98" spans="1:99" s="9" customFormat="1" ht="15.75">
      <c r="A98" s="66" t="s">
        <v>74</v>
      </c>
      <c r="B98" s="60" t="s">
        <v>208</v>
      </c>
      <c r="C98" s="81">
        <v>1784.7</v>
      </c>
      <c r="D98" s="81">
        <v>4900.7</v>
      </c>
      <c r="E98" s="81">
        <v>4419.1000000000004</v>
      </c>
      <c r="F98" s="81">
        <v>4453.8</v>
      </c>
      <c r="G98" s="82">
        <f t="shared" si="8"/>
        <v>15558.3</v>
      </c>
      <c r="H98" s="81">
        <v>2776.7</v>
      </c>
      <c r="I98" s="81">
        <v>6527.6</v>
      </c>
      <c r="J98" s="81">
        <v>5918.3</v>
      </c>
      <c r="K98" s="81">
        <v>6467.8</v>
      </c>
      <c r="L98" s="82">
        <f t="shared" si="11"/>
        <v>21690.399999999998</v>
      </c>
      <c r="M98" s="81">
        <v>8177.1</v>
      </c>
      <c r="N98" s="81">
        <v>10274</v>
      </c>
      <c r="O98" s="81">
        <v>6517.8</v>
      </c>
      <c r="P98" s="81">
        <v>6774</v>
      </c>
      <c r="Q98" s="82">
        <f t="shared" si="12"/>
        <v>31742.899999999998</v>
      </c>
      <c r="R98" s="81">
        <v>4998.3</v>
      </c>
      <c r="S98" s="81">
        <v>4276.5</v>
      </c>
      <c r="T98" s="81">
        <v>3388.1</v>
      </c>
      <c r="U98" s="81">
        <v>3127.6</v>
      </c>
      <c r="V98" s="83">
        <f t="shared" si="9"/>
        <v>15790.5</v>
      </c>
      <c r="W98" s="81">
        <v>485.3</v>
      </c>
      <c r="X98" s="81">
        <v>1235.5</v>
      </c>
      <c r="Y98" s="81">
        <v>686.7</v>
      </c>
      <c r="Z98" s="81">
        <v>846.9</v>
      </c>
      <c r="AA98" s="83">
        <f t="shared" si="7"/>
        <v>3254.4</v>
      </c>
      <c r="AB98" s="81">
        <v>751.8</v>
      </c>
      <c r="AC98" s="81">
        <v>1438.5</v>
      </c>
      <c r="AD98" s="81">
        <v>1510.2</v>
      </c>
      <c r="AE98" s="81">
        <v>1733.9</v>
      </c>
      <c r="AF98" s="81">
        <v>5434.4</v>
      </c>
      <c r="AG98" s="84">
        <v>1309.0999999999999</v>
      </c>
      <c r="AH98" s="84">
        <v>2885.6</v>
      </c>
      <c r="AI98" s="84">
        <v>2886.8</v>
      </c>
      <c r="AJ98" s="84">
        <v>3108.2</v>
      </c>
      <c r="AK98" s="83">
        <f t="shared" si="10"/>
        <v>10189.700000000001</v>
      </c>
      <c r="AL98" s="83">
        <v>1551.5</v>
      </c>
      <c r="AM98" s="83">
        <v>1833.2</v>
      </c>
      <c r="AN98" s="83">
        <v>2029.1</v>
      </c>
      <c r="AO98" s="83">
        <v>2470.9</v>
      </c>
      <c r="AP98" s="83">
        <v>7884.7</v>
      </c>
      <c r="AQ98" s="84">
        <v>1665.7</v>
      </c>
      <c r="AR98" s="84">
        <v>2369.1999999999998</v>
      </c>
      <c r="AS98" s="84">
        <v>2639.4</v>
      </c>
      <c r="AT98" s="84">
        <v>2195.8000000000002</v>
      </c>
      <c r="AU98" s="84">
        <v>8870.1</v>
      </c>
      <c r="AV98" s="84">
        <v>3007</v>
      </c>
      <c r="AW98" s="84">
        <v>2304.3000000000002</v>
      </c>
      <c r="AX98" s="84">
        <v>1728</v>
      </c>
      <c r="AY98" s="85">
        <v>1449.2</v>
      </c>
      <c r="AZ98" s="84">
        <v>8488.5</v>
      </c>
      <c r="BA98" s="84">
        <v>2327.1</v>
      </c>
      <c r="BB98" s="84">
        <v>2097.6999999999998</v>
      </c>
      <c r="BC98" s="84">
        <v>1555.6</v>
      </c>
      <c r="BD98" s="86">
        <v>1396.5</v>
      </c>
      <c r="BE98" s="84">
        <v>7376.9</v>
      </c>
      <c r="BF98" s="84">
        <v>1103.54306</v>
      </c>
      <c r="BG98" s="87">
        <v>1333.03629</v>
      </c>
      <c r="BH98" s="88">
        <v>843.70336999999995</v>
      </c>
      <c r="BI98" s="56">
        <v>852.82510000000002</v>
      </c>
      <c r="BJ98" s="56">
        <v>4133.1078200000002</v>
      </c>
      <c r="BK98" s="56">
        <f>IF(1145.68343="","-",1145.68343)</f>
        <v>1145.68343</v>
      </c>
      <c r="BL98" s="56">
        <f>IF(1510.75262="","-",1510.75262)</f>
        <v>1510.75262</v>
      </c>
      <c r="BM98" s="56">
        <f>IF(1429.93785="","-",1429.93785)</f>
        <v>1429.93785</v>
      </c>
      <c r="BN98" s="56">
        <f>IF(1101.06182="","-",1101.06182)</f>
        <v>1101.0618199999999</v>
      </c>
      <c r="BO98" s="56">
        <f>IF(5187.43572="","-",5187.43572)</f>
        <v>5187.4357200000004</v>
      </c>
      <c r="BP98" s="56">
        <v>1275.83125</v>
      </c>
      <c r="BQ98" s="46">
        <v>1216.9035899999999</v>
      </c>
      <c r="BR98" s="46">
        <v>1259.3069700000001</v>
      </c>
      <c r="BS98" s="56">
        <v>1335.1785500000001</v>
      </c>
      <c r="BT98" s="56">
        <v>5087.2203600000003</v>
      </c>
      <c r="BU98" s="56">
        <v>1046.4549999999999</v>
      </c>
      <c r="BV98" s="56">
        <v>1542.0169800000001</v>
      </c>
      <c r="BW98" s="56">
        <v>1500.79054</v>
      </c>
      <c r="BX98" s="56">
        <v>1180.2467200000001</v>
      </c>
      <c r="BY98" s="56">
        <v>5269.5092400000003</v>
      </c>
      <c r="BZ98" s="56">
        <v>1300.90356</v>
      </c>
      <c r="CA98" s="56">
        <v>1295.6313600000001</v>
      </c>
      <c r="CB98" s="56">
        <v>1641.9973600000001</v>
      </c>
      <c r="CC98" s="56">
        <v>2460.2889500000001</v>
      </c>
      <c r="CD98" s="56">
        <v>6698.8212299999996</v>
      </c>
      <c r="CE98" s="56">
        <v>3324.6457500000001</v>
      </c>
      <c r="CF98" s="56">
        <v>3944.3227200000001</v>
      </c>
      <c r="CG98" s="56">
        <v>4462.1863000000003</v>
      </c>
      <c r="CH98" s="56">
        <v>4573.6066099999998</v>
      </c>
      <c r="CI98" s="56">
        <v>16304.76138</v>
      </c>
      <c r="CJ98" s="56">
        <v>7938.0782200000003</v>
      </c>
      <c r="CK98" s="56">
        <v>4528.5152699999999</v>
      </c>
      <c r="CL98" s="56">
        <v>2557.4811</v>
      </c>
      <c r="CM98" s="56">
        <v>2336.12149</v>
      </c>
      <c r="CN98" s="56">
        <v>17360.196080000002</v>
      </c>
      <c r="CO98" s="56">
        <v>3427.18208</v>
      </c>
      <c r="CP98" s="56">
        <v>2849.4865500000001</v>
      </c>
      <c r="CQ98" s="56">
        <v>2191.6688600000002</v>
      </c>
      <c r="CR98" s="56">
        <v>3804.57368</v>
      </c>
      <c r="CS98" s="56">
        <v>12272.911169999999</v>
      </c>
      <c r="CT98" s="66" t="s">
        <v>74</v>
      </c>
      <c r="CU98" s="60" t="s">
        <v>208</v>
      </c>
    </row>
    <row r="99" spans="1:99" s="9" customFormat="1" ht="15.75">
      <c r="A99" s="66" t="s">
        <v>75</v>
      </c>
      <c r="B99" s="60" t="s">
        <v>209</v>
      </c>
      <c r="C99" s="82" t="s">
        <v>115</v>
      </c>
      <c r="D99" s="82" t="s">
        <v>115</v>
      </c>
      <c r="E99" s="82" t="s">
        <v>115</v>
      </c>
      <c r="F99" s="82" t="s">
        <v>115</v>
      </c>
      <c r="G99" s="82" t="s">
        <v>115</v>
      </c>
      <c r="H99" s="82" t="s">
        <v>115</v>
      </c>
      <c r="I99" s="82" t="s">
        <v>115</v>
      </c>
      <c r="J99" s="81">
        <v>1.6</v>
      </c>
      <c r="K99" s="81">
        <v>1.6</v>
      </c>
      <c r="L99" s="82">
        <f t="shared" si="11"/>
        <v>3.2</v>
      </c>
      <c r="M99" s="81">
        <v>0.4</v>
      </c>
      <c r="N99" s="81" t="s">
        <v>117</v>
      </c>
      <c r="O99" s="81" t="s">
        <v>117</v>
      </c>
      <c r="P99" s="81" t="s">
        <v>117</v>
      </c>
      <c r="Q99" s="82">
        <f t="shared" si="12"/>
        <v>0.4</v>
      </c>
      <c r="R99" s="81" t="s">
        <v>117</v>
      </c>
      <c r="S99" s="81" t="s">
        <v>117</v>
      </c>
      <c r="T99" s="81" t="s">
        <v>117</v>
      </c>
      <c r="U99" s="81" t="s">
        <v>117</v>
      </c>
      <c r="V99" s="75" t="s">
        <v>115</v>
      </c>
      <c r="W99" s="81" t="s">
        <v>117</v>
      </c>
      <c r="X99" s="81" t="s">
        <v>117</v>
      </c>
      <c r="Y99" s="81" t="s">
        <v>117</v>
      </c>
      <c r="Z99" s="81">
        <v>1.7</v>
      </c>
      <c r="AA99" s="75" t="s">
        <v>115</v>
      </c>
      <c r="AB99" s="81" t="s">
        <v>117</v>
      </c>
      <c r="AC99" s="81" t="s">
        <v>117</v>
      </c>
      <c r="AD99" s="81" t="s">
        <v>117</v>
      </c>
      <c r="AE99" s="81" t="s">
        <v>117</v>
      </c>
      <c r="AF99" s="81" t="s">
        <v>117</v>
      </c>
      <c r="AG99" s="84" t="s">
        <v>117</v>
      </c>
      <c r="AH99" s="84" t="s">
        <v>117</v>
      </c>
      <c r="AI99" s="84" t="s">
        <v>117</v>
      </c>
      <c r="AJ99" s="84" t="s">
        <v>117</v>
      </c>
      <c r="AK99" s="81" t="s">
        <v>117</v>
      </c>
      <c r="AL99" s="83">
        <v>0.1</v>
      </c>
      <c r="AM99" s="92" t="s">
        <v>117</v>
      </c>
      <c r="AN99" s="92" t="s">
        <v>117</v>
      </c>
      <c r="AO99" s="92" t="s">
        <v>117</v>
      </c>
      <c r="AP99" s="83">
        <v>0.1</v>
      </c>
      <c r="AQ99" s="84" t="s">
        <v>117</v>
      </c>
      <c r="AR99" s="84" t="s">
        <v>117</v>
      </c>
      <c r="AS99" s="84" t="s">
        <v>117</v>
      </c>
      <c r="AT99" s="84" t="s">
        <v>117</v>
      </c>
      <c r="AU99" s="84" t="s">
        <v>117</v>
      </c>
      <c r="AV99" s="84" t="s">
        <v>117</v>
      </c>
      <c r="AW99" s="84" t="s">
        <v>117</v>
      </c>
      <c r="AX99" s="84" t="s">
        <v>117</v>
      </c>
      <c r="AY99" s="84" t="s">
        <v>117</v>
      </c>
      <c r="AZ99" s="84" t="s">
        <v>117</v>
      </c>
      <c r="BA99" s="84" t="s">
        <v>117</v>
      </c>
      <c r="BB99" s="84" t="s">
        <v>117</v>
      </c>
      <c r="BC99" s="84" t="s">
        <v>117</v>
      </c>
      <c r="BD99" s="84" t="s">
        <v>117</v>
      </c>
      <c r="BE99" s="84" t="s">
        <v>117</v>
      </c>
      <c r="BF99" s="84" t="s">
        <v>117</v>
      </c>
      <c r="BG99" s="84" t="s">
        <v>117</v>
      </c>
      <c r="BH99" s="84" t="s">
        <v>117</v>
      </c>
      <c r="BI99" s="56" t="s">
        <v>117</v>
      </c>
      <c r="BJ99" s="56" t="s">
        <v>117</v>
      </c>
      <c r="BK99" s="56" t="s">
        <v>117</v>
      </c>
      <c r="BL99" s="56" t="s">
        <v>117</v>
      </c>
      <c r="BM99" s="56" t="s">
        <v>117</v>
      </c>
      <c r="BN99" s="56" t="s">
        <v>117</v>
      </c>
      <c r="BO99" s="56" t="s">
        <v>117</v>
      </c>
      <c r="BP99" s="56" t="s">
        <v>117</v>
      </c>
      <c r="BQ99" s="56" t="s">
        <v>117</v>
      </c>
      <c r="BR99" s="56" t="s">
        <v>117</v>
      </c>
      <c r="BS99" s="56" t="s">
        <v>117</v>
      </c>
      <c r="BT99" s="56" t="s">
        <v>117</v>
      </c>
      <c r="BU99" s="56" t="s">
        <v>117</v>
      </c>
      <c r="BV99" s="56" t="s">
        <v>117</v>
      </c>
      <c r="BW99" s="56" t="s">
        <v>117</v>
      </c>
      <c r="BX99" s="56" t="s">
        <v>117</v>
      </c>
      <c r="BY99" s="56" t="s">
        <v>117</v>
      </c>
      <c r="BZ99" s="56" t="s">
        <v>117</v>
      </c>
      <c r="CA99" s="56">
        <v>11.53852</v>
      </c>
      <c r="CB99" s="56" t="s">
        <v>117</v>
      </c>
      <c r="CC99" s="56" t="s">
        <v>117</v>
      </c>
      <c r="CD99" s="56">
        <v>11.53852</v>
      </c>
      <c r="CE99" s="56" t="s">
        <v>117</v>
      </c>
      <c r="CF99" s="56" t="s">
        <v>117</v>
      </c>
      <c r="CG99" s="56" t="s">
        <v>117</v>
      </c>
      <c r="CH99" s="56">
        <v>2.5000000000000001E-2</v>
      </c>
      <c r="CI99" s="56">
        <v>2.5000000000000001E-2</v>
      </c>
      <c r="CJ99" s="56">
        <v>0.38500000000000001</v>
      </c>
      <c r="CK99" s="56" t="s">
        <v>117</v>
      </c>
      <c r="CL99" s="56" t="s">
        <v>117</v>
      </c>
      <c r="CM99" s="56" t="s">
        <v>117</v>
      </c>
      <c r="CN99" s="56">
        <v>0.38500000000000001</v>
      </c>
      <c r="CO99" s="56" t="s">
        <v>117</v>
      </c>
      <c r="CP99" s="56" t="s">
        <v>117</v>
      </c>
      <c r="CQ99" s="56">
        <v>1.27197</v>
      </c>
      <c r="CR99" s="56" t="s">
        <v>117</v>
      </c>
      <c r="CS99" s="56">
        <v>1.27197</v>
      </c>
      <c r="CT99" s="66" t="s">
        <v>75</v>
      </c>
      <c r="CU99" s="60" t="s">
        <v>209</v>
      </c>
    </row>
    <row r="100" spans="1:99" s="9" customFormat="1" ht="15.75">
      <c r="A100" s="66" t="s">
        <v>76</v>
      </c>
      <c r="B100" s="60" t="s">
        <v>210</v>
      </c>
      <c r="C100" s="82" t="s">
        <v>115</v>
      </c>
      <c r="D100" s="82" t="s">
        <v>115</v>
      </c>
      <c r="E100" s="82" t="s">
        <v>115</v>
      </c>
      <c r="F100" s="82" t="s">
        <v>115</v>
      </c>
      <c r="G100" s="82" t="s">
        <v>115</v>
      </c>
      <c r="H100" s="82" t="s">
        <v>115</v>
      </c>
      <c r="I100" s="81">
        <v>7.5</v>
      </c>
      <c r="J100" s="81">
        <v>0.1</v>
      </c>
      <c r="K100" s="81">
        <v>26.4</v>
      </c>
      <c r="L100" s="82">
        <f t="shared" si="11"/>
        <v>34</v>
      </c>
      <c r="M100" s="81" t="s">
        <v>117</v>
      </c>
      <c r="N100" s="81">
        <v>195.9</v>
      </c>
      <c r="O100" s="81">
        <v>303.60000000000002</v>
      </c>
      <c r="P100" s="81">
        <v>103.8</v>
      </c>
      <c r="Q100" s="82">
        <f t="shared" si="12"/>
        <v>603.29999999999995</v>
      </c>
      <c r="R100" s="81">
        <v>97.4</v>
      </c>
      <c r="S100" s="81">
        <v>332</v>
      </c>
      <c r="T100" s="81">
        <v>558.6</v>
      </c>
      <c r="U100" s="81">
        <v>240.4</v>
      </c>
      <c r="V100" s="83">
        <f t="shared" si="9"/>
        <v>1228.4000000000001</v>
      </c>
      <c r="W100" s="81">
        <v>17.600000000000001</v>
      </c>
      <c r="X100" s="81">
        <v>26.8</v>
      </c>
      <c r="Y100" s="81">
        <v>21</v>
      </c>
      <c r="Z100" s="81" t="s">
        <v>117</v>
      </c>
      <c r="AA100" s="83">
        <f>SUM(W100:Z100)</f>
        <v>65.400000000000006</v>
      </c>
      <c r="AB100" s="81">
        <v>39.299999999999997</v>
      </c>
      <c r="AC100" s="81">
        <v>20.100000000000001</v>
      </c>
      <c r="AD100" s="81">
        <v>5.2</v>
      </c>
      <c r="AE100" s="81">
        <v>4.0999999999999996</v>
      </c>
      <c r="AF100" s="81">
        <v>68.7</v>
      </c>
      <c r="AG100" s="84">
        <v>81.599999999999994</v>
      </c>
      <c r="AH100" s="84">
        <v>29.6</v>
      </c>
      <c r="AI100" s="84">
        <v>11.6</v>
      </c>
      <c r="AJ100" s="84" t="s">
        <v>117</v>
      </c>
      <c r="AK100" s="83">
        <f t="shared" si="10"/>
        <v>122.79999999999998</v>
      </c>
      <c r="AL100" s="83">
        <v>54.1</v>
      </c>
      <c r="AM100" s="92" t="s">
        <v>117</v>
      </c>
      <c r="AN100" s="83">
        <v>36.1</v>
      </c>
      <c r="AO100" s="83">
        <v>27.8</v>
      </c>
      <c r="AP100" s="83">
        <v>118</v>
      </c>
      <c r="AQ100" s="84">
        <v>27.9</v>
      </c>
      <c r="AR100" s="84">
        <v>60.3</v>
      </c>
      <c r="AS100" s="84">
        <v>43.9</v>
      </c>
      <c r="AT100" s="84" t="s">
        <v>117</v>
      </c>
      <c r="AU100" s="84">
        <v>132.1</v>
      </c>
      <c r="AV100" s="84" t="s">
        <v>117</v>
      </c>
      <c r="AW100" s="84" t="s">
        <v>117</v>
      </c>
      <c r="AX100" s="84">
        <v>6.6</v>
      </c>
      <c r="AY100" s="85">
        <v>20.399999999999999</v>
      </c>
      <c r="AZ100" s="84">
        <v>27</v>
      </c>
      <c r="BA100" s="84">
        <v>44.7</v>
      </c>
      <c r="BB100" s="84">
        <v>60.1</v>
      </c>
      <c r="BC100" s="84">
        <v>7.1</v>
      </c>
      <c r="BD100" s="86">
        <v>17.600000000000001</v>
      </c>
      <c r="BE100" s="84">
        <v>129.5</v>
      </c>
      <c r="BF100" s="84">
        <v>67.979399999999998</v>
      </c>
      <c r="BG100" s="87">
        <v>27.540130000000001</v>
      </c>
      <c r="BH100" s="88">
        <v>45.269419999999997</v>
      </c>
      <c r="BI100" s="56">
        <v>52.20149</v>
      </c>
      <c r="BJ100" s="56">
        <v>192.99044000000001</v>
      </c>
      <c r="BK100" s="56">
        <f>IF(12.53757="","-",12.53757)</f>
        <v>12.537570000000001</v>
      </c>
      <c r="BL100" s="56">
        <f>IF(63.02316="","-",63.02316)</f>
        <v>63.023159999999997</v>
      </c>
      <c r="BM100" s="56">
        <f>IF(33.52227="","-",33.52227)</f>
        <v>33.522269999999999</v>
      </c>
      <c r="BN100" s="56">
        <f>IF(28.99698="","-",28.99698)</f>
        <v>28.996980000000001</v>
      </c>
      <c r="BO100" s="56">
        <f>IF(138.07998="","-",138.07998)</f>
        <v>138.07998000000001</v>
      </c>
      <c r="BP100" s="56">
        <v>16.393219999999999</v>
      </c>
      <c r="BQ100" s="46">
        <v>12.01301</v>
      </c>
      <c r="BR100" s="46">
        <v>33.38129</v>
      </c>
      <c r="BS100" s="56">
        <v>8.1023399999999999</v>
      </c>
      <c r="BT100" s="56">
        <v>69.889859999999999</v>
      </c>
      <c r="BU100" s="56">
        <v>30.992519999999999</v>
      </c>
      <c r="BV100" s="56">
        <v>9.4597099999999994</v>
      </c>
      <c r="BW100" s="56">
        <v>0.66098999999999997</v>
      </c>
      <c r="BX100" s="56">
        <v>5.1513099999999996</v>
      </c>
      <c r="BY100" s="56">
        <v>46.264530000000001</v>
      </c>
      <c r="BZ100" s="56">
        <v>0.50678999999999996</v>
      </c>
      <c r="CA100" s="56">
        <v>4.7070999999999996</v>
      </c>
      <c r="CB100" s="56">
        <v>25.786100000000001</v>
      </c>
      <c r="CC100" s="56" t="s">
        <v>117</v>
      </c>
      <c r="CD100" s="56">
        <v>30.99999</v>
      </c>
      <c r="CE100" s="56">
        <v>2.4226100000000002</v>
      </c>
      <c r="CF100" s="56">
        <v>1.66143</v>
      </c>
      <c r="CG100" s="56" t="s">
        <v>117</v>
      </c>
      <c r="CH100" s="56">
        <v>0.37568000000000001</v>
      </c>
      <c r="CI100" s="56">
        <v>4.4597199999999999</v>
      </c>
      <c r="CJ100" s="56">
        <v>0.48401</v>
      </c>
      <c r="CK100" s="56">
        <v>353.73969</v>
      </c>
      <c r="CL100" s="56">
        <v>532.52184999999997</v>
      </c>
      <c r="CM100" s="56">
        <v>211.64170999999999</v>
      </c>
      <c r="CN100" s="56">
        <v>1098.38726</v>
      </c>
      <c r="CO100" s="56">
        <v>295.89353999999997</v>
      </c>
      <c r="CP100" s="56">
        <v>130.80439000000001</v>
      </c>
      <c r="CQ100" s="56">
        <v>81.756720000000001</v>
      </c>
      <c r="CR100" s="56">
        <v>20.643750000000001</v>
      </c>
      <c r="CS100" s="56">
        <v>529.09839999999997</v>
      </c>
      <c r="CT100" s="66" t="s">
        <v>76</v>
      </c>
      <c r="CU100" s="60" t="s">
        <v>210</v>
      </c>
    </row>
    <row r="101" spans="1:99" s="9" customFormat="1" ht="15.75">
      <c r="A101" s="66" t="s">
        <v>77</v>
      </c>
      <c r="B101" s="60" t="s">
        <v>211</v>
      </c>
      <c r="C101" s="82" t="s">
        <v>115</v>
      </c>
      <c r="D101" s="82" t="s">
        <v>115</v>
      </c>
      <c r="E101" s="82" t="s">
        <v>115</v>
      </c>
      <c r="F101" s="82" t="s">
        <v>115</v>
      </c>
      <c r="G101" s="82" t="s">
        <v>115</v>
      </c>
      <c r="H101" s="82" t="s">
        <v>115</v>
      </c>
      <c r="I101" s="81">
        <v>0.2</v>
      </c>
      <c r="J101" s="82" t="s">
        <v>115</v>
      </c>
      <c r="K101" s="82" t="s">
        <v>115</v>
      </c>
      <c r="L101" s="82">
        <f t="shared" si="11"/>
        <v>0.2</v>
      </c>
      <c r="M101" s="81" t="s">
        <v>117</v>
      </c>
      <c r="N101" s="81" t="s">
        <v>117</v>
      </c>
      <c r="O101" s="81" t="s">
        <v>117</v>
      </c>
      <c r="P101" s="81" t="s">
        <v>117</v>
      </c>
      <c r="Q101" s="82" t="s">
        <v>115</v>
      </c>
      <c r="R101" s="81" t="s">
        <v>117</v>
      </c>
      <c r="S101" s="81">
        <v>0.2</v>
      </c>
      <c r="T101" s="81">
        <v>0.1</v>
      </c>
      <c r="U101" s="81" t="s">
        <v>117</v>
      </c>
      <c r="V101" s="83">
        <f t="shared" si="9"/>
        <v>0.30000000000000004</v>
      </c>
      <c r="W101" s="81" t="s">
        <v>117</v>
      </c>
      <c r="X101" s="81" t="s">
        <v>117</v>
      </c>
      <c r="Y101" s="81" t="s">
        <v>117</v>
      </c>
      <c r="Z101" s="81" t="s">
        <v>117</v>
      </c>
      <c r="AA101" s="82" t="s">
        <v>115</v>
      </c>
      <c r="AB101" s="81" t="s">
        <v>117</v>
      </c>
      <c r="AC101" s="81" t="s">
        <v>117</v>
      </c>
      <c r="AD101" s="81" t="s">
        <v>117</v>
      </c>
      <c r="AE101" s="81" t="s">
        <v>117</v>
      </c>
      <c r="AF101" s="81" t="s">
        <v>117</v>
      </c>
      <c r="AG101" s="84" t="s">
        <v>117</v>
      </c>
      <c r="AH101" s="84" t="s">
        <v>117</v>
      </c>
      <c r="AI101" s="84" t="s">
        <v>117</v>
      </c>
      <c r="AJ101" s="84" t="s">
        <v>117</v>
      </c>
      <c r="AK101" s="81" t="s">
        <v>117</v>
      </c>
      <c r="AL101" s="83"/>
      <c r="AM101" s="83">
        <v>2.7</v>
      </c>
      <c r="AN101" s="83">
        <v>11.4</v>
      </c>
      <c r="AO101" s="92" t="s">
        <v>117</v>
      </c>
      <c r="AP101" s="92" t="s">
        <v>117</v>
      </c>
      <c r="AQ101" s="84" t="s">
        <v>117</v>
      </c>
      <c r="AR101" s="84" t="s">
        <v>117</v>
      </c>
      <c r="AS101" s="84">
        <v>0.1</v>
      </c>
      <c r="AT101" s="84" t="s">
        <v>117</v>
      </c>
      <c r="AU101" s="84">
        <v>0.1</v>
      </c>
      <c r="AV101" s="84" t="s">
        <v>117</v>
      </c>
      <c r="AW101" s="84" t="s">
        <v>117</v>
      </c>
      <c r="AX101" s="84" t="s">
        <v>117</v>
      </c>
      <c r="AY101" s="84" t="s">
        <v>117</v>
      </c>
      <c r="AZ101" s="84" t="s">
        <v>117</v>
      </c>
      <c r="BA101" s="84" t="s">
        <v>117</v>
      </c>
      <c r="BB101" s="84">
        <v>36.5</v>
      </c>
      <c r="BC101" s="84" t="s">
        <v>117</v>
      </c>
      <c r="BD101" s="84" t="s">
        <v>117</v>
      </c>
      <c r="BE101" s="84">
        <v>36.5</v>
      </c>
      <c r="BF101" s="84" t="s">
        <v>117</v>
      </c>
      <c r="BG101" s="84" t="s">
        <v>117</v>
      </c>
      <c r="BH101" s="84" t="s">
        <v>117</v>
      </c>
      <c r="BI101" s="56" t="s">
        <v>117</v>
      </c>
      <c r="BJ101" s="56" t="s">
        <v>117</v>
      </c>
      <c r="BK101" s="56" t="s">
        <v>117</v>
      </c>
      <c r="BL101" s="56" t="str">
        <f>IF(""="","-","")</f>
        <v>-</v>
      </c>
      <c r="BM101" s="56">
        <f>IF(43.40246="","-",43.40246)</f>
        <v>43.402459999999998</v>
      </c>
      <c r="BN101" s="56">
        <f>IF(3.82207="","-",3.82207)</f>
        <v>3.8220700000000001</v>
      </c>
      <c r="BO101" s="56">
        <f>IF(47.22453="","-",47.22453)</f>
        <v>47.224530000000001</v>
      </c>
      <c r="BP101" s="56">
        <v>0.01</v>
      </c>
      <c r="BQ101" s="46">
        <v>42.808599999999998</v>
      </c>
      <c r="BR101" s="46">
        <v>7.2345800000000002</v>
      </c>
      <c r="BS101" s="56" t="s">
        <v>117</v>
      </c>
      <c r="BT101" s="56">
        <v>50.053179999999998</v>
      </c>
      <c r="BU101" s="56">
        <v>15.97156</v>
      </c>
      <c r="BV101" s="56" t="s">
        <v>117</v>
      </c>
      <c r="BW101" s="56">
        <v>12.017480000000001</v>
      </c>
      <c r="BX101" s="56" t="s">
        <v>117</v>
      </c>
      <c r="BY101" s="56">
        <v>27.989039999999999</v>
      </c>
      <c r="BZ101" s="56" t="s">
        <v>117</v>
      </c>
      <c r="CA101" s="56">
        <v>34.785769999999999</v>
      </c>
      <c r="CB101" s="56" t="s">
        <v>117</v>
      </c>
      <c r="CC101" s="56" t="s">
        <v>117</v>
      </c>
      <c r="CD101" s="56">
        <v>34.787080000000003</v>
      </c>
      <c r="CE101" s="56">
        <v>30.878409999999999</v>
      </c>
      <c r="CF101" s="56">
        <v>23.057110000000002</v>
      </c>
      <c r="CG101" s="56" t="s">
        <v>117</v>
      </c>
      <c r="CH101" s="56">
        <v>25.463480000000001</v>
      </c>
      <c r="CI101" s="56">
        <v>79.399000000000001</v>
      </c>
      <c r="CJ101" s="56" t="s">
        <v>117</v>
      </c>
      <c r="CK101" s="56" t="s">
        <v>117</v>
      </c>
      <c r="CL101" s="56" t="s">
        <v>117</v>
      </c>
      <c r="CM101" s="56">
        <v>21.5397</v>
      </c>
      <c r="CN101" s="56">
        <v>21.5397</v>
      </c>
      <c r="CO101" s="56">
        <v>48.678280000000001</v>
      </c>
      <c r="CP101" s="56" t="s">
        <v>117</v>
      </c>
      <c r="CQ101" s="56">
        <v>27.611249999999998</v>
      </c>
      <c r="CR101" s="56">
        <v>1.70638</v>
      </c>
      <c r="CS101" s="56">
        <v>77.995909999999995</v>
      </c>
      <c r="CT101" s="66" t="s">
        <v>77</v>
      </c>
      <c r="CU101" s="60" t="s">
        <v>211</v>
      </c>
    </row>
    <row r="102" spans="1:99" s="9" customFormat="1" ht="18.75" customHeight="1">
      <c r="A102" s="66" t="s">
        <v>78</v>
      </c>
      <c r="B102" s="60" t="s">
        <v>212</v>
      </c>
      <c r="C102" s="82" t="s">
        <v>115</v>
      </c>
      <c r="D102" s="82" t="s">
        <v>115</v>
      </c>
      <c r="E102" s="82" t="s">
        <v>115</v>
      </c>
      <c r="F102" s="82" t="s">
        <v>115</v>
      </c>
      <c r="G102" s="82" t="s">
        <v>115</v>
      </c>
      <c r="H102" s="82" t="s">
        <v>115</v>
      </c>
      <c r="I102" s="81">
        <v>18</v>
      </c>
      <c r="J102" s="81">
        <v>54.4</v>
      </c>
      <c r="K102" s="81">
        <v>48.5</v>
      </c>
      <c r="L102" s="82">
        <f t="shared" si="11"/>
        <v>120.9</v>
      </c>
      <c r="M102" s="81" t="s">
        <v>117</v>
      </c>
      <c r="N102" s="81">
        <v>30.4</v>
      </c>
      <c r="O102" s="81">
        <v>5</v>
      </c>
      <c r="P102" s="81">
        <v>148.9</v>
      </c>
      <c r="Q102" s="82">
        <f t="shared" si="12"/>
        <v>184.3</v>
      </c>
      <c r="R102" s="81">
        <v>15.4</v>
      </c>
      <c r="S102" s="81">
        <v>176.4</v>
      </c>
      <c r="T102" s="81">
        <v>3.6</v>
      </c>
      <c r="U102" s="81">
        <v>363.6</v>
      </c>
      <c r="V102" s="83">
        <f t="shared" si="9"/>
        <v>559</v>
      </c>
      <c r="W102" s="81">
        <v>87</v>
      </c>
      <c r="X102" s="81">
        <v>22.5</v>
      </c>
      <c r="Y102" s="81" t="s">
        <v>117</v>
      </c>
      <c r="Z102" s="81">
        <v>9.6999999999999993</v>
      </c>
      <c r="AA102" s="83">
        <f t="shared" ref="AA102:AA111" si="13">SUM(W102:Z102)</f>
        <v>119.2</v>
      </c>
      <c r="AB102" s="81">
        <v>81.8</v>
      </c>
      <c r="AC102" s="81">
        <v>28.6</v>
      </c>
      <c r="AD102" s="81">
        <v>14.2</v>
      </c>
      <c r="AE102" s="81">
        <v>24.9</v>
      </c>
      <c r="AF102" s="81">
        <v>149.5</v>
      </c>
      <c r="AG102" s="84">
        <v>118.6</v>
      </c>
      <c r="AH102" s="84">
        <v>6.7</v>
      </c>
      <c r="AI102" s="84">
        <v>13.8</v>
      </c>
      <c r="AJ102" s="84">
        <v>13</v>
      </c>
      <c r="AK102" s="83">
        <f t="shared" si="10"/>
        <v>152.1</v>
      </c>
      <c r="AL102" s="83">
        <v>79.7</v>
      </c>
      <c r="AM102" s="83"/>
      <c r="AN102" s="83"/>
      <c r="AO102" s="83">
        <v>52.6</v>
      </c>
      <c r="AP102" s="83">
        <v>146.4</v>
      </c>
      <c r="AQ102" s="84">
        <v>50.4</v>
      </c>
      <c r="AR102" s="84">
        <v>30.7</v>
      </c>
      <c r="AS102" s="84">
        <v>6.2</v>
      </c>
      <c r="AT102" s="84">
        <v>13.2</v>
      </c>
      <c r="AU102" s="84">
        <v>100.5</v>
      </c>
      <c r="AV102" s="84">
        <v>4.4000000000000004</v>
      </c>
      <c r="AW102" s="84">
        <v>19.100000000000001</v>
      </c>
      <c r="AX102" s="84">
        <v>43.3</v>
      </c>
      <c r="AY102" s="85">
        <v>70.599999999999994</v>
      </c>
      <c r="AZ102" s="84">
        <v>137.4</v>
      </c>
      <c r="BA102" s="84">
        <v>79</v>
      </c>
      <c r="BB102" s="84">
        <v>16.100000000000001</v>
      </c>
      <c r="BC102" s="84">
        <v>26.6</v>
      </c>
      <c r="BD102" s="86">
        <v>80</v>
      </c>
      <c r="BE102" s="84">
        <v>201.7</v>
      </c>
      <c r="BF102" s="84">
        <v>30.215309999999999</v>
      </c>
      <c r="BG102" s="87">
        <v>307.35705000000002</v>
      </c>
      <c r="BH102" s="88">
        <v>58.481729999999999</v>
      </c>
      <c r="BI102" s="56">
        <v>119.47662</v>
      </c>
      <c r="BJ102" s="56">
        <v>515.53071</v>
      </c>
      <c r="BK102" s="56">
        <f>IF(10.77851="","-",10.77851)</f>
        <v>10.778510000000001</v>
      </c>
      <c r="BL102" s="56">
        <f>IF(103.22076="","-",103.22076)</f>
        <v>103.22076</v>
      </c>
      <c r="BM102" s="56">
        <f>IF(200.46627="","-",200.46627)</f>
        <v>200.46627000000001</v>
      </c>
      <c r="BN102" s="56">
        <f>IF(115.31375="","-",115.31375)</f>
        <v>115.31375</v>
      </c>
      <c r="BO102" s="56">
        <f>IF(429.77929="","-",429.77929)</f>
        <v>429.77929</v>
      </c>
      <c r="BP102" s="56" t="s">
        <v>117</v>
      </c>
      <c r="BQ102" s="46">
        <v>66.456630000000004</v>
      </c>
      <c r="BR102" s="46">
        <v>88.288659999999993</v>
      </c>
      <c r="BS102" s="56">
        <v>97.366259999999997</v>
      </c>
      <c r="BT102" s="56">
        <v>252.11154999999999</v>
      </c>
      <c r="BU102" s="56">
        <v>27.494050000000001</v>
      </c>
      <c r="BV102" s="56">
        <v>85.086770000000001</v>
      </c>
      <c r="BW102" s="56">
        <v>135.60092</v>
      </c>
      <c r="BX102" s="56">
        <v>115.87855999999999</v>
      </c>
      <c r="BY102" s="56">
        <v>364.06029999999998</v>
      </c>
      <c r="BZ102" s="56">
        <v>40.463619999999999</v>
      </c>
      <c r="CA102" s="56">
        <v>20.017209999999999</v>
      </c>
      <c r="CB102" s="56">
        <v>147.19175999999999</v>
      </c>
      <c r="CC102" s="56">
        <v>201.43881999999999</v>
      </c>
      <c r="CD102" s="56">
        <v>409.11140999999998</v>
      </c>
      <c r="CE102" s="56">
        <v>14.45205</v>
      </c>
      <c r="CF102" s="56">
        <v>142.67308</v>
      </c>
      <c r="CG102" s="56">
        <v>109.61385</v>
      </c>
      <c r="CH102" s="56">
        <v>85.656509999999997</v>
      </c>
      <c r="CI102" s="56">
        <v>352.39549</v>
      </c>
      <c r="CJ102" s="56">
        <v>0.12</v>
      </c>
      <c r="CK102" s="56">
        <v>3.2550000000000003E-2</v>
      </c>
      <c r="CL102" s="56" t="s">
        <v>117</v>
      </c>
      <c r="CM102" s="56">
        <v>1.5</v>
      </c>
      <c r="CN102" s="56">
        <v>1.65255</v>
      </c>
      <c r="CO102" s="56">
        <v>47.74</v>
      </c>
      <c r="CP102" s="56" t="s">
        <v>117</v>
      </c>
      <c r="CQ102" s="56">
        <v>76.298770000000005</v>
      </c>
      <c r="CR102" s="56">
        <v>19.699950000000001</v>
      </c>
      <c r="CS102" s="56">
        <v>143.73872</v>
      </c>
      <c r="CT102" s="66" t="s">
        <v>78</v>
      </c>
      <c r="CU102" s="60" t="s">
        <v>212</v>
      </c>
    </row>
    <row r="103" spans="1:99" s="9" customFormat="1" ht="31.5">
      <c r="A103" s="66" t="s">
        <v>79</v>
      </c>
      <c r="B103" s="60" t="s">
        <v>213</v>
      </c>
      <c r="C103" s="81">
        <v>1231.5</v>
      </c>
      <c r="D103" s="81">
        <v>1971.1</v>
      </c>
      <c r="E103" s="81">
        <v>1942.3</v>
      </c>
      <c r="F103" s="81">
        <v>1964.2</v>
      </c>
      <c r="G103" s="82">
        <f t="shared" si="8"/>
        <v>7109.0999999999995</v>
      </c>
      <c r="H103" s="81">
        <v>1426.5</v>
      </c>
      <c r="I103" s="81">
        <v>1681.8</v>
      </c>
      <c r="J103" s="81">
        <v>999.2</v>
      </c>
      <c r="K103" s="81">
        <v>693.3</v>
      </c>
      <c r="L103" s="82">
        <f t="shared" si="11"/>
        <v>4800.8</v>
      </c>
      <c r="M103" s="81">
        <v>608.70000000000005</v>
      </c>
      <c r="N103" s="81">
        <v>1147.5</v>
      </c>
      <c r="O103" s="81">
        <v>1816.9</v>
      </c>
      <c r="P103" s="81">
        <v>1649.8</v>
      </c>
      <c r="Q103" s="82">
        <f t="shared" si="12"/>
        <v>5222.9000000000005</v>
      </c>
      <c r="R103" s="81">
        <v>812</v>
      </c>
      <c r="S103" s="81">
        <v>778.8</v>
      </c>
      <c r="T103" s="81">
        <v>191.8</v>
      </c>
      <c r="U103" s="81">
        <v>1039.5</v>
      </c>
      <c r="V103" s="83">
        <f t="shared" si="9"/>
        <v>2822.1</v>
      </c>
      <c r="W103" s="81">
        <v>249.1</v>
      </c>
      <c r="X103" s="81">
        <v>745.6</v>
      </c>
      <c r="Y103" s="81">
        <v>466</v>
      </c>
      <c r="Z103" s="81">
        <v>744.3</v>
      </c>
      <c r="AA103" s="83">
        <f t="shared" si="13"/>
        <v>2205</v>
      </c>
      <c r="AB103" s="81">
        <v>663.4</v>
      </c>
      <c r="AC103" s="81">
        <v>290.39999999999998</v>
      </c>
      <c r="AD103" s="81">
        <v>235.8</v>
      </c>
      <c r="AE103" s="81">
        <v>337.1</v>
      </c>
      <c r="AF103" s="81">
        <v>1526.7</v>
      </c>
      <c r="AG103" s="84">
        <v>88.7</v>
      </c>
      <c r="AH103" s="84">
        <v>65.7</v>
      </c>
      <c r="AI103" s="84">
        <v>128.30000000000001</v>
      </c>
      <c r="AJ103" s="84">
        <v>159.5</v>
      </c>
      <c r="AK103" s="83">
        <f t="shared" si="10"/>
        <v>442.20000000000005</v>
      </c>
      <c r="AL103" s="83">
        <v>188.4</v>
      </c>
      <c r="AM103" s="83">
        <v>269.89999999999998</v>
      </c>
      <c r="AN103" s="83">
        <v>186.4</v>
      </c>
      <c r="AO103" s="83">
        <v>173.1</v>
      </c>
      <c r="AP103" s="83">
        <v>817.8</v>
      </c>
      <c r="AQ103" s="84">
        <v>168.2</v>
      </c>
      <c r="AR103" s="84">
        <v>151.19999999999999</v>
      </c>
      <c r="AS103" s="84">
        <v>231.9</v>
      </c>
      <c r="AT103" s="84">
        <v>311.39999999999998</v>
      </c>
      <c r="AU103" s="84">
        <v>862.7</v>
      </c>
      <c r="AV103" s="84">
        <v>241.2</v>
      </c>
      <c r="AW103" s="84">
        <v>207</v>
      </c>
      <c r="AX103" s="84">
        <v>365.3</v>
      </c>
      <c r="AY103" s="85">
        <v>363.4</v>
      </c>
      <c r="AZ103" s="84">
        <v>1176.9000000000001</v>
      </c>
      <c r="BA103" s="84">
        <v>203.4</v>
      </c>
      <c r="BB103" s="84">
        <v>181.4</v>
      </c>
      <c r="BC103" s="84">
        <v>461</v>
      </c>
      <c r="BD103" s="86">
        <v>314.8</v>
      </c>
      <c r="BE103" s="84">
        <v>1160.5999999999999</v>
      </c>
      <c r="BF103" s="84">
        <v>624.06967999999995</v>
      </c>
      <c r="BG103" s="87">
        <v>280.65212000000002</v>
      </c>
      <c r="BH103" s="88">
        <v>355.24430999999998</v>
      </c>
      <c r="BI103" s="56">
        <v>272.50459999999998</v>
      </c>
      <c r="BJ103" s="56">
        <v>1532.4707100000001</v>
      </c>
      <c r="BK103" s="56">
        <f>IF(194.84061="","-",194.84061)</f>
        <v>194.84061</v>
      </c>
      <c r="BL103" s="56">
        <f>IF(456.78341="","-",456.78341)</f>
        <v>456.78341</v>
      </c>
      <c r="BM103" s="56">
        <f>IF(453.31981="","-",453.31981)</f>
        <v>453.31981000000002</v>
      </c>
      <c r="BN103" s="56">
        <f>IF(392.209="","-",392.209)</f>
        <v>392.209</v>
      </c>
      <c r="BO103" s="56">
        <f>IF(1497.15283="","-",1497.15283)</f>
        <v>1497.15283</v>
      </c>
      <c r="BP103" s="56">
        <v>370.75373000000002</v>
      </c>
      <c r="BQ103" s="46">
        <v>541.34820999999999</v>
      </c>
      <c r="BR103" s="46">
        <v>324.79167000000001</v>
      </c>
      <c r="BS103" s="56">
        <v>151.54704000000001</v>
      </c>
      <c r="BT103" s="56">
        <v>1388.44065</v>
      </c>
      <c r="BU103" s="56">
        <v>151.37226000000001</v>
      </c>
      <c r="BV103" s="56">
        <v>232.47119000000001</v>
      </c>
      <c r="BW103" s="56">
        <v>238.64806999999999</v>
      </c>
      <c r="BX103" s="56">
        <v>221.10153</v>
      </c>
      <c r="BY103" s="56">
        <v>843.59304999999995</v>
      </c>
      <c r="BZ103" s="56">
        <v>190.11305999999999</v>
      </c>
      <c r="CA103" s="56">
        <v>199.69952000000001</v>
      </c>
      <c r="CB103" s="56">
        <v>169.46385000000001</v>
      </c>
      <c r="CC103" s="56">
        <v>190.77841000000001</v>
      </c>
      <c r="CD103" s="56">
        <v>750.05484000000001</v>
      </c>
      <c r="CE103" s="56">
        <v>209.94513000000001</v>
      </c>
      <c r="CF103" s="56">
        <v>502.37310000000002</v>
      </c>
      <c r="CG103" s="56">
        <v>544.32681000000002</v>
      </c>
      <c r="CH103" s="56">
        <v>691.63097000000005</v>
      </c>
      <c r="CI103" s="56">
        <v>1948.27601</v>
      </c>
      <c r="CJ103" s="56">
        <v>247.40561</v>
      </c>
      <c r="CK103" s="56">
        <v>510.48630000000003</v>
      </c>
      <c r="CL103" s="56">
        <v>442.43869999999998</v>
      </c>
      <c r="CM103" s="56">
        <v>241.18828999999999</v>
      </c>
      <c r="CN103" s="56">
        <v>1441.5189</v>
      </c>
      <c r="CO103" s="56">
        <v>343.65393999999998</v>
      </c>
      <c r="CP103" s="56">
        <v>222.94639000000001</v>
      </c>
      <c r="CQ103" s="56">
        <v>350.39013</v>
      </c>
      <c r="CR103" s="56">
        <v>130.24983</v>
      </c>
      <c r="CS103" s="56">
        <v>1047.24029</v>
      </c>
      <c r="CT103" s="66" t="s">
        <v>79</v>
      </c>
      <c r="CU103" s="60" t="s">
        <v>213</v>
      </c>
    </row>
    <row r="104" spans="1:99" s="9" customFormat="1" ht="20.25" customHeight="1">
      <c r="A104" s="66" t="s">
        <v>80</v>
      </c>
      <c r="B104" s="60" t="s">
        <v>214</v>
      </c>
      <c r="C104" s="81">
        <v>135.80000000000001</v>
      </c>
      <c r="D104" s="81">
        <v>101.4</v>
      </c>
      <c r="E104" s="81">
        <v>148.4</v>
      </c>
      <c r="F104" s="81">
        <v>285</v>
      </c>
      <c r="G104" s="82">
        <f t="shared" si="8"/>
        <v>670.6</v>
      </c>
      <c r="H104" s="81">
        <v>264.7</v>
      </c>
      <c r="I104" s="81">
        <v>406.4</v>
      </c>
      <c r="J104" s="81">
        <v>676.8</v>
      </c>
      <c r="K104" s="81">
        <v>759.7</v>
      </c>
      <c r="L104" s="82">
        <f t="shared" si="11"/>
        <v>2107.6</v>
      </c>
      <c r="M104" s="81">
        <v>2163.1999999999998</v>
      </c>
      <c r="N104" s="81">
        <v>1067.5999999999999</v>
      </c>
      <c r="O104" s="81">
        <v>672.7</v>
      </c>
      <c r="P104" s="81">
        <v>998</v>
      </c>
      <c r="Q104" s="82">
        <f t="shared" si="12"/>
        <v>4901.5</v>
      </c>
      <c r="R104" s="81">
        <v>717.6</v>
      </c>
      <c r="S104" s="81">
        <v>1141.7</v>
      </c>
      <c r="T104" s="81">
        <v>4772.3</v>
      </c>
      <c r="U104" s="81">
        <v>1877.3</v>
      </c>
      <c r="V104" s="83">
        <f t="shared" si="9"/>
        <v>8508.9</v>
      </c>
      <c r="W104" s="81">
        <v>968.4</v>
      </c>
      <c r="X104" s="81">
        <v>904.8</v>
      </c>
      <c r="Y104" s="81">
        <v>1121.5999999999999</v>
      </c>
      <c r="Z104" s="81">
        <v>1253.7</v>
      </c>
      <c r="AA104" s="83">
        <f t="shared" si="13"/>
        <v>4248.5</v>
      </c>
      <c r="AB104" s="81">
        <v>901.7</v>
      </c>
      <c r="AC104" s="81">
        <v>1233.8</v>
      </c>
      <c r="AD104" s="81">
        <v>1110.2</v>
      </c>
      <c r="AE104" s="81">
        <v>1168.2</v>
      </c>
      <c r="AF104" s="81">
        <v>4413.8999999999996</v>
      </c>
      <c r="AG104" s="84">
        <v>1065.0999999999999</v>
      </c>
      <c r="AH104" s="84">
        <v>2259.8000000000002</v>
      </c>
      <c r="AI104" s="84">
        <v>2270.6</v>
      </c>
      <c r="AJ104" s="84">
        <v>2113.3000000000002</v>
      </c>
      <c r="AK104" s="83">
        <f t="shared" si="10"/>
        <v>7708.8</v>
      </c>
      <c r="AL104" s="83">
        <v>1685.4</v>
      </c>
      <c r="AM104" s="83">
        <v>2219.5</v>
      </c>
      <c r="AN104" s="83">
        <v>4083.2</v>
      </c>
      <c r="AO104" s="83">
        <v>3520.9</v>
      </c>
      <c r="AP104" s="83">
        <v>11509</v>
      </c>
      <c r="AQ104" s="83">
        <v>25779</v>
      </c>
      <c r="AR104" s="83">
        <v>3107.9</v>
      </c>
      <c r="AS104" s="83">
        <v>2781.8</v>
      </c>
      <c r="AT104" s="83">
        <v>2034.6</v>
      </c>
      <c r="AU104" s="83">
        <v>33703.300000000003</v>
      </c>
      <c r="AV104" s="84">
        <v>1426.3</v>
      </c>
      <c r="AW104" s="84">
        <v>1682.9</v>
      </c>
      <c r="AX104" s="84">
        <v>1812.8</v>
      </c>
      <c r="AY104" s="85">
        <v>1358.3</v>
      </c>
      <c r="AZ104" s="84">
        <v>6280.3</v>
      </c>
      <c r="BA104" s="84">
        <v>1166.5</v>
      </c>
      <c r="BB104" s="84">
        <v>1005.5</v>
      </c>
      <c r="BC104" s="83">
        <v>1788.9</v>
      </c>
      <c r="BD104" s="86">
        <v>1711.8</v>
      </c>
      <c r="BE104" s="84">
        <v>5672.7</v>
      </c>
      <c r="BF104" s="84">
        <v>2242.6888399999998</v>
      </c>
      <c r="BG104" s="87">
        <v>3665.2786299999998</v>
      </c>
      <c r="BH104" s="88">
        <v>3752.9655499999999</v>
      </c>
      <c r="BI104" s="56">
        <v>2134.5797699999998</v>
      </c>
      <c r="BJ104" s="56">
        <v>11795.512790000001</v>
      </c>
      <c r="BK104" s="56">
        <f>IF(2031.57636="","-",2031.57636)</f>
        <v>2031.57636</v>
      </c>
      <c r="BL104" s="56">
        <f>IF(2377.84724="","-",2377.84724)</f>
        <v>2377.8472400000001</v>
      </c>
      <c r="BM104" s="56">
        <f>IF(1767.46977="","-",1767.46977)</f>
        <v>1767.4697699999999</v>
      </c>
      <c r="BN104" s="56">
        <f>IF(2026.87631="","-",2026.87631)</f>
        <v>2026.8763100000001</v>
      </c>
      <c r="BO104" s="56">
        <f>IF(8203.76968="","-",8203.76968)</f>
        <v>8203.7696799999994</v>
      </c>
      <c r="BP104" s="56">
        <v>1474.4016200000001</v>
      </c>
      <c r="BQ104" s="46">
        <v>1171.6965399999999</v>
      </c>
      <c r="BR104" s="46">
        <v>1278.3680899999999</v>
      </c>
      <c r="BS104" s="56">
        <v>1284.14951</v>
      </c>
      <c r="BT104" s="56">
        <v>5208.6157599999997</v>
      </c>
      <c r="BU104" s="56">
        <v>942.04849000000002</v>
      </c>
      <c r="BV104" s="56">
        <v>896.18230000000005</v>
      </c>
      <c r="BW104" s="56">
        <v>1836.9422099999999</v>
      </c>
      <c r="BX104" s="56">
        <v>1527.4187999999999</v>
      </c>
      <c r="BY104" s="56">
        <v>5202.5918000000001</v>
      </c>
      <c r="BZ104" s="56">
        <v>1536.3959199999999</v>
      </c>
      <c r="CA104" s="56">
        <v>592.24675000000002</v>
      </c>
      <c r="CB104" s="56">
        <v>1281.7339199999999</v>
      </c>
      <c r="CC104" s="56">
        <v>1596.7005300000001</v>
      </c>
      <c r="CD104" s="56">
        <v>5007.0771199999999</v>
      </c>
      <c r="CE104" s="56">
        <v>1195.8351600000001</v>
      </c>
      <c r="CF104" s="56">
        <v>1428.77638</v>
      </c>
      <c r="CG104" s="56">
        <v>1984.6836000000001</v>
      </c>
      <c r="CH104" s="56">
        <v>1766.44732</v>
      </c>
      <c r="CI104" s="56">
        <v>6375.7424600000004</v>
      </c>
      <c r="CJ104" s="56">
        <v>1559.89867</v>
      </c>
      <c r="CK104" s="56">
        <v>2163.5690100000002</v>
      </c>
      <c r="CL104" s="56">
        <v>2280.2092200000002</v>
      </c>
      <c r="CM104" s="56">
        <v>1574.3354400000001</v>
      </c>
      <c r="CN104" s="56">
        <v>7578.0123400000002</v>
      </c>
      <c r="CO104" s="56">
        <v>2072.4655400000001</v>
      </c>
      <c r="CP104" s="56">
        <v>1605.8199300000001</v>
      </c>
      <c r="CQ104" s="56">
        <v>2048.2584299999999</v>
      </c>
      <c r="CR104" s="56">
        <v>1206.46471</v>
      </c>
      <c r="CS104" s="56">
        <v>6933.0086099999999</v>
      </c>
      <c r="CT104" s="66" t="s">
        <v>80</v>
      </c>
      <c r="CU104" s="60" t="s">
        <v>214</v>
      </c>
    </row>
    <row r="105" spans="1:99" s="9" customFormat="1" ht="84" customHeight="1">
      <c r="A105" s="65" t="s">
        <v>109</v>
      </c>
      <c r="B105" s="59" t="s">
        <v>249</v>
      </c>
      <c r="C105" s="72">
        <v>11846</v>
      </c>
      <c r="D105" s="72">
        <v>11541.4</v>
      </c>
      <c r="E105" s="72">
        <v>10689.1</v>
      </c>
      <c r="F105" s="72">
        <v>12026</v>
      </c>
      <c r="G105" s="75">
        <f t="shared" si="8"/>
        <v>46102.5</v>
      </c>
      <c r="H105" s="72">
        <v>10336.799999999999</v>
      </c>
      <c r="I105" s="72">
        <v>14052.5</v>
      </c>
      <c r="J105" s="72">
        <v>13753.8</v>
      </c>
      <c r="K105" s="72">
        <v>14907.5</v>
      </c>
      <c r="L105" s="75">
        <f t="shared" si="11"/>
        <v>53050.6</v>
      </c>
      <c r="M105" s="72">
        <v>14919.5</v>
      </c>
      <c r="N105" s="72">
        <v>23614.1</v>
      </c>
      <c r="O105" s="72">
        <v>20071.2</v>
      </c>
      <c r="P105" s="72">
        <v>32094.5</v>
      </c>
      <c r="Q105" s="75">
        <f t="shared" si="12"/>
        <v>90699.3</v>
      </c>
      <c r="R105" s="72">
        <v>27654.9</v>
      </c>
      <c r="S105" s="72">
        <v>40742.800000000003</v>
      </c>
      <c r="T105" s="72">
        <v>58685.1</v>
      </c>
      <c r="U105" s="72">
        <v>40422.800000000003</v>
      </c>
      <c r="V105" s="75">
        <f t="shared" si="9"/>
        <v>167505.60000000003</v>
      </c>
      <c r="W105" s="72">
        <v>30311.7</v>
      </c>
      <c r="X105" s="72">
        <v>34021.699999999997</v>
      </c>
      <c r="Y105" s="72">
        <v>35046.699999999997</v>
      </c>
      <c r="Z105" s="72">
        <v>39870.5</v>
      </c>
      <c r="AA105" s="75">
        <f t="shared" si="13"/>
        <v>139250.59999999998</v>
      </c>
      <c r="AB105" s="72">
        <v>33639.300000000003</v>
      </c>
      <c r="AC105" s="72">
        <v>38276.400000000001</v>
      </c>
      <c r="AD105" s="72">
        <v>42182.1</v>
      </c>
      <c r="AE105" s="72">
        <v>57485.3</v>
      </c>
      <c r="AF105" s="72">
        <v>171583.1</v>
      </c>
      <c r="AG105" s="76">
        <v>57415.8</v>
      </c>
      <c r="AH105" s="76">
        <v>83682.3</v>
      </c>
      <c r="AI105" s="76">
        <v>72875.100000000006</v>
      </c>
      <c r="AJ105" s="76">
        <v>69341.899999999994</v>
      </c>
      <c r="AK105" s="75">
        <f t="shared" si="10"/>
        <v>283315.09999999998</v>
      </c>
      <c r="AL105" s="75">
        <v>72029</v>
      </c>
      <c r="AM105" s="75">
        <v>71161.2</v>
      </c>
      <c r="AN105" s="75">
        <v>67160.800000000003</v>
      </c>
      <c r="AO105" s="75">
        <v>68259.8</v>
      </c>
      <c r="AP105" s="75">
        <v>278610.8</v>
      </c>
      <c r="AQ105" s="75">
        <v>72326</v>
      </c>
      <c r="AR105" s="75">
        <v>86850.5</v>
      </c>
      <c r="AS105" s="75">
        <v>79845.399999999994</v>
      </c>
      <c r="AT105" s="75">
        <v>76922.399999999994</v>
      </c>
      <c r="AU105" s="75">
        <v>315944.3</v>
      </c>
      <c r="AV105" s="76">
        <v>73852.899999999994</v>
      </c>
      <c r="AW105" s="76">
        <v>81447.8</v>
      </c>
      <c r="AX105" s="76">
        <v>78344.600000000006</v>
      </c>
      <c r="AY105" s="78">
        <v>75761.7</v>
      </c>
      <c r="AZ105" s="76">
        <v>309407</v>
      </c>
      <c r="BA105" s="70">
        <v>71637</v>
      </c>
      <c r="BB105" s="76">
        <v>74431</v>
      </c>
      <c r="BC105" s="70">
        <v>76261.3</v>
      </c>
      <c r="BD105" s="79">
        <v>73182.100000000006</v>
      </c>
      <c r="BE105" s="76">
        <v>295511.40000000002</v>
      </c>
      <c r="BF105" s="70">
        <v>63956.41315</v>
      </c>
      <c r="BG105" s="80">
        <v>73388.395860000004</v>
      </c>
      <c r="BH105" s="89">
        <v>79242.603010000006</v>
      </c>
      <c r="BI105" s="55">
        <v>80981.568029999995</v>
      </c>
      <c r="BJ105" s="55">
        <v>297568.98005000001</v>
      </c>
      <c r="BK105" s="55">
        <f>IF(78242.97898="","-",78242.97898)</f>
        <v>78242.97898</v>
      </c>
      <c r="BL105" s="55">
        <f>IF(91863.47055="","-",91863.47055)</f>
        <v>91863.470549999998</v>
      </c>
      <c r="BM105" s="55">
        <f>IF(102261.77766="","-",102261.77766)</f>
        <v>102261.77766000001</v>
      </c>
      <c r="BN105" s="55">
        <v>117283.01</v>
      </c>
      <c r="BO105" s="55">
        <v>389651.23</v>
      </c>
      <c r="BP105" s="55">
        <v>117924.16015</v>
      </c>
      <c r="BQ105" s="45">
        <v>140900.8119</v>
      </c>
      <c r="BR105" s="45">
        <v>146213.51191</v>
      </c>
      <c r="BS105" s="55">
        <v>159461.10986</v>
      </c>
      <c r="BT105" s="55">
        <v>564499.59381999995</v>
      </c>
      <c r="BU105" s="102">
        <v>171383.96883</v>
      </c>
      <c r="BV105" s="55">
        <v>163720.01710999999</v>
      </c>
      <c r="BW105" s="55">
        <v>138022.81369000001</v>
      </c>
      <c r="BX105" s="55">
        <v>148894.26848</v>
      </c>
      <c r="BY105" s="55">
        <v>622021.06810999999</v>
      </c>
      <c r="BZ105" s="55">
        <v>135249.01040999999</v>
      </c>
      <c r="CA105" s="55">
        <v>93180.129149999993</v>
      </c>
      <c r="CB105" s="55">
        <v>138380.05304999999</v>
      </c>
      <c r="CC105" s="55">
        <v>153652.96432</v>
      </c>
      <c r="CD105" s="55">
        <v>520462.15693</v>
      </c>
      <c r="CE105" s="55">
        <v>162758.16119000001</v>
      </c>
      <c r="CF105" s="55">
        <v>157183.26985000001</v>
      </c>
      <c r="CG105" s="55">
        <v>111868.02993999999</v>
      </c>
      <c r="CH105" s="55">
        <v>141478.98300000001</v>
      </c>
      <c r="CI105" s="55">
        <v>573288.44397999998</v>
      </c>
      <c r="CJ105" s="55">
        <v>144821.96616000001</v>
      </c>
      <c r="CK105" s="55">
        <v>163427.65789</v>
      </c>
      <c r="CL105" s="55">
        <v>142739.47742000001</v>
      </c>
      <c r="CM105" s="55">
        <v>144406.94946</v>
      </c>
      <c r="CN105" s="55">
        <v>595396.05093000003</v>
      </c>
      <c r="CO105" s="55">
        <v>182902.42924999999</v>
      </c>
      <c r="CP105" s="55">
        <v>190835.12186000001</v>
      </c>
      <c r="CQ105" s="55">
        <v>164650.13185000001</v>
      </c>
      <c r="CR105" s="55">
        <v>186238.09685999999</v>
      </c>
      <c r="CS105" s="55">
        <v>724625.77982000005</v>
      </c>
      <c r="CT105" s="65" t="s">
        <v>109</v>
      </c>
      <c r="CU105" s="59" t="s">
        <v>249</v>
      </c>
    </row>
    <row r="106" spans="1:99" s="9" customFormat="1" ht="35.25" customHeight="1">
      <c r="A106" s="66" t="s">
        <v>81</v>
      </c>
      <c r="B106" s="60" t="s">
        <v>215</v>
      </c>
      <c r="C106" s="81">
        <v>9151.5</v>
      </c>
      <c r="D106" s="81">
        <v>6675.6</v>
      </c>
      <c r="E106" s="81">
        <v>6531.5</v>
      </c>
      <c r="F106" s="81">
        <v>8503.7000000000007</v>
      </c>
      <c r="G106" s="82">
        <f t="shared" si="8"/>
        <v>30862.3</v>
      </c>
      <c r="H106" s="81">
        <v>7462.5</v>
      </c>
      <c r="I106" s="81">
        <v>6495.3</v>
      </c>
      <c r="J106" s="81">
        <v>9128.4</v>
      </c>
      <c r="K106" s="81">
        <v>7834.9</v>
      </c>
      <c r="L106" s="82">
        <f t="shared" si="11"/>
        <v>30921.1</v>
      </c>
      <c r="M106" s="81">
        <v>9007.2000000000007</v>
      </c>
      <c r="N106" s="81">
        <v>14077.3</v>
      </c>
      <c r="O106" s="81">
        <v>11300.3</v>
      </c>
      <c r="P106" s="81">
        <v>17329.900000000001</v>
      </c>
      <c r="Q106" s="82">
        <f t="shared" si="12"/>
        <v>51714.700000000004</v>
      </c>
      <c r="R106" s="81">
        <v>10985.3</v>
      </c>
      <c r="S106" s="81">
        <v>11408.7</v>
      </c>
      <c r="T106" s="81">
        <v>16746.599999999999</v>
      </c>
      <c r="U106" s="81">
        <v>11636.4</v>
      </c>
      <c r="V106" s="83">
        <f t="shared" si="9"/>
        <v>50777</v>
      </c>
      <c r="W106" s="81">
        <v>7669.6</v>
      </c>
      <c r="X106" s="81">
        <v>7519.3</v>
      </c>
      <c r="Y106" s="81">
        <v>6899.8</v>
      </c>
      <c r="Z106" s="81">
        <v>10032.700000000001</v>
      </c>
      <c r="AA106" s="83">
        <f t="shared" si="13"/>
        <v>32121.4</v>
      </c>
      <c r="AB106" s="81">
        <v>7791.2</v>
      </c>
      <c r="AC106" s="81">
        <v>9891.5</v>
      </c>
      <c r="AD106" s="81">
        <v>15936.4</v>
      </c>
      <c r="AE106" s="81">
        <v>25900.2</v>
      </c>
      <c r="AF106" s="81">
        <v>59519.3</v>
      </c>
      <c r="AG106" s="84">
        <v>22216.1</v>
      </c>
      <c r="AH106" s="84">
        <v>34173.9</v>
      </c>
      <c r="AI106" s="84">
        <v>25912.799999999999</v>
      </c>
      <c r="AJ106" s="84">
        <v>21603.599999999999</v>
      </c>
      <c r="AK106" s="83">
        <f t="shared" si="10"/>
        <v>103906.4</v>
      </c>
      <c r="AL106" s="83">
        <v>22390.6</v>
      </c>
      <c r="AM106" s="83">
        <v>19171.5</v>
      </c>
      <c r="AN106" s="83">
        <v>21452.9</v>
      </c>
      <c r="AO106" s="83">
        <v>14137.2</v>
      </c>
      <c r="AP106" s="83">
        <v>77152.2</v>
      </c>
      <c r="AQ106" s="83">
        <v>18461.3</v>
      </c>
      <c r="AR106" s="83">
        <v>18621.2</v>
      </c>
      <c r="AS106" s="83">
        <v>17376.5</v>
      </c>
      <c r="AT106" s="83">
        <v>16111.1</v>
      </c>
      <c r="AU106" s="83">
        <v>70570.100000000006</v>
      </c>
      <c r="AV106" s="84">
        <v>13733.8</v>
      </c>
      <c r="AW106" s="84">
        <v>14149.4</v>
      </c>
      <c r="AX106" s="84">
        <v>15762.2</v>
      </c>
      <c r="AY106" s="85">
        <v>14371.5</v>
      </c>
      <c r="AZ106" s="84">
        <v>58016.9</v>
      </c>
      <c r="BA106" s="84">
        <v>11896.1</v>
      </c>
      <c r="BB106" s="84">
        <v>10436.700000000001</v>
      </c>
      <c r="BC106" s="83">
        <v>13042.6</v>
      </c>
      <c r="BD106" s="86">
        <v>15724</v>
      </c>
      <c r="BE106" s="84">
        <v>51099.4</v>
      </c>
      <c r="BF106" s="83">
        <v>11266.28492</v>
      </c>
      <c r="BG106" s="87">
        <v>9524.8372199999994</v>
      </c>
      <c r="BH106" s="88">
        <v>12811.80546</v>
      </c>
      <c r="BI106" s="56">
        <v>11001.199619999999</v>
      </c>
      <c r="BJ106" s="56">
        <v>44604.127220000002</v>
      </c>
      <c r="BK106" s="56">
        <f>IF(7998.2676="","-",7998.2676)</f>
        <v>7998.2676000000001</v>
      </c>
      <c r="BL106" s="56">
        <f>IF(11435.51564="","-",11435.51564)</f>
        <v>11435.51564</v>
      </c>
      <c r="BM106" s="56">
        <f>IF(11907.96606="","-",11907.96606)</f>
        <v>11907.966060000001</v>
      </c>
      <c r="BN106" s="56">
        <f>IF(11880.34032="","-",11880.34032)</f>
        <v>11880.340319999999</v>
      </c>
      <c r="BO106" s="56">
        <f>IF(43222.08962="","-",43222.08962)</f>
        <v>43222.089619999999</v>
      </c>
      <c r="BP106" s="56">
        <v>9055.0822700000008</v>
      </c>
      <c r="BQ106" s="46">
        <v>9818.6337600000006</v>
      </c>
      <c r="BR106" s="46">
        <v>10228.93931</v>
      </c>
      <c r="BS106" s="56">
        <v>9080.3006999999998</v>
      </c>
      <c r="BT106" s="56">
        <v>38182.956039999997</v>
      </c>
      <c r="BU106" s="56">
        <v>8878.5845200000003</v>
      </c>
      <c r="BV106" s="56">
        <v>12163.337320000001</v>
      </c>
      <c r="BW106" s="56">
        <v>10652.109839999999</v>
      </c>
      <c r="BX106" s="56">
        <v>11944.241470000001</v>
      </c>
      <c r="BY106" s="56">
        <v>43638.273150000001</v>
      </c>
      <c r="BZ106" s="56">
        <v>8571.1596100000006</v>
      </c>
      <c r="CA106" s="56">
        <v>10559.323270000001</v>
      </c>
      <c r="CB106" s="56">
        <v>11174.20873</v>
      </c>
      <c r="CC106" s="56">
        <v>11790.169749999999</v>
      </c>
      <c r="CD106" s="56">
        <v>42094.861360000003</v>
      </c>
      <c r="CE106" s="56">
        <v>12487.78685</v>
      </c>
      <c r="CF106" s="56">
        <v>11948.946330000001</v>
      </c>
      <c r="CG106" s="56">
        <v>11588.43866</v>
      </c>
      <c r="CH106" s="56">
        <v>11216.393400000001</v>
      </c>
      <c r="CI106" s="56">
        <v>47241.565240000004</v>
      </c>
      <c r="CJ106" s="56">
        <v>11036.082829999999</v>
      </c>
      <c r="CK106" s="56">
        <v>13663.653759999999</v>
      </c>
      <c r="CL106" s="56">
        <v>18483.582920000001</v>
      </c>
      <c r="CM106" s="56">
        <v>17010.716670000002</v>
      </c>
      <c r="CN106" s="56">
        <v>60194.036180000003</v>
      </c>
      <c r="CO106" s="56">
        <v>21687.145949999998</v>
      </c>
      <c r="CP106" s="56">
        <v>23838.579740000001</v>
      </c>
      <c r="CQ106" s="56">
        <v>22995.807499999999</v>
      </c>
      <c r="CR106" s="56">
        <v>23865.687669999999</v>
      </c>
      <c r="CS106" s="56">
        <v>92387.220860000001</v>
      </c>
      <c r="CT106" s="66" t="s">
        <v>81</v>
      </c>
      <c r="CU106" s="60" t="s">
        <v>215</v>
      </c>
    </row>
    <row r="107" spans="1:99" s="9" customFormat="1" ht="63">
      <c r="A107" s="66" t="s">
        <v>82</v>
      </c>
      <c r="B107" s="60" t="s">
        <v>250</v>
      </c>
      <c r="C107" s="81">
        <v>2694.5</v>
      </c>
      <c r="D107" s="81">
        <v>4865.8</v>
      </c>
      <c r="E107" s="81">
        <v>4157.6000000000004</v>
      </c>
      <c r="F107" s="81">
        <v>3522.3</v>
      </c>
      <c r="G107" s="82">
        <f t="shared" si="8"/>
        <v>15240.2</v>
      </c>
      <c r="H107" s="81">
        <v>2874.3</v>
      </c>
      <c r="I107" s="81">
        <v>7557.2</v>
      </c>
      <c r="J107" s="81">
        <v>4625.3999999999996</v>
      </c>
      <c r="K107" s="81">
        <v>7072.6</v>
      </c>
      <c r="L107" s="82">
        <f t="shared" si="11"/>
        <v>22129.5</v>
      </c>
      <c r="M107" s="81">
        <v>5912.3</v>
      </c>
      <c r="N107" s="81">
        <v>9536.7999999999993</v>
      </c>
      <c r="O107" s="81">
        <v>8770.9</v>
      </c>
      <c r="P107" s="81">
        <v>14764.6</v>
      </c>
      <c r="Q107" s="82">
        <f t="shared" si="12"/>
        <v>38984.6</v>
      </c>
      <c r="R107" s="81">
        <v>16669.599999999999</v>
      </c>
      <c r="S107" s="81">
        <v>29334.1</v>
      </c>
      <c r="T107" s="81">
        <v>41938.5</v>
      </c>
      <c r="U107" s="81">
        <v>28786.400000000001</v>
      </c>
      <c r="V107" s="83">
        <f t="shared" si="9"/>
        <v>116728.6</v>
      </c>
      <c r="W107" s="81">
        <v>22642.1</v>
      </c>
      <c r="X107" s="81">
        <v>26502.400000000001</v>
      </c>
      <c r="Y107" s="81">
        <v>28146.9</v>
      </c>
      <c r="Z107" s="81">
        <v>29837.8</v>
      </c>
      <c r="AA107" s="83">
        <f t="shared" si="13"/>
        <v>107129.2</v>
      </c>
      <c r="AB107" s="81">
        <v>25848.1</v>
      </c>
      <c r="AC107" s="81">
        <v>28384.9</v>
      </c>
      <c r="AD107" s="81">
        <v>26245.7</v>
      </c>
      <c r="AE107" s="81">
        <v>31585.1</v>
      </c>
      <c r="AF107" s="81">
        <v>112063.8</v>
      </c>
      <c r="AG107" s="84">
        <v>35199.699999999997</v>
      </c>
      <c r="AH107" s="84">
        <v>49508.4</v>
      </c>
      <c r="AI107" s="84">
        <v>46962.3</v>
      </c>
      <c r="AJ107" s="84">
        <v>47738.3</v>
      </c>
      <c r="AK107" s="83">
        <f t="shared" si="10"/>
        <v>179408.7</v>
      </c>
      <c r="AL107" s="83">
        <v>49638.400000000001</v>
      </c>
      <c r="AM107" s="83">
        <v>51989.7</v>
      </c>
      <c r="AN107" s="83">
        <v>45707.9</v>
      </c>
      <c r="AO107" s="83">
        <v>54122.6</v>
      </c>
      <c r="AP107" s="83">
        <v>201458.6</v>
      </c>
      <c r="AQ107" s="83">
        <v>53864.7</v>
      </c>
      <c r="AR107" s="83">
        <v>68229.3</v>
      </c>
      <c r="AS107" s="83">
        <v>62468.9</v>
      </c>
      <c r="AT107" s="83">
        <v>60811.3</v>
      </c>
      <c r="AU107" s="83">
        <v>245374.2</v>
      </c>
      <c r="AV107" s="84">
        <v>60119.1</v>
      </c>
      <c r="AW107" s="84">
        <v>67298.399999999994</v>
      </c>
      <c r="AX107" s="84">
        <v>62582.400000000001</v>
      </c>
      <c r="AY107" s="85">
        <v>61390.2</v>
      </c>
      <c r="AZ107" s="84">
        <v>251390.1</v>
      </c>
      <c r="BA107" s="83">
        <v>59740.9</v>
      </c>
      <c r="BB107" s="84">
        <v>63994.3</v>
      </c>
      <c r="BC107" s="84">
        <v>63218.7</v>
      </c>
      <c r="BD107" s="86">
        <v>57458.1</v>
      </c>
      <c r="BE107" s="84">
        <v>244412</v>
      </c>
      <c r="BF107" s="84">
        <v>52690.128230000002</v>
      </c>
      <c r="BG107" s="87">
        <v>63863.558640000003</v>
      </c>
      <c r="BH107" s="88">
        <v>66430.797550000003</v>
      </c>
      <c r="BI107" s="56">
        <v>69980.368409999995</v>
      </c>
      <c r="BJ107" s="56">
        <v>252964.85282999999</v>
      </c>
      <c r="BK107" s="56">
        <f>IF(70244.71138="","-",70244.71138)</f>
        <v>70244.711379999993</v>
      </c>
      <c r="BL107" s="56">
        <f>IF(80427.95491="","-",80427.95491)</f>
        <v>80427.95491</v>
      </c>
      <c r="BM107" s="56">
        <f>IF(90353.8116="","-",90353.8116)</f>
        <v>90353.811600000001</v>
      </c>
      <c r="BN107" s="56">
        <v>105402.67</v>
      </c>
      <c r="BO107" s="56">
        <v>346429.14</v>
      </c>
      <c r="BP107" s="56">
        <v>108869.07788</v>
      </c>
      <c r="BQ107" s="46">
        <v>131082.17814</v>
      </c>
      <c r="BR107" s="46">
        <v>135984.57260000001</v>
      </c>
      <c r="BS107" s="56">
        <v>150380.80916</v>
      </c>
      <c r="BT107" s="56">
        <v>526316.63777999999</v>
      </c>
      <c r="BU107" s="100">
        <v>162505.38430999999</v>
      </c>
      <c r="BV107" s="56">
        <v>151556.67978999999</v>
      </c>
      <c r="BW107" s="56">
        <v>127370.70385000001</v>
      </c>
      <c r="BX107" s="56">
        <v>136950.02700999999</v>
      </c>
      <c r="BY107" s="56">
        <v>578382.79495999997</v>
      </c>
      <c r="BZ107" s="56">
        <v>126677.8508</v>
      </c>
      <c r="CA107" s="56">
        <v>82620.80588</v>
      </c>
      <c r="CB107" s="56">
        <v>127205.84432</v>
      </c>
      <c r="CC107" s="56">
        <v>141862.79457</v>
      </c>
      <c r="CD107" s="56">
        <v>478367.29557000002</v>
      </c>
      <c r="CE107" s="56">
        <v>150270.37434000001</v>
      </c>
      <c r="CF107" s="56">
        <v>145234.32352000001</v>
      </c>
      <c r="CG107" s="56">
        <v>100279.59127999999</v>
      </c>
      <c r="CH107" s="56">
        <v>130262.58960000001</v>
      </c>
      <c r="CI107" s="56">
        <v>526046.87873999996</v>
      </c>
      <c r="CJ107" s="56">
        <v>133785.88333000001</v>
      </c>
      <c r="CK107" s="56">
        <v>149764.00412999999</v>
      </c>
      <c r="CL107" s="56">
        <v>124255.89449999999</v>
      </c>
      <c r="CM107" s="56">
        <v>127396.23278999999</v>
      </c>
      <c r="CN107" s="56">
        <v>535202.01474999997</v>
      </c>
      <c r="CO107" s="56">
        <v>161215.28330000001</v>
      </c>
      <c r="CP107" s="56">
        <v>166996.54212</v>
      </c>
      <c r="CQ107" s="56">
        <v>141654.32435000001</v>
      </c>
      <c r="CR107" s="56">
        <v>162372.40919000001</v>
      </c>
      <c r="CS107" s="56">
        <v>632238.55896000005</v>
      </c>
      <c r="CT107" s="66" t="s">
        <v>82</v>
      </c>
      <c r="CU107" s="60" t="s">
        <v>250</v>
      </c>
    </row>
    <row r="108" spans="1:99" s="9" customFormat="1" ht="47.25">
      <c r="A108" s="65" t="s">
        <v>110</v>
      </c>
      <c r="B108" s="59" t="s">
        <v>216</v>
      </c>
      <c r="C108" s="72">
        <v>2721.7</v>
      </c>
      <c r="D108" s="72">
        <v>4478.5</v>
      </c>
      <c r="E108" s="72">
        <v>3654.4</v>
      </c>
      <c r="F108" s="72">
        <v>4443.3</v>
      </c>
      <c r="G108" s="75">
        <f t="shared" si="8"/>
        <v>15297.900000000001</v>
      </c>
      <c r="H108" s="72">
        <v>5002.3999999999996</v>
      </c>
      <c r="I108" s="72">
        <v>4536.5</v>
      </c>
      <c r="J108" s="72">
        <v>4060.8</v>
      </c>
      <c r="K108" s="72">
        <v>2690</v>
      </c>
      <c r="L108" s="75">
        <f t="shared" si="11"/>
        <v>16289.7</v>
      </c>
      <c r="M108" s="72">
        <v>4571.3</v>
      </c>
      <c r="N108" s="72">
        <v>4979.3</v>
      </c>
      <c r="O108" s="72">
        <v>4332.1000000000004</v>
      </c>
      <c r="P108" s="72">
        <v>4839.6000000000004</v>
      </c>
      <c r="Q108" s="75">
        <f t="shared" si="12"/>
        <v>18722.300000000003</v>
      </c>
      <c r="R108" s="72">
        <v>4760</v>
      </c>
      <c r="S108" s="72">
        <v>4271.7</v>
      </c>
      <c r="T108" s="72">
        <v>3307.3</v>
      </c>
      <c r="U108" s="72">
        <v>3725.4</v>
      </c>
      <c r="V108" s="75">
        <f t="shared" si="9"/>
        <v>16064.4</v>
      </c>
      <c r="W108" s="72">
        <v>2479.5</v>
      </c>
      <c r="X108" s="72">
        <v>3237.8</v>
      </c>
      <c r="Y108" s="72">
        <v>4492.2</v>
      </c>
      <c r="Z108" s="72">
        <v>4789.7</v>
      </c>
      <c r="AA108" s="75">
        <f t="shared" si="13"/>
        <v>14999.2</v>
      </c>
      <c r="AB108" s="72">
        <v>6771</v>
      </c>
      <c r="AC108" s="72">
        <v>5105.3999999999996</v>
      </c>
      <c r="AD108" s="72">
        <v>3593.6</v>
      </c>
      <c r="AE108" s="72">
        <v>5710.9</v>
      </c>
      <c r="AF108" s="72">
        <v>21180.9</v>
      </c>
      <c r="AG108" s="76">
        <v>9862.5</v>
      </c>
      <c r="AH108" s="76">
        <v>14800.6</v>
      </c>
      <c r="AI108" s="76">
        <v>12132.9</v>
      </c>
      <c r="AJ108" s="76">
        <v>9763</v>
      </c>
      <c r="AK108" s="75">
        <f t="shared" si="10"/>
        <v>46559</v>
      </c>
      <c r="AL108" s="75">
        <v>17159.7</v>
      </c>
      <c r="AM108" s="75">
        <v>12798.3</v>
      </c>
      <c r="AN108" s="75">
        <v>24135.200000000001</v>
      </c>
      <c r="AO108" s="75">
        <v>9770.7999999999993</v>
      </c>
      <c r="AP108" s="75">
        <v>63864</v>
      </c>
      <c r="AQ108" s="75">
        <v>15745.9</v>
      </c>
      <c r="AR108" s="75">
        <v>11171.8</v>
      </c>
      <c r="AS108" s="75">
        <v>8516.5</v>
      </c>
      <c r="AT108" s="75">
        <v>11381.7</v>
      </c>
      <c r="AU108" s="75">
        <v>46815.9</v>
      </c>
      <c r="AV108" s="76">
        <v>6158.3</v>
      </c>
      <c r="AW108" s="76">
        <v>5213</v>
      </c>
      <c r="AX108" s="76">
        <v>4264.3</v>
      </c>
      <c r="AY108" s="78">
        <v>12133.6</v>
      </c>
      <c r="AZ108" s="76">
        <v>27769.200000000001</v>
      </c>
      <c r="BA108" s="76">
        <v>3165.7</v>
      </c>
      <c r="BB108" s="76">
        <v>5616.6</v>
      </c>
      <c r="BC108" s="76">
        <v>5799.6</v>
      </c>
      <c r="BD108" s="79">
        <v>3458.3</v>
      </c>
      <c r="BE108" s="76">
        <v>18040.2</v>
      </c>
      <c r="BF108" s="109">
        <f>IF(5386.77232="","-",5386.77232)</f>
        <v>5386.77232</v>
      </c>
      <c r="BG108" s="76">
        <v>6858.3140299999995</v>
      </c>
      <c r="BH108" s="89">
        <v>6341.8141400000004</v>
      </c>
      <c r="BI108" s="55">
        <v>8826.3914000000004</v>
      </c>
      <c r="BJ108" s="110">
        <v>27413.29189</v>
      </c>
      <c r="BK108" s="55">
        <f>IF(19157.39273="","-",19157.39273)</f>
        <v>19157.39273</v>
      </c>
      <c r="BL108" s="55">
        <f>IF(9052.78277="","-",9052.78277)</f>
        <v>9052.7827699999998</v>
      </c>
      <c r="BM108" s="55">
        <f>IF(7329.03794="","-",7329.03794)</f>
        <v>7329.0379400000002</v>
      </c>
      <c r="BN108" s="55">
        <f>IF(5853.43928="","-",5853.43928)</f>
        <v>5853.4392799999996</v>
      </c>
      <c r="BO108" s="55">
        <f>IF(41392.65272="","-",41392.65272)</f>
        <v>41392.652719999998</v>
      </c>
      <c r="BP108" s="55">
        <v>4638.5710499999996</v>
      </c>
      <c r="BQ108" s="45">
        <v>5461.7180200000003</v>
      </c>
      <c r="BR108" s="45">
        <v>5916.6535800000001</v>
      </c>
      <c r="BS108" s="55">
        <v>6136.0767599999999</v>
      </c>
      <c r="BT108" s="55">
        <v>22153.019410000001</v>
      </c>
      <c r="BU108" s="55">
        <v>9895.2913399999998</v>
      </c>
      <c r="BV108" s="55">
        <v>6754.5858600000001</v>
      </c>
      <c r="BW108" s="55">
        <v>5149.4970199999998</v>
      </c>
      <c r="BX108" s="55">
        <v>5937.2817599999998</v>
      </c>
      <c r="BY108" s="55">
        <v>27736.65598</v>
      </c>
      <c r="BZ108" s="55">
        <v>7099.7789599999996</v>
      </c>
      <c r="CA108" s="55">
        <v>4480.3060500000001</v>
      </c>
      <c r="CB108" s="55">
        <v>8699.2751000000007</v>
      </c>
      <c r="CC108" s="55">
        <v>11526.94982</v>
      </c>
      <c r="CD108" s="55">
        <v>31806.309929999999</v>
      </c>
      <c r="CE108" s="55">
        <v>12165.43547</v>
      </c>
      <c r="CF108" s="55">
        <v>15573.508680000001</v>
      </c>
      <c r="CG108" s="55">
        <v>16471.930390000001</v>
      </c>
      <c r="CH108" s="55">
        <v>20907.280699999999</v>
      </c>
      <c r="CI108" s="55">
        <v>65118.15524</v>
      </c>
      <c r="CJ108" s="55">
        <v>23582.663769999999</v>
      </c>
      <c r="CK108" s="55">
        <v>23660.774839999998</v>
      </c>
      <c r="CL108" s="55">
        <v>24550.416550000002</v>
      </c>
      <c r="CM108" s="55">
        <v>30634.543720000001</v>
      </c>
      <c r="CN108" s="55">
        <v>102428.39887999999</v>
      </c>
      <c r="CO108" s="55">
        <v>29426.440409999999</v>
      </c>
      <c r="CP108" s="55">
        <v>19683.105370000001</v>
      </c>
      <c r="CQ108" s="55">
        <v>14446.49251</v>
      </c>
      <c r="CR108" s="55">
        <v>9405.5089800000005</v>
      </c>
      <c r="CS108" s="55">
        <v>72961.547269999995</v>
      </c>
      <c r="CT108" s="65" t="s">
        <v>110</v>
      </c>
      <c r="CU108" s="59" t="s">
        <v>216</v>
      </c>
    </row>
    <row r="109" spans="1:99" s="9" customFormat="1" ht="47.25">
      <c r="A109" s="66" t="s">
        <v>83</v>
      </c>
      <c r="B109" s="60" t="s">
        <v>251</v>
      </c>
      <c r="C109" s="81">
        <v>311.7</v>
      </c>
      <c r="D109" s="81">
        <v>196.7</v>
      </c>
      <c r="E109" s="81">
        <v>193.4</v>
      </c>
      <c r="F109" s="81">
        <v>281.2</v>
      </c>
      <c r="G109" s="82">
        <f t="shared" si="8"/>
        <v>983</v>
      </c>
      <c r="H109" s="81">
        <v>149.80000000000001</v>
      </c>
      <c r="I109" s="81">
        <v>139</v>
      </c>
      <c r="J109" s="81">
        <v>118.4</v>
      </c>
      <c r="K109" s="81">
        <v>208.6</v>
      </c>
      <c r="L109" s="82">
        <f t="shared" si="11"/>
        <v>615.80000000000007</v>
      </c>
      <c r="M109" s="81">
        <v>170.2</v>
      </c>
      <c r="N109" s="81">
        <v>300.39999999999998</v>
      </c>
      <c r="O109" s="81">
        <v>152.5</v>
      </c>
      <c r="P109" s="81">
        <v>58.5</v>
      </c>
      <c r="Q109" s="82">
        <f t="shared" si="12"/>
        <v>681.59999999999991</v>
      </c>
      <c r="R109" s="81">
        <v>185</v>
      </c>
      <c r="S109" s="81">
        <v>238.3</v>
      </c>
      <c r="T109" s="81">
        <v>378.6</v>
      </c>
      <c r="U109" s="81">
        <v>554.5</v>
      </c>
      <c r="V109" s="83">
        <f t="shared" si="9"/>
        <v>1356.4</v>
      </c>
      <c r="W109" s="81">
        <v>146.4</v>
      </c>
      <c r="X109" s="81">
        <v>94.8</v>
      </c>
      <c r="Y109" s="81">
        <v>342.3</v>
      </c>
      <c r="Z109" s="81">
        <v>67.400000000000006</v>
      </c>
      <c r="AA109" s="83">
        <f t="shared" si="13"/>
        <v>650.9</v>
      </c>
      <c r="AB109" s="81">
        <v>46.1</v>
      </c>
      <c r="AC109" s="81">
        <v>108.8</v>
      </c>
      <c r="AD109" s="81">
        <v>332</v>
      </c>
      <c r="AE109" s="81">
        <v>44</v>
      </c>
      <c r="AF109" s="81">
        <v>530.9</v>
      </c>
      <c r="AG109" s="84">
        <v>8.9</v>
      </c>
      <c r="AH109" s="84">
        <v>1061.8</v>
      </c>
      <c r="AI109" s="84">
        <v>825.1</v>
      </c>
      <c r="AJ109" s="84">
        <v>31</v>
      </c>
      <c r="AK109" s="83">
        <f t="shared" si="10"/>
        <v>1926.8000000000002</v>
      </c>
      <c r="AL109" s="83">
        <v>5264.4</v>
      </c>
      <c r="AM109" s="83">
        <v>549.4</v>
      </c>
      <c r="AN109" s="83">
        <v>3155.1</v>
      </c>
      <c r="AO109" s="83">
        <v>900.3</v>
      </c>
      <c r="AP109" s="83">
        <v>9869.2000000000007</v>
      </c>
      <c r="AQ109" s="84">
        <v>477.9</v>
      </c>
      <c r="AR109" s="84">
        <v>109.3</v>
      </c>
      <c r="AS109" s="84">
        <v>634.29999999999995</v>
      </c>
      <c r="AT109" s="84">
        <v>366.1</v>
      </c>
      <c r="AU109" s="84">
        <v>1587.6</v>
      </c>
      <c r="AV109" s="84">
        <v>184.4</v>
      </c>
      <c r="AW109" s="84">
        <v>105.4</v>
      </c>
      <c r="AX109" s="84">
        <v>86.2</v>
      </c>
      <c r="AY109" s="85">
        <v>148.69999999999999</v>
      </c>
      <c r="AZ109" s="84">
        <v>524.70000000000005</v>
      </c>
      <c r="BA109" s="84">
        <v>20.9</v>
      </c>
      <c r="BB109" s="84">
        <v>181.6</v>
      </c>
      <c r="BC109" s="84">
        <v>35.1</v>
      </c>
      <c r="BD109" s="86">
        <v>254</v>
      </c>
      <c r="BE109" s="84">
        <v>491.6</v>
      </c>
      <c r="BF109" s="84">
        <v>20.016079999999999</v>
      </c>
      <c r="BG109" s="84">
        <v>39.90719</v>
      </c>
      <c r="BH109" s="88">
        <v>47.241500000000002</v>
      </c>
      <c r="BI109" s="56">
        <v>25.435220000000001</v>
      </c>
      <c r="BJ109" s="56">
        <v>132.59998999999999</v>
      </c>
      <c r="BK109" s="56">
        <f>IF(263.48624="","-",263.48624)</f>
        <v>263.48624000000001</v>
      </c>
      <c r="BL109" s="56">
        <f>IF(622.31537="","-",622.31537)</f>
        <v>622.31537000000003</v>
      </c>
      <c r="BM109" s="56">
        <f>IF(152.83011="","-",152.83011)</f>
        <v>152.83010999999999</v>
      </c>
      <c r="BN109" s="56">
        <f>IF(224.29468="","-",224.29468)</f>
        <v>224.29468</v>
      </c>
      <c r="BO109" s="56">
        <f>IF(1262.9264="","-",1262.9264)</f>
        <v>1262.9264000000001</v>
      </c>
      <c r="BP109" s="56">
        <v>31.747959999999999</v>
      </c>
      <c r="BQ109" s="46">
        <v>50.580970000000001</v>
      </c>
      <c r="BR109" s="46">
        <v>96.750730000000004</v>
      </c>
      <c r="BS109" s="56">
        <v>69.713340000000002</v>
      </c>
      <c r="BT109" s="56">
        <v>248.79300000000001</v>
      </c>
      <c r="BU109" s="56">
        <v>65.739180000000005</v>
      </c>
      <c r="BV109" s="56">
        <v>42.921120000000002</v>
      </c>
      <c r="BW109" s="56">
        <v>110.15893</v>
      </c>
      <c r="BX109" s="56">
        <v>120.78409000000001</v>
      </c>
      <c r="BY109" s="56">
        <v>339.60332</v>
      </c>
      <c r="BZ109" s="56">
        <v>75.997190000000003</v>
      </c>
      <c r="CA109" s="56">
        <v>170.16282000000001</v>
      </c>
      <c r="CB109" s="56">
        <v>131.60733999999999</v>
      </c>
      <c r="CC109" s="56">
        <v>46.06212</v>
      </c>
      <c r="CD109" s="56">
        <v>423.82947000000001</v>
      </c>
      <c r="CE109" s="56">
        <v>26.952950000000001</v>
      </c>
      <c r="CF109" s="56">
        <v>47.538559999999997</v>
      </c>
      <c r="CG109" s="56">
        <v>46.066360000000003</v>
      </c>
      <c r="CH109" s="56">
        <v>77.606579999999994</v>
      </c>
      <c r="CI109" s="56">
        <v>198.16444999999999</v>
      </c>
      <c r="CJ109" s="56">
        <v>10.718999999999999</v>
      </c>
      <c r="CK109" s="56">
        <v>34.030880000000003</v>
      </c>
      <c r="CL109" s="56">
        <v>642.88373999999999</v>
      </c>
      <c r="CM109" s="56">
        <v>718.47699999999998</v>
      </c>
      <c r="CN109" s="56">
        <v>1406.1106199999999</v>
      </c>
      <c r="CO109" s="56">
        <v>781.32610999999997</v>
      </c>
      <c r="CP109" s="56">
        <v>1167.7617299999999</v>
      </c>
      <c r="CQ109" s="56">
        <v>557.10902999999996</v>
      </c>
      <c r="CR109" s="56">
        <v>560.68214999999998</v>
      </c>
      <c r="CS109" s="56">
        <v>3066.8790199999999</v>
      </c>
      <c r="CT109" s="66" t="s">
        <v>83</v>
      </c>
      <c r="CU109" s="60" t="s">
        <v>251</v>
      </c>
    </row>
    <row r="110" spans="1:99" s="9" customFormat="1" ht="31.5">
      <c r="A110" s="66" t="s">
        <v>84</v>
      </c>
      <c r="B110" s="60" t="s">
        <v>217</v>
      </c>
      <c r="C110" s="81">
        <v>2245.1999999999998</v>
      </c>
      <c r="D110" s="81">
        <v>3221.5</v>
      </c>
      <c r="E110" s="81">
        <v>3149.4</v>
      </c>
      <c r="F110" s="81">
        <v>3087.5</v>
      </c>
      <c r="G110" s="82">
        <f t="shared" si="8"/>
        <v>11703.6</v>
      </c>
      <c r="H110" s="81">
        <v>4005.2</v>
      </c>
      <c r="I110" s="81">
        <v>4189.6000000000004</v>
      </c>
      <c r="J110" s="81">
        <v>3661.1</v>
      </c>
      <c r="K110" s="81">
        <v>2470.1999999999998</v>
      </c>
      <c r="L110" s="82">
        <f t="shared" si="11"/>
        <v>14326.099999999999</v>
      </c>
      <c r="M110" s="81">
        <v>4347.1000000000004</v>
      </c>
      <c r="N110" s="81">
        <v>4548.3999999999996</v>
      </c>
      <c r="O110" s="81">
        <v>4080.9</v>
      </c>
      <c r="P110" s="81">
        <v>4762.8</v>
      </c>
      <c r="Q110" s="82">
        <f t="shared" si="12"/>
        <v>17739.2</v>
      </c>
      <c r="R110" s="81">
        <v>4277.3</v>
      </c>
      <c r="S110" s="81">
        <v>3836.5</v>
      </c>
      <c r="T110" s="81">
        <v>2805.7</v>
      </c>
      <c r="U110" s="81">
        <v>2941.3</v>
      </c>
      <c r="V110" s="83">
        <f t="shared" si="9"/>
        <v>13860.8</v>
      </c>
      <c r="W110" s="81">
        <v>2323.4</v>
      </c>
      <c r="X110" s="81">
        <v>2938.1</v>
      </c>
      <c r="Y110" s="81">
        <v>2963.9</v>
      </c>
      <c r="Z110" s="81">
        <v>3883.6</v>
      </c>
      <c r="AA110" s="83">
        <f t="shared" si="13"/>
        <v>12109</v>
      </c>
      <c r="AB110" s="81">
        <v>4592</v>
      </c>
      <c r="AC110" s="81">
        <v>3934.3</v>
      </c>
      <c r="AD110" s="81">
        <v>3248.8</v>
      </c>
      <c r="AE110" s="81">
        <v>1916.4</v>
      </c>
      <c r="AF110" s="81">
        <v>13691.5</v>
      </c>
      <c r="AG110" s="84">
        <v>5921.5</v>
      </c>
      <c r="AH110" s="84">
        <v>13493.4</v>
      </c>
      <c r="AI110" s="84">
        <v>10722.2</v>
      </c>
      <c r="AJ110" s="84">
        <v>7985.3</v>
      </c>
      <c r="AK110" s="83">
        <f t="shared" si="10"/>
        <v>38122.400000000001</v>
      </c>
      <c r="AL110" s="83">
        <v>11584.9</v>
      </c>
      <c r="AM110" s="83">
        <v>11762.9</v>
      </c>
      <c r="AN110" s="83">
        <v>14046</v>
      </c>
      <c r="AO110" s="83">
        <v>8617.9</v>
      </c>
      <c r="AP110" s="83">
        <v>46011.7</v>
      </c>
      <c r="AQ110" s="83">
        <v>15064.3</v>
      </c>
      <c r="AR110" s="83">
        <v>10586.7</v>
      </c>
      <c r="AS110" s="83">
        <v>7265.7</v>
      </c>
      <c r="AT110" s="83">
        <v>6739.2</v>
      </c>
      <c r="AU110" s="83">
        <v>39655.9</v>
      </c>
      <c r="AV110" s="84">
        <v>5946.6</v>
      </c>
      <c r="AW110" s="84">
        <v>5050.2</v>
      </c>
      <c r="AX110" s="84">
        <v>3944.2</v>
      </c>
      <c r="AY110" s="85">
        <v>3711.9</v>
      </c>
      <c r="AZ110" s="84">
        <v>18652.900000000001</v>
      </c>
      <c r="BA110" s="84">
        <v>2899.6</v>
      </c>
      <c r="BB110" s="84">
        <v>3220.6</v>
      </c>
      <c r="BC110" s="84">
        <v>3417</v>
      </c>
      <c r="BD110" s="86">
        <v>3090</v>
      </c>
      <c r="BE110" s="84">
        <v>12627.2</v>
      </c>
      <c r="BF110" s="111">
        <f>IF(5188.94401="","-",5188.94401)</f>
        <v>5188.9440100000002</v>
      </c>
      <c r="BG110" s="84">
        <v>6809.6057099999998</v>
      </c>
      <c r="BH110" s="88">
        <v>6229.4871599999997</v>
      </c>
      <c r="BI110" s="56">
        <v>8639.0945300000003</v>
      </c>
      <c r="BJ110" s="112">
        <v>26867.131410000002</v>
      </c>
      <c r="BK110" s="56">
        <f>IF(7386.7305="","-",7386.7305)</f>
        <v>7386.7304999999997</v>
      </c>
      <c r="BL110" s="56">
        <f>IF(8232.33681="","-",8232.33681)</f>
        <v>8232.3368100000007</v>
      </c>
      <c r="BM110" s="56">
        <f>IF(4601.48134="","-",4601.48134)</f>
        <v>4601.4813400000003</v>
      </c>
      <c r="BN110" s="56">
        <f>IF(5599.2008="","-",5599.2008)</f>
        <v>5599.2007999999996</v>
      </c>
      <c r="BO110" s="56">
        <f>IF(25819.74945="","-",25819.74945)</f>
        <v>25819.749449999999</v>
      </c>
      <c r="BP110" s="56">
        <v>4579.3741200000004</v>
      </c>
      <c r="BQ110" s="46">
        <v>5350.02747</v>
      </c>
      <c r="BR110" s="46">
        <v>5663.1695900000004</v>
      </c>
      <c r="BS110" s="56">
        <v>5480.7611500000003</v>
      </c>
      <c r="BT110" s="56">
        <v>21073.332330000001</v>
      </c>
      <c r="BU110" s="56">
        <v>7418.4075599999996</v>
      </c>
      <c r="BV110" s="56">
        <v>6446.2394700000004</v>
      </c>
      <c r="BW110" s="56">
        <v>4978.0712999999996</v>
      </c>
      <c r="BX110" s="56">
        <v>5794.5372600000001</v>
      </c>
      <c r="BY110" s="56">
        <v>24637.255590000001</v>
      </c>
      <c r="BZ110" s="56">
        <v>7011.9526800000003</v>
      </c>
      <c r="CA110" s="56">
        <v>4305.8484900000003</v>
      </c>
      <c r="CB110" s="56">
        <v>8541.1234600000007</v>
      </c>
      <c r="CC110" s="56">
        <v>11377.52108</v>
      </c>
      <c r="CD110" s="56">
        <v>31236.44571</v>
      </c>
      <c r="CE110" s="56">
        <v>11897.49963</v>
      </c>
      <c r="CF110" s="56">
        <v>15486.55082</v>
      </c>
      <c r="CG110" s="56">
        <v>15961.57497</v>
      </c>
      <c r="CH110" s="56">
        <v>20525.554410000001</v>
      </c>
      <c r="CI110" s="56">
        <v>63871.179830000001</v>
      </c>
      <c r="CJ110" s="56">
        <v>23524.092359999999</v>
      </c>
      <c r="CK110" s="56">
        <v>22177.829129999998</v>
      </c>
      <c r="CL110" s="56">
        <v>23652.786789999998</v>
      </c>
      <c r="CM110" s="56">
        <v>29778.821370000001</v>
      </c>
      <c r="CN110" s="56">
        <v>99133.529649999997</v>
      </c>
      <c r="CO110" s="56">
        <v>25606.687819999999</v>
      </c>
      <c r="CP110" s="56">
        <v>18171.347669999999</v>
      </c>
      <c r="CQ110" s="56">
        <v>13166.275439999999</v>
      </c>
      <c r="CR110" s="56">
        <v>8635.5445500000005</v>
      </c>
      <c r="CS110" s="56">
        <v>65579.855479999998</v>
      </c>
      <c r="CT110" s="66" t="s">
        <v>84</v>
      </c>
      <c r="CU110" s="60" t="s">
        <v>217</v>
      </c>
    </row>
    <row r="111" spans="1:99" s="9" customFormat="1" ht="15.75">
      <c r="A111" s="66" t="s">
        <v>85</v>
      </c>
      <c r="B111" s="60" t="s">
        <v>218</v>
      </c>
      <c r="C111" s="81">
        <v>144.9</v>
      </c>
      <c r="D111" s="81">
        <v>1060.3</v>
      </c>
      <c r="E111" s="81">
        <v>311.60000000000002</v>
      </c>
      <c r="F111" s="81">
        <v>1074.5999999999999</v>
      </c>
      <c r="G111" s="82">
        <f t="shared" si="8"/>
        <v>2591.4</v>
      </c>
      <c r="H111" s="81">
        <v>847.4</v>
      </c>
      <c r="I111" s="81">
        <v>54.2</v>
      </c>
      <c r="J111" s="81">
        <v>221.5</v>
      </c>
      <c r="K111" s="81">
        <v>8.6999999999999993</v>
      </c>
      <c r="L111" s="82">
        <f t="shared" si="11"/>
        <v>1131.8</v>
      </c>
      <c r="M111" s="81">
        <v>54</v>
      </c>
      <c r="N111" s="81">
        <v>130.5</v>
      </c>
      <c r="O111" s="81">
        <v>98.7</v>
      </c>
      <c r="P111" s="81">
        <v>12.1</v>
      </c>
      <c r="Q111" s="82">
        <f t="shared" si="12"/>
        <v>295.3</v>
      </c>
      <c r="R111" s="81">
        <v>297.7</v>
      </c>
      <c r="S111" s="81">
        <v>194.2</v>
      </c>
      <c r="T111" s="81">
        <v>119.2</v>
      </c>
      <c r="U111" s="81">
        <v>229.6</v>
      </c>
      <c r="V111" s="83">
        <f t="shared" si="9"/>
        <v>840.7</v>
      </c>
      <c r="W111" s="81">
        <v>9.6999999999999993</v>
      </c>
      <c r="X111" s="81">
        <v>204.9</v>
      </c>
      <c r="Y111" s="81">
        <v>1186</v>
      </c>
      <c r="Z111" s="81">
        <v>838.7</v>
      </c>
      <c r="AA111" s="83">
        <f t="shared" si="13"/>
        <v>2239.3000000000002</v>
      </c>
      <c r="AB111" s="81">
        <v>2132.9</v>
      </c>
      <c r="AC111" s="81">
        <v>1062.3</v>
      </c>
      <c r="AD111" s="81">
        <v>12.8</v>
      </c>
      <c r="AE111" s="81">
        <v>3750.5</v>
      </c>
      <c r="AF111" s="81">
        <v>6958.5</v>
      </c>
      <c r="AG111" s="84">
        <v>3932.1</v>
      </c>
      <c r="AH111" s="84">
        <v>227.1</v>
      </c>
      <c r="AI111" s="84">
        <v>585.6</v>
      </c>
      <c r="AJ111" s="84">
        <v>1746.7</v>
      </c>
      <c r="AK111" s="83">
        <f t="shared" si="10"/>
        <v>6491.5</v>
      </c>
      <c r="AL111" s="83">
        <v>310.39999999999998</v>
      </c>
      <c r="AM111" s="83">
        <v>486</v>
      </c>
      <c r="AN111" s="83">
        <v>6932.6</v>
      </c>
      <c r="AO111" s="83">
        <v>252.6</v>
      </c>
      <c r="AP111" s="83">
        <v>7981.6</v>
      </c>
      <c r="AQ111" s="84">
        <v>203.7</v>
      </c>
      <c r="AR111" s="84">
        <v>473.7</v>
      </c>
      <c r="AS111" s="83">
        <v>616.5</v>
      </c>
      <c r="AT111" s="83">
        <v>4221.8999999999996</v>
      </c>
      <c r="AU111" s="83">
        <v>5515.8</v>
      </c>
      <c r="AV111" s="84">
        <v>27.3</v>
      </c>
      <c r="AW111" s="84">
        <v>57.4</v>
      </c>
      <c r="AX111" s="84">
        <v>233.9</v>
      </c>
      <c r="AY111" s="85">
        <v>8270.7000000000007</v>
      </c>
      <c r="AZ111" s="84">
        <v>8589.2999999999993</v>
      </c>
      <c r="BA111" s="84">
        <v>245.2</v>
      </c>
      <c r="BB111" s="84">
        <v>2214.4</v>
      </c>
      <c r="BC111" s="84">
        <v>2347.5</v>
      </c>
      <c r="BD111" s="86">
        <v>114.3</v>
      </c>
      <c r="BE111" s="84">
        <v>4921.3999999999996</v>
      </c>
      <c r="BF111" s="84">
        <v>177.24634</v>
      </c>
      <c r="BG111" s="84">
        <v>8.1999999999999993</v>
      </c>
      <c r="BH111" s="88">
        <v>64.885480000000001</v>
      </c>
      <c r="BI111" s="56">
        <v>160.12755000000001</v>
      </c>
      <c r="BJ111" s="56">
        <v>410.45936999999998</v>
      </c>
      <c r="BK111" s="56">
        <f>IF(11507.17599="","-",11507.17599)</f>
        <v>11507.17599</v>
      </c>
      <c r="BL111" s="56">
        <f>IF(192.13059="","-",192.13059)</f>
        <v>192.13059000000001</v>
      </c>
      <c r="BM111" s="56">
        <f>IF(2572.52649="","-",2572.52649)</f>
        <v>2572.5264900000002</v>
      </c>
      <c r="BN111" s="56">
        <f>IF(29.9438="","-",29.9438)</f>
        <v>29.9438</v>
      </c>
      <c r="BO111" s="56">
        <f>IF(14301.77687="","-",14301.77687)</f>
        <v>14301.77687</v>
      </c>
      <c r="BP111" s="56">
        <v>27.448969999999999</v>
      </c>
      <c r="BQ111" s="46">
        <v>27.822240000000001</v>
      </c>
      <c r="BR111" s="46">
        <v>117.89737</v>
      </c>
      <c r="BS111" s="56">
        <v>585.60226999999998</v>
      </c>
      <c r="BT111" s="56">
        <v>758.77085</v>
      </c>
      <c r="BU111" s="56">
        <v>2411.1446000000001</v>
      </c>
      <c r="BV111" s="56">
        <v>26.70215</v>
      </c>
      <c r="BW111" s="56">
        <v>37.31297</v>
      </c>
      <c r="BX111" s="56">
        <v>21.96041</v>
      </c>
      <c r="BY111" s="56">
        <v>2497.1201299999998</v>
      </c>
      <c r="BZ111" s="56">
        <v>11.829090000000001</v>
      </c>
      <c r="CA111" s="56">
        <v>4.29474</v>
      </c>
      <c r="CB111" s="56">
        <v>26.5443</v>
      </c>
      <c r="CC111" s="56">
        <v>103.36662</v>
      </c>
      <c r="CD111" s="56">
        <v>146.03475</v>
      </c>
      <c r="CE111" s="56">
        <v>240.98289</v>
      </c>
      <c r="CF111" s="56">
        <v>22.08859</v>
      </c>
      <c r="CG111" s="56">
        <v>383.55910999999998</v>
      </c>
      <c r="CH111" s="56">
        <v>72.549710000000005</v>
      </c>
      <c r="CI111" s="56">
        <v>719.18029999999999</v>
      </c>
      <c r="CJ111" s="56">
        <v>47.852409999999999</v>
      </c>
      <c r="CK111" s="56">
        <v>1441.8340700000001</v>
      </c>
      <c r="CL111" s="56">
        <v>254.74601999999999</v>
      </c>
      <c r="CM111" s="56">
        <v>125.60415</v>
      </c>
      <c r="CN111" s="56">
        <v>1870.03665</v>
      </c>
      <c r="CO111" s="56">
        <v>3038.4264800000001</v>
      </c>
      <c r="CP111" s="56">
        <v>84.392650000000003</v>
      </c>
      <c r="CQ111" s="56">
        <v>723.10803999999996</v>
      </c>
      <c r="CR111" s="56">
        <v>209.28227999999999</v>
      </c>
      <c r="CS111" s="56">
        <v>4055.2094499999998</v>
      </c>
      <c r="CT111" s="66" t="s">
        <v>85</v>
      </c>
      <c r="CU111" s="60" t="s">
        <v>218</v>
      </c>
    </row>
    <row r="112" spans="1:99" s="9" customFormat="1" ht="18.75" customHeight="1">
      <c r="A112" s="66" t="s">
        <v>86</v>
      </c>
      <c r="B112" s="60" t="s">
        <v>219</v>
      </c>
      <c r="C112" s="81">
        <v>19.899999999999999</v>
      </c>
      <c r="D112" s="82" t="s">
        <v>115</v>
      </c>
      <c r="E112" s="82" t="s">
        <v>115</v>
      </c>
      <c r="F112" s="82" t="s">
        <v>115</v>
      </c>
      <c r="G112" s="82">
        <f t="shared" si="8"/>
        <v>19.899999999999999</v>
      </c>
      <c r="H112" s="82" t="s">
        <v>115</v>
      </c>
      <c r="I112" s="81">
        <v>153.69999999999999</v>
      </c>
      <c r="J112" s="81">
        <v>59.8</v>
      </c>
      <c r="K112" s="81">
        <v>2.5</v>
      </c>
      <c r="L112" s="82">
        <f t="shared" si="11"/>
        <v>216</v>
      </c>
      <c r="M112" s="81" t="s">
        <v>117</v>
      </c>
      <c r="N112" s="81" t="s">
        <v>117</v>
      </c>
      <c r="O112" s="81" t="s">
        <v>117</v>
      </c>
      <c r="P112" s="81">
        <v>6.2</v>
      </c>
      <c r="Q112" s="82">
        <f t="shared" si="12"/>
        <v>6.2</v>
      </c>
      <c r="R112" s="81" t="s">
        <v>117</v>
      </c>
      <c r="S112" s="81">
        <v>2.7</v>
      </c>
      <c r="T112" s="81">
        <v>3.8</v>
      </c>
      <c r="U112" s="81" t="s">
        <v>117</v>
      </c>
      <c r="V112" s="83">
        <f t="shared" si="9"/>
        <v>6.5</v>
      </c>
      <c r="W112" s="81" t="s">
        <v>117</v>
      </c>
      <c r="X112" s="81" t="s">
        <v>117</v>
      </c>
      <c r="Y112" s="81" t="s">
        <v>117</v>
      </c>
      <c r="Z112" s="81" t="s">
        <v>117</v>
      </c>
      <c r="AA112" s="82" t="s">
        <v>115</v>
      </c>
      <c r="AB112" s="81" t="s">
        <v>117</v>
      </c>
      <c r="AC112" s="81" t="s">
        <v>117</v>
      </c>
      <c r="AD112" s="81" t="s">
        <v>117</v>
      </c>
      <c r="AE112" s="81" t="s">
        <v>117</v>
      </c>
      <c r="AF112" s="81" t="s">
        <v>117</v>
      </c>
      <c r="AG112" s="84" t="s">
        <v>117</v>
      </c>
      <c r="AH112" s="84">
        <v>18.3</v>
      </c>
      <c r="AI112" s="84" t="s">
        <v>117</v>
      </c>
      <c r="AJ112" s="84" t="s">
        <v>117</v>
      </c>
      <c r="AK112" s="83">
        <f t="shared" si="10"/>
        <v>18.3</v>
      </c>
      <c r="AL112" s="83" t="s">
        <v>117</v>
      </c>
      <c r="AM112" s="83" t="s">
        <v>117</v>
      </c>
      <c r="AN112" s="83">
        <v>1.5</v>
      </c>
      <c r="AO112" s="83" t="s">
        <v>117</v>
      </c>
      <c r="AP112" s="83">
        <v>1.5</v>
      </c>
      <c r="AQ112" s="84" t="s">
        <v>117</v>
      </c>
      <c r="AR112" s="84">
        <v>2.1</v>
      </c>
      <c r="AS112" s="84" t="s">
        <v>117</v>
      </c>
      <c r="AT112" s="84">
        <v>54.5</v>
      </c>
      <c r="AU112" s="84">
        <v>56.6</v>
      </c>
      <c r="AV112" s="84" t="s">
        <v>117</v>
      </c>
      <c r="AW112" s="84" t="s">
        <v>117</v>
      </c>
      <c r="AX112" s="84" t="s">
        <v>117</v>
      </c>
      <c r="AY112" s="85">
        <v>2.2999999999999998</v>
      </c>
      <c r="AZ112" s="84">
        <v>2.2999999999999998</v>
      </c>
      <c r="BA112" s="84" t="s">
        <v>117</v>
      </c>
      <c r="BB112" s="84" t="s">
        <v>117</v>
      </c>
      <c r="BC112" s="84" t="s">
        <v>117</v>
      </c>
      <c r="BD112" s="84" t="s">
        <v>117</v>
      </c>
      <c r="BE112" s="84" t="s">
        <v>117</v>
      </c>
      <c r="BF112" s="84">
        <v>0.56589</v>
      </c>
      <c r="BG112" s="84">
        <v>0.60113000000000005</v>
      </c>
      <c r="BH112" s="88">
        <v>0.2</v>
      </c>
      <c r="BI112" s="56">
        <v>1.7341</v>
      </c>
      <c r="BJ112" s="56">
        <v>3.1011199999999999</v>
      </c>
      <c r="BK112" s="56" t="str">
        <f>IF(""="","-","")</f>
        <v>-</v>
      </c>
      <c r="BL112" s="56">
        <f>IF(6="","-",6)</f>
        <v>6</v>
      </c>
      <c r="BM112" s="56">
        <f>IF(2.2="","-",2.2)</f>
        <v>2.2000000000000002</v>
      </c>
      <c r="BN112" s="56" t="str">
        <f>IF(""="","-","")</f>
        <v>-</v>
      </c>
      <c r="BO112" s="56">
        <f>IF(8.2="","-",8.2)</f>
        <v>8.1999999999999993</v>
      </c>
      <c r="BP112" s="56" t="s">
        <v>117</v>
      </c>
      <c r="BQ112" s="46">
        <v>33.28734</v>
      </c>
      <c r="BR112" s="46">
        <v>38.835889999999999</v>
      </c>
      <c r="BS112" s="56" t="s">
        <v>117</v>
      </c>
      <c r="BT112" s="56">
        <v>72.123230000000007</v>
      </c>
      <c r="BU112" s="56" t="s">
        <v>117</v>
      </c>
      <c r="BV112" s="56">
        <v>238.72311999999999</v>
      </c>
      <c r="BW112" s="56">
        <v>23.95382</v>
      </c>
      <c r="BX112" s="56" t="s">
        <v>117</v>
      </c>
      <c r="BY112" s="56">
        <v>262.67694</v>
      </c>
      <c r="BZ112" s="56" t="s">
        <v>117</v>
      </c>
      <c r="CA112" s="56" t="s">
        <v>117</v>
      </c>
      <c r="CB112" s="56" t="s">
        <v>117</v>
      </c>
      <c r="CC112" s="56" t="s">
        <v>117</v>
      </c>
      <c r="CD112" s="56" t="s">
        <v>117</v>
      </c>
      <c r="CE112" s="56" t="s">
        <v>117</v>
      </c>
      <c r="CF112" s="56">
        <v>17.33071</v>
      </c>
      <c r="CG112" s="56">
        <v>80.729950000000002</v>
      </c>
      <c r="CH112" s="56">
        <v>231.57</v>
      </c>
      <c r="CI112" s="56">
        <v>329.63065999999998</v>
      </c>
      <c r="CJ112" s="56" t="s">
        <v>117</v>
      </c>
      <c r="CK112" s="56">
        <v>7.0807599999999997</v>
      </c>
      <c r="CL112" s="56" t="s">
        <v>117</v>
      </c>
      <c r="CM112" s="56">
        <v>11.6412</v>
      </c>
      <c r="CN112" s="56">
        <v>18.721959999999999</v>
      </c>
      <c r="CO112" s="56" t="s">
        <v>117</v>
      </c>
      <c r="CP112" s="56">
        <v>259.60332</v>
      </c>
      <c r="CQ112" s="56" t="s">
        <v>117</v>
      </c>
      <c r="CR112" s="56" t="s">
        <v>117</v>
      </c>
      <c r="CS112" s="56">
        <v>259.60332</v>
      </c>
      <c r="CT112" s="66" t="s">
        <v>86</v>
      </c>
      <c r="CU112" s="60" t="s">
        <v>219</v>
      </c>
    </row>
    <row r="113" spans="1:99" s="9" customFormat="1" ht="78.75">
      <c r="A113" s="65" t="s">
        <v>111</v>
      </c>
      <c r="B113" s="59" t="s">
        <v>252</v>
      </c>
      <c r="C113" s="72">
        <v>1256.9000000000001</v>
      </c>
      <c r="D113" s="72">
        <v>1430.3</v>
      </c>
      <c r="E113" s="72">
        <v>3033.4</v>
      </c>
      <c r="F113" s="72">
        <v>2346.6</v>
      </c>
      <c r="G113" s="75">
        <f t="shared" si="8"/>
        <v>8067.2000000000007</v>
      </c>
      <c r="H113" s="72">
        <v>1592.1</v>
      </c>
      <c r="I113" s="72">
        <v>1772.2</v>
      </c>
      <c r="J113" s="72">
        <v>3184.7</v>
      </c>
      <c r="K113" s="72">
        <v>5949.1</v>
      </c>
      <c r="L113" s="75">
        <f t="shared" si="11"/>
        <v>12498.1</v>
      </c>
      <c r="M113" s="72">
        <v>3042.7</v>
      </c>
      <c r="N113" s="72">
        <v>6342.6</v>
      </c>
      <c r="O113" s="72">
        <v>6457.2</v>
      </c>
      <c r="P113" s="72">
        <v>7585.2</v>
      </c>
      <c r="Q113" s="75">
        <f t="shared" si="12"/>
        <v>23427.7</v>
      </c>
      <c r="R113" s="72">
        <v>6071.4</v>
      </c>
      <c r="S113" s="72">
        <v>8610.9</v>
      </c>
      <c r="T113" s="72">
        <v>7181</v>
      </c>
      <c r="U113" s="72">
        <v>7018.9</v>
      </c>
      <c r="V113" s="75">
        <f t="shared" si="9"/>
        <v>28882.199999999997</v>
      </c>
      <c r="W113" s="72">
        <v>4117.8999999999996</v>
      </c>
      <c r="X113" s="72">
        <v>2338.5</v>
      </c>
      <c r="Y113" s="72">
        <v>1868.2</v>
      </c>
      <c r="Z113" s="72">
        <v>2628</v>
      </c>
      <c r="AA113" s="75">
        <f t="shared" ref="AA113:AA121" si="14">SUM(W113:Z113)</f>
        <v>10952.6</v>
      </c>
      <c r="AB113" s="72">
        <v>1368.4</v>
      </c>
      <c r="AC113" s="72">
        <v>3446.5</v>
      </c>
      <c r="AD113" s="72">
        <v>3130.1</v>
      </c>
      <c r="AE113" s="72">
        <v>4922.2</v>
      </c>
      <c r="AF113" s="72">
        <v>12867.2</v>
      </c>
      <c r="AG113" s="76">
        <v>2637.6</v>
      </c>
      <c r="AH113" s="76">
        <v>5385</v>
      </c>
      <c r="AI113" s="76">
        <v>5327.7</v>
      </c>
      <c r="AJ113" s="76">
        <v>9690.4</v>
      </c>
      <c r="AK113" s="75">
        <f t="shared" si="10"/>
        <v>23040.699999999997</v>
      </c>
      <c r="AL113" s="75">
        <v>8210.2000000000007</v>
      </c>
      <c r="AM113" s="75">
        <v>9563.2000000000007</v>
      </c>
      <c r="AN113" s="75">
        <v>7394.7</v>
      </c>
      <c r="AO113" s="75">
        <v>7990.3</v>
      </c>
      <c r="AP113" s="75">
        <v>33158.400000000001</v>
      </c>
      <c r="AQ113" s="75">
        <v>4232.5</v>
      </c>
      <c r="AR113" s="75">
        <v>9530</v>
      </c>
      <c r="AS113" s="75">
        <v>14103.2</v>
      </c>
      <c r="AT113" s="75">
        <v>13324.4</v>
      </c>
      <c r="AU113" s="75">
        <v>41190.1</v>
      </c>
      <c r="AV113" s="76">
        <v>9548.9</v>
      </c>
      <c r="AW113" s="76">
        <v>8431.4</v>
      </c>
      <c r="AX113" s="76">
        <v>6856.6</v>
      </c>
      <c r="AY113" s="78">
        <v>11172.3</v>
      </c>
      <c r="AZ113" s="76">
        <v>36009.199999999997</v>
      </c>
      <c r="BA113" s="76">
        <v>6982</v>
      </c>
      <c r="BB113" s="76">
        <v>8025.1</v>
      </c>
      <c r="BC113" s="76">
        <v>6328.8</v>
      </c>
      <c r="BD113" s="79">
        <v>6942.9</v>
      </c>
      <c r="BE113" s="76">
        <v>28278.799999999999</v>
      </c>
      <c r="BF113" s="76">
        <v>7235.0774700000002</v>
      </c>
      <c r="BG113" s="70">
        <v>6751.0274499999996</v>
      </c>
      <c r="BH113" s="89">
        <v>7040.4914799999997</v>
      </c>
      <c r="BI113" s="55">
        <v>7850.4440199999999</v>
      </c>
      <c r="BJ113" s="55">
        <v>28877.040420000001</v>
      </c>
      <c r="BK113" s="55">
        <f>IF(6785.78656="","-",6785.78656)</f>
        <v>6785.7865599999996</v>
      </c>
      <c r="BL113" s="55">
        <f>IF(7914.83157="","-",7914.83157)</f>
        <v>7914.8315700000003</v>
      </c>
      <c r="BM113" s="55">
        <f>IF(7510.30637="","-",7510.30637)</f>
        <v>7510.3063700000002</v>
      </c>
      <c r="BN113" s="55">
        <f>IF(8622.74232="","-",8622.74232)</f>
        <v>8622.7423199999994</v>
      </c>
      <c r="BO113" s="55">
        <f>IF(30833.66682="","-",30833.66682)</f>
        <v>30833.666819999999</v>
      </c>
      <c r="BP113" s="55">
        <v>7257.8015400000004</v>
      </c>
      <c r="BQ113" s="45">
        <v>9668.8946300000007</v>
      </c>
      <c r="BR113" s="45">
        <v>5971.6931999999997</v>
      </c>
      <c r="BS113" s="55">
        <v>8149.5489500000003</v>
      </c>
      <c r="BT113" s="55">
        <v>31047.938320000001</v>
      </c>
      <c r="BU113" s="55">
        <v>6232.4874499999996</v>
      </c>
      <c r="BV113" s="55">
        <v>8333.1718299999993</v>
      </c>
      <c r="BW113" s="55">
        <v>11463.830809999999</v>
      </c>
      <c r="BX113" s="55">
        <v>11046.91618</v>
      </c>
      <c r="BY113" s="55">
        <v>37076.406269999999</v>
      </c>
      <c r="BZ113" s="55">
        <v>6054.5755200000003</v>
      </c>
      <c r="CA113" s="55">
        <v>5610.4615700000004</v>
      </c>
      <c r="CB113" s="55">
        <v>7674.5722400000004</v>
      </c>
      <c r="CC113" s="55">
        <v>10715.572330000001</v>
      </c>
      <c r="CD113" s="55">
        <v>30055.181659999998</v>
      </c>
      <c r="CE113" s="55">
        <v>7660.3674300000002</v>
      </c>
      <c r="CF113" s="55">
        <v>7810.2410200000004</v>
      </c>
      <c r="CG113" s="55">
        <v>6761.8904599999996</v>
      </c>
      <c r="CH113" s="55">
        <v>8772.43858</v>
      </c>
      <c r="CI113" s="55">
        <v>31004.93749</v>
      </c>
      <c r="CJ113" s="55">
        <v>5704.2214700000004</v>
      </c>
      <c r="CK113" s="55">
        <v>8804.1643100000001</v>
      </c>
      <c r="CL113" s="55">
        <v>8803.6448899999996</v>
      </c>
      <c r="CM113" s="55">
        <v>11388.18655</v>
      </c>
      <c r="CN113" s="55">
        <v>34700.217219999999</v>
      </c>
      <c r="CO113" s="55">
        <v>8238.2692000000006</v>
      </c>
      <c r="CP113" s="55">
        <v>11308.18341</v>
      </c>
      <c r="CQ113" s="55">
        <v>11422.621300000001</v>
      </c>
      <c r="CR113" s="55">
        <v>13428.93296</v>
      </c>
      <c r="CS113" s="55">
        <v>44398.006869999997</v>
      </c>
      <c r="CT113" s="65" t="s">
        <v>111</v>
      </c>
      <c r="CU113" s="59" t="s">
        <v>252</v>
      </c>
    </row>
    <row r="114" spans="1:99" s="9" customFormat="1" ht="51" customHeight="1">
      <c r="A114" s="66" t="s">
        <v>87</v>
      </c>
      <c r="B114" s="60" t="s">
        <v>253</v>
      </c>
      <c r="C114" s="81">
        <v>1249</v>
      </c>
      <c r="D114" s="81">
        <v>1281.9000000000001</v>
      </c>
      <c r="E114" s="81">
        <v>3027.2</v>
      </c>
      <c r="F114" s="81">
        <v>2322.6</v>
      </c>
      <c r="G114" s="82">
        <f t="shared" si="8"/>
        <v>7880.7000000000007</v>
      </c>
      <c r="H114" s="81">
        <v>1564.2</v>
      </c>
      <c r="I114" s="81">
        <v>1763.4</v>
      </c>
      <c r="J114" s="81">
        <v>3156.9</v>
      </c>
      <c r="K114" s="81">
        <v>5899.8</v>
      </c>
      <c r="L114" s="82">
        <f t="shared" si="11"/>
        <v>12384.3</v>
      </c>
      <c r="M114" s="81">
        <v>3008.4</v>
      </c>
      <c r="N114" s="81">
        <v>6286.3</v>
      </c>
      <c r="O114" s="81">
        <v>6431.2</v>
      </c>
      <c r="P114" s="81">
        <v>7483</v>
      </c>
      <c r="Q114" s="82">
        <f t="shared" si="12"/>
        <v>23208.9</v>
      </c>
      <c r="R114" s="81">
        <v>5983.7</v>
      </c>
      <c r="S114" s="81">
        <v>8480</v>
      </c>
      <c r="T114" s="81">
        <v>7075.9</v>
      </c>
      <c r="U114" s="81">
        <v>6912.9</v>
      </c>
      <c r="V114" s="83">
        <f t="shared" si="9"/>
        <v>28452.5</v>
      </c>
      <c r="W114" s="81">
        <v>4060.3</v>
      </c>
      <c r="X114" s="81">
        <v>2302.6999999999998</v>
      </c>
      <c r="Y114" s="81">
        <v>1829.4</v>
      </c>
      <c r="Z114" s="81">
        <v>2594.6</v>
      </c>
      <c r="AA114" s="83">
        <f t="shared" si="14"/>
        <v>10787</v>
      </c>
      <c r="AB114" s="81">
        <v>1291.8</v>
      </c>
      <c r="AC114" s="81">
        <v>3399.4</v>
      </c>
      <c r="AD114" s="81">
        <v>3099.9</v>
      </c>
      <c r="AE114" s="81">
        <v>4641.5</v>
      </c>
      <c r="AF114" s="81">
        <v>12432.6</v>
      </c>
      <c r="AG114" s="84">
        <v>2571.5</v>
      </c>
      <c r="AH114" s="84">
        <v>5310.2</v>
      </c>
      <c r="AI114" s="84">
        <v>5267.2</v>
      </c>
      <c r="AJ114" s="84">
        <v>9654</v>
      </c>
      <c r="AK114" s="83">
        <f t="shared" si="10"/>
        <v>22802.9</v>
      </c>
      <c r="AL114" s="83">
        <v>8190.8</v>
      </c>
      <c r="AM114" s="83">
        <v>9526.1</v>
      </c>
      <c r="AN114" s="83">
        <v>7365.9</v>
      </c>
      <c r="AO114" s="83">
        <v>7604.8</v>
      </c>
      <c r="AP114" s="83">
        <v>32687.599999999999</v>
      </c>
      <c r="AQ114" s="83">
        <v>3890.8</v>
      </c>
      <c r="AR114" s="83">
        <v>9427.5</v>
      </c>
      <c r="AS114" s="83">
        <v>13959.9</v>
      </c>
      <c r="AT114" s="83">
        <v>12767.7</v>
      </c>
      <c r="AU114" s="83">
        <v>40045.9</v>
      </c>
      <c r="AV114" s="84">
        <v>9364.7999999999993</v>
      </c>
      <c r="AW114" s="84">
        <v>8124.8</v>
      </c>
      <c r="AX114" s="84">
        <v>6645.6</v>
      </c>
      <c r="AY114" s="85">
        <v>10846.9</v>
      </c>
      <c r="AZ114" s="84">
        <v>34982.1</v>
      </c>
      <c r="BA114" s="84">
        <v>6843.4</v>
      </c>
      <c r="BB114" s="84">
        <v>7806.4</v>
      </c>
      <c r="BC114" s="84">
        <v>5929.5</v>
      </c>
      <c r="BD114" s="86">
        <v>6520.3</v>
      </c>
      <c r="BE114" s="84">
        <v>27099.599999999999</v>
      </c>
      <c r="BF114" s="84">
        <v>7099.2551899999999</v>
      </c>
      <c r="BG114" s="87">
        <v>6431.4155099999998</v>
      </c>
      <c r="BH114" s="88">
        <v>6612.9381999999996</v>
      </c>
      <c r="BI114" s="56">
        <v>7467.1614600000003</v>
      </c>
      <c r="BJ114" s="56">
        <v>27610.770359999999</v>
      </c>
      <c r="BK114" s="56">
        <f>IF(6336.24854="","-",6336.24854)</f>
        <v>6336.2485399999996</v>
      </c>
      <c r="BL114" s="56">
        <f>IF(7616.56028="","-",7616.56028)</f>
        <v>7616.5602799999997</v>
      </c>
      <c r="BM114" s="56">
        <f>IF(6881.23706="","-",6881.23706)</f>
        <v>6881.2370600000004</v>
      </c>
      <c r="BN114" s="56">
        <f>IF(7930.74559="","-",7930.74559)</f>
        <v>7930.7455900000004</v>
      </c>
      <c r="BO114" s="56">
        <f>IF(28764.79147="","-",28764.79147)</f>
        <v>28764.79147</v>
      </c>
      <c r="BP114" s="56">
        <v>6513.5156100000004</v>
      </c>
      <c r="BQ114" s="46">
        <v>9079.9744699999992</v>
      </c>
      <c r="BR114" s="46">
        <v>5262.7004399999996</v>
      </c>
      <c r="BS114" s="56">
        <v>7232.4586300000001</v>
      </c>
      <c r="BT114" s="56">
        <v>28088.649150000001</v>
      </c>
      <c r="BU114" s="56">
        <v>5375.3807999999999</v>
      </c>
      <c r="BV114" s="56">
        <v>7477.4381800000001</v>
      </c>
      <c r="BW114" s="56">
        <v>10404.13609</v>
      </c>
      <c r="BX114" s="56">
        <v>9721.4277999999995</v>
      </c>
      <c r="BY114" s="56">
        <v>32978.382870000001</v>
      </c>
      <c r="BZ114" s="56">
        <v>5450.7532199999996</v>
      </c>
      <c r="CA114" s="56">
        <v>5028.0313100000003</v>
      </c>
      <c r="CB114" s="56">
        <v>7056.1805800000002</v>
      </c>
      <c r="CC114" s="56">
        <v>9943.6438500000004</v>
      </c>
      <c r="CD114" s="56">
        <v>27478.608960000001</v>
      </c>
      <c r="CE114" s="56">
        <v>6836.9737299999997</v>
      </c>
      <c r="CF114" s="56">
        <v>7042.5661700000001</v>
      </c>
      <c r="CG114" s="56">
        <v>5597.7420899999997</v>
      </c>
      <c r="CH114" s="56">
        <v>7641.5102800000004</v>
      </c>
      <c r="CI114" s="56">
        <v>27118.792270000002</v>
      </c>
      <c r="CJ114" s="56">
        <v>4781.1955399999997</v>
      </c>
      <c r="CK114" s="56">
        <v>7702.3242</v>
      </c>
      <c r="CL114" s="56">
        <v>7259.3060999999998</v>
      </c>
      <c r="CM114" s="56">
        <v>9047.22775</v>
      </c>
      <c r="CN114" s="56">
        <v>28790.05359</v>
      </c>
      <c r="CO114" s="56">
        <v>6825.0239000000001</v>
      </c>
      <c r="CP114" s="56">
        <v>8661.7953500000003</v>
      </c>
      <c r="CQ114" s="56">
        <v>10076.64503</v>
      </c>
      <c r="CR114" s="56">
        <v>11329.85073</v>
      </c>
      <c r="CS114" s="56">
        <v>36893.315009999998</v>
      </c>
      <c r="CT114" s="66" t="s">
        <v>87</v>
      </c>
      <c r="CU114" s="60" t="s">
        <v>253</v>
      </c>
    </row>
    <row r="115" spans="1:99" s="9" customFormat="1" ht="15.75">
      <c r="A115" s="66" t="s">
        <v>88</v>
      </c>
      <c r="B115" s="60" t="s">
        <v>220</v>
      </c>
      <c r="C115" s="81">
        <v>7.9</v>
      </c>
      <c r="D115" s="81">
        <v>148.4</v>
      </c>
      <c r="E115" s="81">
        <v>6.2</v>
      </c>
      <c r="F115" s="81">
        <v>24</v>
      </c>
      <c r="G115" s="82">
        <f t="shared" si="8"/>
        <v>186.5</v>
      </c>
      <c r="H115" s="81">
        <v>27.9</v>
      </c>
      <c r="I115" s="81">
        <v>8.8000000000000007</v>
      </c>
      <c r="J115" s="81">
        <v>27.8</v>
      </c>
      <c r="K115" s="81">
        <v>49.3</v>
      </c>
      <c r="L115" s="82">
        <f t="shared" si="11"/>
        <v>113.8</v>
      </c>
      <c r="M115" s="81">
        <v>34.299999999999997</v>
      </c>
      <c r="N115" s="81">
        <v>56.3</v>
      </c>
      <c r="O115" s="81">
        <v>25</v>
      </c>
      <c r="P115" s="81">
        <v>102.2</v>
      </c>
      <c r="Q115" s="82">
        <f t="shared" si="12"/>
        <v>217.8</v>
      </c>
      <c r="R115" s="81">
        <v>72.400000000000006</v>
      </c>
      <c r="S115" s="81">
        <v>130.9</v>
      </c>
      <c r="T115" s="81">
        <v>105.1</v>
      </c>
      <c r="U115" s="81">
        <v>106</v>
      </c>
      <c r="V115" s="83">
        <f t="shared" si="9"/>
        <v>414.4</v>
      </c>
      <c r="W115" s="81">
        <v>57.6</v>
      </c>
      <c r="X115" s="81">
        <v>35.6</v>
      </c>
      <c r="Y115" s="81">
        <v>36.6</v>
      </c>
      <c r="Z115" s="81">
        <v>33.4</v>
      </c>
      <c r="AA115" s="83">
        <f t="shared" si="14"/>
        <v>163.20000000000002</v>
      </c>
      <c r="AB115" s="81">
        <v>76.599999999999994</v>
      </c>
      <c r="AC115" s="81">
        <v>47.1</v>
      </c>
      <c r="AD115" s="81">
        <v>30.2</v>
      </c>
      <c r="AE115" s="81">
        <v>280.7</v>
      </c>
      <c r="AF115" s="81">
        <v>434.6</v>
      </c>
      <c r="AG115" s="84">
        <v>66.099999999999994</v>
      </c>
      <c r="AH115" s="84">
        <v>74.8</v>
      </c>
      <c r="AI115" s="84">
        <v>60.5</v>
      </c>
      <c r="AJ115" s="84">
        <v>36.4</v>
      </c>
      <c r="AK115" s="83">
        <f t="shared" si="10"/>
        <v>237.79999999999998</v>
      </c>
      <c r="AL115" s="83">
        <v>19.399999999999999</v>
      </c>
      <c r="AM115" s="83">
        <v>37.1</v>
      </c>
      <c r="AN115" s="83">
        <v>28.1</v>
      </c>
      <c r="AO115" s="83">
        <v>367.9</v>
      </c>
      <c r="AP115" s="83">
        <v>452.5</v>
      </c>
      <c r="AQ115" s="83">
        <v>341.7</v>
      </c>
      <c r="AR115" s="83">
        <v>102.5</v>
      </c>
      <c r="AS115" s="83">
        <v>143.30000000000001</v>
      </c>
      <c r="AT115" s="83">
        <v>556.70000000000005</v>
      </c>
      <c r="AU115" s="83">
        <v>1144.2</v>
      </c>
      <c r="AV115" s="84">
        <v>184.1</v>
      </c>
      <c r="AW115" s="84">
        <v>306.60000000000002</v>
      </c>
      <c r="AX115" s="84">
        <v>178.7</v>
      </c>
      <c r="AY115" s="85">
        <v>306.5</v>
      </c>
      <c r="AZ115" s="84">
        <v>975.9</v>
      </c>
      <c r="BA115" s="84">
        <v>138.6</v>
      </c>
      <c r="BB115" s="84">
        <v>217.9</v>
      </c>
      <c r="BC115" s="84">
        <v>399.3</v>
      </c>
      <c r="BD115" s="86">
        <v>422.6</v>
      </c>
      <c r="BE115" s="84">
        <v>1178.4000000000001</v>
      </c>
      <c r="BF115" s="84">
        <v>127.92895</v>
      </c>
      <c r="BG115" s="90">
        <v>287.10516999999999</v>
      </c>
      <c r="BH115" s="88">
        <v>394.09287</v>
      </c>
      <c r="BI115" s="56">
        <v>323.84237999999999</v>
      </c>
      <c r="BJ115" s="56">
        <v>1132.96937</v>
      </c>
      <c r="BK115" s="56">
        <f>IF(403.75279="","-",403.75279)</f>
        <v>403.75279</v>
      </c>
      <c r="BL115" s="56">
        <f>IF(275.43846="","-",275.43846)</f>
        <v>275.43846000000002</v>
      </c>
      <c r="BM115" s="56">
        <f>IF(606.58536="","-",606.58536)</f>
        <v>606.58536000000004</v>
      </c>
      <c r="BN115" s="56">
        <f>IF(691.99673="","-",691.99673)</f>
        <v>691.99672999999996</v>
      </c>
      <c r="BO115" s="56">
        <f>IF(1977.77334="","-",1977.77334)</f>
        <v>1977.77334</v>
      </c>
      <c r="BP115" s="56">
        <v>744.17358999999999</v>
      </c>
      <c r="BQ115" s="46">
        <v>588.51233999999999</v>
      </c>
      <c r="BR115" s="46">
        <v>680.18412999999998</v>
      </c>
      <c r="BS115" s="56">
        <v>842.27281000000005</v>
      </c>
      <c r="BT115" s="56">
        <v>2855.1428700000001</v>
      </c>
      <c r="BU115" s="56">
        <v>794.42033000000004</v>
      </c>
      <c r="BV115" s="56">
        <v>790.98474999999996</v>
      </c>
      <c r="BW115" s="56">
        <v>962.38606000000004</v>
      </c>
      <c r="BX115" s="56">
        <v>1295.4378300000001</v>
      </c>
      <c r="BY115" s="56">
        <v>3843.2289700000001</v>
      </c>
      <c r="BZ115" s="56">
        <v>496.70429000000001</v>
      </c>
      <c r="CA115" s="56">
        <v>560.59488999999996</v>
      </c>
      <c r="CB115" s="56">
        <v>554.81474000000003</v>
      </c>
      <c r="CC115" s="56">
        <v>642.26868000000002</v>
      </c>
      <c r="CD115" s="56">
        <v>2254.3825999999999</v>
      </c>
      <c r="CE115" s="56">
        <v>749.09974</v>
      </c>
      <c r="CF115" s="56">
        <v>682.85337000000004</v>
      </c>
      <c r="CG115" s="56">
        <v>1077.52955</v>
      </c>
      <c r="CH115" s="56">
        <v>1057.9128800000001</v>
      </c>
      <c r="CI115" s="56">
        <v>3567.39554</v>
      </c>
      <c r="CJ115" s="56">
        <v>838.54174999999998</v>
      </c>
      <c r="CK115" s="56">
        <v>1032.29925</v>
      </c>
      <c r="CL115" s="56">
        <v>1406.1053400000001</v>
      </c>
      <c r="CM115" s="56">
        <v>2244.3077400000002</v>
      </c>
      <c r="CN115" s="56">
        <v>5521.2540799999997</v>
      </c>
      <c r="CO115" s="56">
        <v>1303.6297500000001</v>
      </c>
      <c r="CP115" s="56">
        <v>2507.8684600000001</v>
      </c>
      <c r="CQ115" s="56">
        <v>1247.3171199999999</v>
      </c>
      <c r="CR115" s="56">
        <v>1941.62222</v>
      </c>
      <c r="CS115" s="56">
        <v>7000.4375499999996</v>
      </c>
      <c r="CT115" s="66" t="s">
        <v>88</v>
      </c>
      <c r="CU115" s="60" t="s">
        <v>220</v>
      </c>
    </row>
    <row r="116" spans="1:99" s="9" customFormat="1" ht="15.75">
      <c r="A116" s="66" t="s">
        <v>89</v>
      </c>
      <c r="B116" s="60" t="s">
        <v>221</v>
      </c>
      <c r="C116" s="82" t="s">
        <v>115</v>
      </c>
      <c r="D116" s="82" t="s">
        <v>115</v>
      </c>
      <c r="E116" s="82" t="s">
        <v>115</v>
      </c>
      <c r="F116" s="82" t="s">
        <v>115</v>
      </c>
      <c r="G116" s="82" t="s">
        <v>115</v>
      </c>
      <c r="H116" s="82" t="s">
        <v>115</v>
      </c>
      <c r="I116" s="82" t="s">
        <v>115</v>
      </c>
      <c r="J116" s="82" t="s">
        <v>115</v>
      </c>
      <c r="K116" s="82" t="s">
        <v>115</v>
      </c>
      <c r="L116" s="82" t="s">
        <v>115</v>
      </c>
      <c r="M116" s="81" t="s">
        <v>117</v>
      </c>
      <c r="N116" s="81" t="s">
        <v>117</v>
      </c>
      <c r="O116" s="81">
        <v>1</v>
      </c>
      <c r="P116" s="81" t="s">
        <v>117</v>
      </c>
      <c r="Q116" s="82">
        <f t="shared" si="12"/>
        <v>1</v>
      </c>
      <c r="R116" s="81">
        <v>15.3</v>
      </c>
      <c r="S116" s="81" t="s">
        <v>117</v>
      </c>
      <c r="T116" s="81" t="s">
        <v>117</v>
      </c>
      <c r="U116" s="81" t="s">
        <v>117</v>
      </c>
      <c r="V116" s="83">
        <f t="shared" si="9"/>
        <v>15.3</v>
      </c>
      <c r="W116" s="81" t="s">
        <v>117</v>
      </c>
      <c r="X116" s="81">
        <v>0.2</v>
      </c>
      <c r="Y116" s="81">
        <v>2.2000000000000002</v>
      </c>
      <c r="Z116" s="81" t="s">
        <v>117</v>
      </c>
      <c r="AA116" s="83">
        <f t="shared" si="14"/>
        <v>2.4000000000000004</v>
      </c>
      <c r="AB116" s="81" t="s">
        <v>117</v>
      </c>
      <c r="AC116" s="81" t="s">
        <v>117</v>
      </c>
      <c r="AD116" s="81" t="s">
        <v>117</v>
      </c>
      <c r="AE116" s="81" t="s">
        <v>117</v>
      </c>
      <c r="AF116" s="81" t="s">
        <v>117</v>
      </c>
      <c r="AG116" s="84" t="s">
        <v>117</v>
      </c>
      <c r="AH116" s="84" t="s">
        <v>117</v>
      </c>
      <c r="AI116" s="84" t="s">
        <v>117</v>
      </c>
      <c r="AJ116" s="84" t="s">
        <v>117</v>
      </c>
      <c r="AK116" s="81" t="s">
        <v>117</v>
      </c>
      <c r="AL116" s="92" t="s">
        <v>117</v>
      </c>
      <c r="AM116" s="83" t="s">
        <v>117</v>
      </c>
      <c r="AN116" s="83">
        <v>0.7</v>
      </c>
      <c r="AO116" s="83">
        <v>17.600000000000001</v>
      </c>
      <c r="AP116" s="83">
        <v>18.3</v>
      </c>
      <c r="AQ116" s="84" t="s">
        <v>117</v>
      </c>
      <c r="AR116" s="83" t="s">
        <v>117</v>
      </c>
      <c r="AS116" s="83" t="s">
        <v>117</v>
      </c>
      <c r="AT116" s="84" t="s">
        <v>117</v>
      </c>
      <c r="AU116" s="84" t="s">
        <v>117</v>
      </c>
      <c r="AV116" s="84" t="s">
        <v>117</v>
      </c>
      <c r="AW116" s="84" t="s">
        <v>117</v>
      </c>
      <c r="AX116" s="84">
        <v>32.299999999999997</v>
      </c>
      <c r="AY116" s="85">
        <v>18.899999999999999</v>
      </c>
      <c r="AZ116" s="84">
        <v>51.2</v>
      </c>
      <c r="BA116" s="84" t="s">
        <v>117</v>
      </c>
      <c r="BB116" s="84">
        <v>0.8</v>
      </c>
      <c r="BC116" s="84" t="s">
        <v>117</v>
      </c>
      <c r="BD116" s="84" t="s">
        <v>117</v>
      </c>
      <c r="BE116" s="84">
        <v>0.8</v>
      </c>
      <c r="BF116" s="84">
        <v>7.8933299999999997</v>
      </c>
      <c r="BG116" s="87">
        <v>32.506770000000003</v>
      </c>
      <c r="BH116" s="88">
        <v>33.460410000000003</v>
      </c>
      <c r="BI116" s="56">
        <v>59.440179999999998</v>
      </c>
      <c r="BJ116" s="56">
        <v>133.30069</v>
      </c>
      <c r="BK116" s="56">
        <f>IF(45.78523="","-",45.78523)</f>
        <v>45.785229999999999</v>
      </c>
      <c r="BL116" s="56">
        <f>IF(22.83283="","-",22.83283)</f>
        <v>22.832830000000001</v>
      </c>
      <c r="BM116" s="56">
        <f>IF(22.48395="","-",22.48395)</f>
        <v>22.48395</v>
      </c>
      <c r="BN116" s="56" t="str">
        <f>IF(""="","-","")</f>
        <v>-</v>
      </c>
      <c r="BO116" s="56">
        <f>IF(91.10201="","-",91.10201)</f>
        <v>91.102010000000007</v>
      </c>
      <c r="BP116" s="56">
        <v>0.11234</v>
      </c>
      <c r="BQ116" s="46">
        <v>0.40782000000000002</v>
      </c>
      <c r="BR116" s="46">
        <v>28.808630000000001</v>
      </c>
      <c r="BS116" s="56">
        <v>74.817509999999999</v>
      </c>
      <c r="BT116" s="56">
        <v>104.1463</v>
      </c>
      <c r="BU116" s="56">
        <v>62.686320000000002</v>
      </c>
      <c r="BV116" s="56">
        <v>64.748900000000006</v>
      </c>
      <c r="BW116" s="56">
        <v>97.308660000000003</v>
      </c>
      <c r="BX116" s="56">
        <v>30.050550000000001</v>
      </c>
      <c r="BY116" s="56">
        <v>254.79443000000001</v>
      </c>
      <c r="BZ116" s="56">
        <v>107.11801</v>
      </c>
      <c r="CA116" s="56">
        <v>21.835370000000001</v>
      </c>
      <c r="CB116" s="56">
        <v>63.576920000000001</v>
      </c>
      <c r="CC116" s="56">
        <v>129.65979999999999</v>
      </c>
      <c r="CD116" s="56">
        <v>322.19009999999997</v>
      </c>
      <c r="CE116" s="56">
        <v>74.293959999999998</v>
      </c>
      <c r="CF116" s="56">
        <v>84.821479999999994</v>
      </c>
      <c r="CG116" s="56">
        <v>86.618819999999999</v>
      </c>
      <c r="CH116" s="56">
        <v>73.015420000000006</v>
      </c>
      <c r="CI116" s="56">
        <v>318.74968000000001</v>
      </c>
      <c r="CJ116" s="56">
        <v>84.484179999999995</v>
      </c>
      <c r="CK116" s="56">
        <v>69.540859999999995</v>
      </c>
      <c r="CL116" s="56">
        <v>138.23345</v>
      </c>
      <c r="CM116" s="56">
        <v>96.651060000000001</v>
      </c>
      <c r="CN116" s="56">
        <v>388.90955000000002</v>
      </c>
      <c r="CO116" s="56">
        <v>109.61555</v>
      </c>
      <c r="CP116" s="56">
        <v>138.5196</v>
      </c>
      <c r="CQ116" s="56">
        <v>98.659149999999997</v>
      </c>
      <c r="CR116" s="56">
        <v>157.46001000000001</v>
      </c>
      <c r="CS116" s="56">
        <v>504.25430999999998</v>
      </c>
      <c r="CT116" s="66" t="s">
        <v>89</v>
      </c>
      <c r="CU116" s="60" t="s">
        <v>221</v>
      </c>
    </row>
    <row r="117" spans="1:99" s="9" customFormat="1" ht="15.75">
      <c r="A117" s="65" t="s">
        <v>112</v>
      </c>
      <c r="B117" s="59" t="s">
        <v>222</v>
      </c>
      <c r="C117" s="72">
        <v>3281.7</v>
      </c>
      <c r="D117" s="72">
        <v>3070</v>
      </c>
      <c r="E117" s="72">
        <v>3480.2</v>
      </c>
      <c r="F117" s="72">
        <v>7527.1</v>
      </c>
      <c r="G117" s="75">
        <f t="shared" ref="G117:G121" si="15">SUM(C117:F117)</f>
        <v>17359</v>
      </c>
      <c r="H117" s="72">
        <v>4787.6000000000004</v>
      </c>
      <c r="I117" s="72">
        <v>5735</v>
      </c>
      <c r="J117" s="72">
        <v>7038.3</v>
      </c>
      <c r="K117" s="72">
        <v>10042.4</v>
      </c>
      <c r="L117" s="75">
        <f t="shared" si="11"/>
        <v>27603.300000000003</v>
      </c>
      <c r="M117" s="72">
        <v>9145.1</v>
      </c>
      <c r="N117" s="72">
        <v>9643.2999999999993</v>
      </c>
      <c r="O117" s="72">
        <v>10324.4</v>
      </c>
      <c r="P117" s="72">
        <v>15670.4</v>
      </c>
      <c r="Q117" s="75">
        <f t="shared" si="12"/>
        <v>44783.200000000004</v>
      </c>
      <c r="R117" s="72">
        <v>13098.3</v>
      </c>
      <c r="S117" s="72">
        <v>14985.5</v>
      </c>
      <c r="T117" s="72">
        <v>15029.4</v>
      </c>
      <c r="U117" s="72">
        <v>16725.599999999999</v>
      </c>
      <c r="V117" s="75">
        <f t="shared" si="9"/>
        <v>59838.799999999996</v>
      </c>
      <c r="W117" s="72">
        <v>7700.1</v>
      </c>
      <c r="X117" s="72">
        <v>7830.9</v>
      </c>
      <c r="Y117" s="72">
        <v>10145.4</v>
      </c>
      <c r="Z117" s="72">
        <v>13108.6</v>
      </c>
      <c r="AA117" s="75">
        <f t="shared" si="14"/>
        <v>38785</v>
      </c>
      <c r="AB117" s="72">
        <v>8702</v>
      </c>
      <c r="AC117" s="72">
        <v>11098.4</v>
      </c>
      <c r="AD117" s="72">
        <v>12325.4</v>
      </c>
      <c r="AE117" s="72">
        <v>19607.8</v>
      </c>
      <c r="AF117" s="72">
        <v>51733.599999999999</v>
      </c>
      <c r="AG117" s="76">
        <v>17948.5</v>
      </c>
      <c r="AH117" s="76">
        <v>24968</v>
      </c>
      <c r="AI117" s="76">
        <v>25571.1</v>
      </c>
      <c r="AJ117" s="76">
        <v>29342.6</v>
      </c>
      <c r="AK117" s="75">
        <f t="shared" si="10"/>
        <v>97830.200000000012</v>
      </c>
      <c r="AL117" s="75">
        <v>25015.7</v>
      </c>
      <c r="AM117" s="75">
        <v>27200</v>
      </c>
      <c r="AN117" s="75">
        <v>27064.799999999999</v>
      </c>
      <c r="AO117" s="75">
        <v>28927.5</v>
      </c>
      <c r="AP117" s="75">
        <v>108208</v>
      </c>
      <c r="AQ117" s="75">
        <v>27812.2</v>
      </c>
      <c r="AR117" s="75">
        <v>28540.5</v>
      </c>
      <c r="AS117" s="75">
        <v>28205</v>
      </c>
      <c r="AT117" s="75">
        <v>34367</v>
      </c>
      <c r="AU117" s="75">
        <v>118924.7</v>
      </c>
      <c r="AV117" s="76">
        <v>29246.1</v>
      </c>
      <c r="AW117" s="70">
        <v>28726.9</v>
      </c>
      <c r="AX117" s="70">
        <v>28672.3</v>
      </c>
      <c r="AY117" s="78">
        <v>30468.6</v>
      </c>
      <c r="AZ117" s="76">
        <v>117113.9</v>
      </c>
      <c r="BA117" s="76">
        <v>25331</v>
      </c>
      <c r="BB117" s="70">
        <v>25014</v>
      </c>
      <c r="BC117" s="70">
        <v>26949.5</v>
      </c>
      <c r="BD117" s="79">
        <v>29993.5</v>
      </c>
      <c r="BE117" s="70">
        <v>107288</v>
      </c>
      <c r="BF117" s="70">
        <v>30548.977699999999</v>
      </c>
      <c r="BG117" s="80">
        <v>32031.153300000002</v>
      </c>
      <c r="BH117" s="89">
        <v>35811.431469999996</v>
      </c>
      <c r="BI117" s="55">
        <v>35487.279070000004</v>
      </c>
      <c r="BJ117" s="55">
        <v>133878.84153999999</v>
      </c>
      <c r="BK117" s="55">
        <f>IF(33850.65929="","-",33850.65929)</f>
        <v>33850.659290000003</v>
      </c>
      <c r="BL117" s="55">
        <v>36870.160000000003</v>
      </c>
      <c r="BM117" s="55">
        <v>39913.57</v>
      </c>
      <c r="BN117" s="55">
        <v>43945.63</v>
      </c>
      <c r="BO117" s="55">
        <v>154580.01</v>
      </c>
      <c r="BP117" s="55">
        <v>44141.806649999999</v>
      </c>
      <c r="BQ117" s="45">
        <v>45442.780160000002</v>
      </c>
      <c r="BR117" s="45">
        <v>44615.385699999999</v>
      </c>
      <c r="BS117" s="55">
        <v>45686.681689999998</v>
      </c>
      <c r="BT117" s="55">
        <v>179886.65420000002</v>
      </c>
      <c r="BU117" s="91">
        <v>42107.948090000005</v>
      </c>
      <c r="BV117" s="55">
        <v>42024.627919999999</v>
      </c>
      <c r="BW117" s="55">
        <v>43909.386330000001</v>
      </c>
      <c r="BX117" s="55">
        <v>42350.832070000004</v>
      </c>
      <c r="BY117" s="55">
        <v>170392.79441</v>
      </c>
      <c r="BZ117" s="91">
        <v>39922.610029999996</v>
      </c>
      <c r="CA117" s="91">
        <v>23322.190050000001</v>
      </c>
      <c r="CB117" s="91">
        <v>45558.679189999995</v>
      </c>
      <c r="CC117" s="91">
        <v>53307.293790000003</v>
      </c>
      <c r="CD117" s="91">
        <v>162110.77305999998</v>
      </c>
      <c r="CE117" s="91">
        <v>50935.727610000002</v>
      </c>
      <c r="CF117" s="91">
        <v>43891.620489999994</v>
      </c>
      <c r="CG117" s="91">
        <v>41490.104169999999</v>
      </c>
      <c r="CH117" s="91">
        <v>48854.825169999996</v>
      </c>
      <c r="CI117" s="91">
        <v>185172.27744000001</v>
      </c>
      <c r="CJ117" s="91">
        <v>46329.143360000002</v>
      </c>
      <c r="CK117" s="91">
        <v>44186.537649999998</v>
      </c>
      <c r="CL117" s="91">
        <v>41545.001980000001</v>
      </c>
      <c r="CM117" s="91">
        <v>43724.357199999999</v>
      </c>
      <c r="CN117" s="91">
        <v>175785.04019</v>
      </c>
      <c r="CO117" s="91">
        <v>46173.852220000001</v>
      </c>
      <c r="CP117" s="121">
        <v>41923.117830000003</v>
      </c>
      <c r="CQ117" s="121">
        <v>42883.248549999997</v>
      </c>
      <c r="CR117" s="121">
        <v>45265.797910000001</v>
      </c>
      <c r="CS117" s="121">
        <v>176246.01651000002</v>
      </c>
      <c r="CT117" s="65" t="s">
        <v>112</v>
      </c>
      <c r="CU117" s="59" t="s">
        <v>222</v>
      </c>
    </row>
    <row r="118" spans="1:99" s="9" customFormat="1" ht="116.25" customHeight="1">
      <c r="A118" s="66" t="s">
        <v>90</v>
      </c>
      <c r="B118" s="60" t="s">
        <v>254</v>
      </c>
      <c r="C118" s="81">
        <v>2416.6999999999998</v>
      </c>
      <c r="D118" s="81">
        <v>2575.5</v>
      </c>
      <c r="E118" s="81">
        <v>2829.2</v>
      </c>
      <c r="F118" s="81">
        <v>4789.8999999999996</v>
      </c>
      <c r="G118" s="82">
        <f t="shared" si="15"/>
        <v>12611.3</v>
      </c>
      <c r="H118" s="81">
        <v>3809.1</v>
      </c>
      <c r="I118" s="81">
        <v>4879.7</v>
      </c>
      <c r="J118" s="81">
        <v>5142.8999999999996</v>
      </c>
      <c r="K118" s="81">
        <v>7429.1</v>
      </c>
      <c r="L118" s="82">
        <f t="shared" si="11"/>
        <v>21260.799999999999</v>
      </c>
      <c r="M118" s="81">
        <v>7527.6</v>
      </c>
      <c r="N118" s="81">
        <v>7500</v>
      </c>
      <c r="O118" s="81">
        <v>7825.9</v>
      </c>
      <c r="P118" s="81">
        <v>12593.8</v>
      </c>
      <c r="Q118" s="82">
        <f t="shared" si="12"/>
        <v>35447.300000000003</v>
      </c>
      <c r="R118" s="81">
        <v>10722.2</v>
      </c>
      <c r="S118" s="81">
        <v>12380.4</v>
      </c>
      <c r="T118" s="81">
        <v>11653.8</v>
      </c>
      <c r="U118" s="81">
        <v>14012.8</v>
      </c>
      <c r="V118" s="83">
        <f t="shared" si="9"/>
        <v>48769.2</v>
      </c>
      <c r="W118" s="81">
        <v>6558.8</v>
      </c>
      <c r="X118" s="81">
        <v>5813.2</v>
      </c>
      <c r="Y118" s="81">
        <v>6586.9</v>
      </c>
      <c r="Z118" s="81">
        <v>9477.7999999999993</v>
      </c>
      <c r="AA118" s="83">
        <f t="shared" si="14"/>
        <v>28436.7</v>
      </c>
      <c r="AB118" s="81">
        <v>6230.5</v>
      </c>
      <c r="AC118" s="81">
        <v>8317.5</v>
      </c>
      <c r="AD118" s="81">
        <v>9563.6</v>
      </c>
      <c r="AE118" s="81">
        <v>16817</v>
      </c>
      <c r="AF118" s="81">
        <v>40928.6</v>
      </c>
      <c r="AG118" s="84">
        <v>16195.5</v>
      </c>
      <c r="AH118" s="84">
        <v>22583.7</v>
      </c>
      <c r="AI118" s="84">
        <v>22020.799999999999</v>
      </c>
      <c r="AJ118" s="84">
        <v>26835.599999999999</v>
      </c>
      <c r="AK118" s="83">
        <f t="shared" si="10"/>
        <v>87635.6</v>
      </c>
      <c r="AL118" s="83">
        <v>22516.5</v>
      </c>
      <c r="AM118" s="83">
        <v>24146</v>
      </c>
      <c r="AN118" s="83">
        <v>23399.8</v>
      </c>
      <c r="AO118" s="83">
        <v>25055.4</v>
      </c>
      <c r="AP118" s="83">
        <v>95117.7</v>
      </c>
      <c r="AQ118" s="83">
        <v>24643.5</v>
      </c>
      <c r="AR118" s="83">
        <v>26559.599999999999</v>
      </c>
      <c r="AS118" s="84">
        <v>26225.200000000001</v>
      </c>
      <c r="AT118" s="83">
        <v>32348.2</v>
      </c>
      <c r="AU118" s="83">
        <v>109776.5</v>
      </c>
      <c r="AV118" s="84">
        <v>27897</v>
      </c>
      <c r="AW118" s="84">
        <v>27565.4</v>
      </c>
      <c r="AX118" s="84">
        <v>27518.400000000001</v>
      </c>
      <c r="AY118" s="85">
        <v>29116</v>
      </c>
      <c r="AZ118" s="84">
        <v>112096.8</v>
      </c>
      <c r="BA118" s="84">
        <v>23757.1</v>
      </c>
      <c r="BB118" s="84">
        <v>23226.1</v>
      </c>
      <c r="BC118" s="84">
        <v>25622.2</v>
      </c>
      <c r="BD118" s="86">
        <v>28466</v>
      </c>
      <c r="BE118" s="84">
        <v>101071.4</v>
      </c>
      <c r="BF118" s="84">
        <v>28968.08596</v>
      </c>
      <c r="BG118" s="87">
        <v>30667.249960000001</v>
      </c>
      <c r="BH118" s="88">
        <v>34449.200870000001</v>
      </c>
      <c r="BI118" s="56">
        <v>33953.342019999996</v>
      </c>
      <c r="BJ118" s="56">
        <v>128037.87880999999</v>
      </c>
      <c r="BK118" s="56">
        <f>IF(31793.89029="","-",31793.89029)</f>
        <v>31793.890289999999</v>
      </c>
      <c r="BL118" s="56">
        <f>IF(33990.89833="","-",33990.89833)</f>
        <v>33990.898330000004</v>
      </c>
      <c r="BM118" s="56">
        <f>IF(36892.58798="","-",36892.58798)</f>
        <v>36892.587979999997</v>
      </c>
      <c r="BN118" s="56">
        <f>IF(40987.15615="","-",40987.15615)</f>
        <v>40987.156150000003</v>
      </c>
      <c r="BO118" s="56">
        <f>IF(143664.53275="","-",143664.53275)</f>
        <v>143664.53275000001</v>
      </c>
      <c r="BP118" s="56">
        <v>41581.750809999998</v>
      </c>
      <c r="BQ118" s="46">
        <v>42248.582020000002</v>
      </c>
      <c r="BR118" s="46">
        <v>40061.8825</v>
      </c>
      <c r="BS118" s="56">
        <v>41744.062639999996</v>
      </c>
      <c r="BT118" s="56">
        <v>165636.27797</v>
      </c>
      <c r="BU118" s="100">
        <v>38248.9758</v>
      </c>
      <c r="BV118" s="56">
        <v>37432.959719999999</v>
      </c>
      <c r="BW118" s="56">
        <v>39492.701690000002</v>
      </c>
      <c r="BX118" s="56">
        <v>37949.509610000001</v>
      </c>
      <c r="BY118" s="56">
        <v>153124.14681999999</v>
      </c>
      <c r="BZ118" s="56">
        <v>36114.157780000001</v>
      </c>
      <c r="CA118" s="56">
        <v>20838.60167</v>
      </c>
      <c r="CB118" s="56">
        <v>41707.691720000003</v>
      </c>
      <c r="CC118" s="56">
        <v>49167.073069999999</v>
      </c>
      <c r="CD118" s="56">
        <v>147827.52424</v>
      </c>
      <c r="CE118" s="56">
        <v>47209.860610000003</v>
      </c>
      <c r="CF118" s="56">
        <v>39842.566460000002</v>
      </c>
      <c r="CG118" s="56">
        <v>37928.609210000002</v>
      </c>
      <c r="CH118" s="56">
        <v>44371.41388</v>
      </c>
      <c r="CI118" s="56">
        <v>169352.45016000001</v>
      </c>
      <c r="CJ118" s="56">
        <v>42214.300580000003</v>
      </c>
      <c r="CK118" s="56">
        <v>39369.999239999997</v>
      </c>
      <c r="CL118" s="56">
        <v>37015.941579999999</v>
      </c>
      <c r="CM118" s="56">
        <v>39330.191180000002</v>
      </c>
      <c r="CN118" s="56">
        <v>157930.43257999999</v>
      </c>
      <c r="CO118" s="56">
        <v>41634.410680000001</v>
      </c>
      <c r="CP118" s="122">
        <v>36363.128640000003</v>
      </c>
      <c r="CQ118" s="122">
        <v>38078.896710000001</v>
      </c>
      <c r="CR118" s="122">
        <v>38895.965479999999</v>
      </c>
      <c r="CS118" s="122">
        <v>154972.40151</v>
      </c>
      <c r="CT118" s="66" t="s">
        <v>90</v>
      </c>
      <c r="CU118" s="60" t="s">
        <v>254</v>
      </c>
    </row>
    <row r="119" spans="1:99" s="9" customFormat="1" ht="19.5" customHeight="1">
      <c r="A119" s="66" t="s">
        <v>91</v>
      </c>
      <c r="B119" s="60" t="s">
        <v>223</v>
      </c>
      <c r="C119" s="81">
        <v>140.4</v>
      </c>
      <c r="D119" s="81">
        <v>268.39999999999998</v>
      </c>
      <c r="E119" s="81">
        <v>466</v>
      </c>
      <c r="F119" s="81">
        <v>874.2</v>
      </c>
      <c r="G119" s="82">
        <f t="shared" si="15"/>
        <v>1749</v>
      </c>
      <c r="H119" s="81">
        <v>668.6</v>
      </c>
      <c r="I119" s="81">
        <v>574.5</v>
      </c>
      <c r="J119" s="81">
        <v>1598.9</v>
      </c>
      <c r="K119" s="81">
        <v>2228</v>
      </c>
      <c r="L119" s="82">
        <f t="shared" si="11"/>
        <v>5070</v>
      </c>
      <c r="M119" s="81">
        <v>1252.0999999999999</v>
      </c>
      <c r="N119" s="81">
        <v>1592.6</v>
      </c>
      <c r="O119" s="81">
        <v>2079.1</v>
      </c>
      <c r="P119" s="81">
        <v>2447.9</v>
      </c>
      <c r="Q119" s="82">
        <f t="shared" si="12"/>
        <v>7371.6999999999989</v>
      </c>
      <c r="R119" s="81">
        <v>1744.3</v>
      </c>
      <c r="S119" s="81">
        <v>1958.4</v>
      </c>
      <c r="T119" s="81">
        <v>2725.6</v>
      </c>
      <c r="U119" s="81">
        <v>2247.3000000000002</v>
      </c>
      <c r="V119" s="83">
        <f t="shared" si="9"/>
        <v>8675.5999999999985</v>
      </c>
      <c r="W119" s="81">
        <v>611.20000000000005</v>
      </c>
      <c r="X119" s="81">
        <v>1564.3</v>
      </c>
      <c r="Y119" s="81">
        <v>2950.4</v>
      </c>
      <c r="Z119" s="81">
        <v>2917</v>
      </c>
      <c r="AA119" s="83">
        <f t="shared" si="14"/>
        <v>8042.9</v>
      </c>
      <c r="AB119" s="81">
        <v>1645.4</v>
      </c>
      <c r="AC119" s="81">
        <v>2140.6</v>
      </c>
      <c r="AD119" s="81">
        <v>2132</v>
      </c>
      <c r="AE119" s="81">
        <v>2230.6999999999998</v>
      </c>
      <c r="AF119" s="81">
        <v>8148.7</v>
      </c>
      <c r="AG119" s="84">
        <v>1104.2</v>
      </c>
      <c r="AH119" s="84">
        <v>1811.2</v>
      </c>
      <c r="AI119" s="84">
        <v>2166.6999999999998</v>
      </c>
      <c r="AJ119" s="84">
        <v>1774.2</v>
      </c>
      <c r="AK119" s="83">
        <f t="shared" si="10"/>
        <v>6856.3</v>
      </c>
      <c r="AL119" s="83">
        <v>1494</v>
      </c>
      <c r="AM119" s="83">
        <v>1941.4</v>
      </c>
      <c r="AN119" s="83">
        <v>2663.1</v>
      </c>
      <c r="AO119" s="83">
        <v>2989.6</v>
      </c>
      <c r="AP119" s="83">
        <v>9088.1</v>
      </c>
      <c r="AQ119" s="83">
        <v>2220.6999999999998</v>
      </c>
      <c r="AR119" s="83">
        <v>1164.2</v>
      </c>
      <c r="AS119" s="83">
        <v>1250.5999999999999</v>
      </c>
      <c r="AT119" s="83">
        <v>1370.2</v>
      </c>
      <c r="AU119" s="83">
        <v>6005.7</v>
      </c>
      <c r="AV119" s="84">
        <v>624.20000000000005</v>
      </c>
      <c r="AW119" s="84">
        <v>423.8</v>
      </c>
      <c r="AX119" s="84">
        <v>643.4</v>
      </c>
      <c r="AY119" s="83">
        <v>740.2</v>
      </c>
      <c r="AZ119" s="83">
        <v>2431.6</v>
      </c>
      <c r="BA119" s="84">
        <v>454.6</v>
      </c>
      <c r="BB119" s="84">
        <v>441</v>
      </c>
      <c r="BC119" s="84">
        <v>527.4</v>
      </c>
      <c r="BD119" s="86">
        <v>616.79999999999995</v>
      </c>
      <c r="BE119" s="84">
        <v>2039.8</v>
      </c>
      <c r="BF119" s="84">
        <v>618.39993000000004</v>
      </c>
      <c r="BG119" s="87">
        <v>494.15985000000001</v>
      </c>
      <c r="BH119" s="88">
        <v>719.053</v>
      </c>
      <c r="BI119" s="56">
        <v>999.91781000000003</v>
      </c>
      <c r="BJ119" s="56">
        <v>2831.5305899999998</v>
      </c>
      <c r="BK119" s="56">
        <f>IF(1373.87244="","-",1373.87244)</f>
        <v>1373.8724400000001</v>
      </c>
      <c r="BL119" s="56">
        <f>IF(1916.04553="","-",1916.04553)</f>
        <v>1916.0455300000001</v>
      </c>
      <c r="BM119" s="56">
        <f>IF(2197.96963="","-",2197.96963)</f>
        <v>2197.9696300000001</v>
      </c>
      <c r="BN119" s="56">
        <f>IF(2531.21261="","-",2531.21261)</f>
        <v>2531.21261</v>
      </c>
      <c r="BO119" s="56">
        <f>IF(8019.10021="","-",8019.10021)</f>
        <v>8019.1002099999996</v>
      </c>
      <c r="BP119" s="56">
        <v>1782.4662000000001</v>
      </c>
      <c r="BQ119" s="46">
        <v>2448.3454499999998</v>
      </c>
      <c r="BR119" s="46">
        <v>4176.0494799999997</v>
      </c>
      <c r="BS119" s="56">
        <v>3399.4141300000001</v>
      </c>
      <c r="BT119" s="56">
        <v>11806.27526</v>
      </c>
      <c r="BU119" s="56">
        <v>2847.6890899999898</v>
      </c>
      <c r="BV119" s="56">
        <v>4070.9484200000002</v>
      </c>
      <c r="BW119" s="56">
        <v>3866.6736900000001</v>
      </c>
      <c r="BX119" s="56">
        <v>3661.6600600000002</v>
      </c>
      <c r="BY119" s="56">
        <v>14446.97126</v>
      </c>
      <c r="BZ119" s="56">
        <v>3234.8408100000001</v>
      </c>
      <c r="CA119" s="56">
        <v>1953.9544900000001</v>
      </c>
      <c r="CB119" s="56">
        <v>3242.4125800000002</v>
      </c>
      <c r="CC119" s="56">
        <v>3652.55267</v>
      </c>
      <c r="CD119" s="56">
        <v>12083.760550000001</v>
      </c>
      <c r="CE119" s="56">
        <v>3256.2273100000002</v>
      </c>
      <c r="CF119" s="56">
        <v>3607.07827</v>
      </c>
      <c r="CG119" s="56">
        <v>3222.2138</v>
      </c>
      <c r="CH119" s="56">
        <v>3979.18993</v>
      </c>
      <c r="CI119" s="56">
        <v>14064.70931</v>
      </c>
      <c r="CJ119" s="56">
        <v>3634.3295800000001</v>
      </c>
      <c r="CK119" s="56">
        <v>4179.3456200000001</v>
      </c>
      <c r="CL119" s="56">
        <v>3830.1683800000001</v>
      </c>
      <c r="CM119" s="56">
        <v>3653.49343</v>
      </c>
      <c r="CN119" s="56">
        <v>15297.337009999999</v>
      </c>
      <c r="CO119" s="56">
        <v>3807.8432699999998</v>
      </c>
      <c r="CP119" s="122">
        <v>4681.4187899999997</v>
      </c>
      <c r="CQ119" s="122">
        <v>4165.8984300000002</v>
      </c>
      <c r="CR119" s="122">
        <v>5852.3464000000004</v>
      </c>
      <c r="CS119" s="122">
        <v>18507.506890000001</v>
      </c>
      <c r="CT119" s="66" t="s">
        <v>91</v>
      </c>
      <c r="CU119" s="60" t="s">
        <v>223</v>
      </c>
    </row>
    <row r="120" spans="1:99" s="9" customFormat="1" ht="15.75">
      <c r="A120" s="66" t="s">
        <v>92</v>
      </c>
      <c r="B120" s="60" t="s">
        <v>224</v>
      </c>
      <c r="C120" s="81">
        <v>724.6</v>
      </c>
      <c r="D120" s="81">
        <v>226.1</v>
      </c>
      <c r="E120" s="81">
        <v>185</v>
      </c>
      <c r="F120" s="81">
        <v>1863</v>
      </c>
      <c r="G120" s="82">
        <f t="shared" si="15"/>
        <v>2998.7</v>
      </c>
      <c r="H120" s="81">
        <v>309.89999999999998</v>
      </c>
      <c r="I120" s="81">
        <v>280.8</v>
      </c>
      <c r="J120" s="81">
        <v>296.5</v>
      </c>
      <c r="K120" s="81">
        <v>385.3</v>
      </c>
      <c r="L120" s="82">
        <f t="shared" si="11"/>
        <v>1272.5</v>
      </c>
      <c r="M120" s="81">
        <v>365.4</v>
      </c>
      <c r="N120" s="81">
        <v>550.70000000000005</v>
      </c>
      <c r="O120" s="81">
        <v>419.4</v>
      </c>
      <c r="P120" s="81">
        <v>628.70000000000005</v>
      </c>
      <c r="Q120" s="82">
        <f t="shared" si="12"/>
        <v>1964.2</v>
      </c>
      <c r="R120" s="81">
        <v>631.79999999999995</v>
      </c>
      <c r="S120" s="81">
        <v>646.70000000000005</v>
      </c>
      <c r="T120" s="81">
        <v>650</v>
      </c>
      <c r="U120" s="81">
        <v>465.5</v>
      </c>
      <c r="V120" s="83">
        <f t="shared" si="9"/>
        <v>2394</v>
      </c>
      <c r="W120" s="81">
        <v>530.1</v>
      </c>
      <c r="X120" s="81">
        <v>453.4</v>
      </c>
      <c r="Y120" s="81">
        <v>608.1</v>
      </c>
      <c r="Z120" s="81">
        <v>713.8</v>
      </c>
      <c r="AA120" s="83">
        <f t="shared" si="14"/>
        <v>2305.3999999999996</v>
      </c>
      <c r="AB120" s="81">
        <v>826.1</v>
      </c>
      <c r="AC120" s="81">
        <v>640.29999999999995</v>
      </c>
      <c r="AD120" s="81">
        <v>629.79999999999995</v>
      </c>
      <c r="AE120" s="81">
        <v>560.1</v>
      </c>
      <c r="AF120" s="81">
        <v>2656.3</v>
      </c>
      <c r="AG120" s="84">
        <v>648.79999999999995</v>
      </c>
      <c r="AH120" s="84">
        <v>573.1</v>
      </c>
      <c r="AI120" s="84">
        <v>1383.6</v>
      </c>
      <c r="AJ120" s="84">
        <v>732.8</v>
      </c>
      <c r="AK120" s="83">
        <f t="shared" si="10"/>
        <v>3338.3</v>
      </c>
      <c r="AL120" s="83">
        <v>1005.2</v>
      </c>
      <c r="AM120" s="83">
        <v>1112.5999999999999</v>
      </c>
      <c r="AN120" s="83">
        <v>1001.9</v>
      </c>
      <c r="AO120" s="83">
        <v>882.5</v>
      </c>
      <c r="AP120" s="83">
        <v>4002.2</v>
      </c>
      <c r="AQ120" s="83">
        <v>948</v>
      </c>
      <c r="AR120" s="83">
        <v>816.7</v>
      </c>
      <c r="AS120" s="83">
        <v>729.2</v>
      </c>
      <c r="AT120" s="83">
        <v>648.6</v>
      </c>
      <c r="AU120" s="83">
        <v>3142.5</v>
      </c>
      <c r="AV120" s="84">
        <v>724.9</v>
      </c>
      <c r="AW120" s="83">
        <v>737.7</v>
      </c>
      <c r="AX120" s="83">
        <v>510.5</v>
      </c>
      <c r="AY120" s="83">
        <v>612.4</v>
      </c>
      <c r="AZ120" s="83">
        <v>2585.5</v>
      </c>
      <c r="BA120" s="84">
        <v>1119.3</v>
      </c>
      <c r="BB120" s="83">
        <v>1346.9</v>
      </c>
      <c r="BC120" s="83">
        <v>799.9</v>
      </c>
      <c r="BD120" s="86">
        <v>910.7</v>
      </c>
      <c r="BE120" s="83">
        <v>4176.8</v>
      </c>
      <c r="BF120" s="83">
        <v>962.49180999999999</v>
      </c>
      <c r="BG120" s="87">
        <v>869.74349000000007</v>
      </c>
      <c r="BH120" s="88">
        <v>643.17759999999998</v>
      </c>
      <c r="BI120" s="56">
        <v>534.01923999999997</v>
      </c>
      <c r="BJ120" s="56">
        <v>3009.4321399999999</v>
      </c>
      <c r="BK120" s="56">
        <f>IF(682.89656="","-",682.89656)</f>
        <v>682.89656000000002</v>
      </c>
      <c r="BL120" s="56">
        <v>963.21</v>
      </c>
      <c r="BM120" s="56">
        <v>823.01</v>
      </c>
      <c r="BN120" s="56">
        <v>427.26</v>
      </c>
      <c r="BO120" s="56">
        <v>2896.38</v>
      </c>
      <c r="BP120" s="56">
        <v>777.58964000000003</v>
      </c>
      <c r="BQ120" s="46">
        <v>745.85268999999994</v>
      </c>
      <c r="BR120" s="46">
        <v>377.45371999999998</v>
      </c>
      <c r="BS120" s="56">
        <v>543.20492000000002</v>
      </c>
      <c r="BT120" s="56">
        <v>2444.10097</v>
      </c>
      <c r="BU120" s="56">
        <v>1011.2832</v>
      </c>
      <c r="BV120" s="56">
        <v>520.71978000000001</v>
      </c>
      <c r="BW120" s="56">
        <v>550.01094999999998</v>
      </c>
      <c r="BX120" s="56">
        <v>739.66239999999993</v>
      </c>
      <c r="BY120" s="56">
        <v>2821.6763300000002</v>
      </c>
      <c r="BZ120" s="56">
        <v>573.61144000000002</v>
      </c>
      <c r="CA120" s="56">
        <v>529.63388999999995</v>
      </c>
      <c r="CB120" s="56">
        <v>608.5748900000001</v>
      </c>
      <c r="CC120" s="56">
        <v>487.66804999999999</v>
      </c>
      <c r="CD120" s="56">
        <v>2199.4882699999998</v>
      </c>
      <c r="CE120" s="56">
        <v>469.63968999999997</v>
      </c>
      <c r="CF120" s="56">
        <v>441.97575999999998</v>
      </c>
      <c r="CG120" s="56">
        <v>339.28116</v>
      </c>
      <c r="CH120" s="56">
        <v>504.22136</v>
      </c>
      <c r="CI120" s="56">
        <v>1755.11797</v>
      </c>
      <c r="CJ120" s="56">
        <v>480.51319999999998</v>
      </c>
      <c r="CK120" s="56">
        <v>637.19278999999995</v>
      </c>
      <c r="CL120" s="56">
        <v>698.89202</v>
      </c>
      <c r="CM120" s="56">
        <v>740.67259000000001</v>
      </c>
      <c r="CN120" s="56">
        <v>2557.2705999999998</v>
      </c>
      <c r="CO120" s="56">
        <v>731.59826999999996</v>
      </c>
      <c r="CP120" s="122">
        <v>878.57039999999995</v>
      </c>
      <c r="CQ120" s="122">
        <v>638.45340999999996</v>
      </c>
      <c r="CR120" s="122">
        <v>517.48602999999991</v>
      </c>
      <c r="CS120" s="122">
        <v>2766.1081100000001</v>
      </c>
      <c r="CT120" s="66" t="s">
        <v>92</v>
      </c>
      <c r="CU120" s="60" t="s">
        <v>224</v>
      </c>
    </row>
    <row r="121" spans="1:99" s="9" customFormat="1" ht="19.5" customHeight="1">
      <c r="A121" s="65" t="s">
        <v>113</v>
      </c>
      <c r="B121" s="59" t="s">
        <v>225</v>
      </c>
      <c r="C121" s="72">
        <v>26.7</v>
      </c>
      <c r="D121" s="72">
        <v>1.5</v>
      </c>
      <c r="E121" s="75" t="s">
        <v>115</v>
      </c>
      <c r="F121" s="72">
        <v>14.1</v>
      </c>
      <c r="G121" s="75">
        <f t="shared" si="15"/>
        <v>42.3</v>
      </c>
      <c r="H121" s="72">
        <v>39.299999999999997</v>
      </c>
      <c r="I121" s="72">
        <v>20</v>
      </c>
      <c r="J121" s="72">
        <v>10.3</v>
      </c>
      <c r="K121" s="72">
        <v>19.399999999999999</v>
      </c>
      <c r="L121" s="75">
        <f t="shared" si="11"/>
        <v>89</v>
      </c>
      <c r="M121" s="70" t="s">
        <v>114</v>
      </c>
      <c r="N121" s="70" t="s">
        <v>114</v>
      </c>
      <c r="O121" s="70" t="s">
        <v>114</v>
      </c>
      <c r="P121" s="70" t="s">
        <v>114</v>
      </c>
      <c r="Q121" s="70" t="s">
        <v>114</v>
      </c>
      <c r="R121" s="72">
        <v>24.3</v>
      </c>
      <c r="S121" s="72">
        <v>0.1</v>
      </c>
      <c r="T121" s="72">
        <v>0.1</v>
      </c>
      <c r="U121" s="72">
        <v>34</v>
      </c>
      <c r="V121" s="75">
        <f t="shared" si="9"/>
        <v>58.5</v>
      </c>
      <c r="W121" s="72" t="s">
        <v>117</v>
      </c>
      <c r="X121" s="72" t="s">
        <v>117</v>
      </c>
      <c r="Y121" s="72">
        <v>9</v>
      </c>
      <c r="Z121" s="72" t="s">
        <v>117</v>
      </c>
      <c r="AA121" s="75">
        <f t="shared" si="14"/>
        <v>9</v>
      </c>
      <c r="AB121" s="72" t="s">
        <v>117</v>
      </c>
      <c r="AC121" s="72" t="s">
        <v>117</v>
      </c>
      <c r="AD121" s="72">
        <v>15.3</v>
      </c>
      <c r="AE121" s="72">
        <v>1.5</v>
      </c>
      <c r="AF121" s="72">
        <v>16.8</v>
      </c>
      <c r="AG121" s="84" t="s">
        <v>117</v>
      </c>
      <c r="AH121" s="76">
        <v>1.6</v>
      </c>
      <c r="AI121" s="84" t="s">
        <v>117</v>
      </c>
      <c r="AJ121" s="76">
        <v>1.1000000000000001</v>
      </c>
      <c r="AK121" s="75">
        <f t="shared" si="10"/>
        <v>2.7</v>
      </c>
      <c r="AL121" s="83" t="s">
        <v>117</v>
      </c>
      <c r="AM121" s="83" t="s">
        <v>117</v>
      </c>
      <c r="AN121" s="75">
        <v>21.5</v>
      </c>
      <c r="AO121" s="75">
        <v>0.1</v>
      </c>
      <c r="AP121" s="75">
        <v>21.6</v>
      </c>
      <c r="AQ121" s="76">
        <v>1.6</v>
      </c>
      <c r="AR121" s="83" t="s">
        <v>117</v>
      </c>
      <c r="AS121" s="76">
        <v>1.4</v>
      </c>
      <c r="AT121" s="76">
        <v>0.8</v>
      </c>
      <c r="AU121" s="76">
        <v>3.8</v>
      </c>
      <c r="AV121" s="84" t="s">
        <v>117</v>
      </c>
      <c r="AW121" s="84" t="s">
        <v>117</v>
      </c>
      <c r="AX121" s="84" t="s">
        <v>117</v>
      </c>
      <c r="AY121" s="78">
        <v>0.2</v>
      </c>
      <c r="AZ121" s="76">
        <v>0.2</v>
      </c>
      <c r="BA121" s="76">
        <v>1.2</v>
      </c>
      <c r="BB121" s="76">
        <v>27.6</v>
      </c>
      <c r="BC121" s="76">
        <v>0.1</v>
      </c>
      <c r="BD121" s="79">
        <v>4.5</v>
      </c>
      <c r="BE121" s="76">
        <v>33.4</v>
      </c>
      <c r="BF121" s="76" t="s">
        <v>117</v>
      </c>
      <c r="BG121" s="76" t="s">
        <v>117</v>
      </c>
      <c r="BH121" s="84" t="s">
        <v>117</v>
      </c>
      <c r="BI121" s="55">
        <v>12.06542</v>
      </c>
      <c r="BJ121" s="55">
        <v>12.06542</v>
      </c>
      <c r="BK121" s="55" t="str">
        <f t="shared" ref="BK121:BM121" si="16">IF(""="","-","")</f>
        <v>-</v>
      </c>
      <c r="BL121" s="55" t="str">
        <f t="shared" si="16"/>
        <v>-</v>
      </c>
      <c r="BM121" s="55" t="str">
        <f t="shared" si="16"/>
        <v>-</v>
      </c>
      <c r="BN121" s="55">
        <f>IF(3.495="","-",3.495)</f>
        <v>3.4950000000000001</v>
      </c>
      <c r="BO121" s="55">
        <f>IF(3.495="","-",3.495)</f>
        <v>3.4950000000000001</v>
      </c>
      <c r="BP121" s="55">
        <v>0.35425000000000001</v>
      </c>
      <c r="BQ121" s="45" t="s">
        <v>117</v>
      </c>
      <c r="BR121" s="45">
        <v>92.972459999999998</v>
      </c>
      <c r="BS121" s="55">
        <v>33.730559999999997</v>
      </c>
      <c r="BT121" s="55">
        <v>127.05727</v>
      </c>
      <c r="BU121" s="55" t="s">
        <v>117</v>
      </c>
      <c r="BV121" s="55" t="s">
        <v>117</v>
      </c>
      <c r="BW121" s="55" t="s">
        <v>117</v>
      </c>
      <c r="BX121" s="55">
        <v>0.45315</v>
      </c>
      <c r="BY121" s="55">
        <v>0.45315</v>
      </c>
      <c r="BZ121" s="55">
        <v>6.4000000000000003E-3</v>
      </c>
      <c r="CA121" s="55">
        <v>30.951589999999999</v>
      </c>
      <c r="CB121" s="55">
        <v>0.19620000000000001</v>
      </c>
      <c r="CC121" s="55">
        <v>48.481369999999998</v>
      </c>
      <c r="CD121" s="55">
        <v>79.635559999999998</v>
      </c>
      <c r="CE121" s="55">
        <v>0.43542999999999998</v>
      </c>
      <c r="CF121" s="55">
        <v>0.76712000000000002</v>
      </c>
      <c r="CG121" s="55">
        <v>2.7560000000000001E-2</v>
      </c>
      <c r="CH121" s="55">
        <v>4.6857699999999998</v>
      </c>
      <c r="CI121" s="55">
        <v>5.9158799999999996</v>
      </c>
      <c r="CJ121" s="55">
        <v>105.10624</v>
      </c>
      <c r="CK121" s="55">
        <v>1152.06387</v>
      </c>
      <c r="CL121" s="55">
        <v>247.88958</v>
      </c>
      <c r="CM121" s="55">
        <v>1087.99803</v>
      </c>
      <c r="CN121" s="55">
        <v>2593.0577199999998</v>
      </c>
      <c r="CO121" s="55">
        <v>3096.3810400000002</v>
      </c>
      <c r="CP121" s="45">
        <v>957.94871999999998</v>
      </c>
      <c r="CQ121" s="45">
        <v>854.04786000000001</v>
      </c>
      <c r="CR121" s="45">
        <v>312.26929000000001</v>
      </c>
      <c r="CS121" s="45">
        <v>5220.6469100000004</v>
      </c>
      <c r="CT121" s="65" t="s">
        <v>113</v>
      </c>
      <c r="CU121" s="59" t="s">
        <v>225</v>
      </c>
    </row>
    <row r="122" spans="1:99" s="9" customFormat="1" ht="19.5" customHeight="1">
      <c r="A122" s="113" t="s">
        <v>93</v>
      </c>
      <c r="B122" s="60" t="s">
        <v>225</v>
      </c>
      <c r="C122" s="83">
        <v>26.7</v>
      </c>
      <c r="D122" s="83">
        <v>1.5</v>
      </c>
      <c r="E122" s="83" t="s">
        <v>115</v>
      </c>
      <c r="F122" s="83">
        <v>14.1</v>
      </c>
      <c r="G122" s="83">
        <v>42.3</v>
      </c>
      <c r="H122" s="83">
        <v>39.299999999999997</v>
      </c>
      <c r="I122" s="83">
        <v>20</v>
      </c>
      <c r="J122" s="83">
        <v>10.3</v>
      </c>
      <c r="K122" s="83">
        <v>19.399999999999999</v>
      </c>
      <c r="L122" s="83">
        <v>89</v>
      </c>
      <c r="M122" s="83" t="s">
        <v>117</v>
      </c>
      <c r="N122" s="83" t="s">
        <v>117</v>
      </c>
      <c r="O122" s="83" t="s">
        <v>117</v>
      </c>
      <c r="P122" s="83" t="s">
        <v>117</v>
      </c>
      <c r="Q122" s="83" t="s">
        <v>114</v>
      </c>
      <c r="R122" s="83">
        <v>24.3</v>
      </c>
      <c r="S122" s="83">
        <v>0.1</v>
      </c>
      <c r="T122" s="83">
        <v>0.1</v>
      </c>
      <c r="U122" s="83">
        <v>34</v>
      </c>
      <c r="V122" s="83">
        <v>58.5</v>
      </c>
      <c r="W122" s="83" t="s">
        <v>117</v>
      </c>
      <c r="X122" s="83" t="s">
        <v>117</v>
      </c>
      <c r="Y122" s="83">
        <v>9</v>
      </c>
      <c r="Z122" s="83" t="s">
        <v>117</v>
      </c>
      <c r="AA122" s="83">
        <v>9</v>
      </c>
      <c r="AB122" s="83" t="s">
        <v>117</v>
      </c>
      <c r="AC122" s="83" t="s">
        <v>117</v>
      </c>
      <c r="AD122" s="83">
        <v>15.3</v>
      </c>
      <c r="AE122" s="83">
        <v>1.5</v>
      </c>
      <c r="AF122" s="83">
        <v>16.8</v>
      </c>
      <c r="AG122" s="84" t="s">
        <v>117</v>
      </c>
      <c r="AH122" s="84">
        <v>1.6</v>
      </c>
      <c r="AI122" s="84" t="s">
        <v>117</v>
      </c>
      <c r="AJ122" s="84">
        <v>1.1000000000000001</v>
      </c>
      <c r="AK122" s="83">
        <v>2.7</v>
      </c>
      <c r="AL122" s="83" t="s">
        <v>117</v>
      </c>
      <c r="AM122" s="83" t="s">
        <v>117</v>
      </c>
      <c r="AN122" s="83">
        <v>21.5</v>
      </c>
      <c r="AO122" s="83">
        <v>0.1</v>
      </c>
      <c r="AP122" s="83">
        <v>21.6</v>
      </c>
      <c r="AQ122" s="84">
        <v>1.6</v>
      </c>
      <c r="AR122" s="83" t="s">
        <v>117</v>
      </c>
      <c r="AS122" s="84">
        <v>1.4</v>
      </c>
      <c r="AT122" s="84">
        <v>0.8</v>
      </c>
      <c r="AU122" s="84">
        <v>3.8</v>
      </c>
      <c r="AV122" s="84" t="s">
        <v>117</v>
      </c>
      <c r="AW122" s="84" t="s">
        <v>117</v>
      </c>
      <c r="AX122" s="84" t="s">
        <v>117</v>
      </c>
      <c r="AY122" s="84">
        <v>0.2</v>
      </c>
      <c r="AZ122" s="84">
        <v>0.2</v>
      </c>
      <c r="BA122" s="84">
        <v>1.2</v>
      </c>
      <c r="BB122" s="84">
        <v>27.6</v>
      </c>
      <c r="BC122" s="84">
        <v>0.1</v>
      </c>
      <c r="BD122" s="84">
        <v>4.5</v>
      </c>
      <c r="BE122" s="84">
        <v>33.4</v>
      </c>
      <c r="BF122" s="84" t="s">
        <v>117</v>
      </c>
      <c r="BG122" s="84" t="s">
        <v>117</v>
      </c>
      <c r="BH122" s="84" t="s">
        <v>117</v>
      </c>
      <c r="BI122" s="56">
        <v>12.06542</v>
      </c>
      <c r="BJ122" s="56">
        <v>12.06542</v>
      </c>
      <c r="BK122" s="56" t="s">
        <v>117</v>
      </c>
      <c r="BL122" s="56" t="s">
        <v>117</v>
      </c>
      <c r="BM122" s="56" t="s">
        <v>117</v>
      </c>
      <c r="BN122" s="56">
        <v>3.4950000000000001</v>
      </c>
      <c r="BO122" s="56">
        <v>3.4950000000000001</v>
      </c>
      <c r="BP122" s="56">
        <v>0.35425000000000001</v>
      </c>
      <c r="BQ122" s="46" t="s">
        <v>117</v>
      </c>
      <c r="BR122" s="46">
        <v>92.972459999999998</v>
      </c>
      <c r="BS122" s="56">
        <v>33.730559999999997</v>
      </c>
      <c r="BT122" s="56">
        <v>127.05727</v>
      </c>
      <c r="BU122" s="56" t="s">
        <v>117</v>
      </c>
      <c r="BV122" s="56" t="s">
        <v>117</v>
      </c>
      <c r="BW122" s="56" t="s">
        <v>117</v>
      </c>
      <c r="BX122" s="56">
        <v>0.45315</v>
      </c>
      <c r="BY122" s="56">
        <v>0.45315</v>
      </c>
      <c r="BZ122" s="56">
        <v>6.4000000000000003E-3</v>
      </c>
      <c r="CA122" s="56">
        <v>30.951589999999999</v>
      </c>
      <c r="CB122" s="56">
        <v>0.19620000000000001</v>
      </c>
      <c r="CC122" s="56">
        <v>48.481369999999998</v>
      </c>
      <c r="CD122" s="56">
        <v>79.635559999999998</v>
      </c>
      <c r="CE122" s="56">
        <v>0.43542999999999998</v>
      </c>
      <c r="CF122" s="56">
        <v>0.76712000000000002</v>
      </c>
      <c r="CG122" s="56">
        <v>2.7560000000000001E-2</v>
      </c>
      <c r="CH122" s="56">
        <v>4.6857699999999998</v>
      </c>
      <c r="CI122" s="56">
        <v>5.9158799999999996</v>
      </c>
      <c r="CJ122" s="56">
        <v>2.0291399999999999</v>
      </c>
      <c r="CK122" s="56" t="s">
        <v>117</v>
      </c>
      <c r="CL122" s="56">
        <v>0.81072999999999995</v>
      </c>
      <c r="CM122" s="56" t="s">
        <v>117</v>
      </c>
      <c r="CN122" s="56">
        <v>2.8398699999999999</v>
      </c>
      <c r="CO122" s="56">
        <v>0.46055000000000001</v>
      </c>
      <c r="CP122" s="46">
        <v>0.45036999999999999</v>
      </c>
      <c r="CQ122" s="46" t="s">
        <v>117</v>
      </c>
      <c r="CR122" s="46">
        <v>2.5453600000000001</v>
      </c>
      <c r="CS122" s="46">
        <v>3.45628</v>
      </c>
      <c r="CT122" s="113" t="s">
        <v>93</v>
      </c>
      <c r="CU122" s="60" t="s">
        <v>225</v>
      </c>
    </row>
    <row r="123" spans="1:99" s="9" customFormat="1" ht="48" thickBot="1">
      <c r="A123" s="114" t="s">
        <v>255</v>
      </c>
      <c r="B123" s="115" t="s">
        <v>256</v>
      </c>
      <c r="C123" s="94" t="s">
        <v>117</v>
      </c>
      <c r="D123" s="94" t="s">
        <v>117</v>
      </c>
      <c r="E123" s="94" t="s">
        <v>117</v>
      </c>
      <c r="F123" s="94" t="s">
        <v>117</v>
      </c>
      <c r="G123" s="93" t="s">
        <v>114</v>
      </c>
      <c r="H123" s="94" t="s">
        <v>117</v>
      </c>
      <c r="I123" s="94" t="s">
        <v>117</v>
      </c>
      <c r="J123" s="94" t="s">
        <v>117</v>
      </c>
      <c r="K123" s="94" t="s">
        <v>117</v>
      </c>
      <c r="L123" s="93" t="s">
        <v>114</v>
      </c>
      <c r="M123" s="94" t="s">
        <v>117</v>
      </c>
      <c r="N123" s="94" t="s">
        <v>117</v>
      </c>
      <c r="O123" s="94" t="s">
        <v>117</v>
      </c>
      <c r="P123" s="94" t="s">
        <v>117</v>
      </c>
      <c r="Q123" s="93" t="s">
        <v>114</v>
      </c>
      <c r="R123" s="94" t="s">
        <v>117</v>
      </c>
      <c r="S123" s="94" t="s">
        <v>117</v>
      </c>
      <c r="T123" s="94" t="s">
        <v>117</v>
      </c>
      <c r="U123" s="94" t="s">
        <v>117</v>
      </c>
      <c r="V123" s="93" t="s">
        <v>114</v>
      </c>
      <c r="W123" s="94" t="s">
        <v>117</v>
      </c>
      <c r="X123" s="94" t="s">
        <v>117</v>
      </c>
      <c r="Y123" s="94" t="s">
        <v>117</v>
      </c>
      <c r="Z123" s="94" t="s">
        <v>117</v>
      </c>
      <c r="AA123" s="94" t="s">
        <v>117</v>
      </c>
      <c r="AB123" s="94" t="s">
        <v>117</v>
      </c>
      <c r="AC123" s="93" t="s">
        <v>114</v>
      </c>
      <c r="AD123" s="94" t="s">
        <v>117</v>
      </c>
      <c r="AE123" s="94" t="s">
        <v>117</v>
      </c>
      <c r="AF123" s="94" t="s">
        <v>117</v>
      </c>
      <c r="AG123" s="94" t="s">
        <v>117</v>
      </c>
      <c r="AH123" s="93" t="s">
        <v>114</v>
      </c>
      <c r="AI123" s="95" t="s">
        <v>117</v>
      </c>
      <c r="AJ123" s="94" t="s">
        <v>117</v>
      </c>
      <c r="AK123" s="94" t="s">
        <v>117</v>
      </c>
      <c r="AL123" s="94" t="s">
        <v>117</v>
      </c>
      <c r="AM123" s="94" t="s">
        <v>117</v>
      </c>
      <c r="AN123" s="93" t="s">
        <v>114</v>
      </c>
      <c r="AO123" s="94" t="s">
        <v>117</v>
      </c>
      <c r="AP123" s="94" t="s">
        <v>117</v>
      </c>
      <c r="AQ123" s="94" t="s">
        <v>117</v>
      </c>
      <c r="AR123" s="94" t="s">
        <v>117</v>
      </c>
      <c r="AS123" s="93" t="s">
        <v>114</v>
      </c>
      <c r="AT123" s="94" t="s">
        <v>117</v>
      </c>
      <c r="AU123" s="94" t="s">
        <v>117</v>
      </c>
      <c r="AV123" s="94" t="s">
        <v>117</v>
      </c>
      <c r="AW123" s="94" t="s">
        <v>117</v>
      </c>
      <c r="AX123" s="93" t="s">
        <v>114</v>
      </c>
      <c r="AY123" s="94" t="s">
        <v>117</v>
      </c>
      <c r="AZ123" s="94" t="s">
        <v>117</v>
      </c>
      <c r="BA123" s="94" t="s">
        <v>117</v>
      </c>
      <c r="BB123" s="94" t="s">
        <v>117</v>
      </c>
      <c r="BC123" s="93" t="s">
        <v>114</v>
      </c>
      <c r="BD123" s="94" t="s">
        <v>117</v>
      </c>
      <c r="BE123" s="94" t="s">
        <v>117</v>
      </c>
      <c r="BF123" s="94" t="s">
        <v>117</v>
      </c>
      <c r="BG123" s="94" t="s">
        <v>117</v>
      </c>
      <c r="BH123" s="93" t="s">
        <v>114</v>
      </c>
      <c r="BI123" s="94" t="s">
        <v>117</v>
      </c>
      <c r="BJ123" s="94" t="s">
        <v>117</v>
      </c>
      <c r="BK123" s="94" t="s">
        <v>117</v>
      </c>
      <c r="BL123" s="94" t="s">
        <v>117</v>
      </c>
      <c r="BM123" s="93" t="s">
        <v>114</v>
      </c>
      <c r="BN123" s="94" t="s">
        <v>117</v>
      </c>
      <c r="BO123" s="94" t="s">
        <v>117</v>
      </c>
      <c r="BP123" s="94" t="s">
        <v>117</v>
      </c>
      <c r="BQ123" s="94" t="s">
        <v>117</v>
      </c>
      <c r="BR123" s="93" t="s">
        <v>114</v>
      </c>
      <c r="BS123" s="94" t="s">
        <v>117</v>
      </c>
      <c r="BT123" s="94" t="s">
        <v>117</v>
      </c>
      <c r="BU123" s="94" t="s">
        <v>117</v>
      </c>
      <c r="BV123" s="94" t="s">
        <v>117</v>
      </c>
      <c r="BW123" s="93" t="s">
        <v>114</v>
      </c>
      <c r="BX123" s="94" t="s">
        <v>117</v>
      </c>
      <c r="BY123" s="94" t="s">
        <v>117</v>
      </c>
      <c r="BZ123" s="94" t="s">
        <v>117</v>
      </c>
      <c r="CA123" s="94" t="s">
        <v>117</v>
      </c>
      <c r="CB123" s="93" t="s">
        <v>114</v>
      </c>
      <c r="CC123" s="94" t="s">
        <v>117</v>
      </c>
      <c r="CD123" s="94" t="s">
        <v>117</v>
      </c>
      <c r="CE123" s="94" t="s">
        <v>117</v>
      </c>
      <c r="CF123" s="94" t="s">
        <v>117</v>
      </c>
      <c r="CG123" s="94" t="s">
        <v>117</v>
      </c>
      <c r="CH123" s="94" t="s">
        <v>117</v>
      </c>
      <c r="CI123" s="93" t="s">
        <v>117</v>
      </c>
      <c r="CJ123" s="57">
        <v>103.0771</v>
      </c>
      <c r="CK123" s="57">
        <v>1152.06387</v>
      </c>
      <c r="CL123" s="57">
        <v>247.07884999999999</v>
      </c>
      <c r="CM123" s="57">
        <v>1087.99803</v>
      </c>
      <c r="CN123" s="57">
        <v>2590.21785</v>
      </c>
      <c r="CO123" s="57">
        <v>3095.92049</v>
      </c>
      <c r="CP123" s="119">
        <v>957.49834999999996</v>
      </c>
      <c r="CQ123" s="119">
        <v>854.04786000000001</v>
      </c>
      <c r="CR123" s="119">
        <v>309.72393</v>
      </c>
      <c r="CS123" s="119">
        <v>5217.1906300000001</v>
      </c>
      <c r="CT123" s="114" t="s">
        <v>255</v>
      </c>
      <c r="CU123" s="115" t="s">
        <v>256</v>
      </c>
    </row>
    <row r="124" spans="1:99" s="9" customFormat="1" ht="15.75">
      <c r="A124" s="12"/>
      <c r="B124" s="13"/>
      <c r="C124" s="17"/>
      <c r="D124" s="17"/>
      <c r="E124" s="17"/>
      <c r="F124" s="17"/>
      <c r="G124" s="14"/>
      <c r="H124" s="14"/>
      <c r="I124" s="14"/>
      <c r="J124" s="14"/>
      <c r="K124" s="14"/>
      <c r="L124" s="14"/>
      <c r="M124" s="11"/>
      <c r="N124" s="11"/>
      <c r="O124" s="11"/>
      <c r="P124" s="11"/>
      <c r="Q124" s="11"/>
      <c r="R124" s="23"/>
      <c r="S124" s="23"/>
      <c r="T124" s="23"/>
      <c r="U124" s="23"/>
      <c r="V124" s="14"/>
      <c r="W124" s="14"/>
      <c r="X124" s="17"/>
      <c r="Y124" s="24"/>
      <c r="Z124" s="23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27"/>
      <c r="AM124" s="27"/>
      <c r="AN124" s="30"/>
      <c r="AO124" s="25"/>
      <c r="AP124" s="25"/>
      <c r="AQ124" s="26"/>
      <c r="AR124" s="26"/>
      <c r="AS124" s="26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12"/>
      <c r="CU124" s="13"/>
    </row>
    <row r="125" spans="1:99" s="9" customFormat="1" ht="15.75">
      <c r="A125" s="12"/>
      <c r="B125" s="13"/>
      <c r="C125" s="1"/>
      <c r="D125" s="1"/>
      <c r="E125" s="1"/>
      <c r="F125" s="1"/>
      <c r="G125" s="14"/>
      <c r="H125" s="14"/>
      <c r="I125" s="14"/>
      <c r="J125" s="14"/>
      <c r="K125" s="14"/>
      <c r="L125" s="14"/>
      <c r="M125" s="11"/>
      <c r="N125" s="11"/>
      <c r="O125" s="11"/>
      <c r="P125" s="11"/>
      <c r="Q125" s="11"/>
      <c r="R125" s="1"/>
      <c r="S125" s="1"/>
      <c r="T125" s="1"/>
      <c r="U125" s="1"/>
      <c r="V125" s="14"/>
      <c r="W125" s="14"/>
      <c r="X125" s="16"/>
      <c r="Y125" s="16"/>
      <c r="Z125" s="1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26"/>
      <c r="AQ125" s="26"/>
      <c r="AR125" s="26"/>
      <c r="AS125" s="26"/>
      <c r="AT125" s="1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12"/>
      <c r="CU125" s="13"/>
    </row>
    <row r="126" spans="1:99" s="9" customFormat="1" ht="15.75">
      <c r="A126" s="15"/>
      <c r="R126" s="23"/>
      <c r="S126" s="23"/>
      <c r="T126" s="23"/>
      <c r="U126" s="23"/>
      <c r="Z126" s="23"/>
      <c r="AL126" s="40"/>
      <c r="AM126" s="40"/>
      <c r="AN126" s="40"/>
      <c r="AO126" s="40"/>
      <c r="AP126" s="40"/>
      <c r="AQ126" s="26"/>
      <c r="AR126" s="26"/>
      <c r="AS126" s="26"/>
      <c r="AT126" s="40"/>
      <c r="AU126" s="40"/>
      <c r="AV126" s="40"/>
      <c r="AW126" s="40"/>
      <c r="AX126" s="40"/>
      <c r="AY126" s="40"/>
      <c r="AZ126" s="40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15"/>
    </row>
    <row r="127" spans="1:99" s="6" customFormat="1" ht="18.75">
      <c r="A127" s="47" t="s">
        <v>261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0"/>
      <c r="AL127" s="40"/>
      <c r="AM127" s="40"/>
      <c r="AN127" s="40"/>
      <c r="AO127" s="40"/>
      <c r="AP127" s="1"/>
      <c r="AQ127" s="1"/>
      <c r="AR127" s="1"/>
      <c r="AS127" s="40"/>
      <c r="AT127" s="40"/>
      <c r="AU127" s="26"/>
      <c r="AV127" s="26"/>
      <c r="AW127" s="28"/>
      <c r="AX127" s="49"/>
      <c r="AY127" s="40"/>
      <c r="AZ127" s="40"/>
      <c r="BA127" s="42"/>
      <c r="BB127" s="42"/>
      <c r="BC127" s="42"/>
      <c r="BD127" s="42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</row>
    <row r="128" spans="1:99" s="6" customFormat="1" ht="16.5">
      <c r="A128" s="52"/>
      <c r="B128" s="103" t="s">
        <v>259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48"/>
      <c r="AH128" s="48"/>
      <c r="AI128" s="48"/>
      <c r="AJ128" s="23"/>
      <c r="AK128" s="40"/>
      <c r="AL128" s="40"/>
      <c r="AM128" s="40"/>
      <c r="AN128" s="40"/>
      <c r="AO128" s="40"/>
      <c r="AP128" s="51"/>
      <c r="AQ128" s="51"/>
      <c r="AR128" s="51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</row>
    <row r="129" spans="1:97" s="6" customFormat="1" ht="15.75">
      <c r="A129" s="52"/>
      <c r="B129" s="104" t="s">
        <v>258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48"/>
      <c r="AH129" s="48"/>
      <c r="AI129" s="48"/>
      <c r="AJ129" s="23"/>
      <c r="AK129" s="40"/>
      <c r="AL129" s="40"/>
      <c r="AM129" s="40"/>
      <c r="AN129" s="40"/>
      <c r="AO129" s="40"/>
      <c r="AP129" s="51"/>
      <c r="AQ129" s="51"/>
      <c r="AR129" s="51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</row>
    <row r="130" spans="1:97" s="6" customFormat="1" ht="15.75">
      <c r="A130" s="5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40"/>
      <c r="AL130" s="40"/>
      <c r="AM130" s="40"/>
      <c r="AN130" s="40"/>
      <c r="AO130" s="40"/>
      <c r="AP130" s="51"/>
      <c r="AQ130" s="51"/>
      <c r="AR130" s="51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</row>
    <row r="131" spans="1:97" s="6" customFormat="1" ht="15" customHeight="1">
      <c r="A131" s="133" t="s">
        <v>257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41"/>
      <c r="AL131" s="41"/>
      <c r="AM131" s="41"/>
      <c r="AN131" s="41"/>
      <c r="AO131" s="41"/>
      <c r="AP131" s="51"/>
      <c r="AQ131" s="51"/>
      <c r="AR131" s="5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</row>
    <row r="132" spans="1:97" s="38" customFormat="1" ht="15.75">
      <c r="A132" s="36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9"/>
      <c r="AM132" s="9"/>
      <c r="AN132" s="9"/>
      <c r="AO132" s="9"/>
      <c r="AP132" s="29"/>
      <c r="AQ132" s="37"/>
      <c r="AR132" s="37"/>
      <c r="AS132" s="37"/>
      <c r="AT132" s="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</row>
    <row r="133" spans="1:97" s="33" customFormat="1" ht="15.75">
      <c r="A133" s="3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9"/>
      <c r="AM133" s="9"/>
      <c r="AN133" s="9"/>
      <c r="AO133" s="9"/>
      <c r="AP133" s="26"/>
      <c r="AQ133" s="32"/>
      <c r="AR133" s="32"/>
      <c r="AS133" s="32"/>
      <c r="AT133" s="9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</row>
    <row r="134" spans="1:97" s="35" customFormat="1" ht="15.75">
      <c r="A134" s="36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9"/>
      <c r="AM134" s="9"/>
      <c r="AN134" s="9"/>
      <c r="AO134" s="9"/>
      <c r="AP134" s="26"/>
      <c r="AQ134" s="34"/>
      <c r="AR134" s="34"/>
      <c r="AS134" s="34"/>
      <c r="AT134" s="9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</row>
    <row r="135" spans="1:97" s="9" customFormat="1" ht="15.75">
      <c r="A135" s="15"/>
      <c r="AP135" s="26"/>
      <c r="AQ135" s="29"/>
      <c r="AR135" s="29"/>
      <c r="AS135" s="29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</row>
    <row r="136" spans="1:97" s="9" customFormat="1" ht="15.75">
      <c r="A136" s="15"/>
      <c r="AP136" s="29"/>
      <c r="AQ136" s="26"/>
      <c r="AR136" s="26"/>
      <c r="AS136" s="26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</row>
    <row r="137" spans="1:97" s="9" customFormat="1" ht="15.75">
      <c r="A137" s="15"/>
      <c r="AP137" s="26"/>
      <c r="AQ137" s="26"/>
      <c r="AR137" s="26"/>
      <c r="AS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</row>
    <row r="138" spans="1:97" s="9" customFormat="1" ht="15.75">
      <c r="A138" s="15"/>
      <c r="AP138" s="25"/>
      <c r="AQ138" s="26"/>
      <c r="AR138" s="26"/>
      <c r="AS138" s="26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</row>
    <row r="139" spans="1:97" s="9" customFormat="1" ht="15.75">
      <c r="A139" s="15"/>
      <c r="AQ139" s="29"/>
      <c r="AR139" s="29"/>
      <c r="AS139" s="29"/>
    </row>
    <row r="140" spans="1:97" s="9" customFormat="1" ht="15.75">
      <c r="A140" s="15"/>
      <c r="AQ140" s="26"/>
      <c r="AR140" s="26"/>
      <c r="AS140" s="26"/>
    </row>
    <row r="141" spans="1:97" s="9" customFormat="1" ht="15.75">
      <c r="A141" s="15"/>
      <c r="AQ141" s="25"/>
      <c r="AR141" s="25"/>
      <c r="AS141" s="25"/>
    </row>
    <row r="142" spans="1:97" s="9" customFormat="1">
      <c r="A142" s="15"/>
    </row>
    <row r="143" spans="1:97" s="9" customFormat="1">
      <c r="A143" s="15"/>
    </row>
    <row r="144" spans="1:97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Z144" s="9"/>
      <c r="AA144" s="9"/>
      <c r="AB144" s="9"/>
      <c r="AC144" s="9"/>
      <c r="AD144" s="9"/>
      <c r="AE144" s="9"/>
    </row>
    <row r="145" spans="1:31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Z145" s="9"/>
      <c r="AA145" s="9"/>
      <c r="AB145" s="9"/>
      <c r="AC145" s="9"/>
      <c r="AD145" s="9"/>
      <c r="AE145" s="9"/>
    </row>
    <row r="146" spans="1:31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Z146" s="9"/>
      <c r="AA146" s="9"/>
      <c r="AB146" s="9"/>
      <c r="AC146" s="9"/>
      <c r="AD146" s="9"/>
      <c r="AE146" s="9"/>
    </row>
    <row r="147" spans="1:31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Z147" s="9"/>
      <c r="AA147" s="9"/>
      <c r="AB147" s="9"/>
      <c r="AC147" s="9"/>
      <c r="AD147" s="9"/>
      <c r="AE147" s="9"/>
    </row>
    <row r="148" spans="1:31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Z148" s="9"/>
      <c r="AA148" s="9"/>
      <c r="AB148" s="9"/>
      <c r="AC148" s="9"/>
      <c r="AD148" s="9"/>
      <c r="AE148" s="9"/>
    </row>
    <row r="149" spans="1:31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Z149" s="9"/>
      <c r="AA149" s="9"/>
      <c r="AB149" s="9"/>
      <c r="AC149" s="9"/>
      <c r="AD149" s="9"/>
      <c r="AE149" s="9"/>
    </row>
    <row r="150" spans="1:31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Z150" s="9"/>
      <c r="AA150" s="9"/>
      <c r="AB150" s="9"/>
      <c r="AC150" s="9"/>
      <c r="AD150" s="9"/>
      <c r="AE150" s="9"/>
    </row>
    <row r="151" spans="1:31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Z151" s="9"/>
      <c r="AA151" s="9"/>
      <c r="AB151" s="9"/>
      <c r="AC151" s="9"/>
      <c r="AD151" s="9"/>
      <c r="AE151" s="9"/>
    </row>
    <row r="152" spans="1:31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Z152" s="9"/>
      <c r="AA152" s="9"/>
      <c r="AB152" s="9"/>
      <c r="AC152" s="9"/>
      <c r="AD152" s="9"/>
      <c r="AE152" s="9"/>
    </row>
    <row r="153" spans="1:31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Z153" s="9"/>
      <c r="AA153" s="9"/>
      <c r="AB153" s="9"/>
      <c r="AC153" s="9"/>
      <c r="AD153" s="9"/>
      <c r="AE153" s="9"/>
    </row>
    <row r="154" spans="1:31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Z154" s="9"/>
      <c r="AA154" s="9"/>
      <c r="AB154" s="9"/>
      <c r="AC154" s="9"/>
      <c r="AD154" s="9"/>
      <c r="AE154" s="9"/>
    </row>
    <row r="155" spans="1:31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Z155" s="9"/>
      <c r="AA155" s="9"/>
      <c r="AB155" s="9"/>
      <c r="AC155" s="9"/>
      <c r="AD155" s="9"/>
      <c r="AE155" s="9"/>
    </row>
    <row r="156" spans="1:31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Z156" s="9"/>
      <c r="AA156" s="9"/>
      <c r="AB156" s="9"/>
      <c r="AC156" s="9"/>
      <c r="AD156" s="9"/>
      <c r="AE156" s="9"/>
    </row>
    <row r="157" spans="1:31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Z157" s="9"/>
      <c r="AA157" s="9"/>
      <c r="AB157" s="9"/>
      <c r="AC157" s="9"/>
      <c r="AD157" s="9"/>
      <c r="AE157" s="9"/>
    </row>
    <row r="158" spans="1:31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Z158" s="9"/>
      <c r="AA158" s="9"/>
      <c r="AB158" s="9"/>
      <c r="AC158" s="9"/>
      <c r="AD158" s="9"/>
      <c r="AE158" s="9"/>
    </row>
    <row r="159" spans="1:31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Z159" s="9"/>
      <c r="AA159" s="9"/>
      <c r="AB159" s="9"/>
      <c r="AC159" s="9"/>
      <c r="AD159" s="9"/>
      <c r="AE159" s="9"/>
    </row>
    <row r="160" spans="1:31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Z160" s="9"/>
      <c r="AA160" s="9"/>
      <c r="AB160" s="9"/>
      <c r="AC160" s="9"/>
      <c r="AD160" s="9"/>
      <c r="AE160" s="9"/>
    </row>
    <row r="161" spans="1:31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Z161" s="9"/>
      <c r="AA161" s="9"/>
      <c r="AB161" s="9"/>
      <c r="AC161" s="9"/>
      <c r="AD161" s="9"/>
      <c r="AE161" s="9"/>
    </row>
    <row r="162" spans="1:31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Z162" s="9"/>
      <c r="AA162" s="9"/>
      <c r="AB162" s="9"/>
      <c r="AC162" s="9"/>
      <c r="AD162" s="9"/>
      <c r="AE162" s="9"/>
    </row>
    <row r="163" spans="1:31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Z163" s="9"/>
      <c r="AA163" s="9"/>
      <c r="AB163" s="9"/>
      <c r="AC163" s="9"/>
      <c r="AD163" s="9"/>
      <c r="AE163" s="9"/>
    </row>
    <row r="164" spans="1:31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Z164" s="9"/>
      <c r="AA164" s="9"/>
      <c r="AB164" s="9"/>
      <c r="AC164" s="9"/>
      <c r="AD164" s="9"/>
      <c r="AE164" s="9"/>
    </row>
    <row r="165" spans="1:31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Z165" s="9"/>
      <c r="AA165" s="9"/>
      <c r="AB165" s="9"/>
      <c r="AC165" s="9"/>
      <c r="AD165" s="9"/>
      <c r="AE165" s="9"/>
    </row>
    <row r="166" spans="1:31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Z166" s="9"/>
      <c r="AA166" s="9"/>
      <c r="AB166" s="9"/>
      <c r="AC166" s="9"/>
      <c r="AD166" s="9"/>
      <c r="AE166" s="9"/>
    </row>
    <row r="167" spans="1:31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Z167" s="9"/>
      <c r="AA167" s="9"/>
      <c r="AB167" s="9"/>
      <c r="AC167" s="9"/>
      <c r="AD167" s="9"/>
      <c r="AE167" s="9"/>
    </row>
    <row r="168" spans="1:31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Z168" s="9"/>
      <c r="AA168" s="9"/>
      <c r="AB168" s="9"/>
      <c r="AC168" s="9"/>
      <c r="AD168" s="9"/>
      <c r="AE168" s="9"/>
    </row>
    <row r="169" spans="1:31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Z169" s="9"/>
      <c r="AA169" s="9"/>
      <c r="AB169" s="9"/>
      <c r="AC169" s="9"/>
      <c r="AD169" s="9"/>
      <c r="AE169" s="9"/>
    </row>
    <row r="170" spans="1:31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Z170" s="9"/>
      <c r="AA170" s="9"/>
      <c r="AB170" s="9"/>
      <c r="AC170" s="9"/>
      <c r="AD170" s="9"/>
      <c r="AE170" s="9"/>
    </row>
    <row r="171" spans="1:31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Z171" s="9"/>
      <c r="AA171" s="9"/>
      <c r="AB171" s="9"/>
      <c r="AC171" s="9"/>
      <c r="AD171" s="9"/>
      <c r="AE171" s="9"/>
    </row>
    <row r="172" spans="1:31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Z172" s="9"/>
      <c r="AA172" s="9"/>
      <c r="AB172" s="9"/>
      <c r="AC172" s="9"/>
      <c r="AD172" s="9"/>
      <c r="AE172" s="9"/>
    </row>
    <row r="173" spans="1:31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Z173" s="9"/>
      <c r="AA173" s="9"/>
      <c r="AB173" s="9"/>
      <c r="AC173" s="9"/>
      <c r="AD173" s="9"/>
      <c r="AE173" s="9"/>
    </row>
    <row r="174" spans="1:31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Z174" s="9"/>
      <c r="AA174" s="9"/>
      <c r="AB174" s="9"/>
      <c r="AC174" s="9"/>
      <c r="AD174" s="9"/>
      <c r="AE174" s="9"/>
    </row>
    <row r="175" spans="1:31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Z175" s="9"/>
      <c r="AA175" s="9"/>
      <c r="AB175" s="9"/>
      <c r="AC175" s="9"/>
      <c r="AD175" s="9"/>
      <c r="AE175" s="9"/>
    </row>
    <row r="176" spans="1:31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Z176" s="9"/>
      <c r="AA176" s="9"/>
      <c r="AB176" s="9"/>
      <c r="AC176" s="9"/>
      <c r="AD176" s="9"/>
      <c r="AE176" s="9"/>
    </row>
    <row r="177" spans="1:31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Z177" s="9"/>
      <c r="AA177" s="9"/>
      <c r="AB177" s="9"/>
      <c r="AC177" s="9"/>
      <c r="AD177" s="9"/>
      <c r="AE177" s="9"/>
    </row>
    <row r="178" spans="1:31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Z178" s="9"/>
      <c r="AA178" s="9"/>
      <c r="AB178" s="9"/>
      <c r="AC178" s="9"/>
      <c r="AD178" s="9"/>
      <c r="AE178" s="9"/>
    </row>
    <row r="179" spans="1:31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Z179" s="9"/>
      <c r="AA179" s="9"/>
      <c r="AB179" s="9"/>
      <c r="AC179" s="9"/>
      <c r="AD179" s="9"/>
      <c r="AE179" s="9"/>
    </row>
    <row r="180" spans="1:31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Z180" s="9"/>
      <c r="AA180" s="9"/>
      <c r="AB180" s="9"/>
      <c r="AC180" s="9"/>
      <c r="AD180" s="9"/>
      <c r="AE180" s="9"/>
    </row>
    <row r="181" spans="1:31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Z181" s="9"/>
      <c r="AA181" s="9"/>
      <c r="AB181" s="9"/>
      <c r="AC181" s="9"/>
      <c r="AD181" s="9"/>
      <c r="AE181" s="9"/>
    </row>
    <row r="182" spans="1:31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Z182" s="9"/>
      <c r="AA182" s="9"/>
      <c r="AB182" s="9"/>
      <c r="AC182" s="9"/>
      <c r="AD182" s="9"/>
      <c r="AE182" s="9"/>
    </row>
    <row r="183" spans="1:31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Z183" s="9"/>
      <c r="AA183" s="9"/>
      <c r="AB183" s="9"/>
      <c r="AC183" s="9"/>
      <c r="AD183" s="9"/>
      <c r="AE183" s="9"/>
    </row>
    <row r="184" spans="1:31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Z184" s="9"/>
      <c r="AA184" s="9"/>
      <c r="AB184" s="9"/>
      <c r="AC184" s="9"/>
      <c r="AD184" s="9"/>
      <c r="AE184" s="9"/>
    </row>
    <row r="185" spans="1:31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Z185" s="9"/>
      <c r="AA185" s="9"/>
      <c r="AB185" s="9"/>
      <c r="AC185" s="9"/>
      <c r="AD185" s="9"/>
      <c r="AE185" s="9"/>
    </row>
    <row r="186" spans="1:31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Z186" s="9"/>
      <c r="AA186" s="9"/>
      <c r="AB186" s="9"/>
      <c r="AC186" s="9"/>
      <c r="AD186" s="9"/>
      <c r="AE186" s="9"/>
    </row>
    <row r="187" spans="1:31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Z187" s="9"/>
      <c r="AA187" s="9"/>
      <c r="AB187" s="9"/>
      <c r="AC187" s="9"/>
      <c r="AD187" s="9"/>
      <c r="AE187" s="9"/>
    </row>
    <row r="188" spans="1:31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Z188" s="9"/>
      <c r="AA188" s="9"/>
      <c r="AB188" s="9"/>
      <c r="AC188" s="9"/>
      <c r="AD188" s="9"/>
      <c r="AE188" s="9"/>
    </row>
    <row r="189" spans="1:31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Z189" s="9"/>
      <c r="AA189" s="9"/>
      <c r="AB189" s="9"/>
      <c r="AC189" s="9"/>
      <c r="AD189" s="9"/>
      <c r="AE189" s="9"/>
    </row>
    <row r="190" spans="1:31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Z190" s="9"/>
      <c r="AA190" s="9"/>
      <c r="AB190" s="9"/>
      <c r="AC190" s="9"/>
      <c r="AD190" s="9"/>
      <c r="AE190" s="9"/>
    </row>
    <row r="191" spans="1:31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Z191" s="9"/>
      <c r="AA191" s="9"/>
      <c r="AB191" s="9"/>
      <c r="AC191" s="9"/>
      <c r="AD191" s="9"/>
      <c r="AE191" s="9"/>
    </row>
    <row r="192" spans="1:31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Z192" s="9"/>
      <c r="AA192" s="9"/>
      <c r="AB192" s="9"/>
      <c r="AC192" s="9"/>
      <c r="AD192" s="9"/>
      <c r="AE192" s="9"/>
    </row>
    <row r="193" spans="1:31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Z193" s="9"/>
      <c r="AA193" s="9"/>
      <c r="AB193" s="9"/>
      <c r="AC193" s="9"/>
      <c r="AD193" s="9"/>
      <c r="AE193" s="9"/>
    </row>
    <row r="194" spans="1:31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Z194" s="9"/>
      <c r="AA194" s="9"/>
      <c r="AB194" s="9"/>
      <c r="AC194" s="9"/>
      <c r="AD194" s="9"/>
      <c r="AE194" s="9"/>
    </row>
    <row r="195" spans="1:31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Z195" s="9"/>
      <c r="AA195" s="9"/>
      <c r="AB195" s="9"/>
      <c r="AC195" s="9"/>
      <c r="AD195" s="9"/>
      <c r="AE195" s="9"/>
    </row>
    <row r="196" spans="1:31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Z196" s="9"/>
      <c r="AA196" s="9"/>
      <c r="AB196" s="9"/>
      <c r="AC196" s="9"/>
      <c r="AD196" s="9"/>
      <c r="AE196" s="9"/>
    </row>
    <row r="197" spans="1:31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Z197" s="9"/>
      <c r="AA197" s="9"/>
      <c r="AB197" s="9"/>
      <c r="AC197" s="9"/>
      <c r="AD197" s="9"/>
      <c r="AE197" s="9"/>
    </row>
    <row r="198" spans="1:31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Z198" s="9"/>
      <c r="AA198" s="9"/>
      <c r="AB198" s="9"/>
      <c r="AC198" s="9"/>
      <c r="AD198" s="9"/>
      <c r="AE198" s="9"/>
    </row>
    <row r="199" spans="1:31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Z199" s="9"/>
      <c r="AA199" s="9"/>
      <c r="AB199" s="9"/>
      <c r="AC199" s="9"/>
      <c r="AD199" s="9"/>
      <c r="AE199" s="9"/>
    </row>
    <row r="200" spans="1:31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Z200" s="9"/>
      <c r="AA200" s="9"/>
      <c r="AB200" s="9"/>
      <c r="AC200" s="9"/>
      <c r="AD200" s="9"/>
      <c r="AE200" s="9"/>
    </row>
    <row r="201" spans="1:31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Z201" s="9"/>
      <c r="AA201" s="9"/>
      <c r="AB201" s="9"/>
      <c r="AC201" s="9"/>
      <c r="AD201" s="9"/>
      <c r="AE201" s="9"/>
    </row>
    <row r="202" spans="1:31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Z202" s="9"/>
      <c r="AA202" s="9"/>
      <c r="AB202" s="9"/>
      <c r="AC202" s="9"/>
      <c r="AD202" s="9"/>
      <c r="AE202" s="9"/>
    </row>
    <row r="203" spans="1:31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Z203" s="9"/>
      <c r="AA203" s="9"/>
      <c r="AB203" s="9"/>
      <c r="AC203" s="9"/>
      <c r="AD203" s="9"/>
      <c r="AE203" s="9"/>
    </row>
    <row r="204" spans="1:31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Z204" s="9"/>
      <c r="AA204" s="9"/>
      <c r="AB204" s="9"/>
      <c r="AC204" s="9"/>
      <c r="AD204" s="9"/>
      <c r="AE204" s="9"/>
    </row>
    <row r="205" spans="1:31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Z205" s="9"/>
      <c r="AA205" s="9"/>
      <c r="AB205" s="9"/>
      <c r="AC205" s="9"/>
      <c r="AD205" s="9"/>
      <c r="AE205" s="9"/>
    </row>
    <row r="206" spans="1:31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Z206" s="9"/>
      <c r="AA206" s="9"/>
      <c r="AB206" s="9"/>
      <c r="AC206" s="9"/>
      <c r="AD206" s="9"/>
      <c r="AE206" s="9"/>
    </row>
    <row r="207" spans="1:31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Z207" s="9"/>
      <c r="AA207" s="9"/>
      <c r="AB207" s="9"/>
      <c r="AC207" s="9"/>
      <c r="AD207" s="9"/>
      <c r="AE207" s="9"/>
    </row>
    <row r="208" spans="1:31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Z208" s="9"/>
      <c r="AA208" s="9"/>
      <c r="AB208" s="9"/>
      <c r="AC208" s="9"/>
      <c r="AD208" s="9"/>
      <c r="AE208" s="9"/>
    </row>
    <row r="209" spans="1:31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Z209" s="9"/>
      <c r="AA209" s="9"/>
      <c r="AB209" s="9"/>
      <c r="AC209" s="9"/>
      <c r="AD209" s="9"/>
      <c r="AE209" s="9"/>
    </row>
    <row r="210" spans="1:31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Z210" s="9"/>
      <c r="AA210" s="9"/>
      <c r="AB210" s="9"/>
      <c r="AC210" s="9"/>
      <c r="AD210" s="9"/>
      <c r="AE210" s="9"/>
    </row>
    <row r="211" spans="1:31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Z211" s="9"/>
      <c r="AA211" s="9"/>
      <c r="AB211" s="9"/>
      <c r="AC211" s="9"/>
      <c r="AD211" s="9"/>
      <c r="AE211" s="9"/>
    </row>
    <row r="212" spans="1:31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Z212" s="9"/>
      <c r="AA212" s="9"/>
      <c r="AB212" s="9"/>
      <c r="AC212" s="9"/>
      <c r="AD212" s="9"/>
      <c r="AE212" s="9"/>
    </row>
    <row r="213" spans="1:31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Z213" s="9"/>
      <c r="AA213" s="9"/>
      <c r="AB213" s="9"/>
      <c r="AC213" s="9"/>
      <c r="AD213" s="9"/>
      <c r="AE213" s="9"/>
    </row>
    <row r="214" spans="1:31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Z214" s="9"/>
      <c r="AA214" s="9"/>
      <c r="AB214" s="9"/>
      <c r="AC214" s="9"/>
      <c r="AD214" s="9"/>
      <c r="AE214" s="9"/>
    </row>
    <row r="215" spans="1:31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Z215" s="9"/>
      <c r="AA215" s="9"/>
      <c r="AB215" s="9"/>
      <c r="AC215" s="9"/>
      <c r="AD215" s="9"/>
      <c r="AE215" s="9"/>
    </row>
    <row r="216" spans="1:31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Z216" s="9"/>
      <c r="AA216" s="9"/>
      <c r="AB216" s="9"/>
      <c r="AC216" s="9"/>
      <c r="AD216" s="9"/>
      <c r="AE216" s="9"/>
    </row>
    <row r="217" spans="1:31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Z217" s="9"/>
      <c r="AA217" s="9"/>
      <c r="AB217" s="9"/>
      <c r="AC217" s="9"/>
      <c r="AD217" s="9"/>
      <c r="AE217" s="9"/>
    </row>
    <row r="218" spans="1:31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Z218" s="9"/>
      <c r="AA218" s="9"/>
      <c r="AB218" s="9"/>
      <c r="AC218" s="9"/>
      <c r="AD218" s="9"/>
      <c r="AE218" s="9"/>
    </row>
    <row r="219" spans="1:31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Z219" s="9"/>
      <c r="AA219" s="9"/>
      <c r="AB219" s="9"/>
      <c r="AC219" s="9"/>
      <c r="AD219" s="9"/>
      <c r="AE219" s="9"/>
    </row>
    <row r="220" spans="1:31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Z220" s="9"/>
      <c r="AA220" s="9"/>
      <c r="AB220" s="9"/>
      <c r="AC220" s="9"/>
      <c r="AD220" s="9"/>
      <c r="AE220" s="9"/>
    </row>
    <row r="221" spans="1:31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Z221" s="9"/>
      <c r="AA221" s="9"/>
      <c r="AB221" s="9"/>
      <c r="AC221" s="9"/>
      <c r="AD221" s="9"/>
      <c r="AE221" s="9"/>
    </row>
    <row r="222" spans="1:31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Z222" s="9"/>
      <c r="AA222" s="9"/>
      <c r="AB222" s="9"/>
      <c r="AC222" s="9"/>
      <c r="AD222" s="9"/>
      <c r="AE222" s="9"/>
    </row>
    <row r="223" spans="1:31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Z223" s="9"/>
      <c r="AA223" s="9"/>
      <c r="AB223" s="9"/>
      <c r="AC223" s="9"/>
      <c r="AD223" s="9"/>
      <c r="AE223" s="9"/>
    </row>
    <row r="224" spans="1:31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Z224" s="9"/>
      <c r="AA224" s="9"/>
      <c r="AB224" s="9"/>
      <c r="AC224" s="9"/>
      <c r="AD224" s="9"/>
      <c r="AE224" s="9"/>
    </row>
    <row r="225" spans="1:31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Z225" s="9"/>
      <c r="AA225" s="9"/>
      <c r="AB225" s="9"/>
      <c r="AC225" s="9"/>
      <c r="AD225" s="9"/>
      <c r="AE225" s="9"/>
    </row>
    <row r="226" spans="1:31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Z226" s="9"/>
      <c r="AA226" s="9"/>
      <c r="AB226" s="9"/>
      <c r="AC226" s="9"/>
      <c r="AD226" s="9"/>
      <c r="AE226" s="9"/>
    </row>
    <row r="227" spans="1:31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Z227" s="9"/>
      <c r="AA227" s="9"/>
      <c r="AB227" s="9"/>
      <c r="AC227" s="9"/>
      <c r="AD227" s="9"/>
      <c r="AE227" s="9"/>
    </row>
    <row r="228" spans="1:31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Z228" s="9"/>
      <c r="AA228" s="9"/>
      <c r="AB228" s="9"/>
      <c r="AC228" s="9"/>
      <c r="AD228" s="9"/>
      <c r="AE228" s="9"/>
    </row>
    <row r="229" spans="1:31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Z229" s="9"/>
      <c r="AA229" s="9"/>
      <c r="AB229" s="9"/>
      <c r="AC229" s="9"/>
      <c r="AD229" s="9"/>
      <c r="AE229" s="9"/>
    </row>
    <row r="230" spans="1:31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Z230" s="9"/>
      <c r="AA230" s="9"/>
      <c r="AB230" s="9"/>
      <c r="AC230" s="9"/>
      <c r="AD230" s="9"/>
      <c r="AE230" s="9"/>
    </row>
    <row r="231" spans="1:31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Z231" s="9"/>
      <c r="AA231" s="9"/>
      <c r="AB231" s="9"/>
      <c r="AC231" s="9"/>
      <c r="AD231" s="9"/>
      <c r="AE231" s="9"/>
    </row>
    <row r="232" spans="1:31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Z232" s="9"/>
      <c r="AA232" s="9"/>
      <c r="AB232" s="9"/>
      <c r="AC232" s="9"/>
      <c r="AD232" s="9"/>
      <c r="AE232" s="9"/>
    </row>
    <row r="233" spans="1:31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Z233" s="9"/>
      <c r="AA233" s="9"/>
      <c r="AB233" s="9"/>
      <c r="AC233" s="9"/>
      <c r="AD233" s="9"/>
      <c r="AE233" s="9"/>
    </row>
    <row r="234" spans="1:31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Z234" s="9"/>
      <c r="AA234" s="9"/>
      <c r="AB234" s="9"/>
      <c r="AC234" s="9"/>
      <c r="AD234" s="9"/>
      <c r="AE234" s="9"/>
    </row>
    <row r="235" spans="1:31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Z235" s="9"/>
      <c r="AA235" s="9"/>
      <c r="AB235" s="9"/>
      <c r="AC235" s="9"/>
      <c r="AD235" s="9"/>
      <c r="AE235" s="9"/>
    </row>
    <row r="236" spans="1:31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Z236" s="9"/>
      <c r="AA236" s="9"/>
      <c r="AB236" s="9"/>
      <c r="AC236" s="9"/>
      <c r="AD236" s="9"/>
      <c r="AE236" s="9"/>
    </row>
    <row r="237" spans="1:31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Z237" s="9"/>
      <c r="AA237" s="9"/>
      <c r="AB237" s="9"/>
      <c r="AC237" s="9"/>
      <c r="AD237" s="9"/>
      <c r="AE237" s="9"/>
    </row>
    <row r="238" spans="1:31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Z238" s="9"/>
      <c r="AA238" s="9"/>
      <c r="AB238" s="9"/>
      <c r="AC238" s="9"/>
      <c r="AD238" s="9"/>
      <c r="AE238" s="9"/>
    </row>
    <row r="239" spans="1:31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Z239" s="9"/>
      <c r="AA239" s="9"/>
      <c r="AB239" s="9"/>
      <c r="AC239" s="9"/>
      <c r="AD239" s="9"/>
      <c r="AE239" s="9"/>
    </row>
    <row r="240" spans="1:31" s="9" customFormat="1">
      <c r="A240" s="15"/>
    </row>
    <row r="241" spans="1:1" s="9" customFormat="1">
      <c r="A241" s="15"/>
    </row>
    <row r="242" spans="1:1" s="9" customFormat="1">
      <c r="A242" s="15"/>
    </row>
    <row r="243" spans="1:1" s="9" customFormat="1">
      <c r="A243" s="15"/>
    </row>
    <row r="244" spans="1:1" s="9" customFormat="1">
      <c r="A244" s="15"/>
    </row>
    <row r="245" spans="1:1" s="9" customFormat="1">
      <c r="A245" s="15"/>
    </row>
    <row r="246" spans="1:1" s="9" customFormat="1">
      <c r="A246" s="15"/>
    </row>
    <row r="247" spans="1:1" s="9" customFormat="1">
      <c r="A247" s="15"/>
    </row>
    <row r="248" spans="1:1" s="9" customFormat="1">
      <c r="A248" s="15"/>
    </row>
    <row r="249" spans="1:1" s="9" customFormat="1">
      <c r="A249" s="15"/>
    </row>
    <row r="250" spans="1:1" s="9" customFormat="1">
      <c r="A250" s="15"/>
    </row>
    <row r="251" spans="1:1" s="9" customFormat="1">
      <c r="A251" s="15"/>
    </row>
    <row r="252" spans="1:1" s="9" customFormat="1">
      <c r="A252" s="15"/>
    </row>
    <row r="253" spans="1:1" s="9" customFormat="1">
      <c r="A253" s="15"/>
    </row>
    <row r="254" spans="1:1" s="9" customFormat="1">
      <c r="A254" s="15"/>
    </row>
    <row r="255" spans="1:1" s="9" customFormat="1">
      <c r="A255" s="15"/>
    </row>
    <row r="256" spans="1:1" s="9" customFormat="1">
      <c r="A256" s="15"/>
    </row>
    <row r="257" spans="1:1" s="9" customFormat="1">
      <c r="A257" s="15"/>
    </row>
    <row r="258" spans="1:1" s="9" customFormat="1">
      <c r="A258" s="15"/>
    </row>
    <row r="259" spans="1:1" s="9" customFormat="1">
      <c r="A259" s="15"/>
    </row>
    <row r="260" spans="1:1" s="9" customFormat="1">
      <c r="A260" s="15"/>
    </row>
    <row r="261" spans="1:1" s="9" customFormat="1">
      <c r="A261" s="15"/>
    </row>
    <row r="262" spans="1:1" s="9" customFormat="1">
      <c r="A262" s="15"/>
    </row>
    <row r="263" spans="1:1" s="9" customFormat="1">
      <c r="A263" s="15"/>
    </row>
    <row r="264" spans="1:1" s="9" customFormat="1">
      <c r="A264" s="15"/>
    </row>
    <row r="265" spans="1:1" s="9" customFormat="1">
      <c r="A265" s="15"/>
    </row>
    <row r="266" spans="1:1" s="9" customFormat="1">
      <c r="A266" s="15"/>
    </row>
    <row r="267" spans="1:1" s="9" customFormat="1">
      <c r="A267" s="15"/>
    </row>
    <row r="268" spans="1:1" s="9" customFormat="1">
      <c r="A268" s="15"/>
    </row>
    <row r="269" spans="1:1" s="9" customFormat="1">
      <c r="A269" s="15"/>
    </row>
    <row r="270" spans="1:1" s="9" customFormat="1">
      <c r="A270" s="15"/>
    </row>
    <row r="271" spans="1:1" s="9" customFormat="1">
      <c r="A271" s="15"/>
    </row>
    <row r="272" spans="1:1" s="9" customFormat="1">
      <c r="A272" s="15"/>
    </row>
    <row r="273" spans="1:1" s="9" customFormat="1">
      <c r="A273" s="15"/>
    </row>
    <row r="274" spans="1:1" s="9" customFormat="1">
      <c r="A274" s="15"/>
    </row>
    <row r="275" spans="1:1" s="9" customFormat="1">
      <c r="A275" s="15"/>
    </row>
    <row r="276" spans="1:1" s="9" customFormat="1">
      <c r="A276" s="15"/>
    </row>
    <row r="277" spans="1:1" s="9" customFormat="1">
      <c r="A277" s="15"/>
    </row>
    <row r="278" spans="1:1" s="9" customFormat="1">
      <c r="A278" s="15"/>
    </row>
    <row r="279" spans="1:1" s="9" customFormat="1">
      <c r="A279" s="15"/>
    </row>
    <row r="280" spans="1:1" s="9" customFormat="1">
      <c r="A280" s="15"/>
    </row>
    <row r="281" spans="1:1" s="9" customFormat="1">
      <c r="A281" s="15"/>
    </row>
    <row r="282" spans="1:1" s="9" customFormat="1">
      <c r="A282" s="15"/>
    </row>
    <row r="283" spans="1:1" s="9" customFormat="1">
      <c r="A283" s="15"/>
    </row>
    <row r="284" spans="1:1" s="9" customFormat="1">
      <c r="A284" s="15"/>
    </row>
    <row r="285" spans="1:1" s="9" customFormat="1">
      <c r="A285" s="15"/>
    </row>
    <row r="286" spans="1:1" s="9" customFormat="1">
      <c r="A286" s="15"/>
    </row>
    <row r="287" spans="1:1" s="9" customFormat="1">
      <c r="A287" s="15"/>
    </row>
    <row r="288" spans="1:1" s="9" customFormat="1">
      <c r="A288" s="15"/>
    </row>
    <row r="289" spans="1:1" s="9" customFormat="1">
      <c r="A289" s="15"/>
    </row>
    <row r="290" spans="1:1" s="9" customFormat="1">
      <c r="A290" s="15"/>
    </row>
    <row r="291" spans="1:1" s="9" customFormat="1">
      <c r="A291" s="15"/>
    </row>
    <row r="292" spans="1:1" s="9" customFormat="1">
      <c r="A292" s="15"/>
    </row>
    <row r="293" spans="1:1" s="9" customFormat="1">
      <c r="A293" s="15"/>
    </row>
    <row r="294" spans="1:1" s="9" customFormat="1">
      <c r="A294" s="15"/>
    </row>
    <row r="295" spans="1:1" s="9" customFormat="1">
      <c r="A295" s="15"/>
    </row>
    <row r="296" spans="1:1" s="9" customFormat="1">
      <c r="A296" s="15"/>
    </row>
    <row r="297" spans="1:1" s="9" customFormat="1">
      <c r="A297" s="15"/>
    </row>
    <row r="298" spans="1:1" s="9" customFormat="1">
      <c r="A298" s="15"/>
    </row>
    <row r="299" spans="1:1" s="9" customFormat="1">
      <c r="A299" s="15"/>
    </row>
    <row r="300" spans="1:1" s="9" customFormat="1">
      <c r="A300" s="15"/>
    </row>
    <row r="301" spans="1:1" s="9" customFormat="1">
      <c r="A301" s="15"/>
    </row>
    <row r="302" spans="1:1" s="9" customFormat="1">
      <c r="A302" s="15"/>
    </row>
    <row r="303" spans="1:1" s="9" customFormat="1">
      <c r="A303" s="15"/>
    </row>
    <row r="304" spans="1:1" s="9" customFormat="1">
      <c r="A304" s="15"/>
    </row>
    <row r="305" spans="1:1" s="9" customFormat="1">
      <c r="A305" s="15"/>
    </row>
    <row r="306" spans="1:1" s="9" customFormat="1">
      <c r="A306" s="15"/>
    </row>
    <row r="307" spans="1:1" s="9" customFormat="1">
      <c r="A307" s="15"/>
    </row>
    <row r="308" spans="1:1" s="9" customFormat="1">
      <c r="A308" s="15"/>
    </row>
    <row r="309" spans="1:1" s="9" customFormat="1">
      <c r="A309" s="15"/>
    </row>
    <row r="310" spans="1:1" s="9" customFormat="1">
      <c r="A310" s="15"/>
    </row>
    <row r="311" spans="1:1" s="9" customFormat="1">
      <c r="A311" s="15"/>
    </row>
    <row r="312" spans="1:1" s="9" customFormat="1">
      <c r="A312" s="15"/>
    </row>
    <row r="313" spans="1:1" s="9" customFormat="1">
      <c r="A313" s="15"/>
    </row>
    <row r="314" spans="1:1" s="9" customFormat="1">
      <c r="A314" s="15"/>
    </row>
    <row r="315" spans="1:1" s="9" customFormat="1">
      <c r="A315" s="15"/>
    </row>
    <row r="316" spans="1:1" s="9" customFormat="1">
      <c r="A316" s="15"/>
    </row>
    <row r="317" spans="1:1" s="9" customFormat="1">
      <c r="A317" s="15"/>
    </row>
    <row r="318" spans="1:1" s="9" customFormat="1">
      <c r="A318" s="15"/>
    </row>
    <row r="319" spans="1:1" s="9" customFormat="1">
      <c r="A319" s="15"/>
    </row>
    <row r="320" spans="1:1" s="9" customFormat="1">
      <c r="A320" s="15"/>
    </row>
    <row r="321" spans="1:1" s="9" customFormat="1">
      <c r="A321" s="15"/>
    </row>
    <row r="322" spans="1:1" s="9" customFormat="1">
      <c r="A322" s="15"/>
    </row>
    <row r="323" spans="1:1" s="9" customFormat="1">
      <c r="A323" s="15"/>
    </row>
    <row r="324" spans="1:1" s="9" customFormat="1">
      <c r="A324" s="15"/>
    </row>
    <row r="325" spans="1:1" s="9" customFormat="1">
      <c r="A325" s="15"/>
    </row>
    <row r="326" spans="1:1" s="9" customFormat="1">
      <c r="A326" s="15"/>
    </row>
    <row r="327" spans="1:1" s="9" customFormat="1">
      <c r="A327" s="15"/>
    </row>
    <row r="328" spans="1:1" s="9" customFormat="1">
      <c r="A328" s="15"/>
    </row>
    <row r="329" spans="1:1" s="9" customFormat="1">
      <c r="A329" s="15"/>
    </row>
    <row r="330" spans="1:1" s="9" customFormat="1">
      <c r="A330" s="15"/>
    </row>
    <row r="331" spans="1:1" s="9" customFormat="1">
      <c r="A331" s="15"/>
    </row>
    <row r="332" spans="1:1" s="9" customFormat="1">
      <c r="A332" s="15"/>
    </row>
    <row r="333" spans="1:1" s="9" customFormat="1">
      <c r="A333" s="15"/>
    </row>
    <row r="334" spans="1:1" s="9" customFormat="1">
      <c r="A334" s="15"/>
    </row>
    <row r="335" spans="1:1" s="9" customFormat="1">
      <c r="A335" s="15"/>
    </row>
    <row r="336" spans="1:1" s="9" customFormat="1">
      <c r="A336" s="15"/>
    </row>
    <row r="337" spans="1:1" s="9" customFormat="1">
      <c r="A337" s="15"/>
    </row>
    <row r="338" spans="1:1" s="9" customFormat="1">
      <c r="A338" s="15"/>
    </row>
    <row r="339" spans="1:1" s="9" customFormat="1">
      <c r="A339" s="15"/>
    </row>
    <row r="340" spans="1:1" s="9" customFormat="1">
      <c r="A340" s="15"/>
    </row>
    <row r="341" spans="1:1" s="9" customFormat="1">
      <c r="A341" s="15"/>
    </row>
    <row r="342" spans="1:1" s="9" customFormat="1">
      <c r="A342" s="15"/>
    </row>
    <row r="343" spans="1:1" s="9" customFormat="1">
      <c r="A343" s="15"/>
    </row>
    <row r="344" spans="1:1" s="9" customFormat="1">
      <c r="A344" s="15"/>
    </row>
    <row r="345" spans="1:1" s="9" customFormat="1">
      <c r="A345" s="15"/>
    </row>
    <row r="346" spans="1:1" s="9" customFormat="1">
      <c r="A346" s="15"/>
    </row>
    <row r="347" spans="1:1" s="9" customFormat="1">
      <c r="A347" s="15"/>
    </row>
    <row r="348" spans="1:1" s="9" customFormat="1">
      <c r="A348" s="15"/>
    </row>
    <row r="349" spans="1:1" s="9" customFormat="1">
      <c r="A349" s="15"/>
    </row>
    <row r="350" spans="1:1" s="9" customFormat="1">
      <c r="A350" s="15"/>
    </row>
    <row r="351" spans="1:1" s="9" customFormat="1">
      <c r="A351" s="15"/>
    </row>
    <row r="352" spans="1:1" s="9" customFormat="1">
      <c r="A352" s="15"/>
    </row>
    <row r="353" spans="1:1" s="9" customFormat="1">
      <c r="A353" s="15"/>
    </row>
    <row r="354" spans="1:1" s="9" customFormat="1">
      <c r="A354" s="15"/>
    </row>
    <row r="355" spans="1:1" s="9" customFormat="1">
      <c r="A355" s="15"/>
    </row>
    <row r="356" spans="1:1" s="9" customFormat="1">
      <c r="A356" s="15"/>
    </row>
    <row r="357" spans="1:1" s="9" customFormat="1">
      <c r="A357" s="15"/>
    </row>
    <row r="358" spans="1:1" s="9" customFormat="1">
      <c r="A358" s="15"/>
    </row>
    <row r="359" spans="1:1" s="9" customFormat="1">
      <c r="A359" s="15"/>
    </row>
    <row r="360" spans="1:1" s="9" customFormat="1">
      <c r="A360" s="15"/>
    </row>
    <row r="361" spans="1:1" s="9" customFormat="1">
      <c r="A361" s="15"/>
    </row>
    <row r="362" spans="1:1" s="9" customFormat="1">
      <c r="A362" s="15"/>
    </row>
    <row r="363" spans="1:1" s="9" customFormat="1">
      <c r="A363" s="15"/>
    </row>
    <row r="364" spans="1:1" s="9" customFormat="1">
      <c r="A364" s="15"/>
    </row>
    <row r="365" spans="1:1" s="9" customFormat="1">
      <c r="A365" s="15"/>
    </row>
    <row r="366" spans="1:1" s="9" customFormat="1">
      <c r="A366" s="15"/>
    </row>
    <row r="367" spans="1:1" s="9" customFormat="1">
      <c r="A367" s="15"/>
    </row>
    <row r="368" spans="1:1" s="9" customFormat="1">
      <c r="A368" s="15"/>
    </row>
    <row r="369" spans="1:1" s="9" customFormat="1">
      <c r="A369" s="15"/>
    </row>
    <row r="370" spans="1:1" s="9" customFormat="1">
      <c r="A370" s="15"/>
    </row>
    <row r="371" spans="1:1" s="9" customFormat="1">
      <c r="A371" s="15"/>
    </row>
    <row r="372" spans="1:1" s="9" customFormat="1">
      <c r="A372" s="15"/>
    </row>
    <row r="373" spans="1:1" s="9" customFormat="1">
      <c r="A373" s="15"/>
    </row>
    <row r="374" spans="1:1" s="9" customFormat="1">
      <c r="A374" s="15"/>
    </row>
    <row r="375" spans="1:1" s="9" customFormat="1">
      <c r="A375" s="15"/>
    </row>
    <row r="376" spans="1:1" s="9" customFormat="1">
      <c r="A376" s="15"/>
    </row>
    <row r="377" spans="1:1" s="9" customFormat="1">
      <c r="A377" s="15"/>
    </row>
    <row r="378" spans="1:1" s="9" customFormat="1">
      <c r="A378" s="15"/>
    </row>
    <row r="379" spans="1:1" s="9" customFormat="1">
      <c r="A379" s="15"/>
    </row>
    <row r="380" spans="1:1" s="9" customFormat="1">
      <c r="A380" s="15"/>
    </row>
    <row r="381" spans="1:1" s="9" customFormat="1">
      <c r="A381" s="15"/>
    </row>
    <row r="382" spans="1:1" s="9" customFormat="1">
      <c r="A382" s="15"/>
    </row>
    <row r="383" spans="1:1" s="9" customFormat="1">
      <c r="A383" s="15"/>
    </row>
    <row r="384" spans="1:1" s="9" customFormat="1">
      <c r="A384" s="15"/>
    </row>
    <row r="385" spans="1:1" s="9" customFormat="1">
      <c r="A385" s="15"/>
    </row>
    <row r="386" spans="1:1" s="9" customFormat="1">
      <c r="A386" s="15"/>
    </row>
    <row r="387" spans="1:1" s="9" customFormat="1">
      <c r="A387" s="15"/>
    </row>
    <row r="388" spans="1:1" s="9" customFormat="1">
      <c r="A388" s="15"/>
    </row>
    <row r="389" spans="1:1" s="9" customFormat="1">
      <c r="A389" s="15"/>
    </row>
    <row r="390" spans="1:1" s="9" customFormat="1">
      <c r="A390" s="15"/>
    </row>
    <row r="391" spans="1:1" s="9" customFormat="1">
      <c r="A391" s="15"/>
    </row>
    <row r="392" spans="1:1" s="9" customFormat="1">
      <c r="A392" s="15"/>
    </row>
    <row r="393" spans="1:1" s="9" customFormat="1">
      <c r="A393" s="15"/>
    </row>
    <row r="394" spans="1:1" s="9" customFormat="1">
      <c r="A394" s="15"/>
    </row>
    <row r="395" spans="1:1" s="9" customFormat="1">
      <c r="A395" s="15"/>
    </row>
    <row r="396" spans="1:1" s="9" customFormat="1">
      <c r="A396" s="15"/>
    </row>
    <row r="397" spans="1:1" s="9" customFormat="1">
      <c r="A397" s="15"/>
    </row>
    <row r="398" spans="1:1" s="9" customFormat="1">
      <c r="A398" s="15"/>
    </row>
    <row r="399" spans="1:1" s="9" customFormat="1">
      <c r="A399" s="15"/>
    </row>
    <row r="400" spans="1:1" s="9" customFormat="1">
      <c r="A400" s="15"/>
    </row>
    <row r="401" spans="1:1" s="9" customFormat="1">
      <c r="A401" s="15"/>
    </row>
    <row r="402" spans="1:1" s="9" customFormat="1">
      <c r="A402" s="15"/>
    </row>
    <row r="403" spans="1:1" s="9" customFormat="1">
      <c r="A403" s="15"/>
    </row>
    <row r="404" spans="1:1" s="9" customFormat="1">
      <c r="A404" s="15"/>
    </row>
    <row r="405" spans="1:1" s="9" customFormat="1">
      <c r="A405" s="15"/>
    </row>
    <row r="406" spans="1:1" s="9" customFormat="1">
      <c r="A406" s="15"/>
    </row>
    <row r="407" spans="1:1" s="9" customFormat="1">
      <c r="A407" s="15"/>
    </row>
    <row r="408" spans="1:1" s="9" customFormat="1">
      <c r="A408" s="15"/>
    </row>
    <row r="409" spans="1:1" s="9" customFormat="1">
      <c r="A409" s="15"/>
    </row>
    <row r="410" spans="1:1" s="9" customFormat="1">
      <c r="A410" s="15"/>
    </row>
    <row r="411" spans="1:1" s="9" customFormat="1">
      <c r="A411" s="15"/>
    </row>
    <row r="412" spans="1:1" s="9" customFormat="1">
      <c r="A412" s="15"/>
    </row>
    <row r="413" spans="1:1" s="9" customFormat="1">
      <c r="A413" s="15"/>
    </row>
    <row r="414" spans="1:1" s="9" customFormat="1">
      <c r="A414" s="15"/>
    </row>
    <row r="415" spans="1:1" s="9" customFormat="1">
      <c r="A415" s="15"/>
    </row>
    <row r="416" spans="1:1" s="9" customFormat="1">
      <c r="A416" s="15"/>
    </row>
    <row r="417" spans="1:1" s="9" customFormat="1">
      <c r="A417" s="15"/>
    </row>
    <row r="418" spans="1:1" s="9" customFormat="1">
      <c r="A418" s="15"/>
    </row>
    <row r="419" spans="1:1" s="9" customFormat="1">
      <c r="A419" s="15"/>
    </row>
    <row r="420" spans="1:1" s="9" customFormat="1">
      <c r="A420" s="15"/>
    </row>
    <row r="421" spans="1:1" s="9" customFormat="1">
      <c r="A421" s="15"/>
    </row>
    <row r="422" spans="1:1" s="9" customFormat="1">
      <c r="A422" s="15"/>
    </row>
    <row r="423" spans="1:1" s="9" customFormat="1">
      <c r="A423" s="15"/>
    </row>
    <row r="424" spans="1:1" s="9" customFormat="1">
      <c r="A424" s="15"/>
    </row>
    <row r="425" spans="1:1" s="9" customFormat="1">
      <c r="A425" s="15"/>
    </row>
    <row r="426" spans="1:1" s="9" customFormat="1">
      <c r="A426" s="15"/>
    </row>
    <row r="427" spans="1:1" s="9" customFormat="1">
      <c r="A427" s="15"/>
    </row>
    <row r="428" spans="1:1" s="9" customFormat="1">
      <c r="A428" s="15"/>
    </row>
    <row r="429" spans="1:1" s="9" customFormat="1">
      <c r="A429" s="15"/>
    </row>
    <row r="430" spans="1:1" s="9" customFormat="1">
      <c r="A430" s="15"/>
    </row>
    <row r="431" spans="1:1" s="9" customFormat="1">
      <c r="A431" s="15"/>
    </row>
    <row r="432" spans="1:1" s="9" customFormat="1">
      <c r="A432" s="15"/>
    </row>
    <row r="433" spans="1:1" s="9" customFormat="1">
      <c r="A433" s="15"/>
    </row>
    <row r="434" spans="1:1" s="9" customFormat="1">
      <c r="A434" s="15"/>
    </row>
    <row r="435" spans="1:1" s="9" customFormat="1">
      <c r="A435" s="15"/>
    </row>
    <row r="436" spans="1:1" s="9" customFormat="1">
      <c r="A436" s="15"/>
    </row>
    <row r="437" spans="1:1" s="9" customFormat="1">
      <c r="A437" s="15"/>
    </row>
    <row r="438" spans="1:1" s="9" customFormat="1">
      <c r="A438" s="15"/>
    </row>
    <row r="439" spans="1:1" s="9" customFormat="1">
      <c r="A439" s="15"/>
    </row>
    <row r="440" spans="1:1" s="9" customFormat="1">
      <c r="A440" s="15"/>
    </row>
    <row r="441" spans="1:1" s="9" customFormat="1">
      <c r="A441" s="15"/>
    </row>
    <row r="442" spans="1:1" s="9" customFormat="1">
      <c r="A442" s="15"/>
    </row>
    <row r="443" spans="1:1" s="9" customFormat="1">
      <c r="A443" s="15"/>
    </row>
    <row r="444" spans="1:1" s="9" customFormat="1">
      <c r="A444" s="15"/>
    </row>
    <row r="445" spans="1:1" s="9" customFormat="1">
      <c r="A445" s="15"/>
    </row>
    <row r="446" spans="1:1" s="9" customFormat="1">
      <c r="A446" s="15"/>
    </row>
    <row r="447" spans="1:1" s="9" customFormat="1">
      <c r="A447" s="15"/>
    </row>
    <row r="448" spans="1:1" s="9" customFormat="1">
      <c r="A448" s="15"/>
    </row>
    <row r="449" spans="1:1" s="9" customFormat="1">
      <c r="A449" s="15"/>
    </row>
    <row r="450" spans="1:1" s="9" customFormat="1">
      <c r="A450" s="15"/>
    </row>
    <row r="451" spans="1:1" s="9" customFormat="1">
      <c r="A451" s="15"/>
    </row>
    <row r="452" spans="1:1" s="9" customFormat="1">
      <c r="A452" s="15"/>
    </row>
    <row r="453" spans="1:1" s="9" customFormat="1">
      <c r="A453" s="15"/>
    </row>
    <row r="454" spans="1:1" s="9" customFormat="1">
      <c r="A454" s="15"/>
    </row>
    <row r="455" spans="1:1" s="9" customFormat="1">
      <c r="A455" s="15"/>
    </row>
    <row r="456" spans="1:1" s="9" customFormat="1">
      <c r="A456" s="15"/>
    </row>
    <row r="457" spans="1:1" s="9" customFormat="1">
      <c r="A457" s="15"/>
    </row>
    <row r="458" spans="1:1" s="9" customFormat="1">
      <c r="A458" s="15"/>
    </row>
    <row r="459" spans="1:1" s="9" customFormat="1">
      <c r="A459" s="15"/>
    </row>
    <row r="460" spans="1:1" s="9" customFormat="1">
      <c r="A460" s="15"/>
    </row>
    <row r="461" spans="1:1" s="9" customFormat="1">
      <c r="A461" s="15"/>
    </row>
    <row r="462" spans="1:1" s="9" customFormat="1">
      <c r="A462" s="15"/>
    </row>
    <row r="463" spans="1:1" s="9" customFormat="1">
      <c r="A463" s="15"/>
    </row>
    <row r="464" spans="1:1" s="9" customFormat="1">
      <c r="A464" s="15"/>
    </row>
    <row r="465" spans="1:1" s="9" customFormat="1">
      <c r="A465" s="15"/>
    </row>
    <row r="466" spans="1:1" s="9" customFormat="1">
      <c r="A466" s="15"/>
    </row>
    <row r="467" spans="1:1" s="9" customFormat="1">
      <c r="A467" s="15"/>
    </row>
    <row r="468" spans="1:1" s="9" customFormat="1">
      <c r="A468" s="15"/>
    </row>
    <row r="469" spans="1:1" s="9" customFormat="1">
      <c r="A469" s="15"/>
    </row>
    <row r="470" spans="1:1" s="9" customFormat="1">
      <c r="A470" s="15"/>
    </row>
    <row r="471" spans="1:1" s="9" customFormat="1">
      <c r="A471" s="15"/>
    </row>
    <row r="472" spans="1:1" s="9" customFormat="1">
      <c r="A472" s="15"/>
    </row>
    <row r="473" spans="1:1" s="9" customFormat="1">
      <c r="A473" s="15"/>
    </row>
    <row r="474" spans="1:1" s="9" customFormat="1">
      <c r="A474" s="15"/>
    </row>
    <row r="475" spans="1:1" s="9" customFormat="1">
      <c r="A475" s="15"/>
    </row>
    <row r="476" spans="1:1" s="9" customFormat="1">
      <c r="A476" s="15"/>
    </row>
    <row r="477" spans="1:1" s="9" customFormat="1">
      <c r="A477" s="15"/>
    </row>
    <row r="478" spans="1:1" s="9" customFormat="1">
      <c r="A478" s="15"/>
    </row>
    <row r="479" spans="1:1" s="9" customFormat="1">
      <c r="A479" s="15"/>
    </row>
    <row r="480" spans="1:1" s="9" customFormat="1">
      <c r="A480" s="15"/>
    </row>
    <row r="481" spans="1:1" s="9" customFormat="1">
      <c r="A481" s="15"/>
    </row>
    <row r="482" spans="1:1" s="9" customFormat="1">
      <c r="A482" s="15"/>
    </row>
    <row r="483" spans="1:1" s="9" customFormat="1">
      <c r="A483" s="15"/>
    </row>
    <row r="484" spans="1:1" s="9" customFormat="1">
      <c r="A484" s="15"/>
    </row>
    <row r="485" spans="1:1" s="9" customFormat="1">
      <c r="A485" s="15"/>
    </row>
    <row r="486" spans="1:1" s="9" customFormat="1">
      <c r="A486" s="15"/>
    </row>
    <row r="487" spans="1:1" s="9" customFormat="1">
      <c r="A487" s="15"/>
    </row>
    <row r="488" spans="1:1" s="9" customFormat="1">
      <c r="A488" s="15"/>
    </row>
    <row r="489" spans="1:1" s="9" customFormat="1">
      <c r="A489" s="15"/>
    </row>
    <row r="490" spans="1:1" s="9" customFormat="1">
      <c r="A490" s="15"/>
    </row>
    <row r="491" spans="1:1" s="9" customFormat="1">
      <c r="A491" s="15"/>
    </row>
    <row r="492" spans="1:1" s="9" customFormat="1">
      <c r="A492" s="15"/>
    </row>
    <row r="493" spans="1:1" s="9" customFormat="1">
      <c r="A493" s="15"/>
    </row>
    <row r="494" spans="1:1" s="9" customFormat="1">
      <c r="A494" s="15"/>
    </row>
    <row r="495" spans="1:1" s="9" customFormat="1">
      <c r="A495" s="15"/>
    </row>
    <row r="496" spans="1:1" s="9" customFormat="1">
      <c r="A496" s="15"/>
    </row>
    <row r="497" spans="1:1" s="9" customFormat="1">
      <c r="A497" s="15"/>
    </row>
    <row r="498" spans="1:1" s="9" customFormat="1">
      <c r="A498" s="15"/>
    </row>
    <row r="499" spans="1:1" s="9" customFormat="1">
      <c r="A499" s="15"/>
    </row>
    <row r="500" spans="1:1" s="9" customFormat="1">
      <c r="A500" s="15"/>
    </row>
    <row r="501" spans="1:1" s="9" customFormat="1">
      <c r="A501" s="15"/>
    </row>
    <row r="502" spans="1:1" s="9" customFormat="1">
      <c r="A502" s="15"/>
    </row>
    <row r="503" spans="1:1" s="9" customFormat="1">
      <c r="A503" s="15"/>
    </row>
    <row r="504" spans="1:1" s="9" customFormat="1">
      <c r="A504" s="15"/>
    </row>
    <row r="505" spans="1:1" s="9" customFormat="1">
      <c r="A505" s="15"/>
    </row>
    <row r="506" spans="1:1" s="9" customFormat="1">
      <c r="A506" s="15"/>
    </row>
    <row r="507" spans="1:1" s="9" customFormat="1">
      <c r="A507" s="15"/>
    </row>
    <row r="508" spans="1:1" s="9" customFormat="1">
      <c r="A508" s="15"/>
    </row>
    <row r="509" spans="1:1" s="9" customFormat="1">
      <c r="A509" s="15"/>
    </row>
    <row r="510" spans="1:1" s="9" customFormat="1">
      <c r="A510" s="15"/>
    </row>
    <row r="511" spans="1:1" s="9" customFormat="1">
      <c r="A511" s="15"/>
    </row>
    <row r="512" spans="1:1" s="9" customFormat="1">
      <c r="A512" s="15"/>
    </row>
    <row r="513" spans="1:1" s="9" customFormat="1">
      <c r="A513" s="15"/>
    </row>
    <row r="514" spans="1:1" s="9" customFormat="1">
      <c r="A514" s="15"/>
    </row>
    <row r="515" spans="1:1" s="9" customFormat="1">
      <c r="A515" s="15"/>
    </row>
    <row r="516" spans="1:1" s="9" customFormat="1">
      <c r="A516" s="15"/>
    </row>
    <row r="517" spans="1:1" s="9" customFormat="1">
      <c r="A517" s="15"/>
    </row>
    <row r="518" spans="1:1" s="9" customFormat="1">
      <c r="A518" s="15"/>
    </row>
    <row r="519" spans="1:1" s="9" customFormat="1">
      <c r="A519" s="15"/>
    </row>
    <row r="520" spans="1:1" s="9" customFormat="1">
      <c r="A520" s="15"/>
    </row>
    <row r="521" spans="1:1" s="9" customFormat="1">
      <c r="A521" s="15"/>
    </row>
    <row r="522" spans="1:1" s="9" customFormat="1">
      <c r="A522" s="15"/>
    </row>
    <row r="523" spans="1:1" s="9" customFormat="1">
      <c r="A523" s="15"/>
    </row>
    <row r="524" spans="1:1" s="9" customFormat="1">
      <c r="A524" s="15"/>
    </row>
    <row r="525" spans="1:1" s="9" customFormat="1">
      <c r="A525" s="15"/>
    </row>
    <row r="526" spans="1:1" s="9" customFormat="1">
      <c r="A526" s="15"/>
    </row>
    <row r="527" spans="1:1" s="9" customFormat="1">
      <c r="A527" s="15"/>
    </row>
    <row r="528" spans="1:1" s="9" customFormat="1">
      <c r="A528" s="15"/>
    </row>
    <row r="529" spans="1:1" s="9" customFormat="1">
      <c r="A529" s="15"/>
    </row>
    <row r="530" spans="1:1" s="9" customFormat="1">
      <c r="A530" s="15"/>
    </row>
    <row r="531" spans="1:1" s="9" customFormat="1">
      <c r="A531" s="15"/>
    </row>
    <row r="532" spans="1:1" s="9" customFormat="1">
      <c r="A532" s="15"/>
    </row>
    <row r="533" spans="1:1" s="9" customFormat="1">
      <c r="A533" s="15"/>
    </row>
    <row r="534" spans="1:1" s="9" customFormat="1">
      <c r="A534" s="15"/>
    </row>
    <row r="535" spans="1:1" s="9" customFormat="1">
      <c r="A535" s="15"/>
    </row>
    <row r="536" spans="1:1" s="9" customFormat="1">
      <c r="A536" s="15"/>
    </row>
    <row r="537" spans="1:1" s="9" customFormat="1">
      <c r="A537" s="15"/>
    </row>
    <row r="538" spans="1:1" s="9" customFormat="1">
      <c r="A538" s="15"/>
    </row>
    <row r="539" spans="1:1" s="9" customFormat="1">
      <c r="A539" s="15"/>
    </row>
    <row r="540" spans="1:1" s="9" customFormat="1">
      <c r="A540" s="15"/>
    </row>
    <row r="541" spans="1:1" s="9" customFormat="1">
      <c r="A541" s="15"/>
    </row>
    <row r="542" spans="1:1" s="9" customFormat="1">
      <c r="A542" s="15"/>
    </row>
    <row r="543" spans="1:1" s="9" customFormat="1">
      <c r="A543" s="15"/>
    </row>
    <row r="544" spans="1:1" s="9" customFormat="1">
      <c r="A544" s="15"/>
    </row>
    <row r="545" spans="1:1" s="9" customFormat="1">
      <c r="A545" s="15"/>
    </row>
    <row r="546" spans="1:1" s="9" customFormat="1">
      <c r="A546" s="15"/>
    </row>
    <row r="547" spans="1:1" s="9" customFormat="1">
      <c r="A547" s="15"/>
    </row>
    <row r="548" spans="1:1" s="9" customFormat="1">
      <c r="A548" s="15"/>
    </row>
    <row r="549" spans="1:1" s="9" customFormat="1">
      <c r="A549" s="15"/>
    </row>
    <row r="550" spans="1:1" s="9" customFormat="1">
      <c r="A550" s="15"/>
    </row>
    <row r="551" spans="1:1" s="9" customFormat="1">
      <c r="A551" s="15"/>
    </row>
    <row r="552" spans="1:1" s="9" customFormat="1">
      <c r="A552" s="15"/>
    </row>
    <row r="553" spans="1:1" s="9" customFormat="1">
      <c r="A553" s="15"/>
    </row>
    <row r="554" spans="1:1" s="9" customFormat="1">
      <c r="A554" s="15"/>
    </row>
    <row r="555" spans="1:1" s="9" customFormat="1">
      <c r="A555" s="15"/>
    </row>
    <row r="556" spans="1:1" s="9" customFormat="1">
      <c r="A556" s="15"/>
    </row>
    <row r="557" spans="1:1" s="9" customFormat="1">
      <c r="A557" s="15"/>
    </row>
    <row r="558" spans="1:1" s="9" customFormat="1">
      <c r="A558" s="15"/>
    </row>
    <row r="559" spans="1:1" s="9" customFormat="1">
      <c r="A559" s="15"/>
    </row>
    <row r="560" spans="1:1" s="9" customFormat="1">
      <c r="A560" s="15"/>
    </row>
    <row r="561" spans="1:1" s="9" customFormat="1">
      <c r="A561" s="15"/>
    </row>
    <row r="562" spans="1:1" s="9" customFormat="1">
      <c r="A562" s="15"/>
    </row>
    <row r="563" spans="1:1" s="9" customFormat="1">
      <c r="A563" s="15"/>
    </row>
    <row r="564" spans="1:1" s="9" customFormat="1">
      <c r="A564" s="15"/>
    </row>
    <row r="565" spans="1:1" s="9" customFormat="1">
      <c r="A565" s="15"/>
    </row>
    <row r="566" spans="1:1" s="9" customFormat="1">
      <c r="A566" s="15"/>
    </row>
    <row r="567" spans="1:1" s="9" customFormat="1">
      <c r="A567" s="15"/>
    </row>
    <row r="568" spans="1:1" s="9" customFormat="1">
      <c r="A568" s="15"/>
    </row>
    <row r="569" spans="1:1" s="9" customFormat="1">
      <c r="A569" s="15"/>
    </row>
    <row r="570" spans="1:1" s="9" customFormat="1">
      <c r="A570" s="15"/>
    </row>
    <row r="571" spans="1:1" s="9" customFormat="1">
      <c r="A571" s="15"/>
    </row>
    <row r="572" spans="1:1" s="9" customFormat="1">
      <c r="A572" s="15"/>
    </row>
    <row r="573" spans="1:1" s="9" customFormat="1">
      <c r="A573" s="15"/>
    </row>
    <row r="574" spans="1:1" s="9" customFormat="1">
      <c r="A574" s="15"/>
    </row>
    <row r="575" spans="1:1" s="9" customFormat="1">
      <c r="A575" s="15"/>
    </row>
    <row r="576" spans="1:1" s="9" customFormat="1">
      <c r="A576" s="15"/>
    </row>
    <row r="577" spans="1:1" s="9" customFormat="1">
      <c r="A577" s="15"/>
    </row>
    <row r="578" spans="1:1" s="9" customFormat="1">
      <c r="A578" s="15"/>
    </row>
    <row r="579" spans="1:1" s="9" customFormat="1">
      <c r="A579" s="15"/>
    </row>
    <row r="580" spans="1:1" s="9" customFormat="1">
      <c r="A580" s="15"/>
    </row>
    <row r="581" spans="1:1" s="9" customFormat="1">
      <c r="A581" s="15"/>
    </row>
    <row r="582" spans="1:1" s="9" customFormat="1">
      <c r="A582" s="15"/>
    </row>
    <row r="583" spans="1:1" s="9" customFormat="1">
      <c r="A583" s="15"/>
    </row>
    <row r="584" spans="1:1" s="9" customFormat="1">
      <c r="A584" s="15"/>
    </row>
    <row r="585" spans="1:1" s="9" customFormat="1">
      <c r="A585" s="15"/>
    </row>
    <row r="586" spans="1:1" s="9" customFormat="1">
      <c r="A586" s="15"/>
    </row>
    <row r="587" spans="1:1" s="9" customFormat="1">
      <c r="A587" s="15"/>
    </row>
    <row r="588" spans="1:1" s="9" customFormat="1">
      <c r="A588" s="15"/>
    </row>
    <row r="589" spans="1:1" s="9" customFormat="1">
      <c r="A589" s="15"/>
    </row>
    <row r="590" spans="1:1" s="9" customFormat="1">
      <c r="A590" s="15"/>
    </row>
    <row r="591" spans="1:1" s="9" customFormat="1">
      <c r="A591" s="15"/>
    </row>
    <row r="592" spans="1:1" s="9" customFormat="1">
      <c r="A592" s="15"/>
    </row>
    <row r="593" spans="1:1" s="9" customFormat="1">
      <c r="A593" s="15"/>
    </row>
    <row r="594" spans="1:1" s="9" customFormat="1">
      <c r="A594" s="15"/>
    </row>
    <row r="595" spans="1:1" s="9" customFormat="1">
      <c r="A595" s="15"/>
    </row>
    <row r="596" spans="1:1" s="9" customFormat="1">
      <c r="A596" s="15"/>
    </row>
    <row r="597" spans="1:1" s="9" customFormat="1">
      <c r="A597" s="15"/>
    </row>
    <row r="598" spans="1:1" s="9" customFormat="1">
      <c r="A598" s="15"/>
    </row>
    <row r="599" spans="1:1" s="9" customFormat="1">
      <c r="A599" s="15"/>
    </row>
    <row r="600" spans="1:1" s="9" customFormat="1">
      <c r="A600" s="15"/>
    </row>
    <row r="601" spans="1:1" s="9" customFormat="1">
      <c r="A601" s="15"/>
    </row>
    <row r="602" spans="1:1" s="9" customFormat="1">
      <c r="A602" s="15"/>
    </row>
    <row r="603" spans="1:1" s="9" customFormat="1">
      <c r="A603" s="15"/>
    </row>
    <row r="604" spans="1:1" s="9" customFormat="1">
      <c r="A604" s="15"/>
    </row>
    <row r="605" spans="1:1" s="9" customFormat="1">
      <c r="A605" s="15"/>
    </row>
    <row r="606" spans="1:1" s="9" customFormat="1">
      <c r="A606" s="15"/>
    </row>
    <row r="607" spans="1:1" s="9" customFormat="1">
      <c r="A607" s="15"/>
    </row>
    <row r="608" spans="1:1" s="9" customFormat="1">
      <c r="A608" s="15"/>
    </row>
    <row r="609" spans="1:1" s="9" customFormat="1">
      <c r="A609" s="15"/>
    </row>
    <row r="610" spans="1:1" s="9" customFormat="1">
      <c r="A610" s="15"/>
    </row>
    <row r="611" spans="1:1" s="9" customFormat="1">
      <c r="A611" s="15"/>
    </row>
    <row r="612" spans="1:1" s="9" customFormat="1">
      <c r="A612" s="15"/>
    </row>
    <row r="613" spans="1:1" s="9" customFormat="1">
      <c r="A613" s="15"/>
    </row>
    <row r="614" spans="1:1" s="9" customFormat="1">
      <c r="A614" s="15"/>
    </row>
    <row r="615" spans="1:1" s="9" customFormat="1">
      <c r="A615" s="15"/>
    </row>
    <row r="616" spans="1:1" s="9" customFormat="1">
      <c r="A616" s="15"/>
    </row>
    <row r="617" spans="1:1" s="9" customFormat="1">
      <c r="A617" s="15"/>
    </row>
    <row r="618" spans="1:1" s="9" customFormat="1">
      <c r="A618" s="15"/>
    </row>
    <row r="619" spans="1:1" s="9" customFormat="1">
      <c r="A619" s="15"/>
    </row>
    <row r="620" spans="1:1" s="9" customFormat="1">
      <c r="A620" s="15"/>
    </row>
    <row r="621" spans="1:1" s="9" customFormat="1">
      <c r="A621" s="15"/>
    </row>
    <row r="622" spans="1:1" s="9" customFormat="1">
      <c r="A622" s="15"/>
    </row>
    <row r="623" spans="1:1" s="9" customFormat="1">
      <c r="A623" s="15"/>
    </row>
    <row r="624" spans="1:1" s="9" customFormat="1">
      <c r="A624" s="15"/>
    </row>
    <row r="625" spans="1:1" s="9" customFormat="1">
      <c r="A625" s="15"/>
    </row>
    <row r="626" spans="1:1" s="9" customFormat="1">
      <c r="A626" s="15"/>
    </row>
    <row r="627" spans="1:1" s="9" customFormat="1">
      <c r="A627" s="15"/>
    </row>
    <row r="628" spans="1:1" s="9" customFormat="1">
      <c r="A628" s="15"/>
    </row>
    <row r="629" spans="1:1" s="9" customFormat="1">
      <c r="A629" s="15"/>
    </row>
    <row r="630" spans="1:1" s="9" customFormat="1">
      <c r="A630" s="15"/>
    </row>
    <row r="631" spans="1:1" s="9" customFormat="1">
      <c r="A631" s="15"/>
    </row>
    <row r="632" spans="1:1" s="9" customFormat="1">
      <c r="A632" s="15"/>
    </row>
    <row r="633" spans="1:1" s="9" customFormat="1">
      <c r="A633" s="15"/>
    </row>
    <row r="634" spans="1:1" s="9" customFormat="1">
      <c r="A634" s="15"/>
    </row>
    <row r="635" spans="1:1" s="9" customFormat="1">
      <c r="A635" s="15"/>
    </row>
    <row r="636" spans="1:1" s="9" customFormat="1">
      <c r="A636" s="15"/>
    </row>
    <row r="637" spans="1:1" s="9" customFormat="1">
      <c r="A637" s="15"/>
    </row>
    <row r="638" spans="1:1" s="9" customFormat="1">
      <c r="A638" s="15"/>
    </row>
    <row r="639" spans="1:1" s="9" customFormat="1">
      <c r="A639" s="15"/>
    </row>
    <row r="640" spans="1:1" s="9" customFormat="1">
      <c r="A640" s="15"/>
    </row>
    <row r="641" spans="1:1" s="9" customFormat="1">
      <c r="A641" s="15"/>
    </row>
    <row r="642" spans="1:1" s="9" customFormat="1">
      <c r="A642" s="15"/>
    </row>
    <row r="643" spans="1:1" s="9" customFormat="1">
      <c r="A643" s="15"/>
    </row>
    <row r="644" spans="1:1" s="9" customFormat="1">
      <c r="A644" s="15"/>
    </row>
    <row r="645" spans="1:1" s="9" customFormat="1">
      <c r="A645" s="15"/>
    </row>
    <row r="646" spans="1:1" s="9" customFormat="1">
      <c r="A646" s="15"/>
    </row>
    <row r="647" spans="1:1" s="9" customFormat="1">
      <c r="A647" s="15"/>
    </row>
    <row r="648" spans="1:1" s="9" customFormat="1">
      <c r="A648" s="15"/>
    </row>
    <row r="649" spans="1:1" s="9" customFormat="1">
      <c r="A649" s="15"/>
    </row>
    <row r="650" spans="1:1" s="9" customFormat="1">
      <c r="A650" s="15"/>
    </row>
    <row r="651" spans="1:1" s="9" customFormat="1">
      <c r="A651" s="15"/>
    </row>
    <row r="652" spans="1:1" s="9" customFormat="1">
      <c r="A652" s="15"/>
    </row>
    <row r="653" spans="1:1" s="9" customFormat="1">
      <c r="A653" s="15"/>
    </row>
    <row r="654" spans="1:1" s="9" customFormat="1">
      <c r="A654" s="15"/>
    </row>
    <row r="655" spans="1:1" s="9" customFormat="1">
      <c r="A655" s="15"/>
    </row>
    <row r="656" spans="1:1" s="9" customFormat="1">
      <c r="A656" s="15"/>
    </row>
    <row r="657" spans="1:1" s="9" customFormat="1">
      <c r="A657" s="15"/>
    </row>
    <row r="658" spans="1:1" s="9" customFormat="1">
      <c r="A658" s="15"/>
    </row>
    <row r="659" spans="1:1" s="9" customFormat="1">
      <c r="A659" s="15"/>
    </row>
    <row r="660" spans="1:1" s="9" customFormat="1">
      <c r="A660" s="15"/>
    </row>
    <row r="661" spans="1:1" s="9" customFormat="1">
      <c r="A661" s="15"/>
    </row>
    <row r="662" spans="1:1" s="9" customFormat="1">
      <c r="A662" s="15"/>
    </row>
    <row r="663" spans="1:1" s="9" customFormat="1">
      <c r="A663" s="15"/>
    </row>
    <row r="664" spans="1:1" s="9" customFormat="1">
      <c r="A664" s="15"/>
    </row>
    <row r="665" spans="1:1" s="9" customFormat="1">
      <c r="A665" s="15"/>
    </row>
    <row r="666" spans="1:1" s="9" customFormat="1">
      <c r="A666" s="15"/>
    </row>
    <row r="667" spans="1:1" s="9" customFormat="1">
      <c r="A667" s="15"/>
    </row>
    <row r="668" spans="1:1" s="9" customFormat="1">
      <c r="A668" s="15"/>
    </row>
    <row r="669" spans="1:1" s="9" customFormat="1">
      <c r="A669" s="15"/>
    </row>
    <row r="670" spans="1:1" s="9" customFormat="1">
      <c r="A670" s="15"/>
    </row>
    <row r="671" spans="1:1" s="9" customFormat="1">
      <c r="A671" s="15"/>
    </row>
    <row r="672" spans="1:1" s="9" customFormat="1">
      <c r="A672" s="15"/>
    </row>
    <row r="673" spans="1:1" s="9" customFormat="1">
      <c r="A673" s="15"/>
    </row>
    <row r="674" spans="1:1" s="9" customFormat="1">
      <c r="A674" s="15"/>
    </row>
    <row r="675" spans="1:1" s="9" customFormat="1">
      <c r="A675" s="15"/>
    </row>
    <row r="676" spans="1:1" s="9" customFormat="1">
      <c r="A676" s="15"/>
    </row>
    <row r="677" spans="1:1" s="9" customFormat="1">
      <c r="A677" s="15"/>
    </row>
    <row r="678" spans="1:1" s="9" customFormat="1">
      <c r="A678" s="15"/>
    </row>
    <row r="679" spans="1:1" s="9" customFormat="1">
      <c r="A679" s="15"/>
    </row>
    <row r="680" spans="1:1" s="9" customFormat="1">
      <c r="A680" s="15"/>
    </row>
    <row r="681" spans="1:1" s="9" customFormat="1">
      <c r="A681" s="15"/>
    </row>
    <row r="682" spans="1:1" s="9" customFormat="1">
      <c r="A682" s="15"/>
    </row>
    <row r="683" spans="1:1" s="9" customFormat="1">
      <c r="A683" s="15"/>
    </row>
    <row r="684" spans="1:1" s="9" customFormat="1">
      <c r="A684" s="15"/>
    </row>
    <row r="685" spans="1:1" s="9" customFormat="1">
      <c r="A685" s="15"/>
    </row>
    <row r="686" spans="1:1" s="9" customFormat="1">
      <c r="A686" s="15"/>
    </row>
    <row r="687" spans="1:1" s="9" customFormat="1">
      <c r="A687" s="15"/>
    </row>
    <row r="688" spans="1:1" s="9" customFormat="1">
      <c r="A688" s="15"/>
    </row>
    <row r="689" spans="1:1" s="9" customFormat="1">
      <c r="A689" s="15"/>
    </row>
    <row r="690" spans="1:1" s="9" customFormat="1">
      <c r="A690" s="15"/>
    </row>
    <row r="691" spans="1:1" s="9" customFormat="1">
      <c r="A691" s="15"/>
    </row>
    <row r="692" spans="1:1" s="9" customFormat="1">
      <c r="A692" s="15"/>
    </row>
    <row r="693" spans="1:1" s="9" customFormat="1">
      <c r="A693" s="15"/>
    </row>
    <row r="694" spans="1:1" s="9" customFormat="1">
      <c r="A694" s="15"/>
    </row>
    <row r="695" spans="1:1" s="9" customFormat="1">
      <c r="A695" s="15"/>
    </row>
    <row r="696" spans="1:1" s="9" customFormat="1">
      <c r="A696" s="15"/>
    </row>
    <row r="697" spans="1:1" s="9" customFormat="1">
      <c r="A697" s="15"/>
    </row>
    <row r="698" spans="1:1" s="9" customFormat="1">
      <c r="A698" s="15"/>
    </row>
    <row r="699" spans="1:1" s="9" customFormat="1">
      <c r="A699" s="15"/>
    </row>
    <row r="700" spans="1:1" s="9" customFormat="1">
      <c r="A700" s="15"/>
    </row>
    <row r="701" spans="1:1" s="9" customFormat="1">
      <c r="A701" s="15"/>
    </row>
    <row r="702" spans="1:1" s="9" customFormat="1">
      <c r="A702" s="15"/>
    </row>
    <row r="703" spans="1:1" s="9" customFormat="1">
      <c r="A703" s="15"/>
    </row>
    <row r="704" spans="1:1" s="9" customFormat="1">
      <c r="A704" s="15"/>
    </row>
    <row r="705" spans="1:1" s="9" customFormat="1">
      <c r="A705" s="15"/>
    </row>
    <row r="706" spans="1:1" s="9" customFormat="1">
      <c r="A706" s="15"/>
    </row>
    <row r="707" spans="1:1" s="9" customFormat="1">
      <c r="A707" s="15"/>
    </row>
    <row r="708" spans="1:1" s="9" customFormat="1">
      <c r="A708" s="15"/>
    </row>
    <row r="709" spans="1:1" s="9" customFormat="1">
      <c r="A709" s="15"/>
    </row>
    <row r="710" spans="1:1" s="9" customFormat="1">
      <c r="A710" s="15"/>
    </row>
    <row r="711" spans="1:1" s="9" customFormat="1">
      <c r="A711" s="15"/>
    </row>
    <row r="712" spans="1:1" s="9" customFormat="1">
      <c r="A712" s="15"/>
    </row>
    <row r="713" spans="1:1" s="9" customFormat="1">
      <c r="A713" s="15"/>
    </row>
    <row r="714" spans="1:1" s="9" customFormat="1">
      <c r="A714" s="15"/>
    </row>
    <row r="715" spans="1:1" s="9" customFormat="1">
      <c r="A715" s="15"/>
    </row>
    <row r="716" spans="1:1" s="9" customFormat="1">
      <c r="A716" s="15"/>
    </row>
    <row r="717" spans="1:1" s="9" customFormat="1">
      <c r="A717" s="15"/>
    </row>
    <row r="718" spans="1:1" s="9" customFormat="1">
      <c r="A718" s="15"/>
    </row>
    <row r="719" spans="1:1" s="9" customFormat="1">
      <c r="A719" s="15"/>
    </row>
    <row r="720" spans="1:1" s="9" customFormat="1">
      <c r="A720" s="15"/>
    </row>
    <row r="721" spans="1:1" s="9" customFormat="1">
      <c r="A721" s="15"/>
    </row>
    <row r="722" spans="1:1" s="9" customFormat="1">
      <c r="A722" s="15"/>
    </row>
    <row r="723" spans="1:1" s="9" customFormat="1">
      <c r="A723" s="15"/>
    </row>
    <row r="724" spans="1:1" s="9" customFormat="1">
      <c r="A724" s="15"/>
    </row>
    <row r="725" spans="1:1" s="9" customFormat="1">
      <c r="A725" s="15"/>
    </row>
    <row r="726" spans="1:1" s="9" customFormat="1">
      <c r="A726" s="15"/>
    </row>
    <row r="727" spans="1:1" s="9" customFormat="1">
      <c r="A727" s="15"/>
    </row>
    <row r="728" spans="1:1" s="9" customFormat="1">
      <c r="A728" s="15"/>
    </row>
    <row r="729" spans="1:1" s="9" customFormat="1">
      <c r="A729" s="15"/>
    </row>
    <row r="730" spans="1:1" s="9" customFormat="1">
      <c r="A730" s="15"/>
    </row>
    <row r="731" spans="1:1" s="9" customFormat="1">
      <c r="A731" s="15"/>
    </row>
    <row r="732" spans="1:1" s="9" customFormat="1">
      <c r="A732" s="15"/>
    </row>
    <row r="733" spans="1:1" s="9" customFormat="1">
      <c r="A733" s="15"/>
    </row>
    <row r="734" spans="1:1" s="9" customFormat="1">
      <c r="A734" s="15"/>
    </row>
    <row r="735" spans="1:1" s="9" customFormat="1">
      <c r="A735" s="15"/>
    </row>
    <row r="736" spans="1:1" s="9" customFormat="1">
      <c r="A736" s="15"/>
    </row>
    <row r="737" spans="1:1" s="9" customFormat="1">
      <c r="A737" s="15"/>
    </row>
    <row r="738" spans="1:1" s="9" customFormat="1">
      <c r="A738" s="15"/>
    </row>
    <row r="739" spans="1:1" s="9" customFormat="1">
      <c r="A739" s="15"/>
    </row>
    <row r="740" spans="1:1" s="9" customFormat="1">
      <c r="A740" s="15"/>
    </row>
    <row r="741" spans="1:1" s="9" customFormat="1">
      <c r="A741" s="15"/>
    </row>
    <row r="742" spans="1:1" s="9" customFormat="1">
      <c r="A742" s="15"/>
    </row>
    <row r="743" spans="1:1" s="9" customFormat="1">
      <c r="A743" s="15"/>
    </row>
    <row r="744" spans="1:1" s="9" customFormat="1">
      <c r="A744" s="15"/>
    </row>
    <row r="745" spans="1:1" s="9" customFormat="1">
      <c r="A745" s="15"/>
    </row>
    <row r="746" spans="1:1" s="9" customFormat="1">
      <c r="A746" s="15"/>
    </row>
    <row r="747" spans="1:1" s="9" customFormat="1">
      <c r="A747" s="15"/>
    </row>
    <row r="748" spans="1:1" s="9" customFormat="1">
      <c r="A748" s="15"/>
    </row>
    <row r="749" spans="1:1" s="9" customFormat="1">
      <c r="A749" s="15"/>
    </row>
    <row r="750" spans="1:1" s="9" customFormat="1">
      <c r="A750" s="15"/>
    </row>
    <row r="751" spans="1:1" s="9" customFormat="1">
      <c r="A751" s="15"/>
    </row>
    <row r="752" spans="1:1" s="9" customFormat="1">
      <c r="A752" s="15"/>
    </row>
    <row r="753" spans="1:1" s="9" customFormat="1">
      <c r="A753" s="15"/>
    </row>
    <row r="754" spans="1:1" s="9" customFormat="1">
      <c r="A754" s="15"/>
    </row>
    <row r="755" spans="1:1" s="9" customFormat="1">
      <c r="A755" s="15"/>
    </row>
    <row r="756" spans="1:1" s="9" customFormat="1">
      <c r="A756" s="15"/>
    </row>
    <row r="757" spans="1:1" s="9" customFormat="1">
      <c r="A757" s="15"/>
    </row>
    <row r="758" spans="1:1" s="9" customFormat="1">
      <c r="A758" s="15"/>
    </row>
    <row r="759" spans="1:1" s="9" customFormat="1">
      <c r="A759" s="15"/>
    </row>
    <row r="760" spans="1:1" s="9" customFormat="1">
      <c r="A760" s="15"/>
    </row>
    <row r="761" spans="1:1" s="9" customFormat="1">
      <c r="A761" s="15"/>
    </row>
    <row r="762" spans="1:1" s="9" customFormat="1">
      <c r="A762" s="15"/>
    </row>
    <row r="763" spans="1:1" s="9" customFormat="1">
      <c r="A763" s="15"/>
    </row>
    <row r="764" spans="1:1" s="9" customFormat="1">
      <c r="A764" s="15"/>
    </row>
    <row r="765" spans="1:1" s="9" customFormat="1">
      <c r="A765" s="15"/>
    </row>
    <row r="766" spans="1:1" s="9" customFormat="1">
      <c r="A766" s="15"/>
    </row>
    <row r="767" spans="1:1" s="9" customFormat="1">
      <c r="A767" s="15"/>
    </row>
    <row r="768" spans="1:1" s="9" customFormat="1">
      <c r="A768" s="15"/>
    </row>
    <row r="769" spans="1:1" s="9" customFormat="1">
      <c r="A769" s="15"/>
    </row>
    <row r="770" spans="1:1" s="9" customFormat="1">
      <c r="A770" s="15"/>
    </row>
    <row r="771" spans="1:1" s="9" customFormat="1">
      <c r="A771" s="15"/>
    </row>
    <row r="772" spans="1:1" s="9" customFormat="1">
      <c r="A772" s="15"/>
    </row>
    <row r="773" spans="1:1" s="9" customFormat="1">
      <c r="A773" s="15"/>
    </row>
    <row r="774" spans="1:1" s="9" customFormat="1">
      <c r="A774" s="15"/>
    </row>
    <row r="775" spans="1:1" s="9" customFormat="1">
      <c r="A775" s="15"/>
    </row>
    <row r="776" spans="1:1" s="9" customFormat="1">
      <c r="A776" s="15"/>
    </row>
    <row r="777" spans="1:1" s="9" customFormat="1">
      <c r="A777" s="15"/>
    </row>
    <row r="778" spans="1:1" s="9" customFormat="1">
      <c r="A778" s="15"/>
    </row>
    <row r="779" spans="1:1" s="9" customFormat="1">
      <c r="A779" s="15"/>
    </row>
    <row r="780" spans="1:1" s="9" customFormat="1">
      <c r="A780" s="15"/>
    </row>
    <row r="781" spans="1:1" s="9" customFormat="1">
      <c r="A781" s="15"/>
    </row>
    <row r="782" spans="1:1" s="9" customFormat="1">
      <c r="A782" s="15"/>
    </row>
    <row r="783" spans="1:1" s="9" customFormat="1">
      <c r="A783" s="15"/>
    </row>
    <row r="784" spans="1:1" s="9" customFormat="1">
      <c r="A784" s="15"/>
    </row>
    <row r="785" spans="1:1" s="9" customFormat="1">
      <c r="A785" s="15"/>
    </row>
    <row r="786" spans="1:1" s="9" customFormat="1">
      <c r="A786" s="15"/>
    </row>
    <row r="787" spans="1:1" s="9" customFormat="1">
      <c r="A787" s="15"/>
    </row>
    <row r="788" spans="1:1" s="9" customFormat="1">
      <c r="A788" s="15"/>
    </row>
    <row r="789" spans="1:1" s="9" customFormat="1">
      <c r="A789" s="15"/>
    </row>
    <row r="790" spans="1:1" s="9" customFormat="1">
      <c r="A790" s="15"/>
    </row>
    <row r="791" spans="1:1" s="9" customFormat="1">
      <c r="A791" s="15"/>
    </row>
    <row r="792" spans="1:1" s="9" customFormat="1">
      <c r="A792" s="15"/>
    </row>
    <row r="793" spans="1:1" s="9" customFormat="1">
      <c r="A793" s="15"/>
    </row>
    <row r="794" spans="1:1" s="9" customFormat="1">
      <c r="A794" s="15"/>
    </row>
    <row r="795" spans="1:1" s="9" customFormat="1">
      <c r="A795" s="15"/>
    </row>
    <row r="796" spans="1:1" s="9" customFormat="1">
      <c r="A796" s="15"/>
    </row>
    <row r="797" spans="1:1" s="9" customFormat="1">
      <c r="A797" s="15"/>
    </row>
    <row r="798" spans="1:1" s="9" customFormat="1">
      <c r="A798" s="15"/>
    </row>
    <row r="799" spans="1:1" s="9" customFormat="1">
      <c r="A799" s="15"/>
    </row>
    <row r="800" spans="1:1" s="9" customFormat="1">
      <c r="A800" s="15"/>
    </row>
    <row r="801" spans="1:1" s="9" customFormat="1">
      <c r="A801" s="15"/>
    </row>
    <row r="802" spans="1:1" s="9" customFormat="1">
      <c r="A802" s="15"/>
    </row>
    <row r="803" spans="1:1" s="9" customFormat="1">
      <c r="A803" s="15"/>
    </row>
    <row r="804" spans="1:1" s="9" customFormat="1">
      <c r="A804" s="15"/>
    </row>
    <row r="805" spans="1:1" s="9" customFormat="1">
      <c r="A805" s="15"/>
    </row>
    <row r="806" spans="1:1" s="9" customFormat="1">
      <c r="A806" s="15"/>
    </row>
    <row r="807" spans="1:1" s="9" customFormat="1">
      <c r="A807" s="15"/>
    </row>
    <row r="808" spans="1:1" s="9" customFormat="1">
      <c r="A808" s="15"/>
    </row>
    <row r="809" spans="1:1" s="9" customFormat="1">
      <c r="A809" s="15"/>
    </row>
    <row r="810" spans="1:1" s="9" customFormat="1">
      <c r="A810" s="15"/>
    </row>
    <row r="811" spans="1:1" s="9" customFormat="1">
      <c r="A811" s="15"/>
    </row>
    <row r="812" spans="1:1" s="9" customFormat="1">
      <c r="A812" s="15"/>
    </row>
    <row r="813" spans="1:1" s="9" customFormat="1">
      <c r="A813" s="15"/>
    </row>
    <row r="814" spans="1:1" s="9" customFormat="1">
      <c r="A814" s="15"/>
    </row>
    <row r="815" spans="1:1" s="9" customFormat="1">
      <c r="A815" s="15"/>
    </row>
    <row r="816" spans="1:1" s="9" customFormat="1">
      <c r="A816" s="15"/>
    </row>
    <row r="817" spans="1:1" s="9" customFormat="1">
      <c r="A817" s="15"/>
    </row>
    <row r="818" spans="1:1" s="9" customFormat="1">
      <c r="A818" s="15"/>
    </row>
    <row r="819" spans="1:1" s="9" customFormat="1">
      <c r="A819" s="15"/>
    </row>
    <row r="820" spans="1:1" s="9" customFormat="1">
      <c r="A820" s="15"/>
    </row>
    <row r="821" spans="1:1" s="9" customFormat="1">
      <c r="A821" s="15"/>
    </row>
    <row r="822" spans="1:1" s="9" customFormat="1">
      <c r="A822" s="15"/>
    </row>
    <row r="823" spans="1:1" s="9" customFormat="1">
      <c r="A823" s="15"/>
    </row>
    <row r="824" spans="1:1" s="9" customFormat="1">
      <c r="A824" s="15"/>
    </row>
    <row r="825" spans="1:1" s="9" customFormat="1">
      <c r="A825" s="15"/>
    </row>
    <row r="826" spans="1:1" s="9" customFormat="1">
      <c r="A826" s="15"/>
    </row>
    <row r="827" spans="1:1" s="9" customFormat="1">
      <c r="A827" s="15"/>
    </row>
    <row r="828" spans="1:1" s="9" customFormat="1">
      <c r="A828" s="15"/>
    </row>
    <row r="829" spans="1:1" s="9" customFormat="1">
      <c r="A829" s="15"/>
    </row>
    <row r="830" spans="1:1" s="9" customFormat="1">
      <c r="A830" s="15"/>
    </row>
    <row r="831" spans="1:1" s="9" customFormat="1">
      <c r="A831" s="15"/>
    </row>
    <row r="832" spans="1:1" s="9" customFormat="1">
      <c r="A832" s="15"/>
    </row>
    <row r="833" spans="1:1" s="9" customFormat="1">
      <c r="A833" s="15"/>
    </row>
    <row r="834" spans="1:1" s="9" customFormat="1">
      <c r="A834" s="15"/>
    </row>
    <row r="835" spans="1:1" s="9" customFormat="1">
      <c r="A835" s="15"/>
    </row>
    <row r="836" spans="1:1" s="9" customFormat="1">
      <c r="A836" s="15"/>
    </row>
    <row r="837" spans="1:1" s="9" customFormat="1">
      <c r="A837" s="15"/>
    </row>
    <row r="838" spans="1:1" s="9" customFormat="1">
      <c r="A838" s="15"/>
    </row>
    <row r="839" spans="1:1" s="9" customFormat="1">
      <c r="A839" s="15"/>
    </row>
    <row r="840" spans="1:1" s="9" customFormat="1">
      <c r="A840" s="15"/>
    </row>
    <row r="841" spans="1:1" s="9" customFormat="1">
      <c r="A841" s="15"/>
    </row>
    <row r="842" spans="1:1" s="9" customFormat="1">
      <c r="A842" s="15"/>
    </row>
    <row r="843" spans="1:1" s="9" customFormat="1">
      <c r="A843" s="15"/>
    </row>
    <row r="844" spans="1:1" s="9" customFormat="1">
      <c r="A844" s="15"/>
    </row>
    <row r="845" spans="1:1" s="9" customFormat="1">
      <c r="A845" s="15"/>
    </row>
    <row r="846" spans="1:1" s="9" customFormat="1">
      <c r="A846" s="15"/>
    </row>
    <row r="847" spans="1:1" s="9" customFormat="1">
      <c r="A847" s="15"/>
    </row>
    <row r="848" spans="1:1" s="9" customFormat="1">
      <c r="A848" s="15"/>
    </row>
    <row r="849" spans="1:1" s="9" customFormat="1">
      <c r="A849" s="15"/>
    </row>
    <row r="850" spans="1:1" s="9" customFormat="1">
      <c r="A850" s="15"/>
    </row>
    <row r="851" spans="1:1" s="9" customFormat="1">
      <c r="A851" s="15"/>
    </row>
    <row r="852" spans="1:1" s="9" customFormat="1">
      <c r="A852" s="15"/>
    </row>
    <row r="853" spans="1:1" s="9" customFormat="1">
      <c r="A853" s="15"/>
    </row>
    <row r="854" spans="1:1" s="9" customFormat="1">
      <c r="A854" s="15"/>
    </row>
    <row r="855" spans="1:1" s="9" customFormat="1">
      <c r="A855" s="15"/>
    </row>
    <row r="856" spans="1:1" s="9" customFormat="1">
      <c r="A856" s="15"/>
    </row>
    <row r="857" spans="1:1" s="9" customFormat="1">
      <c r="A857" s="15"/>
    </row>
    <row r="858" spans="1:1" s="9" customFormat="1">
      <c r="A858" s="15"/>
    </row>
    <row r="859" spans="1:1" s="9" customFormat="1">
      <c r="A859" s="15"/>
    </row>
    <row r="860" spans="1:1" s="9" customFormat="1">
      <c r="A860" s="15"/>
    </row>
    <row r="861" spans="1:1" s="9" customFormat="1">
      <c r="A861" s="15"/>
    </row>
    <row r="862" spans="1:1" s="9" customFormat="1">
      <c r="A862" s="15"/>
    </row>
    <row r="863" spans="1:1" s="9" customFormat="1">
      <c r="A863" s="15"/>
    </row>
    <row r="864" spans="1:1" s="9" customFormat="1">
      <c r="A864" s="15"/>
    </row>
    <row r="865" spans="1:1" s="9" customFormat="1">
      <c r="A865" s="15"/>
    </row>
    <row r="866" spans="1:1" s="9" customFormat="1">
      <c r="A866" s="15"/>
    </row>
    <row r="867" spans="1:1" s="9" customFormat="1">
      <c r="A867" s="15"/>
    </row>
    <row r="868" spans="1:1" s="9" customFormat="1">
      <c r="A868" s="15"/>
    </row>
    <row r="869" spans="1:1" s="9" customFormat="1">
      <c r="A869" s="15"/>
    </row>
    <row r="870" spans="1:1" s="9" customFormat="1">
      <c r="A870" s="15"/>
    </row>
    <row r="871" spans="1:1" s="9" customFormat="1">
      <c r="A871" s="15"/>
    </row>
    <row r="872" spans="1:1" s="9" customFormat="1">
      <c r="A872" s="15"/>
    </row>
    <row r="873" spans="1:1" s="9" customFormat="1">
      <c r="A873" s="15"/>
    </row>
    <row r="874" spans="1:1" s="9" customFormat="1">
      <c r="A874" s="15"/>
    </row>
    <row r="875" spans="1:1" s="9" customFormat="1">
      <c r="A875" s="15"/>
    </row>
    <row r="876" spans="1:1" s="9" customFormat="1">
      <c r="A876" s="15"/>
    </row>
    <row r="877" spans="1:1" s="9" customFormat="1">
      <c r="A877" s="15"/>
    </row>
    <row r="878" spans="1:1" s="9" customFormat="1">
      <c r="A878" s="15"/>
    </row>
    <row r="879" spans="1:1" s="9" customFormat="1">
      <c r="A879" s="15"/>
    </row>
    <row r="880" spans="1:1" s="9" customFormat="1">
      <c r="A880" s="15"/>
    </row>
    <row r="881" spans="1:1" s="9" customFormat="1">
      <c r="A881" s="15"/>
    </row>
    <row r="882" spans="1:1" s="9" customFormat="1">
      <c r="A882" s="15"/>
    </row>
    <row r="883" spans="1:1" s="9" customFormat="1">
      <c r="A883" s="15"/>
    </row>
    <row r="884" spans="1:1" s="9" customFormat="1">
      <c r="A884" s="15"/>
    </row>
    <row r="885" spans="1:1" s="9" customFormat="1">
      <c r="A885" s="15"/>
    </row>
    <row r="886" spans="1:1" s="9" customFormat="1">
      <c r="A886" s="15"/>
    </row>
    <row r="887" spans="1:1" s="9" customFormat="1">
      <c r="A887" s="15"/>
    </row>
    <row r="888" spans="1:1" s="9" customFormat="1">
      <c r="A888" s="15"/>
    </row>
    <row r="889" spans="1:1" s="9" customFormat="1">
      <c r="A889" s="15"/>
    </row>
    <row r="890" spans="1:1" s="9" customFormat="1">
      <c r="A890" s="15"/>
    </row>
    <row r="891" spans="1:1" s="9" customFormat="1">
      <c r="A891" s="15"/>
    </row>
    <row r="892" spans="1:1" s="9" customFormat="1">
      <c r="A892" s="15"/>
    </row>
    <row r="893" spans="1:1" s="9" customFormat="1">
      <c r="A893" s="15"/>
    </row>
    <row r="894" spans="1:1" s="9" customFormat="1">
      <c r="A894" s="15"/>
    </row>
    <row r="895" spans="1:1" s="9" customFormat="1">
      <c r="A895" s="15"/>
    </row>
    <row r="896" spans="1:1" s="9" customFormat="1">
      <c r="A896" s="15"/>
    </row>
    <row r="897" spans="1:1" s="9" customFormat="1">
      <c r="A897" s="15"/>
    </row>
    <row r="898" spans="1:1" s="9" customFormat="1">
      <c r="A898" s="15"/>
    </row>
    <row r="899" spans="1:1" s="9" customFormat="1">
      <c r="A899" s="15"/>
    </row>
    <row r="900" spans="1:1" s="9" customFormat="1">
      <c r="A900" s="15"/>
    </row>
    <row r="901" spans="1:1" s="9" customFormat="1">
      <c r="A901" s="15"/>
    </row>
    <row r="902" spans="1:1" s="9" customFormat="1">
      <c r="A902" s="15"/>
    </row>
    <row r="903" spans="1:1" s="9" customFormat="1">
      <c r="A903" s="15"/>
    </row>
    <row r="904" spans="1:1" s="9" customFormat="1">
      <c r="A904" s="15"/>
    </row>
    <row r="905" spans="1:1" s="9" customFormat="1">
      <c r="A905" s="15"/>
    </row>
    <row r="906" spans="1:1" s="9" customFormat="1">
      <c r="A906" s="15"/>
    </row>
    <row r="907" spans="1:1" s="9" customFormat="1">
      <c r="A907" s="15"/>
    </row>
    <row r="908" spans="1:1" s="9" customFormat="1">
      <c r="A908" s="15"/>
    </row>
    <row r="909" spans="1:1" s="9" customFormat="1">
      <c r="A909" s="15"/>
    </row>
    <row r="910" spans="1:1" s="9" customFormat="1">
      <c r="A910" s="15"/>
    </row>
    <row r="911" spans="1:1" s="9" customFormat="1">
      <c r="A911" s="15"/>
    </row>
    <row r="912" spans="1:1" s="9" customFormat="1">
      <c r="A912" s="15"/>
    </row>
    <row r="913" spans="1:1" s="9" customFormat="1">
      <c r="A913" s="15"/>
    </row>
    <row r="914" spans="1:1" s="9" customFormat="1">
      <c r="A914" s="15"/>
    </row>
    <row r="915" spans="1:1" s="9" customFormat="1">
      <c r="A915" s="15"/>
    </row>
    <row r="916" spans="1:1" s="9" customFormat="1">
      <c r="A916" s="15"/>
    </row>
    <row r="917" spans="1:1" s="9" customFormat="1">
      <c r="A917" s="15"/>
    </row>
    <row r="918" spans="1:1" s="9" customFormat="1">
      <c r="A918" s="15"/>
    </row>
    <row r="919" spans="1:1" s="9" customFormat="1">
      <c r="A919" s="15"/>
    </row>
    <row r="920" spans="1:1" s="9" customFormat="1">
      <c r="A920" s="15"/>
    </row>
    <row r="921" spans="1:1" s="9" customFormat="1">
      <c r="A921" s="15"/>
    </row>
    <row r="922" spans="1:1" s="9" customFormat="1">
      <c r="A922" s="15"/>
    </row>
    <row r="923" spans="1:1" s="9" customFormat="1">
      <c r="A923" s="15"/>
    </row>
    <row r="924" spans="1:1" s="9" customFormat="1">
      <c r="A924" s="15"/>
    </row>
    <row r="925" spans="1:1" s="9" customFormat="1">
      <c r="A925" s="15"/>
    </row>
    <row r="926" spans="1:1" s="9" customFormat="1">
      <c r="A926" s="15"/>
    </row>
    <row r="927" spans="1:1" s="9" customFormat="1">
      <c r="A927" s="15"/>
    </row>
    <row r="928" spans="1:1" s="9" customFormat="1">
      <c r="A928" s="15"/>
    </row>
    <row r="929" spans="1:1" s="9" customFormat="1">
      <c r="A929" s="15"/>
    </row>
    <row r="930" spans="1:1" s="9" customFormat="1">
      <c r="A930" s="15"/>
    </row>
    <row r="931" spans="1:1" s="9" customFormat="1">
      <c r="A931" s="15"/>
    </row>
    <row r="932" spans="1:1" s="9" customFormat="1">
      <c r="A932" s="15"/>
    </row>
    <row r="933" spans="1:1" s="9" customFormat="1">
      <c r="A933" s="15"/>
    </row>
    <row r="934" spans="1:1" s="9" customFormat="1">
      <c r="A934" s="15"/>
    </row>
    <row r="935" spans="1:1" s="9" customFormat="1">
      <c r="A935" s="15"/>
    </row>
    <row r="936" spans="1:1" s="9" customFormat="1">
      <c r="A936" s="15"/>
    </row>
    <row r="937" spans="1:1" s="9" customFormat="1">
      <c r="A937" s="15"/>
    </row>
    <row r="938" spans="1:1" s="9" customFormat="1">
      <c r="A938" s="15"/>
    </row>
    <row r="939" spans="1:1" s="9" customFormat="1">
      <c r="A939" s="15"/>
    </row>
    <row r="940" spans="1:1" s="9" customFormat="1">
      <c r="A940" s="15"/>
    </row>
    <row r="941" spans="1:1" s="9" customFormat="1">
      <c r="A941" s="15"/>
    </row>
    <row r="942" spans="1:1" s="9" customFormat="1">
      <c r="A942" s="15"/>
    </row>
    <row r="943" spans="1:1" s="9" customFormat="1">
      <c r="A943" s="15"/>
    </row>
    <row r="944" spans="1:1" s="9" customFormat="1">
      <c r="A944" s="15"/>
    </row>
    <row r="945" spans="1:1" s="9" customFormat="1">
      <c r="A945" s="15"/>
    </row>
    <row r="946" spans="1:1" s="9" customFormat="1">
      <c r="A946" s="15"/>
    </row>
    <row r="947" spans="1:1" s="9" customFormat="1">
      <c r="A947" s="15"/>
    </row>
    <row r="948" spans="1:1" s="9" customFormat="1">
      <c r="A948" s="15"/>
    </row>
    <row r="949" spans="1:1" s="9" customFormat="1">
      <c r="A949" s="15"/>
    </row>
    <row r="950" spans="1:1" s="9" customFormat="1">
      <c r="A950" s="15"/>
    </row>
    <row r="951" spans="1:1" s="9" customFormat="1">
      <c r="A951" s="15"/>
    </row>
    <row r="952" spans="1:1" s="9" customFormat="1">
      <c r="A952" s="15"/>
    </row>
    <row r="953" spans="1:1" s="9" customFormat="1">
      <c r="A953" s="15"/>
    </row>
    <row r="954" spans="1:1" s="9" customFormat="1">
      <c r="A954" s="15"/>
    </row>
    <row r="955" spans="1:1" s="9" customFormat="1">
      <c r="A955" s="15"/>
    </row>
    <row r="956" spans="1:1" s="9" customFormat="1">
      <c r="A956" s="15"/>
    </row>
    <row r="957" spans="1:1" s="9" customFormat="1">
      <c r="A957" s="15"/>
    </row>
    <row r="958" spans="1:1" s="9" customFormat="1">
      <c r="A958" s="15"/>
    </row>
    <row r="959" spans="1:1" s="9" customFormat="1">
      <c r="A959" s="15"/>
    </row>
    <row r="960" spans="1:1" s="9" customFormat="1">
      <c r="A960" s="15"/>
    </row>
    <row r="961" spans="1:1" s="9" customFormat="1">
      <c r="A961" s="15"/>
    </row>
    <row r="962" spans="1:1" s="9" customFormat="1">
      <c r="A962" s="15"/>
    </row>
    <row r="963" spans="1:1" s="9" customFormat="1">
      <c r="A963" s="15"/>
    </row>
    <row r="964" spans="1:1" s="9" customFormat="1">
      <c r="A964" s="15"/>
    </row>
    <row r="965" spans="1:1" s="9" customFormat="1">
      <c r="A965" s="15"/>
    </row>
    <row r="966" spans="1:1" s="9" customFormat="1">
      <c r="A966" s="15"/>
    </row>
    <row r="967" spans="1:1" s="9" customFormat="1">
      <c r="A967" s="15"/>
    </row>
    <row r="968" spans="1:1" s="9" customFormat="1">
      <c r="A968" s="15"/>
    </row>
    <row r="969" spans="1:1" s="9" customFormat="1">
      <c r="A969" s="15"/>
    </row>
    <row r="970" spans="1:1" s="9" customFormat="1">
      <c r="A970" s="15"/>
    </row>
    <row r="971" spans="1:1" s="9" customFormat="1">
      <c r="A971" s="15"/>
    </row>
    <row r="972" spans="1:1" s="9" customFormat="1">
      <c r="A972" s="15"/>
    </row>
    <row r="973" spans="1:1" s="9" customFormat="1">
      <c r="A973" s="15"/>
    </row>
    <row r="974" spans="1:1" s="9" customFormat="1">
      <c r="A974" s="15"/>
    </row>
    <row r="975" spans="1:1" s="9" customFormat="1">
      <c r="A975" s="15"/>
    </row>
    <row r="976" spans="1:1" s="9" customFormat="1">
      <c r="A976" s="15"/>
    </row>
    <row r="977" spans="1:1" s="9" customFormat="1">
      <c r="A977" s="15"/>
    </row>
    <row r="978" spans="1:1" s="9" customFormat="1">
      <c r="A978" s="15"/>
    </row>
    <row r="979" spans="1:1" s="9" customFormat="1">
      <c r="A979" s="15"/>
    </row>
    <row r="980" spans="1:1" s="9" customFormat="1">
      <c r="A980" s="15"/>
    </row>
    <row r="981" spans="1:1" s="9" customFormat="1">
      <c r="A981" s="15"/>
    </row>
    <row r="982" spans="1:1" s="9" customFormat="1">
      <c r="A982" s="15"/>
    </row>
    <row r="983" spans="1:1" s="9" customFormat="1">
      <c r="A983" s="15"/>
    </row>
    <row r="984" spans="1:1" s="9" customFormat="1">
      <c r="A984" s="15"/>
    </row>
    <row r="985" spans="1:1" s="9" customFormat="1">
      <c r="A985" s="15"/>
    </row>
    <row r="986" spans="1:1" s="9" customFormat="1">
      <c r="A986" s="15"/>
    </row>
    <row r="987" spans="1:1" s="9" customFormat="1">
      <c r="A987" s="15"/>
    </row>
    <row r="988" spans="1:1" s="9" customFormat="1">
      <c r="A988" s="15"/>
    </row>
    <row r="989" spans="1:1" s="9" customFormat="1">
      <c r="A989" s="15"/>
    </row>
    <row r="990" spans="1:1" s="9" customFormat="1">
      <c r="A990" s="15"/>
    </row>
    <row r="991" spans="1:1" s="9" customFormat="1">
      <c r="A991" s="15"/>
    </row>
    <row r="992" spans="1:1" s="9" customFormat="1">
      <c r="A992" s="15"/>
    </row>
    <row r="993" spans="1:1" s="9" customFormat="1">
      <c r="A993" s="15"/>
    </row>
  </sheetData>
  <mergeCells count="26">
    <mergeCell ref="A1:CU1"/>
    <mergeCell ref="A2:CU2"/>
    <mergeCell ref="AB4:AF4"/>
    <mergeCell ref="R4:V4"/>
    <mergeCell ref="M4:Q4"/>
    <mergeCell ref="A3:B3"/>
    <mergeCell ref="C4:G4"/>
    <mergeCell ref="AQ4:AU4"/>
    <mergeCell ref="BF4:BJ4"/>
    <mergeCell ref="H4:L4"/>
    <mergeCell ref="BK4:BO4"/>
    <mergeCell ref="AV4:AZ4"/>
    <mergeCell ref="CU4:CU5"/>
    <mergeCell ref="AG4:AK4"/>
    <mergeCell ref="S3:CU3"/>
    <mergeCell ref="CJ4:CN4"/>
    <mergeCell ref="A131:L131"/>
    <mergeCell ref="W4:AA4"/>
    <mergeCell ref="BA4:BE4"/>
    <mergeCell ref="B4:B5"/>
    <mergeCell ref="AL4:AO4"/>
    <mergeCell ref="CO4:CS4"/>
    <mergeCell ref="CE4:CI4"/>
    <mergeCell ref="BZ4:CD4"/>
    <mergeCell ref="BU4:BY4"/>
    <mergeCell ref="BP4:BT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RUS</vt:lpstr>
      <vt:lpstr>RUS!Print_Titles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2011-05-06T06:52:20Z</cp:lastPrinted>
  <dcterms:created xsi:type="dcterms:W3CDTF">2008-10-21T12:23:18Z</dcterms:created>
  <dcterms:modified xsi:type="dcterms:W3CDTF">2024-02-19T13:00:12Z</dcterms:modified>
</cp:coreProperties>
</file>