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288" firstSheet="2" activeTab="5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Comerciala_Tari'!$3:$3</definedName>
    <definedName name="_xlnm.Print_Titles" localSheetId="5">'Balanta_Comerciala_Gr_Marf_CSCI'!$4:$4</definedName>
    <definedName name="_xlnm.Print_Titles" localSheetId="3">'Export_Grupe_Marfuri_CSCI'!$4:$5</definedName>
    <definedName name="_xlnm.Print_Titles" localSheetId="0">'Export_Tari'!$3:$4</definedName>
    <definedName name="_xlnm.Print_Titles" localSheetId="4">'Import_Grupe_Marfuri_CSCI'!$4:$5</definedName>
    <definedName name="_xlnm.Print_Titles" localSheetId="1">'Import_Tari'!$3:$4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<sst xmlns="http://schemas.openxmlformats.org/spreadsheetml/2006/main" count="586" uniqueCount="230">
  <si>
    <t>Structura, %</t>
  </si>
  <si>
    <t>Gradul de influenţă a ţărilor, grupelor de ţări  la creşterea (+),  scăderea (-) exporturilor, %</t>
  </si>
  <si>
    <t>mil. dolari SUA</t>
  </si>
  <si>
    <t>2015¹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</si>
  <si>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</si>
  <si>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</si>
  <si>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</si>
  <si>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</si>
  <si>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</si>
  <si>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</si>
  <si>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</si>
  <si>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</si>
  <si>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</si>
  <si>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</si>
  <si>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</si>
  <si>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</si>
  <si>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de 1,8 ori</t>
  </si>
  <si>
    <t>de 3,5 ori</t>
  </si>
  <si>
    <t>de 4,1 ori</t>
  </si>
  <si>
    <t>Ţările CSI</t>
  </si>
  <si>
    <t>Federaţia Rusă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</si>
  <si>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</si>
  <si>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</si>
  <si>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</si>
  <si>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</si>
  <si>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</si>
  <si>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</si>
  <si>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</si>
  <si>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</si>
  <si>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</si>
  <si>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</si>
  <si>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</si>
  <si>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</si>
  <si>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2,7 ori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</si>
  <si>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</si>
  <si>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</si>
  <si>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</si>
  <si>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</si>
  <si>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</si>
  <si>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</si>
  <si>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</si>
  <si>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</si>
  <si>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</si>
  <si>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Balanţa comercială – total, mil. dolari SUA</t>
  </si>
  <si>
    <t>de 3,2 ori</t>
  </si>
  <si>
    <t>de 1,9 ori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</si>
  <si>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</si>
  <si>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</si>
  <si>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</si>
  <si>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</si>
  <si>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</si>
  <si>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</si>
  <si>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</si>
  <si>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</si>
  <si>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</si>
  <si>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</si>
  <si>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</si>
  <si>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</si>
  <si>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</si>
  <si>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</si>
  <si>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</si>
  <si>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</si>
  <si>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</si>
  <si>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</si>
  <si>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</si>
  <si>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</si>
  <si>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</si>
  <si>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</si>
  <si>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</si>
  <si>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</si>
  <si>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</si>
  <si>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</si>
  <si>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</si>
  <si>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</si>
  <si>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</si>
  <si>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</si>
  <si>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</si>
  <si>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</si>
  <si>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</si>
  <si>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</si>
  <si>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</si>
  <si>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</si>
  <si>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</si>
  <si>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</si>
  <si>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</si>
  <si>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</si>
  <si>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</si>
  <si>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</si>
  <si>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</si>
  <si>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</si>
  <si>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</si>
  <si>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</si>
  <si>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</si>
  <si>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</si>
  <si>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</si>
  <si>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</si>
  <si>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</si>
  <si>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</si>
  <si>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</si>
  <si>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</si>
  <si>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</si>
  <si>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</si>
  <si>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</si>
  <si>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</si>
  <si>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</si>
  <si>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</si>
  <si>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</si>
  <si>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</si>
  <si>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</si>
  <si>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</si>
  <si>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</si>
  <si>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</si>
  <si>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</si>
  <si>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</si>
  <si>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</si>
  <si>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</si>
  <si>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</si>
  <si>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</si>
  <si>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</si>
  <si>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Export - total</t>
  </si>
  <si>
    <t xml:space="preserve">       din care:</t>
  </si>
  <si>
    <t>Instrumente şi aparate profesionale, ştiinţifice şi de control</t>
  </si>
  <si>
    <t xml:space="preserve">Import - total 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</si>
  <si>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</si>
  <si>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</si>
  <si>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</si>
  <si>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</si>
  <si>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</si>
  <si>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</si>
  <si>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</si>
  <si>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</si>
  <si>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</si>
  <si>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</si>
  <si>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de 2,6 ori</t>
  </si>
  <si>
    <t>Croaţia</t>
  </si>
  <si>
    <t>Elveţia</t>
  </si>
  <si>
    <t>Bosnia şi Herţegovina</t>
  </si>
  <si>
    <t>Regatul Unit al Marii Britanii şi Irlandei de Nord</t>
  </si>
  <si>
    <t>Hong Kong, RAS a Chinei</t>
  </si>
  <si>
    <t>Africa de Sud</t>
  </si>
  <si>
    <t>de 1,7 ori</t>
  </si>
  <si>
    <t>de 2,4 ori</t>
  </si>
  <si>
    <t>de 4,5 ori</t>
  </si>
  <si>
    <t>Franţa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</si>
  <si>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</si>
  <si>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</si>
  <si>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</si>
  <si>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</si>
  <si>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</si>
  <si>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</si>
  <si>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</si>
  <si>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</si>
  <si>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</si>
  <si>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</si>
  <si>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</si>
  <si>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</si>
  <si>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</si>
  <si>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</si>
  <si>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</si>
  <si>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</si>
  <si>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de 3,0 ori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</si>
  <si>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</si>
  <si>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</si>
  <si>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</si>
  <si>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</si>
  <si>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</si>
  <si>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</si>
  <si>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</si>
  <si>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</si>
  <si>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</si>
  <si>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</si>
  <si>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</si>
  <si>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</si>
  <si>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</si>
  <si>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</si>
  <si>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</si>
  <si>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</si>
  <si>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</si>
  <si>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</si>
  <si>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</si>
  <si>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</si>
  <si>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</si>
  <si>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Libia</t>
  </si>
  <si>
    <t>Emiratele Arabe Unite</t>
  </si>
  <si>
    <t>Japonia</t>
  </si>
  <si>
    <t>Nigeria</t>
  </si>
  <si>
    <t>Oman</t>
  </si>
  <si>
    <t>Norvegia</t>
  </si>
  <si>
    <t>Ghana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</si>
  <si>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</si>
  <si>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</si>
  <si>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</si>
  <si>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</si>
  <si>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</si>
  <si>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</si>
  <si>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</si>
  <si>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</si>
  <si>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</si>
  <si>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</si>
  <si>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</si>
  <si>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</si>
  <si>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</si>
  <si>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</si>
  <si>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</si>
  <si>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</si>
  <si>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</si>
  <si>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</si>
  <si>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</si>
  <si>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San Marino</t>
  </si>
  <si>
    <t>Noua Zeelandă</t>
  </si>
  <si>
    <t>de 3,3 ori</t>
  </si>
  <si>
    <t>de 2,1 ori</t>
  </si>
  <si>
    <t>de 14,9 ori</t>
  </si>
  <si>
    <t>de 2,8 ori</t>
  </si>
  <si>
    <t>de 3,4 ori</t>
  </si>
  <si>
    <t>de 4,3 ori</t>
  </si>
  <si>
    <t>de 6,6 ori</t>
  </si>
  <si>
    <t>de 3,1 ori</t>
  </si>
  <si>
    <t>de 9,2 ori</t>
  </si>
  <si>
    <t>de 2,9 ori</t>
  </si>
  <si>
    <t>de 3,9 ori</t>
  </si>
  <si>
    <t>de 4,2 ori</t>
  </si>
  <si>
    <t>de 4,8 ori</t>
  </si>
  <si>
    <t>de 1,6 ori</t>
  </si>
  <si>
    <t>în % faţă de 2015¹</t>
  </si>
  <si>
    <t xml:space="preserve"> 2016                   în % faţă de 2015</t>
  </si>
  <si>
    <t xml:space="preserve"> 2016                        în % faţă de             2015</t>
  </si>
  <si>
    <t>Gradul de influenţă a ţărilor, grupelor de ţări  la creşterea (+),  scăderea (-) importurilor, %</t>
  </si>
  <si>
    <t>Gradul de influenţă a grupelor de mărfuri la creşterea (+),  scăderea (-) exporturilor, %</t>
  </si>
  <si>
    <t>Gradul de influenţă a grupelor de mărfuri  la creşterea (+),  scăderea (-) importurilor,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</si>
</sst>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0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justify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3" fillId="0" borderId="0" xfId="0" applyFont="1" applyAlignment="1">
      <alignment horizontal="justify"/>
    </xf>
    <xf numFmtId="0" fontId="9" fillId="0" borderId="0" xfId="0" applyFont="1" applyBorder="1" applyAlignment="1">
      <alignment vertical="top" wrapText="1"/>
    </xf>
    <xf numFmtId="38" fontId="11" fillId="0" borderId="0" xfId="0" applyNumberFormat="1" applyFont="1" applyFill="1" applyAlignment="1" applyProtection="1">
      <alignment horizontal="left" wrapText="1"/>
      <protection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right" vertical="top" wrapText="1" indent="1"/>
    </xf>
    <xf numFmtId="165" fontId="5" fillId="0" borderId="0" xfId="0" applyNumberFormat="1" applyFont="1" applyAlignment="1">
      <alignment horizontal="right" vertical="top" wrapText="1" indent="1"/>
    </xf>
    <xf numFmtId="164" fontId="5" fillId="0" borderId="0" xfId="0" applyNumberFormat="1" applyFont="1" applyAlignment="1">
      <alignment horizontal="right" vertical="top" wrapText="1" indent="1"/>
    </xf>
    <xf numFmtId="165" fontId="15" fillId="0" borderId="13" xfId="0" applyNumberFormat="1" applyFont="1" applyFill="1" applyBorder="1" applyAlignment="1" applyProtection="1">
      <alignment horizontal="right" vertical="top" indent="1"/>
      <protection/>
    </xf>
    <xf numFmtId="165" fontId="14" fillId="0" borderId="0" xfId="0" applyNumberFormat="1" applyFont="1" applyFill="1" applyAlignment="1" applyProtection="1">
      <alignment horizontal="right" vertical="top" indent="1"/>
      <protection/>
    </xf>
    <xf numFmtId="165" fontId="11" fillId="0" borderId="0" xfId="0" applyNumberFormat="1" applyFont="1" applyFill="1" applyAlignment="1" applyProtection="1">
      <alignment horizontal="right" vertical="top" indent="1"/>
      <protection/>
    </xf>
    <xf numFmtId="165" fontId="11" fillId="0" borderId="12" xfId="0" applyNumberFormat="1" applyFont="1" applyFill="1" applyBorder="1" applyAlignment="1" applyProtection="1">
      <alignment horizontal="right" vertical="top" indent="1"/>
      <protection/>
    </xf>
    <xf numFmtId="164" fontId="11" fillId="0" borderId="0" xfId="0" applyNumberFormat="1" applyFont="1" applyFill="1" applyBorder="1" applyAlignment="1" applyProtection="1">
      <alignment horizontal="right" vertical="top" indent="1"/>
      <protection/>
    </xf>
    <xf numFmtId="165" fontId="11" fillId="0" borderId="0" xfId="0" applyNumberFormat="1" applyFont="1" applyBorder="1" applyAlignment="1">
      <alignment horizontal="right" vertical="top" indent="1"/>
    </xf>
    <xf numFmtId="164" fontId="11" fillId="0" borderId="0" xfId="0" applyNumberFormat="1" applyFont="1" applyFill="1" applyAlignment="1" applyProtection="1">
      <alignment horizontal="right" vertical="top" indent="1"/>
      <protection/>
    </xf>
    <xf numFmtId="164" fontId="14" fillId="0" borderId="0" xfId="0" applyNumberFormat="1" applyFont="1" applyFill="1" applyAlignment="1" applyProtection="1">
      <alignment horizontal="right" vertical="top" indent="1"/>
      <protection/>
    </xf>
    <xf numFmtId="164" fontId="14" fillId="0" borderId="0" xfId="0" applyNumberFormat="1" applyFont="1" applyFill="1" applyAlignment="1" applyProtection="1">
      <alignment horizontal="right" indent="1"/>
      <protection/>
    </xf>
    <xf numFmtId="164" fontId="11" fillId="0" borderId="0" xfId="0" applyNumberFormat="1" applyFont="1" applyFill="1" applyAlignment="1" applyProtection="1">
      <alignment horizontal="right" indent="1"/>
      <protection/>
    </xf>
    <xf numFmtId="0" fontId="9" fillId="0" borderId="0" xfId="0" applyFont="1" applyBorder="1" applyAlignment="1">
      <alignment vertical="top" wrapText="1"/>
    </xf>
    <xf numFmtId="165" fontId="15" fillId="0" borderId="13" xfId="0" applyNumberFormat="1" applyFont="1" applyFill="1" applyBorder="1" applyAlignment="1" applyProtection="1">
      <alignment horizontal="right" indent="1"/>
      <protection/>
    </xf>
    <xf numFmtId="165" fontId="14" fillId="0" borderId="0" xfId="0" applyNumberFormat="1" applyFont="1" applyFill="1" applyAlignment="1" applyProtection="1">
      <alignment horizontal="right" indent="1"/>
      <protection/>
    </xf>
    <xf numFmtId="165" fontId="11" fillId="0" borderId="0" xfId="0" applyNumberFormat="1" applyFont="1" applyFill="1" applyAlignment="1" applyProtection="1">
      <alignment horizontal="right" indent="1"/>
      <protection/>
    </xf>
    <xf numFmtId="165" fontId="15" fillId="0" borderId="0" xfId="0" applyNumberFormat="1" applyFont="1" applyFill="1" applyBorder="1" applyAlignment="1" applyProtection="1">
      <alignment horizontal="right" indent="1"/>
      <protection/>
    </xf>
    <xf numFmtId="165" fontId="11" fillId="0" borderId="0" xfId="0" applyNumberFormat="1" applyFont="1" applyFill="1" applyBorder="1" applyAlignment="1" applyProtection="1">
      <alignment horizontal="right" vertical="top" wrapText="1" indent="2"/>
      <protection/>
    </xf>
    <xf numFmtId="165" fontId="14" fillId="0" borderId="0" xfId="0" applyNumberFormat="1" applyFont="1" applyFill="1" applyBorder="1" applyAlignment="1" applyProtection="1">
      <alignment horizontal="right" indent="1"/>
      <protection/>
    </xf>
    <xf numFmtId="165" fontId="14" fillId="0" borderId="0" xfId="0" applyNumberFormat="1" applyFont="1" applyFill="1" applyBorder="1" applyAlignment="1" applyProtection="1">
      <alignment horizontal="right" vertical="top" inden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 indent="3"/>
    </xf>
    <xf numFmtId="0" fontId="5" fillId="0" borderId="0" xfId="0" applyFont="1" applyBorder="1" applyAlignment="1">
      <alignment horizontal="right" vertical="top" wrapText="1" indent="3"/>
    </xf>
    <xf numFmtId="0" fontId="5" fillId="0" borderId="0" xfId="0" applyFont="1" applyAlignment="1">
      <alignment horizontal="right" vertical="top" wrapText="1" indent="3"/>
    </xf>
    <xf numFmtId="164" fontId="5" fillId="0" borderId="0" xfId="0" applyNumberFormat="1" applyFont="1" applyAlignment="1">
      <alignment horizontal="right" vertical="top" wrapText="1" indent="3"/>
    </xf>
    <xf numFmtId="165" fontId="14" fillId="0" borderId="0" xfId="0" applyNumberFormat="1" applyFont="1" applyFill="1" applyAlignment="1" applyProtection="1">
      <alignment horizontal="right" vertical="center" indent="1"/>
      <protection/>
    </xf>
    <xf numFmtId="165" fontId="15" fillId="0" borderId="13" xfId="0" applyNumberFormat="1" applyFont="1" applyFill="1" applyBorder="1" applyAlignment="1" applyProtection="1">
      <alignment horizontal="right" vertical="center" indent="1"/>
      <protection/>
    </xf>
    <xf numFmtId="164" fontId="15" fillId="0" borderId="13" xfId="0" applyNumberFormat="1" applyFont="1" applyFill="1" applyBorder="1" applyAlignment="1" applyProtection="1">
      <alignment horizontal="right" vertical="center" indent="1"/>
      <protection/>
    </xf>
    <xf numFmtId="164" fontId="14" fillId="0" borderId="0" xfId="0" applyNumberFormat="1" applyFont="1" applyFill="1" applyAlignment="1" applyProtection="1">
      <alignment horizontal="right" vertical="center" indent="1"/>
      <protection/>
    </xf>
    <xf numFmtId="164" fontId="15" fillId="0" borderId="13" xfId="0" applyNumberFormat="1" applyFont="1" applyFill="1" applyBorder="1" applyAlignment="1" applyProtection="1">
      <alignment horizontal="right" indent="1"/>
      <protection/>
    </xf>
    <xf numFmtId="164" fontId="11" fillId="0" borderId="12" xfId="0" applyNumberFormat="1" applyFont="1" applyFill="1" applyBorder="1" applyAlignment="1" applyProtection="1">
      <alignment horizontal="right" vertical="top" indent="1"/>
      <protection/>
    </xf>
    <xf numFmtId="164" fontId="15" fillId="0" borderId="13" xfId="0" applyNumberFormat="1" applyFont="1" applyFill="1" applyBorder="1" applyAlignment="1" applyProtection="1">
      <alignment horizontal="right" vertical="top" inden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28.00390625" style="0" customWidth="1"/>
    <col min="2" max="2" width="10.875" style="0" customWidth="1"/>
    <col min="3" max="3" width="11.25390625" style="0" customWidth="1"/>
    <col min="4" max="5" width="9.75390625" style="0" customWidth="1"/>
    <col min="6" max="6" width="10.00390625" style="0" customWidth="1"/>
    <col min="7" max="7" width="9.875" style="0" customWidth="1"/>
  </cols>
  <sheetData>
    <row r="1" spans="1:7" ht="15.75">
      <c r="A1" s="70" t="s">
        <v>36</v>
      </c>
      <c r="B1" s="70"/>
      <c r="C1" s="70"/>
      <c r="D1" s="70"/>
      <c r="E1" s="70"/>
      <c r="F1" s="70"/>
      <c r="G1" s="70"/>
    </row>
    <row r="3" spans="1:7" ht="58.5" customHeight="1">
      <c r="A3" s="75"/>
      <c r="B3" s="73">
        <v>2016</v>
      </c>
      <c r="C3" s="74"/>
      <c r="D3" s="73" t="s">
        <v>0</v>
      </c>
      <c r="E3" s="74"/>
      <c r="F3" s="71" t="s">
        <v>1</v>
      </c>
      <c r="G3" s="72"/>
    </row>
    <row r="4" spans="1:7" ht="31.5" customHeight="1">
      <c r="A4" s="76"/>
      <c r="B4" s="65" t="s">
        <v>2</v>
      </c>
      <c r="C4" s="66" t="s">
        <v>224</v>
      </c>
      <c r="D4" s="11">
        <v>2015</v>
      </c>
      <c r="E4" s="51">
        <v>2016</v>
      </c>
      <c r="F4" s="11" t="s">
        <v>3</v>
      </c>
      <c r="G4" s="3" t="s">
        <v>4</v>
      </c>
    </row>
    <row r="5" spans="1:7" ht="15.75" customHeight="1">
      <c r="A5" s="15" t="s">
        <v>39</v>
      </c>
      <c r="B5" s="44">
        <f>IF(2045340.42783="","-",2045340.42783)/1000</f>
        <v>2045.34042783</v>
      </c>
      <c r="C5" s="44">
        <f>IF(1966837.29975="","-",2045340.42783/1966837.29975*100)</f>
        <v>103.991338179827</v>
      </c>
      <c r="D5" s="44">
        <v>100</v>
      </c>
      <c r="E5" s="44">
        <v>100</v>
      </c>
      <c r="F5" s="44">
        <f>IF(2339529.78212="","-",(1966837.29975-2339529.78212)/2339529.78212*100)</f>
        <v>-15.930230306035224</v>
      </c>
      <c r="G5" s="44">
        <f>IF(1966837.29975="","-",(2045340.42783-1966837.29975)/1966837.29975*100)</f>
        <v>3.9913381798269887</v>
      </c>
    </row>
    <row r="6" spans="1:7" ht="15">
      <c r="A6" s="16" t="s">
        <v>5</v>
      </c>
      <c r="B6" s="52"/>
      <c r="C6" s="53"/>
      <c r="D6" s="54"/>
      <c r="E6" s="54"/>
      <c r="F6" s="55"/>
      <c r="G6" s="55"/>
    </row>
    <row r="7" spans="1:7" ht="15">
      <c r="A7" s="17" t="s">
        <v>6</v>
      </c>
      <c r="B7" s="34">
        <f>IF(1332418.71381="","-",1332418.71381)/1000</f>
        <v>1332.41871381</v>
      </c>
      <c r="C7" s="40">
        <f>IF(1217587.5084="","-",1332418.71381/1217587.5084*100)</f>
        <v>109.43104332278317</v>
      </c>
      <c r="D7" s="40">
        <f>IF(1217587.5084="","-",1217587.5084/1966837.29975*100)</f>
        <v>61.90585812841584</v>
      </c>
      <c r="E7" s="40">
        <f>IF(1332418.71381="","-",1332418.71381/2045340.42783*100)</f>
        <v>65.14410489717974</v>
      </c>
      <c r="F7" s="40">
        <f>IF(2339529.78212="","-",(1217587.5084-1245979.81402)/2339529.78212*100)</f>
        <v>-1.2135902623249313</v>
      </c>
      <c r="G7" s="40">
        <f>IF(1966837.29975="","-",(1332418.71381-1217587.5084)/1966837.29975*100)</f>
        <v>5.838368299431584</v>
      </c>
    </row>
    <row r="8" spans="1:7" s="27" customFormat="1" ht="15">
      <c r="A8" s="22" t="s">
        <v>7</v>
      </c>
      <c r="B8" s="35">
        <f>IF(513063.8641="","-",513063.8641)/1000</f>
        <v>513.0638641</v>
      </c>
      <c r="C8" s="39">
        <f>IF(OR(446370.43326="",513063.8641=""),"-",513063.8641/446370.43326*100)</f>
        <v>114.94127430280597</v>
      </c>
      <c r="D8" s="39">
        <f>IF(446370.43326="","-",446370.43326/1966837.29975*100)</f>
        <v>22.694832628847188</v>
      </c>
      <c r="E8" s="39">
        <f>IF(513063.8641="","-",513063.8641/2045340.42783*100)</f>
        <v>25.08452173139384</v>
      </c>
      <c r="F8" s="39">
        <f>IF(OR(2339529.78212="",434042.05738="",446370.43326=""),"-",(446370.43326-434042.05738)/2339529.78212*100)</f>
        <v>0.5269595614563394</v>
      </c>
      <c r="G8" s="39">
        <f>IF(OR(1966837.29975="",513063.8641="",446370.43326=""),"-",(513063.8641-446370.43326)/1966837.29975*100)</f>
        <v>3.390897195638767</v>
      </c>
    </row>
    <row r="9" spans="1:7" s="27" customFormat="1" ht="15">
      <c r="A9" s="22" t="s">
        <v>8</v>
      </c>
      <c r="B9" s="35">
        <f>IF(198256.60257="","-",198256.60257)/1000</f>
        <v>198.25660256999998</v>
      </c>
      <c r="C9" s="39">
        <f>IF(OR(197047.31727="",198256.60257=""),"-",198256.60257/197047.31727*100)</f>
        <v>100.61370300126593</v>
      </c>
      <c r="D9" s="39">
        <f>IF(197047.31727="","-",197047.31727/1966837.29975*100)</f>
        <v>10.018485885693048</v>
      </c>
      <c r="E9" s="39">
        <f>IF(198256.60257="","-",198256.60257/2045340.42783*100)</f>
        <v>9.693085799919379</v>
      </c>
      <c r="F9" s="39">
        <f>IF(OR(2339529.78212="",243407.44885="",197047.31727=""),"-",(197047.31727-243407.44885)/2339529.78212*100)</f>
        <v>-1.9816004025385845</v>
      </c>
      <c r="G9" s="39">
        <f>IF(OR(1966837.29975="",198256.60257="",197047.31727=""),"-",(198256.60257-197047.31727)/1966837.29975*100)</f>
        <v>0.06148374856190179</v>
      </c>
    </row>
    <row r="10" spans="1:7" s="27" customFormat="1" ht="15">
      <c r="A10" s="22" t="s">
        <v>9</v>
      </c>
      <c r="B10" s="35">
        <f>IF(126623.90039="","-",126623.90039)/1000</f>
        <v>126.62390038999999</v>
      </c>
      <c r="C10" s="39">
        <f>IF(OR(117212.13305="",126623.90039=""),"-",126623.90039/117212.13305*100)</f>
        <v>108.02968694033164</v>
      </c>
      <c r="D10" s="39">
        <f>IF(117212.13305="","-",117212.13305/1966837.29975*100)</f>
        <v>5.959421913795237</v>
      </c>
      <c r="E10" s="39">
        <f>IF(126623.90039="","-",126623.90039/2045340.42783*100)</f>
        <v>6.1908471894011985</v>
      </c>
      <c r="F10" s="39">
        <f>IF(OR(2339529.78212="",137525.15392="",117212.13305=""),"-",(117212.13305-137525.15392)/2339529.78212*100)</f>
        <v>-0.8682522883548445</v>
      </c>
      <c r="G10" s="39">
        <f>IF(OR(1966837.29975="",126623.90039="",117212.13305=""),"-",(126623.90039-117212.13305)/1966837.29975*100)</f>
        <v>0.47852292313127776</v>
      </c>
    </row>
    <row r="11" spans="1:7" s="27" customFormat="1" ht="24.75" customHeight="1">
      <c r="A11" s="22" t="s">
        <v>137</v>
      </c>
      <c r="B11" s="35">
        <f>IF(114333.14512="","-",114333.14512)/1000</f>
        <v>114.33314512</v>
      </c>
      <c r="C11" s="39">
        <f>IF(OR(138156.61805="",114333.14512=""),"-",114333.14512/138156.61805*100)</f>
        <v>82.75618405672172</v>
      </c>
      <c r="D11" s="39">
        <f>IF(138156.61805="","-",138156.61805/1966837.29975*100)</f>
        <v>7.0243033354899636</v>
      </c>
      <c r="E11" s="39">
        <f>IF(114333.14512="","-",114333.14512/2045340.42783*100)</f>
        <v>5.589932295099723</v>
      </c>
      <c r="F11" s="39">
        <f>IF(OR(2339529.78212="",108170.50431="",138156.61805=""),"-",(138156.61805-108170.50431)/2339529.78212*100)</f>
        <v>1.2817154100439625</v>
      </c>
      <c r="G11" s="39">
        <f>IF(OR(1966837.29975="",114333.14512="",138156.61805=""),"-",(114333.14512-138156.61805)/1966837.29975*100)</f>
        <v>-1.211257938469447</v>
      </c>
    </row>
    <row r="12" spans="1:7" s="27" customFormat="1" ht="15">
      <c r="A12" s="22" t="s">
        <v>11</v>
      </c>
      <c r="B12" s="35">
        <f>IF(76015.91664="","-",76015.91664)/1000</f>
        <v>76.01591664</v>
      </c>
      <c r="C12" s="39" t="s">
        <v>33</v>
      </c>
      <c r="D12" s="39">
        <f>IF(28161.92039="","-",28161.92039/1966837.29975*100)</f>
        <v>1.4318378237782858</v>
      </c>
      <c r="E12" s="39">
        <f>IF(76015.91664="","-",76015.91664/2045340.42783*100)</f>
        <v>3.7165410513421935</v>
      </c>
      <c r="F12" s="39">
        <f>IF(OR(2339529.78212="",37872.28006="",28161.92039=""),"-",(28161.92039-37872.28006)/2339529.78212*100)</f>
        <v>-0.41505604007318125</v>
      </c>
      <c r="G12" s="39">
        <f>IF(OR(1966837.29975="",76015.91664="",28161.92039=""),"-",(76015.91664-28161.92039)/1966837.29975*100)</f>
        <v>2.433042949515072</v>
      </c>
    </row>
    <row r="13" spans="1:7" s="27" customFormat="1" ht="15">
      <c r="A13" s="22" t="s">
        <v>10</v>
      </c>
      <c r="B13" s="35">
        <f>IF(73408.25711="","-",73408.25711)/1000</f>
        <v>73.40825711000001</v>
      </c>
      <c r="C13" s="39">
        <f>IF(OR(68452.34862="",73408.25711=""),"-",73408.25711/68452.34862*100)</f>
        <v>107.23993930071234</v>
      </c>
      <c r="D13" s="39">
        <f>IF(68452.34862="","-",68452.34862/1966837.29975*100)</f>
        <v>3.480325933858424</v>
      </c>
      <c r="E13" s="39">
        <f>IF(73408.25711="","-",73408.25711/2045340.42783*100)</f>
        <v>3.589048361395876</v>
      </c>
      <c r="F13" s="39">
        <f>IF(OR(2339529.78212="",64433.35935="",68452.34862=""),"-",(68452.34862-64433.35935)/2339529.78212*100)</f>
        <v>0.17178619826579586</v>
      </c>
      <c r="G13" s="39">
        <f>IF(OR(1966837.29975="",73408.25711="",68452.34862=""),"-",(73408.25711-68452.34862)/1966837.29975*100)</f>
        <v>0.2519734850782998</v>
      </c>
    </row>
    <row r="14" spans="1:7" s="27" customFormat="1" ht="15">
      <c r="A14" s="22" t="s">
        <v>143</v>
      </c>
      <c r="B14" s="35">
        <f>IF(44746.08607="","-",44746.08607)/1000</f>
        <v>44.74608607</v>
      </c>
      <c r="C14" s="39">
        <f>IF(OR(43126.61556="",44746.08607=""),"-",44746.08607/43126.61556*100)</f>
        <v>103.75515325970086</v>
      </c>
      <c r="D14" s="39">
        <f>IF(43126.61556="","-",43126.61556/1966837.29975*100)</f>
        <v>2.1926885139651215</v>
      </c>
      <c r="E14" s="39">
        <f>IF(44746.08607="","-",44746.08607/2045340.42783*100)</f>
        <v>2.1877084841799794</v>
      </c>
      <c r="F14" s="39">
        <f>IF(OR(2339529.78212="",37596.09913="",43126.61556=""),"-",(43126.61556-37596.09913)/2339529.78212*100)</f>
        <v>0.23639435891209026</v>
      </c>
      <c r="G14" s="39">
        <f>IF(OR(1966837.29975="",44746.08607="",43126.61556=""),"-",(44746.08607-43126.61556)/1966837.29975*100)</f>
        <v>0.08233881420724766</v>
      </c>
    </row>
    <row r="15" spans="1:7" s="27" customFormat="1" ht="15">
      <c r="A15" s="22" t="s">
        <v>14</v>
      </c>
      <c r="B15" s="35">
        <f>IF(29494.4867="","-",29494.4867)/1000</f>
        <v>29.494486700000003</v>
      </c>
      <c r="C15" s="39">
        <f>IF(OR(25412.66952="",29494.4867=""),"-",29494.4867/25412.66952*100)</f>
        <v>116.06213458522166</v>
      </c>
      <c r="D15" s="39">
        <f>IF(25412.66952="","-",25412.66952/1966837.29975*100)</f>
        <v>1.2920575343588483</v>
      </c>
      <c r="E15" s="39">
        <f>IF(29494.4867="","-",29494.4867/2045340.42783*100)</f>
        <v>1.4420331353491176</v>
      </c>
      <c r="F15" s="39">
        <f>IF(OR(2339529.78212="",26715.51325="",25412.66952=""),"-",(25412.66952-26715.51325)/2339529.78212*100)</f>
        <v>-0.05568827291522697</v>
      </c>
      <c r="G15" s="39">
        <f>IF(OR(1966837.29975="",29494.4867="",25412.66952=""),"-",(29494.4867-25412.66952)/1966837.29975*100)</f>
        <v>0.20753202008721472</v>
      </c>
    </row>
    <row r="16" spans="1:7" s="27" customFormat="1" ht="15">
      <c r="A16" s="22" t="s">
        <v>12</v>
      </c>
      <c r="B16" s="35">
        <f>IF(28286.10775="","-",28286.10775)/1000</f>
        <v>28.28610775</v>
      </c>
      <c r="C16" s="39">
        <f>IF(OR(27678.51164="",28286.10775=""),"-",28286.10775/27678.51164*100)</f>
        <v>102.19519068764494</v>
      </c>
      <c r="D16" s="39">
        <f>IF(27678.51164="","-",27678.51164/1966837.29975*100)</f>
        <v>1.4072598502945897</v>
      </c>
      <c r="E16" s="39">
        <f>IF(28286.10775="","-",28286.10775/2045340.42783*100)</f>
        <v>1.382953535026445</v>
      </c>
      <c r="F16" s="39">
        <f>IF(OR(2339529.78212="",29931.50482="",27678.51164=""),"-",(27678.51164-29931.50482)/2339529.78212*100)</f>
        <v>-0.0963011113266707</v>
      </c>
      <c r="G16" s="39">
        <f>IF(OR(1966837.29975="",28286.10775="",27678.51164=""),"-",(28286.10775-27678.51164)/1966837.29975*100)</f>
        <v>0.030892037184632848</v>
      </c>
    </row>
    <row r="17" spans="1:7" s="27" customFormat="1" ht="15">
      <c r="A17" s="22" t="s">
        <v>13</v>
      </c>
      <c r="B17" s="35">
        <f>IF(27232.32505="","-",27232.32505)/1000</f>
        <v>27.23232505</v>
      </c>
      <c r="C17" s="39">
        <f>IF(OR(21600.21488="",27232.32505=""),"-",27232.32505/21600.21488*100)</f>
        <v>126.0743247291251</v>
      </c>
      <c r="D17" s="39">
        <f>IF(21600.21488="","-",21600.21488/1966837.29975*100)</f>
        <v>1.0982207263786157</v>
      </c>
      <c r="E17" s="39">
        <f>IF(27232.32505="","-",27232.32505/2045340.42783*100)</f>
        <v>1.3314323952855165</v>
      </c>
      <c r="F17" s="39">
        <f>IF(OR(2339529.78212="",23822.17364="",21600.21488=""),"-",(21600.21488-23822.17364)/2339529.78212*100)</f>
        <v>-0.09497458749965303</v>
      </c>
      <c r="G17" s="39">
        <f>IF(OR(1966837.29975="",27232.32505="",21600.21488=""),"-",(27232.32505-21600.21488)/1966837.29975*100)</f>
        <v>0.2863536384385167</v>
      </c>
    </row>
    <row r="18" spans="1:7" s="27" customFormat="1" ht="15">
      <c r="A18" s="22" t="s">
        <v>15</v>
      </c>
      <c r="B18" s="35">
        <f>IF(26898.00139="","-",26898.00139)/1000</f>
        <v>26.89800139</v>
      </c>
      <c r="C18" s="39">
        <f>IF(OR(24230.2248="",26898.00139=""),"-",26898.00139/24230.2248*100)</f>
        <v>111.01011902291556</v>
      </c>
      <c r="D18" s="39">
        <f>IF(24230.2248="","-",24230.2248/1966837.29975*100)</f>
        <v>1.2319384426500273</v>
      </c>
      <c r="E18" s="39">
        <f>IF(26898.00139="","-",26898.00139/2045340.42783*100)</f>
        <v>1.3150867710827672</v>
      </c>
      <c r="F18" s="39">
        <f>IF(OR(2339529.78212="",20515.89356="",24230.2248=""),"-",(24230.2248-20515.89356)/2339529.78212*100)</f>
        <v>0.15876400755344103</v>
      </c>
      <c r="G18" s="39">
        <f>IF(OR(1966837.29975="",26898.00139="",24230.2248=""),"-",(26898.00139-24230.2248)/1966837.29975*100)</f>
        <v>0.13563788882482022</v>
      </c>
    </row>
    <row r="19" spans="1:7" s="27" customFormat="1" ht="15">
      <c r="A19" s="22" t="s">
        <v>144</v>
      </c>
      <c r="B19" s="35">
        <f>IF(18796.54173="","-",18796.54173)/1000</f>
        <v>18.79654173</v>
      </c>
      <c r="C19" s="39">
        <f>IF(OR(18564.74922="",18796.54173=""),"-",18796.54173/18564.74922*100)</f>
        <v>101.2485625701331</v>
      </c>
      <c r="D19" s="39">
        <f>IF(18564.74922="","-",18564.74922/1966837.29975*100)</f>
        <v>0.9438884051242938</v>
      </c>
      <c r="E19" s="39">
        <f>IF(18796.54173="","-",18796.54173/2045340.42783*100)</f>
        <v>0.9189933115409132</v>
      </c>
      <c r="F19" s="39">
        <f>IF(OR(2339529.78212="",11680.7462="",18564.74922=""),"-",(18564.74922-11680.7462)/2339529.78212*100)</f>
        <v>0.2942472915972867</v>
      </c>
      <c r="G19" s="39">
        <f>IF(OR(1966837.29975="",18796.54173="",18564.74922=""),"-",(18796.54173-18564.74922)/1966837.29975*100)</f>
        <v>0.011785037330208345</v>
      </c>
    </row>
    <row r="20" spans="1:7" s="27" customFormat="1" ht="15">
      <c r="A20" s="22" t="s">
        <v>145</v>
      </c>
      <c r="B20" s="35">
        <f>IF(9859.47639="","-",9859.47639)/1000</f>
        <v>9.85947639</v>
      </c>
      <c r="C20" s="39">
        <f>IF(OR(9404.68488="",9859.47639=""),"-",9859.47639/9404.68488*100)</f>
        <v>104.83579743290665</v>
      </c>
      <c r="D20" s="39">
        <f>IF(9404.68488="","-",9404.68488/1966837.29975*100)</f>
        <v>0.47816282928920495</v>
      </c>
      <c r="E20" s="39">
        <f>IF(9859.47639="","-",9859.47639/2045340.42783*100)</f>
        <v>0.48204573946941404</v>
      </c>
      <c r="F20" s="39">
        <f>IF(OR(2339529.78212="",11218.25483="",9404.68488=""),"-",(9404.68488-11218.25483)/2339529.78212*100)</f>
        <v>-0.0775185665025647</v>
      </c>
      <c r="G20" s="39">
        <f>IF(OR(1966837.29975="",9859.47639="",9404.68488=""),"-",(9859.47639-9404.68488)/1966837.29975*100)</f>
        <v>0.02312298582388114</v>
      </c>
    </row>
    <row r="21" spans="1:7" s="27" customFormat="1" ht="15">
      <c r="A21" s="22" t="s">
        <v>146</v>
      </c>
      <c r="B21" s="35">
        <f>IF(9213.33643="","-",9213.33643)/1000</f>
        <v>9.21333643</v>
      </c>
      <c r="C21" s="39" t="s">
        <v>211</v>
      </c>
      <c r="D21" s="39">
        <f>IF(4335.8304="","-",4335.8304/1966837.29975*100)</f>
        <v>0.2204468260059496</v>
      </c>
      <c r="E21" s="39">
        <f>IF(9213.33643="","-",9213.33643/2045340.42783*100)</f>
        <v>0.45045491227955986</v>
      </c>
      <c r="F21" s="39">
        <f>IF(OR(2339529.78212="",5525.55689="",4335.8304=""),"-",(4335.8304-5525.55689)/2339529.78212*100)</f>
        <v>-0.05085323123871121</v>
      </c>
      <c r="G21" s="39">
        <f>IF(OR(1966837.29975="",9213.33643="",4335.8304=""),"-",(9213.33643-4335.8304)/1966837.29975*100)</f>
        <v>0.24798726517033043</v>
      </c>
    </row>
    <row r="22" spans="1:7" s="27" customFormat="1" ht="15">
      <c r="A22" s="22" t="s">
        <v>147</v>
      </c>
      <c r="B22" s="35">
        <f>IF(7538.86657="","-",7538.86657)/1000</f>
        <v>7.53886657</v>
      </c>
      <c r="C22" s="39">
        <f>IF(OR(8691.73435="",7538.86657=""),"-",7538.86657/8691.73435*100)</f>
        <v>86.7360444581466</v>
      </c>
      <c r="D22" s="39">
        <f>IF(8691.73435="","-",8691.73435/1966837.29975*100)</f>
        <v>0.4419142524450186</v>
      </c>
      <c r="E22" s="39">
        <f>IF(7538.86657="","-",7538.86657/2045340.42783*100)</f>
        <v>0.36858737388760004</v>
      </c>
      <c r="F22" s="39">
        <f>IF(OR(2339529.78212="",16760.9438="",8691.73435=""),"-",(8691.73435-16760.9438)/2339529.78212*100)</f>
        <v>-0.3449073190548557</v>
      </c>
      <c r="G22" s="39">
        <f>IF(OR(1966837.29975="",7538.86657="",8691.73435=""),"-",(7538.86657-8691.73435)/1966837.29975*100)</f>
        <v>-0.058615309977421044</v>
      </c>
    </row>
    <row r="23" spans="1:7" s="27" customFormat="1" ht="15">
      <c r="A23" s="22" t="s">
        <v>148</v>
      </c>
      <c r="B23" s="35">
        <f>IF(6847.48062="","-",6847.48062)/1000</f>
        <v>6.847480620000001</v>
      </c>
      <c r="C23" s="39">
        <f>IF(OR(8899.13739="",6847.48062=""),"-",6847.48062/8899.13739*100)</f>
        <v>76.94544223684584</v>
      </c>
      <c r="D23" s="39">
        <f>IF(8899.13739="","-",8899.13739/1966837.29975*100)</f>
        <v>0.4524592548214917</v>
      </c>
      <c r="E23" s="39">
        <f>IF(6847.48062="","-",6847.48062/2045340.42783*100)</f>
        <v>0.33478439710228686</v>
      </c>
      <c r="F23" s="39">
        <f>IF(OR(2339529.78212="",8269.90606="",8899.13739=""),"-",(8899.13739-8269.90606)/2339529.78212*100)</f>
        <v>0.026895632396259264</v>
      </c>
      <c r="G23" s="39">
        <f>IF(OR(1966837.29975="",6847.48062="",8899.13739=""),"-",(6847.48062-8899.13739)/1966837.29975*100)</f>
        <v>-0.10431248025755768</v>
      </c>
    </row>
    <row r="24" spans="1:7" s="27" customFormat="1" ht="15">
      <c r="A24" s="22" t="s">
        <v>155</v>
      </c>
      <c r="B24" s="35">
        <f>IF(5465.9262="","-",5465.9262)/1000</f>
        <v>5.4659262</v>
      </c>
      <c r="C24" s="39" t="s">
        <v>212</v>
      </c>
      <c r="D24" s="39">
        <f>IF(365.98404="","-",365.98404/1966837.29975*100)</f>
        <v>0.018607743510178465</v>
      </c>
      <c r="E24" s="39">
        <f>IF(5465.9262="","-",5465.9262/2045340.42783*100)</f>
        <v>0.2672379680970304</v>
      </c>
      <c r="F24" s="39">
        <f>IF(OR(2339529.78212="",404.98699="",365.98404=""),"-",(365.98404-404.98699)/2339529.78212*100)</f>
        <v>-0.001667127740714499</v>
      </c>
      <c r="G24" s="39">
        <f>IF(OR(1966837.29975="",5465.9262="",365.98404=""),"-",(5465.9262-365.98404)/1966837.29975*100)</f>
        <v>0.25929659563850255</v>
      </c>
    </row>
    <row r="25" spans="1:7" s="27" customFormat="1" ht="15">
      <c r="A25" s="22" t="s">
        <v>149</v>
      </c>
      <c r="B25" s="35">
        <f>IF(5307.20095="","-",5307.20095)/1000</f>
        <v>5.30720095</v>
      </c>
      <c r="C25" s="39">
        <f>IF(OR(10576.22919="",5307.20095=""),"-",5307.20095/10576.22919*100)</f>
        <v>50.18046465008575</v>
      </c>
      <c r="D25" s="39">
        <f>IF(10576.22919="","-",10576.22919/1966837.29975*100)</f>
        <v>0.5377277109471291</v>
      </c>
      <c r="E25" s="39">
        <f>IF(5307.20095="","-",5307.20095/2045340.42783*100)</f>
        <v>0.2594776340303734</v>
      </c>
      <c r="F25" s="39">
        <f>IF(OR(2339529.78212="",11217.65212="",10576.22919=""),"-",(10576.22919-11217.65212)/2339529.78212*100)</f>
        <v>-0.02741674565983792</v>
      </c>
      <c r="G25" s="39">
        <f>IF(OR(1966837.29975="",5307.20095="",10576.22919=""),"-",(5307.20095-10576.22919)/1966837.29975*100)</f>
        <v>-0.26789344704158974</v>
      </c>
    </row>
    <row r="26" spans="1:7" s="27" customFormat="1" ht="15">
      <c r="A26" s="22" t="s">
        <v>151</v>
      </c>
      <c r="B26" s="35">
        <f>IF(3744.68132="","-",3744.68132)/1000</f>
        <v>3.74468132</v>
      </c>
      <c r="C26" s="39">
        <f>IF(OR(7020.47844="",3744.68132=""),"-",3744.68132/7020.47844*100)</f>
        <v>53.339403460941334</v>
      </c>
      <c r="D26" s="39">
        <f>IF(7020.47844="","-",7020.47844/1966837.29975*100)</f>
        <v>0.3569425107451621</v>
      </c>
      <c r="E26" s="39">
        <f>IF(3744.68132="","-",3744.68132/2045340.42783*100)</f>
        <v>0.18308352336109215</v>
      </c>
      <c r="F26" s="39">
        <f>IF(OR(2339529.78212="",6943.92834="",7020.47844=""),"-",(7020.47844-6943.92834)/2339529.78212*100)</f>
        <v>0.003272029302000697</v>
      </c>
      <c r="G26" s="39">
        <f>IF(OR(1966837.29975="",3744.68132="",7020.47844=""),"-",(3744.68132-7020.47844)/1966837.29975*100)</f>
        <v>-0.1665515048151862</v>
      </c>
    </row>
    <row r="27" spans="1:7" s="27" customFormat="1" ht="15">
      <c r="A27" s="22" t="s">
        <v>150</v>
      </c>
      <c r="B27" s="35">
        <f>IF(3432.7131="","-",3432.7131)/1000</f>
        <v>3.4327131</v>
      </c>
      <c r="C27" s="39">
        <f>IF(OR(4271.86447="",3432.7131=""),"-",3432.7131/4271.86447*100)</f>
        <v>80.35632038672799</v>
      </c>
      <c r="D27" s="39">
        <f>IF(4271.86447="","-",4271.86447/1966837.29975*100)</f>
        <v>0.21719460326194684</v>
      </c>
      <c r="E27" s="39">
        <f>IF(3432.7131="","-",3432.7131/2045340.42783*100)</f>
        <v>0.16783089275959456</v>
      </c>
      <c r="F27" s="39">
        <f>IF(OR(2339529.78212="",4417.42748="",4271.86447=""),"-",(4271.86447-4417.42748)/2339529.78212*100)</f>
        <v>-0.006221891728520581</v>
      </c>
      <c r="G27" s="39">
        <f>IF(OR(1966837.29975="",3432.7131="",4271.86447=""),"-",(3432.7131-4271.86447)/1966837.29975*100)</f>
        <v>-0.04266501200209407</v>
      </c>
    </row>
    <row r="28" spans="1:7" s="27" customFormat="1" ht="15">
      <c r="A28" s="22" t="s">
        <v>152</v>
      </c>
      <c r="B28" s="35">
        <f>IF(1094.20754="","-",1094.20754)/1000</f>
        <v>1.0942075400000002</v>
      </c>
      <c r="C28" s="39">
        <f>IF(OR(3039.13923="",1094.20754=""),"-",1094.20754/3039.13923*100)</f>
        <v>36.00386350183766</v>
      </c>
      <c r="D28" s="39">
        <f>IF(3039.13923="","-",3039.13923/1966837.29975*100)</f>
        <v>0.1545190967441129</v>
      </c>
      <c r="E28" s="39">
        <f>IF(1094.20754="","-",1094.20754/2045340.42783*100)</f>
        <v>0.053497575519049295</v>
      </c>
      <c r="F28" s="39">
        <f>IF(OR(2339529.78212="",1668.05483="",3039.13923=""),"-",(3039.13923-1668.05483)/2339529.78212*100)</f>
        <v>0.05860512699939094</v>
      </c>
      <c r="G28" s="39">
        <f>IF(OR(1966837.29975="",1094.20754="",3039.13923=""),"-",(1094.20754-3039.13923)/1966837.29975*100)</f>
        <v>-0.09888625206809001</v>
      </c>
    </row>
    <row r="29" spans="1:7" s="27" customFormat="1" ht="15">
      <c r="A29" s="22" t="s">
        <v>153</v>
      </c>
      <c r="B29" s="35">
        <f>IF(955.09384="","-",955.09384)/1000</f>
        <v>0.95509384</v>
      </c>
      <c r="C29" s="39" t="s">
        <v>213</v>
      </c>
      <c r="D29" s="39">
        <f>IF(340.20968="","-",340.20968/1966837.29975*100)</f>
        <v>0.01729729652997954</v>
      </c>
      <c r="E29" s="39">
        <f>IF(955.09384="","-",955.09384/2045340.42783*100)</f>
        <v>0.04669608183579029</v>
      </c>
      <c r="F29" s="39">
        <f>IF(OR(2339529.78212="",456.59492="",340.20968=""),"-",(340.20968-456.59492)/2339529.78212*100)</f>
        <v>-0.004974727865807964</v>
      </c>
      <c r="G29" s="39">
        <f>IF(OR(1966837.29975="",955.09384="",340.20968=""),"-",(955.09384-340.20968)/1966837.29975*100)</f>
        <v>0.03126258384860591</v>
      </c>
    </row>
    <row r="30" spans="1:7" s="27" customFormat="1" ht="15">
      <c r="A30" s="22" t="s">
        <v>154</v>
      </c>
      <c r="B30" s="35">
        <f>IF(697.45707="","-",697.45707)/1000</f>
        <v>0.69745707</v>
      </c>
      <c r="C30" s="39">
        <f>IF(OR(3101.82532="",697.45707=""),"-",697.45707/3101.82532*100)</f>
        <v>22.4853754820726</v>
      </c>
      <c r="D30" s="39">
        <f>IF(3101.82532="","-",3101.82532/1966837.29975*100)</f>
        <v>0.15770624852367127</v>
      </c>
      <c r="E30" s="39">
        <f>IF(697.45707="","-",697.45707/2045340.42783*100)</f>
        <v>0.034099803656644376</v>
      </c>
      <c r="F30" s="39">
        <f>IF(OR(2339529.78212="",2396.46069="",3101.82532=""),"-",(3101.82532-2396.46069)/2339529.78212*100)</f>
        <v>0.030149846152453048</v>
      </c>
      <c r="G30" s="39">
        <f>IF(OR(1966837.29975="",697.45707="",3101.82532=""),"-",(697.45707-3101.82532)/1966837.29975*100)</f>
        <v>-0.1222454063844332</v>
      </c>
    </row>
    <row r="31" spans="1:7" s="27" customFormat="1" ht="15">
      <c r="A31" s="22" t="s">
        <v>156</v>
      </c>
      <c r="B31" s="35">
        <f>IF(447.03803="","-",447.03803)/1000</f>
        <v>0.44703803</v>
      </c>
      <c r="C31" s="39">
        <f>IF(OR(415.412="",447.03803=""),"-",447.03803/415.412*100)</f>
        <v>107.61317198347665</v>
      </c>
      <c r="D31" s="39">
        <f>IF(415.412="","-",415.412/1966837.29975*100)</f>
        <v>0.021120811571592728</v>
      </c>
      <c r="E31" s="39">
        <f>IF(447.03803="","-",447.03803/2045340.42783*100)</f>
        <v>0.021856411965331567</v>
      </c>
      <c r="F31" s="39">
        <f>IF(OR(2339529.78212="",623.09554="",415.412=""),"-",(415.412-623.09554)/2339529.78212*100)</f>
        <v>-0.008877148800892994</v>
      </c>
      <c r="G31" s="39">
        <f>IF(OR(1966837.29975="",447.03803="",415.412=""),"-",(447.03803-415.412)/1966837.29975*100)</f>
        <v>0.0016079637092513916</v>
      </c>
    </row>
    <row r="32" spans="1:7" s="27" customFormat="1" ht="15">
      <c r="A32" s="22" t="s">
        <v>157</v>
      </c>
      <c r="B32" s="35">
        <f>IF(283.66302="","-",283.66302)/1000</f>
        <v>0.28366302000000004</v>
      </c>
      <c r="C32" s="39">
        <f>IF(OR(244.53032="",283.66302=""),"-",283.66302/244.53032*100)</f>
        <v>116.00320974511465</v>
      </c>
      <c r="D32" s="39">
        <f>IF(244.53032="","-",244.53032/1966837.29975*100)</f>
        <v>0.012432666394474094</v>
      </c>
      <c r="E32" s="39">
        <f>IF(283.66302="","-",283.66302/2045340.42783*100)</f>
        <v>0.01386874361550423</v>
      </c>
      <c r="F32" s="39">
        <f>IF(OR(2339529.78212="",38.47305="",244.53032=""),"-",(244.53032-38.47305)/2339529.78212*100)</f>
        <v>0.008807636114522044</v>
      </c>
      <c r="G32" s="39">
        <f>IF(OR(1966837.29975="",283.66302="",244.53032=""),"-",(283.66302-244.53032)/1966837.29975*100)</f>
        <v>0.0019896256800180723</v>
      </c>
    </row>
    <row r="33" spans="1:7" s="27" customFormat="1" ht="15">
      <c r="A33" s="22" t="s">
        <v>134</v>
      </c>
      <c r="B33" s="35">
        <f>IF(202.2992="","-",202.2992)/1000</f>
        <v>0.2022992</v>
      </c>
      <c r="C33" s="39">
        <f>IF(OR(214.5198="",202.2992=""),"-",202.2992/214.5198*100)</f>
        <v>94.30327643415667</v>
      </c>
      <c r="D33" s="39">
        <f>IF(214.5198="","-",214.5198/1966837.29975*100)</f>
        <v>0.010906840135036441</v>
      </c>
      <c r="E33" s="39">
        <f>IF(202.2992="","-",202.2992/2045340.42783*100)</f>
        <v>0.009890734923507524</v>
      </c>
      <c r="F33" s="39">
        <f>IF(OR(2339529.78212="",278.39511="",214.5198=""),"-",(214.5198-278.39511)/2339529.78212*100)</f>
        <v>-0.0027302627428883773</v>
      </c>
      <c r="G33" s="39">
        <f>IF(OR(1966837.29975="",202.2992="",214.5198=""),"-",(202.2992-214.5198)/1966837.29975*100)</f>
        <v>-0.00062133253226148</v>
      </c>
    </row>
    <row r="34" spans="1:7" s="27" customFormat="1" ht="15">
      <c r="A34" s="22" t="s">
        <v>158</v>
      </c>
      <c r="B34" s="35">
        <f>IF(98.8475="","-",98.8475)/1000</f>
        <v>0.09884749999999999</v>
      </c>
      <c r="C34" s="39">
        <f>IF(OR(358.86194="",98.8475=""),"-",98.8475/358.86194*100)</f>
        <v>27.54471538553239</v>
      </c>
      <c r="D34" s="39">
        <f>IF(358.86194="","-",358.86194/1966837.29975*100)</f>
        <v>0.01824563424974776</v>
      </c>
      <c r="E34" s="39">
        <f>IF(98.8475="","-",98.8475/2045340.42783*100)</f>
        <v>0.004832814071194597</v>
      </c>
      <c r="F34" s="39">
        <f>IF(OR(2339529.78212="",0.23029="",358.86194=""),"-",(358.86194-0.23029)/2339529.78212*100)</f>
        <v>0.015329219261958722</v>
      </c>
      <c r="G34" s="39">
        <f>IF(OR(1966837.29975="",98.8475="",358.86194=""),"-",(98.8475-358.86194)/1966837.29975*100)</f>
        <v>-0.013219926225369523</v>
      </c>
    </row>
    <row r="35" spans="1:7" s="27" customFormat="1" ht="15">
      <c r="A35" s="22" t="s">
        <v>159</v>
      </c>
      <c r="B35" s="35">
        <f>IF(75.19141="","-",75.19141)/1000</f>
        <v>0.07519141</v>
      </c>
      <c r="C35" s="39">
        <f>IF(OR(293.31069="",75.19141=""),"-",75.19141/293.31069*100)</f>
        <v>25.635414106454828</v>
      </c>
      <c r="D35" s="39">
        <f>IF(293.31069="","-",293.31069/1966837.29975*100)</f>
        <v>0.014912809007500624</v>
      </c>
      <c r="E35" s="39">
        <f>IF(75.19141="","-",75.19141/2045340.42783*100)</f>
        <v>0.003676229588820781</v>
      </c>
      <c r="F35" s="39">
        <f>IF(OR(2339529.78212="",47.11861="",293.31069=""),"-",(293.31069-47.11861)/2339529.78212*100)</f>
        <v>0.010523143662523046</v>
      </c>
      <c r="G35" s="39">
        <f>IF(OR(1966837.29975="",75.19141="",293.31069=""),"-",(75.19141-293.31069)/1966837.29975*100)</f>
        <v>-0.01108984866352314</v>
      </c>
    </row>
    <row r="36" spans="1:7" s="27" customFormat="1" ht="15">
      <c r="A36" s="26" t="s">
        <v>19</v>
      </c>
      <c r="B36" s="45">
        <f>IF(414185.25312="","-",414185.25312)/1000</f>
        <v>414.18525312</v>
      </c>
      <c r="C36" s="41">
        <f>IF(492294.52654="","-",414185.25312/492294.52654*100)</f>
        <v>84.13362952276223</v>
      </c>
      <c r="D36" s="41">
        <f>IF(492294.52654="","-",492294.52654/1966837.29975*100)</f>
        <v>25.02975343220176</v>
      </c>
      <c r="E36" s="41">
        <f>IF(414185.25312="","-",414185.25312/2045340.42783*100)</f>
        <v>20.250186594093243</v>
      </c>
      <c r="F36" s="41">
        <f>IF(2339529.78212="","-",(492294.52654-735647.76318)/2339529.78212*100)</f>
        <v>-10.40180118671034</v>
      </c>
      <c r="G36" s="41">
        <f>IF(1966837.29975="","-",(414185.25312-492294.52654)/1966837.29975*100)</f>
        <v>-3.9713134090922657</v>
      </c>
    </row>
    <row r="37" spans="1:7" s="27" customFormat="1" ht="15">
      <c r="A37" s="22" t="s">
        <v>20</v>
      </c>
      <c r="B37" s="46">
        <f>IF(233177.39608="","-",233177.39608)/1000</f>
        <v>233.17739608</v>
      </c>
      <c r="C37" s="42">
        <f>IF(OR(240648.59282="",233177.39608=""),"-",233177.39608/240648.59282*100)</f>
        <v>96.8953914700061</v>
      </c>
      <c r="D37" s="42">
        <f>IF(240648.59282="","-",240648.59282/1966837.29975*100)</f>
        <v>12.235307559531654</v>
      </c>
      <c r="E37" s="42">
        <f>IF(233177.39608="","-",233177.39608/2045340.42783*100)</f>
        <v>11.400419847339991</v>
      </c>
      <c r="F37" s="42">
        <f>IF(OR(2339529.78212="",423717.63578="",240648.59282=""),"-",(240648.59282-423717.63578)/2339529.78212*100)</f>
        <v>-7.825035798181173</v>
      </c>
      <c r="G37" s="42">
        <f>IF(OR(1966837.29975="",233177.39608="",240648.59282=""),"-",(233177.39608-240648.59282)/1966837.29975*100)</f>
        <v>-0.379858402164207</v>
      </c>
    </row>
    <row r="38" spans="1:7" s="27" customFormat="1" ht="15">
      <c r="A38" s="22" t="s">
        <v>21</v>
      </c>
      <c r="B38" s="46">
        <f>IF(103539.0969="","-",103539.0969)/1000</f>
        <v>103.5390969</v>
      </c>
      <c r="C38" s="42">
        <f>IF(OR(131563.91585="",103539.0969=""),"-",103539.0969/131563.91585*100)</f>
        <v>78.69870414776045</v>
      </c>
      <c r="D38" s="42">
        <f>IF(131563.91585="","-",131563.91585/1966837.29975*100)</f>
        <v>6.689110271943834</v>
      </c>
      <c r="E38" s="42">
        <f>IF(103539.0969="","-",103539.0969/2045340.42783*100)</f>
        <v>5.06219382803916</v>
      </c>
      <c r="F38" s="42">
        <f>IF(OR(2339529.78212="",134694.15858="",131563.91585=""),"-",(131563.91585-134694.15858)/2339529.78212*100)</f>
        <v>-0.13379794324154667</v>
      </c>
      <c r="G38" s="42">
        <f>IF(OR(1966837.29975="",103539.0969="",131563.91585=""),"-",(103539.0969-131563.91585)/1966837.29975*100)</f>
        <v>-1.424867168909302</v>
      </c>
    </row>
    <row r="39" spans="1:7" s="27" customFormat="1" ht="15">
      <c r="A39" s="22" t="s">
        <v>22</v>
      </c>
      <c r="B39" s="46">
        <f>IF(49706.44998="","-",49706.44998)/1000</f>
        <v>49.706449979999995</v>
      </c>
      <c r="C39" s="42">
        <f>IF(OR(45839.5531="",49706.44998=""),"-",49706.44998/45839.5531*100)</f>
        <v>108.43572115889586</v>
      </c>
      <c r="D39" s="42">
        <f>IF(45839.5531="","-",45839.5531/1966837.29975*100)</f>
        <v>2.330622523064137</v>
      </c>
      <c r="E39" s="42">
        <f>IF(49706.44998="","-",49706.44998/2045340.42783*100)</f>
        <v>2.430228694630358</v>
      </c>
      <c r="F39" s="42">
        <f>IF(OR(2339529.78212="",109226.83625="",45839.5531=""),"-",(45839.5531-109226.83625)/2339529.78212*100)</f>
        <v>-2.7094027028183696</v>
      </c>
      <c r="G39" s="42">
        <f>IF(OR(1966837.29975="",49706.44998="",45839.5531=""),"-",(49706.44998-45839.5531)/1966837.29975*100)</f>
        <v>0.19660481731211382</v>
      </c>
    </row>
    <row r="40" spans="1:7" s="27" customFormat="1" ht="15">
      <c r="A40" s="22" t="s">
        <v>23</v>
      </c>
      <c r="B40" s="46">
        <f>IF(13183.14392="","-",13183.14392)/1000</f>
        <v>13.183143920000001</v>
      </c>
      <c r="C40" s="42">
        <f>IF(OR(58620.3447="",13183.14392=""),"-",13183.14392/58620.3447*100)</f>
        <v>22.48902490674027</v>
      </c>
      <c r="D40" s="42">
        <f>IF(58620.3447="","-",58620.3447/1966837.29975*100)</f>
        <v>2.98043690281098</v>
      </c>
      <c r="E40" s="42">
        <f>IF(13183.14392="","-",13183.14392/2045340.42783*100)</f>
        <v>0.6445452180293836</v>
      </c>
      <c r="F40" s="42">
        <f>IF(OR(2339529.78212="",45308.93086="",58620.3447=""),"-",(58620.3447-45308.93086)/2339529.78212*100)</f>
        <v>0.5689781742354082</v>
      </c>
      <c r="G40" s="42">
        <f>IF(OR(1966837.29975="",13183.14392="",58620.3447=""),"-",(13183.14392-58620.3447)/1966837.29975*100)</f>
        <v>-2.31016570540814</v>
      </c>
    </row>
    <row r="41" spans="1:7" s="27" customFormat="1" ht="15">
      <c r="A41" s="22" t="s">
        <v>25</v>
      </c>
      <c r="B41" s="46">
        <f>IF(5619.83118="","-",5619.83118)/1000</f>
        <v>5.61983118</v>
      </c>
      <c r="C41" s="42">
        <f>IF(OR(6578.29506="",5619.83118=""),"-",5619.83118/6578.29506*100)</f>
        <v>85.4299043861982</v>
      </c>
      <c r="D41" s="42">
        <f>IF(6578.29506="","-",6578.29506/1966837.29975*100)</f>
        <v>0.3344605606592956</v>
      </c>
      <c r="E41" s="42">
        <f>IF(5619.83118="","-",5619.83118/2045340.42783*100)</f>
        <v>0.2747626313709718</v>
      </c>
      <c r="F41" s="42">
        <f>IF(OR(2339529.78212="",8139.09757="",6578.29506=""),"-",(6578.29506-8139.09757)/2339529.78212*100)</f>
        <v>-0.06671436807210271</v>
      </c>
      <c r="G41" s="42">
        <f>IF(OR(1966837.29975="",5619.83118="",6578.29506=""),"-",(5619.83118-6578.29506)/1966837.29975*100)</f>
        <v>-0.048731223478516925</v>
      </c>
    </row>
    <row r="42" spans="1:7" s="27" customFormat="1" ht="15">
      <c r="A42" s="22" t="s">
        <v>24</v>
      </c>
      <c r="B42" s="46">
        <f>IF(4665.18693="","-",4665.18693)/1000</f>
        <v>4.66518693</v>
      </c>
      <c r="C42" s="42">
        <f>IF(OR(3525.34012="",4665.18693=""),"-",4665.18693/3525.34012*100)</f>
        <v>132.33295997550442</v>
      </c>
      <c r="D42" s="42">
        <f>IF(3525.34012="","-",3525.34012/1966837.29975*100)</f>
        <v>0.17923903113125306</v>
      </c>
      <c r="E42" s="42">
        <f>IF(4665.18693="","-",4665.18693/2045340.42783*100)</f>
        <v>0.22808853071708562</v>
      </c>
      <c r="F42" s="42">
        <f>IF(OR(2339529.78212="",5916.27294="",3525.34012=""),"-",(3525.34012-5916.27294)/2339529.78212*100)</f>
        <v>-0.10219715253350697</v>
      </c>
      <c r="G42" s="42">
        <f>IF(OR(1966837.29975="",4665.18693="",3525.34012=""),"-",(4665.18693-3525.34012)/1966837.29975*100)</f>
        <v>0.057953284196149986</v>
      </c>
    </row>
    <row r="43" spans="1:7" s="27" customFormat="1" ht="15">
      <c r="A43" s="22" t="s">
        <v>26</v>
      </c>
      <c r="B43" s="46">
        <f>IF(1784.93007="","-",1784.93007)/1000</f>
        <v>1.78493007</v>
      </c>
      <c r="C43" s="42">
        <f>IF(OR(1895.39018="",1784.93007=""),"-",1784.93007/1895.39018*100)</f>
        <v>94.17217039712634</v>
      </c>
      <c r="D43" s="42">
        <f>IF(1895.39018="","-",1895.39018/1966837.29975*100)</f>
        <v>0.09636741077876236</v>
      </c>
      <c r="E43" s="42">
        <f>IF(1784.93007="","-",1784.93007/2045340.42783*100)</f>
        <v>0.0872681166280822</v>
      </c>
      <c r="F43" s="42">
        <f>IF(OR(2339529.78212="",3281.64347="",1895.39018=""),"-",(1895.39018-3281.64347)/2339529.78212*100)</f>
        <v>-0.05925350045101052</v>
      </c>
      <c r="G43" s="42">
        <f>IF(OR(1966837.29975="",1784.93007="",1895.39018=""),"-",(1784.93007-1895.39018)/1966837.29975*100)</f>
        <v>-0.005616128492887568</v>
      </c>
    </row>
    <row r="44" spans="1:7" s="27" customFormat="1" ht="15">
      <c r="A44" s="22" t="s">
        <v>27</v>
      </c>
      <c r="B44" s="46">
        <f>IF(1056.6181="","-",1056.6181)/1000</f>
        <v>1.0566181</v>
      </c>
      <c r="C44" s="42">
        <f>IF(OR(1778.37836="",1056.6181=""),"-",1056.6181/1778.37836*100)</f>
        <v>59.414696206717224</v>
      </c>
      <c r="D44" s="42">
        <f>IF(1778.37836="","-",1778.37836/1966837.29975*100)</f>
        <v>0.09041817339065338</v>
      </c>
      <c r="E44" s="42">
        <f>IF(1056.6181="","-",1056.6181/2045340.42783*100)</f>
        <v>0.051659767030616845</v>
      </c>
      <c r="F44" s="42">
        <f>IF(OR(2339529.78212="",1240.70064="",1778.37836=""),"-",(1778.37836-1240.70064)/2339529.78212*100)</f>
        <v>0.022982298584494836</v>
      </c>
      <c r="G44" s="42">
        <f>IF(OR(1966837.29975="",1056.6181="",1778.37836=""),"-",(1056.6181-1778.37836)/1966837.29975*100)</f>
        <v>-0.036696490354933844</v>
      </c>
    </row>
    <row r="45" spans="1:7" s="27" customFormat="1" ht="15">
      <c r="A45" s="22" t="s">
        <v>28</v>
      </c>
      <c r="B45" s="46">
        <f>IF(904.30731="","-",904.30731)/1000</f>
        <v>0.90430731</v>
      </c>
      <c r="C45" s="42">
        <f>IF(OR(1097.16053="",904.30731=""),"-",904.30731/1097.16053*100)</f>
        <v>82.42251569148226</v>
      </c>
      <c r="D45" s="42">
        <f>IF(1097.16053="","-",1097.16053/1966837.29975*100)</f>
        <v>0.05578298368347283</v>
      </c>
      <c r="E45" s="42">
        <f>IF(904.30731="","-",904.30731/2045340.42783*100)</f>
        <v>0.044213046282932135</v>
      </c>
      <c r="F45" s="42">
        <f>IF(OR(2339529.78212="",2137.58294="",1097.16053=""),"-",(1097.16053-2137.58294)/2339529.78212*100)</f>
        <v>-0.04447143259092027</v>
      </c>
      <c r="G45" s="42">
        <f>IF(OR(1966837.29975="",904.30731="",1097.16053=""),"-",(904.30731-1097.16053)/1966837.29975*100)</f>
        <v>-0.009805245203785447</v>
      </c>
    </row>
    <row r="46" spans="1:7" s="27" customFormat="1" ht="15">
      <c r="A46" s="22" t="s">
        <v>29</v>
      </c>
      <c r="B46" s="46">
        <f>IF(548.29265="","-",548.29265)/1000</f>
        <v>0.5482926499999999</v>
      </c>
      <c r="C46" s="42">
        <f>IF(OR(747.55582="",548.29265=""),"-",548.29265/747.55582*100)</f>
        <v>73.34471023180583</v>
      </c>
      <c r="D46" s="42">
        <f>IF(747.55582="","-",747.55582/1966837.29975*100)</f>
        <v>0.038008015207715455</v>
      </c>
      <c r="E46" s="42">
        <f>IF(548.29265="","-",548.29265/2045340.42783*100)</f>
        <v>0.026806914024659945</v>
      </c>
      <c r="F46" s="42">
        <f>IF(OR(2339529.78212="",1984.90415="",747.55582=""),"-",(747.55582-1984.90415)/2339529.78212*100)</f>
        <v>-0.05288876164161323</v>
      </c>
      <c r="G46" s="42">
        <f>IF(OR(1966837.29975="",548.29265="",747.55582=""),"-",(548.29265-747.55582)/1966837.29975*100)</f>
        <v>-0.010131146588755862</v>
      </c>
    </row>
    <row r="47" spans="1:7" s="27" customFormat="1" ht="15">
      <c r="A47" s="26" t="s">
        <v>30</v>
      </c>
      <c r="B47" s="45">
        <f>IF(298736.4609="","-",298736.4609)/1000</f>
        <v>298.7364609</v>
      </c>
      <c r="C47" s="41">
        <f>IF(256955.26481="","-",298736.4609/256955.26481*100)</f>
        <v>116.26010508906842</v>
      </c>
      <c r="D47" s="41">
        <f>IF(256955.26481="","-",256955.26481/1966837.29975*100)</f>
        <v>13.064388439382402</v>
      </c>
      <c r="E47" s="41">
        <f>IF(298736.4609="","-",298736.4609/2045340.42783*100)</f>
        <v>14.605708508727023</v>
      </c>
      <c r="F47" s="41">
        <f>IF(2339529.78212="","-",(256955.26481-357902.20492)/2339529.78212*100)</f>
        <v>-4.314838856999948</v>
      </c>
      <c r="G47" s="41">
        <f>IF(1966837.29975="","-",(298736.4609-256955.26481)/1966837.29975*100)</f>
        <v>2.1242832894876824</v>
      </c>
    </row>
    <row r="48" spans="1:7" s="27" customFormat="1" ht="15">
      <c r="A48" s="22" t="s">
        <v>161</v>
      </c>
      <c r="B48" s="46">
        <f>IF(61683.33118="","-",61683.33118)/1000</f>
        <v>61.68333118</v>
      </c>
      <c r="C48" s="42">
        <f>IF(OR(64421.25845="",61683.33118=""),"-",61683.33118/64421.25845*100)</f>
        <v>95.74996307759957</v>
      </c>
      <c r="D48" s="42">
        <f>IF(64421.25845="","-",64421.25845/1966837.29975*100)</f>
        <v>3.275373029491989</v>
      </c>
      <c r="E48" s="42">
        <f>IF(61683.33118="","-",61683.33118/2045340.42783*100)</f>
        <v>3.015797778242853</v>
      </c>
      <c r="F48" s="42">
        <f>IF(OR(2339529.78212="",104668.64237="",64421.25845=""),"-",(64421.25845-104668.64237)/2339529.78212*100)</f>
        <v>-1.7203193662073937</v>
      </c>
      <c r="G48" s="42">
        <f>IF(OR(1966837.29975="",61683.33118="",64421.25845=""),"-",(61683.33118-64421.25845)/1966837.29975*100)</f>
        <v>-0.13920456309975468</v>
      </c>
    </row>
    <row r="49" spans="1:7" s="27" customFormat="1" ht="15">
      <c r="A49" s="22" t="s">
        <v>135</v>
      </c>
      <c r="B49" s="46">
        <f>IF(44498.28102="","-",44498.28102)/1000</f>
        <v>44.49828102</v>
      </c>
      <c r="C49" s="42">
        <f>IF(OR(35369.86802="",44498.28102=""),"-",44498.28102/35369.86802*100)</f>
        <v>125.80844518514547</v>
      </c>
      <c r="D49" s="42">
        <f>IF(35369.86802="","-",35369.86802/1966837.29975*100)</f>
        <v>1.7983118392403776</v>
      </c>
      <c r="E49" s="42">
        <f>IF(44498.28102="","-",44498.28102/2045340.42783*100)</f>
        <v>2.175592894685525</v>
      </c>
      <c r="F49" s="42">
        <f>IF(OR(2339529.78212="",49237.13831="",35369.86802=""),"-",(35369.86802-49237.13831)/2339529.78212*100)</f>
        <v>-0.5927374977647843</v>
      </c>
      <c r="G49" s="42">
        <f>IF(OR(1966837.29975="",44498.28102="",35369.86802=""),"-",(44498.28102-35369.86802)/1966837.29975*100)</f>
        <v>0.4641163252883343</v>
      </c>
    </row>
    <row r="50" spans="1:7" s="27" customFormat="1" ht="15">
      <c r="A50" s="22" t="s">
        <v>162</v>
      </c>
      <c r="B50" s="46">
        <f>IF(26275.5896="","-",26275.5896)/1000</f>
        <v>26.2755896</v>
      </c>
      <c r="C50" s="42">
        <f>IF(OR(17083.89221="",26275.5896=""),"-",26275.5896/17083.89221*100)</f>
        <v>153.80329773223264</v>
      </c>
      <c r="D50" s="42">
        <f>IF(17083.89221="","-",17083.89221/1966837.29975*100)</f>
        <v>0.8685971235226977</v>
      </c>
      <c r="E50" s="42">
        <f>IF(26275.5896="","-",26275.5896/2045340.42783*100)</f>
        <v>1.2846560524830106</v>
      </c>
      <c r="F50" s="42">
        <f>IF(OR(2339529.78212="",10286.70638="",17083.89221=""),"-",(17083.89221-10286.70638)/2339529.78212*100)</f>
        <v>0.2905364095788783</v>
      </c>
      <c r="G50" s="42">
        <f>IF(OR(1966837.29975="",26275.5896="",17083.89221=""),"-",(26275.5896-17083.89221)/1966837.29975*100)</f>
        <v>0.46733389646252554</v>
      </c>
    </row>
    <row r="51" spans="1:7" s="27" customFormat="1" ht="15">
      <c r="A51" s="22" t="s">
        <v>31</v>
      </c>
      <c r="B51" s="46">
        <f>IF(17016.36593="","-",17016.36593)/1000</f>
        <v>17.01636593</v>
      </c>
      <c r="C51" s="42">
        <f>IF(OR(22031.00875="",17016.36593=""),"-",17016.36593/22031.00875*100)</f>
        <v>77.23825142595886</v>
      </c>
      <c r="D51" s="42">
        <f>IF(22031.00875="","-",22031.00875/1966837.29975*100)</f>
        <v>1.1201235990796141</v>
      </c>
      <c r="E51" s="42">
        <f>IF(17016.36593="","-",17016.36593/2045340.42783*100)</f>
        <v>0.8319576388588515</v>
      </c>
      <c r="F51" s="42">
        <f>IF(OR(2339529.78212="",32089.36577="",22031.00875=""),"-",(22031.00875-32089.36577)/2339529.78212*100)</f>
        <v>-0.4299307107296351</v>
      </c>
      <c r="G51" s="42">
        <f>IF(OR(1966837.29975="",17016.36593="",22031.00875=""),"-",(17016.36593-22031.00875)/1966837.29975*100)</f>
        <v>-0.2549597173410022</v>
      </c>
    </row>
    <row r="52" spans="1:7" s="27" customFormat="1" ht="15">
      <c r="A52" s="22" t="s">
        <v>163</v>
      </c>
      <c r="B52" s="46">
        <f>IF(16892.17641="","-",16892.17641)/1000</f>
        <v>16.89217641</v>
      </c>
      <c r="C52" s="42">
        <f>IF(OR(17930.24618="",16892.17641=""),"-",16892.17641/17930.24618*100)</f>
        <v>94.21051022066894</v>
      </c>
      <c r="D52" s="42">
        <f>IF(17930.24618="","-",17930.24618/1966837.29975*100)</f>
        <v>0.9116283376504539</v>
      </c>
      <c r="E52" s="42">
        <f>IF(16892.17641="","-",16892.17641/2045340.42783*100)</f>
        <v>0.8258858124621201</v>
      </c>
      <c r="F52" s="42">
        <f>IF(OR(2339529.78212="",24491.44278="",17930.24618=""),"-",(17930.24618-24491.44278)/2339529.78212*100)</f>
        <v>-0.2804493727818449</v>
      </c>
      <c r="G52" s="42">
        <f>IF(OR(1966837.29975="",16892.17641="",17930.24618=""),"-",(16892.17641-17930.24618)/1966837.29975*100)</f>
        <v>-0.0527786294337587</v>
      </c>
    </row>
    <row r="53" spans="1:7" s="27" customFormat="1" ht="15">
      <c r="A53" s="22" t="s">
        <v>164</v>
      </c>
      <c r="B53" s="46">
        <f>IF(14513.04283="","-",14513.04283)/1000</f>
        <v>14.51304283</v>
      </c>
      <c r="C53" s="42" t="s">
        <v>140</v>
      </c>
      <c r="D53" s="42">
        <f>IF(8551.18136="","-",8551.18136/1966837.29975*100)</f>
        <v>0.43476811025939566</v>
      </c>
      <c r="E53" s="42">
        <f>IF(14513.04283="","-",14513.04283/2045340.42783*100)</f>
        <v>0.7095661256447947</v>
      </c>
      <c r="F53" s="42">
        <f>IF(OR(2339529.78212="",8223.14187="",8551.18136=""),"-",(8551.18136-8223.14187)/2339529.78212*100)</f>
        <v>0.014021599233617925</v>
      </c>
      <c r="G53" s="42">
        <f>IF(OR(1966837.29975="",14513.04283="",8551.18136=""),"-",(14513.04283-8551.18136)/1966837.29975*100)</f>
        <v>0.30311919906937895</v>
      </c>
    </row>
    <row r="54" spans="1:7" s="27" customFormat="1" ht="15">
      <c r="A54" s="22" t="s">
        <v>165</v>
      </c>
      <c r="B54" s="46">
        <f>IF(11244.76998="","-",11244.76998)/1000</f>
        <v>11.24476998</v>
      </c>
      <c r="C54" s="42">
        <f>IF(OR(8619.82796="",11244.76998=""),"-",11244.76998/8619.82796*100)</f>
        <v>130.45237134872002</v>
      </c>
      <c r="D54" s="42">
        <f>IF(8619.82796="","-",8619.82796/1966837.29975*100)</f>
        <v>0.4382583125251716</v>
      </c>
      <c r="E54" s="42">
        <f>IF(11244.76998="","-",11244.76998/2045340.42783*100)</f>
        <v>0.5497749825406872</v>
      </c>
      <c r="F54" s="42">
        <f>IF(OR(2339529.78212="",10261.45826="",8619.82796=""),"-",(8619.82796-10261.45826)/2339529.78212*100)</f>
        <v>-0.07016924138116383</v>
      </c>
      <c r="G54" s="42">
        <f>IF(OR(1966837.29975="",11244.76998="",8619.82796=""),"-",(11244.76998-8619.82796)/1966837.29975*100)</f>
        <v>0.13346004879679924</v>
      </c>
    </row>
    <row r="55" spans="1:7" s="27" customFormat="1" ht="15">
      <c r="A55" s="22" t="s">
        <v>166</v>
      </c>
      <c r="B55" s="46">
        <f>IF(10362.03801="","-",10362.03801)/1000</f>
        <v>10.362038010000001</v>
      </c>
      <c r="C55" s="42" t="s">
        <v>210</v>
      </c>
      <c r="D55" s="42">
        <f>IF(3095.67172="","-",3095.67172/1966837.29975*100)</f>
        <v>0.15739338075363343</v>
      </c>
      <c r="E55" s="42">
        <f>IF(10362.03801="","-",10362.03801/2045340.42783*100)</f>
        <v>0.5066167895089027</v>
      </c>
      <c r="F55" s="42">
        <f>IF(OR(2339529.78212="",5225.10371="",3095.67172=""),"-",(3095.67172-5225.10371)/2339529.78212*100)</f>
        <v>-0.09101965729499642</v>
      </c>
      <c r="G55" s="42">
        <f>IF(OR(1966837.29975="",10362.03801="",3095.67172=""),"-",(10362.03801-3095.67172)/1966837.29975*100)</f>
        <v>0.3694441981003518</v>
      </c>
    </row>
    <row r="56" spans="1:7" s="27" customFormat="1" ht="15">
      <c r="A56" s="22" t="s">
        <v>167</v>
      </c>
      <c r="B56" s="46">
        <f>IF(7726.64546="","-",7726.64546)/1000</f>
        <v>7.726645459999999</v>
      </c>
      <c r="C56" s="42" t="s">
        <v>214</v>
      </c>
      <c r="D56" s="42">
        <f>IF(2278.1524="","-",2278.1524/1966837.29975*100)</f>
        <v>0.11582820807239981</v>
      </c>
      <c r="E56" s="42">
        <f>IF(7726.64546="","-",7726.64546/2045340.42783*100)</f>
        <v>0.3777681873817734</v>
      </c>
      <c r="F56" s="42">
        <f>IF(OR(2339529.78212="",2873.83038="",2278.1524=""),"-",(2278.1524-2873.83038)/2339529.78212*100)</f>
        <v>-0.025461440352352233</v>
      </c>
      <c r="G56" s="42">
        <f>IF(OR(1966837.29975="",7726.64546="",2278.1524=""),"-",(7726.64546-2278.1524)/1966837.29975*100)</f>
        <v>0.2770179852035827</v>
      </c>
    </row>
    <row r="57" spans="1:7" s="27" customFormat="1" ht="15">
      <c r="A57" s="22" t="s">
        <v>168</v>
      </c>
      <c r="B57" s="46">
        <f>IF(5636.1095="","-",5636.1095)/1000</f>
        <v>5.6361095</v>
      </c>
      <c r="C57" s="42">
        <f>IF(OR(5723.29591="",5636.1095=""),"-",5636.1095/5723.29591*100)</f>
        <v>98.47663983531476</v>
      </c>
      <c r="D57" s="42">
        <f>IF(5723.29591="","-",5723.29591/1966837.29975*100)</f>
        <v>0.29098979924406937</v>
      </c>
      <c r="E57" s="42">
        <f>IF(5636.1095="","-",5636.1095/2045340.42783*100)</f>
        <v>0.27555850475119287</v>
      </c>
      <c r="F57" s="42">
        <f>IF(OR(2339529.78212="",2639.82878="",5723.29591=""),"-",(5723.29591-2639.82878)/2339529.78212*100)</f>
        <v>0.1317985842097667</v>
      </c>
      <c r="G57" s="42">
        <f>IF(OR(1966837.29975="",5636.1095="",5723.29591=""),"-",(5636.1095-5723.29591)/1966837.29975*100)</f>
        <v>-0.0044328226849817375</v>
      </c>
    </row>
    <row r="58" spans="1:7" s="27" customFormat="1" ht="15">
      <c r="A58" s="22" t="s">
        <v>171</v>
      </c>
      <c r="B58" s="46">
        <f>IF(4830.55151="","-",4830.55151)/1000</f>
        <v>4.83055151</v>
      </c>
      <c r="C58" s="42" t="s">
        <v>133</v>
      </c>
      <c r="D58" s="42">
        <f>IF(1865.95183="","-",1865.95183/1966837.29975*100)</f>
        <v>0.09487067538515649</v>
      </c>
      <c r="E58" s="42">
        <f>IF(4830.55151="","-",4830.55151/2045340.42783*100)</f>
        <v>0.2361734723605383</v>
      </c>
      <c r="F58" s="42">
        <f>IF(OR(2339529.78212="",1259.02888="",1865.95183=""),"-",(1865.95183-1259.02888)/2339529.78212*100)</f>
        <v>0.02594209121159499</v>
      </c>
      <c r="G58" s="42">
        <f>IF(OR(1966837.29975="",4830.55151="",1865.95183=""),"-",(4830.55151-1865.95183)/1966837.29975*100)</f>
        <v>0.1507292789483311</v>
      </c>
    </row>
    <row r="59" spans="1:7" s="27" customFormat="1" ht="15">
      <c r="A59" s="22" t="s">
        <v>170</v>
      </c>
      <c r="B59" s="46">
        <f>IF(4617.49433="","-",4617.49433)/1000</f>
        <v>4.61749433</v>
      </c>
      <c r="C59" s="42" t="s">
        <v>142</v>
      </c>
      <c r="D59" s="42">
        <f>IF(1034.98489="","-",1034.98489/1966837.29975*100)</f>
        <v>0.05262178473692534</v>
      </c>
      <c r="E59" s="42">
        <f>IF(4617.49433="","-",4617.49433/2045340.42783*100)</f>
        <v>0.2257567624035536</v>
      </c>
      <c r="F59" s="42">
        <f>IF(OR(2339529.78212="",223.31458="",1034.98489=""),"-",(1034.98489-223.31458)/2339529.78212*100)</f>
        <v>0.034693737015157496</v>
      </c>
      <c r="G59" s="42">
        <f>IF(OR(1966837.29975="",4617.49433="",1034.98489=""),"-",(4617.49433-1034.98489)/1966837.29975*100)</f>
        <v>0.18214569351798265</v>
      </c>
    </row>
    <row r="60" spans="1:7" s="27" customFormat="1" ht="15">
      <c r="A60" s="22" t="s">
        <v>169</v>
      </c>
      <c r="B60" s="46">
        <f>IF(4210.03303="","-",4210.03303)/1000</f>
        <v>4.21003303</v>
      </c>
      <c r="C60" s="42">
        <f>IF(OR(3097.22194="",4210.03303=""),"-",4210.03303/3097.22194*100)</f>
        <v>135.92932994656493</v>
      </c>
      <c r="D60" s="42">
        <f>IF(3097.22194="","-",3097.22194/1966837.29975*100)</f>
        <v>0.15747219866095077</v>
      </c>
      <c r="E60" s="42">
        <f>IF(4210.03303="","-",4210.03303/2045340.42783*100)</f>
        <v>0.2058353207473939</v>
      </c>
      <c r="F60" s="42">
        <f>IF(OR(2339529.78212="",8413.19236="",3097.22194=""),"-",(3097.22194-8413.19236)/2339529.78212*100)</f>
        <v>-0.2272238832190823</v>
      </c>
      <c r="G60" s="42">
        <f>IF(OR(1966837.29975="",4210.03303="",3097.22194=""),"-",(4210.03303-3097.22194)/1966837.29975*100)</f>
        <v>0.056578705831003225</v>
      </c>
    </row>
    <row r="61" spans="1:7" s="27" customFormat="1" ht="15">
      <c r="A61" s="22" t="s">
        <v>172</v>
      </c>
      <c r="B61" s="46">
        <f>IF(3880.27649="","-",3880.27649)/1000</f>
        <v>3.8802764900000004</v>
      </c>
      <c r="C61" s="42">
        <f>IF(OR(11634.28647="",3880.27649=""),"-",3880.27649/11634.28647*100)</f>
        <v>33.35207964842214</v>
      </c>
      <c r="D61" s="42">
        <f>IF(11634.28647="","-",11634.28647/1966837.29975*100)</f>
        <v>0.5915225662782989</v>
      </c>
      <c r="E61" s="42">
        <f>IF(3880.27649="","-",3880.27649/2045340.42783*100)</f>
        <v>0.18971299042461956</v>
      </c>
      <c r="F61" s="42">
        <f>IF(OR(2339529.78212="",6256.99995="",11634.28647=""),"-",(11634.28647-6256.99995)/2339529.78212*100)</f>
        <v>0.22984475603158552</v>
      </c>
      <c r="G61" s="42">
        <f>IF(OR(1966837.29975="",3880.27649="",11634.28647=""),"-",(3880.27649-11634.28647)/1966837.29975*100)</f>
        <v>-0.39423748883477006</v>
      </c>
    </row>
    <row r="62" spans="1:7" s="27" customFormat="1" ht="15">
      <c r="A62" s="22" t="s">
        <v>173</v>
      </c>
      <c r="B62" s="46">
        <f>IF(3706.95491="","-",3706.95491)/1000</f>
        <v>3.70695491</v>
      </c>
      <c r="C62" s="42">
        <f>IF(OR(2555.66319="",3706.95491=""),"-",3706.95491/2555.66319*100)</f>
        <v>145.04864821408646</v>
      </c>
      <c r="D62" s="42">
        <f>IF(2555.66319="","-",2555.66319/1966837.29975*100)</f>
        <v>0.12993770203182767</v>
      </c>
      <c r="E62" s="42">
        <f>IF(3706.95491="","-",3706.95491/2045340.42783*100)</f>
        <v>0.18123901818793495</v>
      </c>
      <c r="F62" s="42">
        <f>IF(OR(2339529.78212="",2339.52943="",2555.66319=""),"-",(2555.66319-2339.52943)/2339529.78212*100)</f>
        <v>0.009238341894675404</v>
      </c>
      <c r="G62" s="42">
        <f>IF(OR(1966837.29975="",3706.95491="",2555.66319=""),"-",(3706.95491-2555.66319)/1966837.29975*100)</f>
        <v>0.058535178285785895</v>
      </c>
    </row>
    <row r="63" spans="1:7" s="27" customFormat="1" ht="15">
      <c r="A63" s="22" t="s">
        <v>174</v>
      </c>
      <c r="B63" s="46">
        <f>IF(2565.7021="","-",2565.7021)/1000</f>
        <v>2.5657020999999998</v>
      </c>
      <c r="C63" s="42" t="s">
        <v>215</v>
      </c>
      <c r="D63" s="42">
        <f>IF(599.83544="","-",599.83544/1966837.29975*100)</f>
        <v>0.030497461080092575</v>
      </c>
      <c r="E63" s="42">
        <f>IF(2565.7021="","-",2565.7021/2045340.42783*100)</f>
        <v>0.1254413233655229</v>
      </c>
      <c r="F63" s="42">
        <f>IF(OR(2339529.78212="",946.94343="",599.83544=""),"-",(599.83544-946.94343)/2339529.78212*100)</f>
        <v>-0.014836656179921033</v>
      </c>
      <c r="G63" s="42">
        <f>IF(OR(1966837.29975="",2565.7021="",599.83544=""),"-",(2565.7021-599.83544)/1966837.29975*100)</f>
        <v>0.09995064971819868</v>
      </c>
    </row>
    <row r="64" spans="1:7" s="27" customFormat="1" ht="15">
      <c r="A64" s="22" t="s">
        <v>175</v>
      </c>
      <c r="B64" s="46">
        <f>IF(2424.53298="","-",2424.53298)/1000</f>
        <v>2.42453298</v>
      </c>
      <c r="C64" s="42">
        <f>IF(OR(2594.47275="",2424.53298=""),"-",2424.53298/2594.47275*100)</f>
        <v>93.44993043384248</v>
      </c>
      <c r="D64" s="42">
        <f>IF(2594.47275="","-",2594.47275/1966837.29975*100)</f>
        <v>0.1319108982898472</v>
      </c>
      <c r="E64" s="42">
        <f>IF(2424.53298="","-",2424.53298/2045340.42783*100)</f>
        <v>0.11853933687568595</v>
      </c>
      <c r="F64" s="42">
        <f>IF(OR(2339529.78212="",1253.92176="",2594.47275=""),"-",(2594.47275-1253.92176)/2339529.78212*100)</f>
        <v>0.057300018159428576</v>
      </c>
      <c r="G64" s="42">
        <f>IF(OR(1966837.29975="",2424.53298="",2594.47275=""),"-",(2424.53298-2594.47275)/1966837.29975*100)</f>
        <v>-0.008640255603328277</v>
      </c>
    </row>
    <row r="65" spans="1:7" s="27" customFormat="1" ht="15">
      <c r="A65" s="22" t="s">
        <v>176</v>
      </c>
      <c r="B65" s="46">
        <f>IF(1935.01241="","-",1935.01241)/1000</f>
        <v>1.9350124100000001</v>
      </c>
      <c r="C65" s="42" t="s">
        <v>216</v>
      </c>
      <c r="D65" s="42">
        <f>IF(294.91407="","-",294.91407/1966837.29975*100)</f>
        <v>0.014994329731162095</v>
      </c>
      <c r="E65" s="42">
        <f>IF(1935.01241="","-",1935.01241/2045340.42783*100)</f>
        <v>0.09460588485276986</v>
      </c>
      <c r="F65" s="42">
        <f>IF(OR(2339529.78212="",633.15657="",294.91407=""),"-",(294.91407-633.15657)/2339529.78212*100)</f>
        <v>-0.01445771293808863</v>
      </c>
      <c r="G65" s="42">
        <f>IF(OR(1966837.29975="",1935.01241="",294.91407=""),"-",(1935.01241-294.91407)/1966837.29975*100)</f>
        <v>0.08338759592409953</v>
      </c>
    </row>
    <row r="66" spans="1:7" s="27" customFormat="1" ht="15">
      <c r="A66" s="22" t="s">
        <v>132</v>
      </c>
      <c r="B66" s="46">
        <f>IF(1760.65886="","-",1760.65886)/1000</f>
        <v>1.76065886</v>
      </c>
      <c r="C66" s="42" t="s">
        <v>210</v>
      </c>
      <c r="D66" s="42">
        <f>IF(530.06214="","-",530.06214/1966837.29975*100)</f>
        <v>0.026949973953990753</v>
      </c>
      <c r="E66" s="42">
        <f>IF(1760.65886="","-",1760.65886/2045340.42783*100)</f>
        <v>0.0860814579345096</v>
      </c>
      <c r="F66" s="42">
        <f>IF(OR(2339529.78212="",1679.13414="",530.06214=""),"-",(530.06214-1679.13414)/2339529.78212*100)</f>
        <v>-0.04911551068004576</v>
      </c>
      <c r="G66" s="42">
        <f>IF(OR(1966837.29975="",1760.65886="",530.06214=""),"-",(1760.65886-530.06214)/1966837.29975*100)</f>
        <v>0.06256728607681064</v>
      </c>
    </row>
    <row r="67" spans="1:7" s="27" customFormat="1" ht="15">
      <c r="A67" s="22" t="s">
        <v>177</v>
      </c>
      <c r="B67" s="46">
        <f>IF(1684.04338="","-",1684.04338)/1000</f>
        <v>1.68404338</v>
      </c>
      <c r="C67" s="42">
        <f>IF(OR(1323.28792="",1684.04338=""),"-",1684.04338/1323.28792*100)</f>
        <v>127.26205344638831</v>
      </c>
      <c r="D67" s="42">
        <f>IF(1323.28792="","-",1323.28792/1966837.29975*100)</f>
        <v>0.0672799890549259</v>
      </c>
      <c r="E67" s="42">
        <f>IF(1684.04338="","-",1684.04338/2045340.42783*100)</f>
        <v>0.08233560326124696</v>
      </c>
      <c r="F67" s="42">
        <f>IF(OR(2339529.78212="",1525.51605="",1323.28792=""),"-",(1323.28792-1525.51605)/2339529.78212*100)</f>
        <v>-0.008643964763583728</v>
      </c>
      <c r="G67" s="42">
        <f>IF(OR(1966837.29975="",1684.04338="",1323.28792=""),"-",(1684.04338-1323.28792)/1966837.29975*100)</f>
        <v>0.018341906574878098</v>
      </c>
    </row>
    <row r="68" spans="1:7" s="27" customFormat="1" ht="15">
      <c r="A68" s="22" t="s">
        <v>136</v>
      </c>
      <c r="B68" s="46">
        <f>IF(1603.24="","-",1603.24)/1000</f>
        <v>1.60324</v>
      </c>
      <c r="C68" s="42" t="s">
        <v>211</v>
      </c>
      <c r="D68" s="42">
        <f>IF(772.16143="","-",772.16143/1966837.29975*100)</f>
        <v>0.03925903937748931</v>
      </c>
      <c r="E68" s="42">
        <f>IF(1603.24="","-",1603.24/2045340.42783*100)</f>
        <v>0.07838499538685374</v>
      </c>
      <c r="F68" s="42">
        <f>IF(OR(2339529.78212="",972.59911="",772.16143=""),"-",(772.16143-972.59911)/2339529.78212*100)</f>
        <v>-0.00856743442771523</v>
      </c>
      <c r="G68" s="42">
        <f>IF(OR(1966837.29975="",1603.24="",772.16143=""),"-",(1603.24-772.16143)/1966837.29975*100)</f>
        <v>0.042254566257495546</v>
      </c>
    </row>
    <row r="69" spans="1:7" s="27" customFormat="1" ht="15">
      <c r="A69" s="22" t="s">
        <v>178</v>
      </c>
      <c r="B69" s="46">
        <f>IF(1429.88723="","-",1429.88723)/1000</f>
        <v>1.42988723</v>
      </c>
      <c r="C69" s="42" t="s">
        <v>133</v>
      </c>
      <c r="D69" s="42">
        <f>IF(558.05543="","-",558.05543/1966837.29975*100)</f>
        <v>0.028373238095033743</v>
      </c>
      <c r="E69" s="42">
        <f>IF(1429.88723="","-",1429.88723/2045340.42783*100)</f>
        <v>0.06990949822064761</v>
      </c>
      <c r="F69" s="42">
        <f>IF(OR(2339529.78212="",185.89573="",558.05543=""),"-",(558.05543-185.89573)/2339529.78212*100)</f>
        <v>0.015907457252489512</v>
      </c>
      <c r="G69" s="42">
        <f>IF(OR(1966837.29975="",1429.88723="",558.05543=""),"-",(1429.88723-558.05543)/1966837.29975*100)</f>
        <v>0.044326584619420045</v>
      </c>
    </row>
    <row r="70" spans="1:7" s="27" customFormat="1" ht="15">
      <c r="A70" s="22" t="s">
        <v>179</v>
      </c>
      <c r="B70" s="46">
        <f>IF(1322.4204="","-",1322.4204)/1000</f>
        <v>1.3224204</v>
      </c>
      <c r="C70" s="42">
        <f>IF(OR(887.88212="",1322.4204=""),"-",1322.4204/887.88212*100)</f>
        <v>148.94098779689358</v>
      </c>
      <c r="D70" s="42">
        <f>IF(887.88212="","-",887.88212/1966837.29975*100)</f>
        <v>0.04514263178316054</v>
      </c>
      <c r="E70" s="42">
        <f>IF(1322.4204="","-",1322.4204/2045340.42783*100)</f>
        <v>0.06465527117180289</v>
      </c>
      <c r="F70" s="42">
        <f>IF(OR(2339529.78212="",3154.80316="",887.88212=""),"-",(887.88212-3154.80316)/2339529.78212*100)</f>
        <v>-0.09689643864870126</v>
      </c>
      <c r="G70" s="42">
        <f>IF(OR(1966837.29975="",1322.4204="",887.88212=""),"-",(1322.4204-887.88212)/1966837.29975*100)</f>
        <v>0.022093249912193202</v>
      </c>
    </row>
    <row r="71" spans="1:7" s="27" customFormat="1" ht="15">
      <c r="A71" s="22" t="s">
        <v>180</v>
      </c>
      <c r="B71" s="46">
        <f>IF(918.07083="","-",918.07083)/1000</f>
        <v>0.91807083</v>
      </c>
      <c r="C71" s="42">
        <f>IF(OR(900.37003="",918.07083=""),"-",918.07083/900.37003*100)</f>
        <v>101.96594726725854</v>
      </c>
      <c r="D71" s="42">
        <f>IF(900.37003="","-",900.37003/1966837.29975*100)</f>
        <v>0.04577755517014264</v>
      </c>
      <c r="E71" s="42">
        <f>IF(918.07083="","-",918.07083/2045340.42783*100)</f>
        <v>0.04488596702574473</v>
      </c>
      <c r="F71" s="42">
        <f>IF(OR(2339529.78212="",2075.44511="",900.37003=""),"-",(900.37003-2075.44511)/2339529.78212*100)</f>
        <v>-0.0502269767617657</v>
      </c>
      <c r="G71" s="42">
        <f>IF(OR(1966837.29975="",918.07083="",900.37003=""),"-",(918.07083-900.37003)/1966837.29975*100)</f>
        <v>0.0008999625948851928</v>
      </c>
    </row>
    <row r="72" spans="1:7" s="27" customFormat="1" ht="15">
      <c r="A72" s="22" t="s">
        <v>182</v>
      </c>
      <c r="B72" s="46">
        <f>IF(890.3805="","-",890.3805)/1000</f>
        <v>0.8903805</v>
      </c>
      <c r="C72" s="42" t="s">
        <v>210</v>
      </c>
      <c r="D72" s="42">
        <f>IF(271.04342="","-",271.04342/1966837.29975*100)</f>
        <v>0.01378067316673584</v>
      </c>
      <c r="E72" s="42">
        <f>IF(890.3805="","-",890.3805/2045340.42783*100)</f>
        <v>0.043532142028046034</v>
      </c>
      <c r="F72" s="42">
        <f>IF(OR(2339529.78212="",2342.44537="",271.04342=""),"-",(271.04342-2342.44537)/2339529.78212*100)</f>
        <v>-0.08853924262177881</v>
      </c>
      <c r="G72" s="42">
        <f>IF(OR(1966837.29975="",890.3805="",271.04342=""),"-",(890.3805-271.04342)/1966837.29975*100)</f>
        <v>0.031488983866572104</v>
      </c>
    </row>
    <row r="73" spans="1:7" s="27" customFormat="1" ht="15">
      <c r="A73" s="22" t="s">
        <v>181</v>
      </c>
      <c r="B73" s="46">
        <f>IF(884.8753="","-",884.8753)/1000</f>
        <v>0.8848753</v>
      </c>
      <c r="C73" s="42">
        <f>IF(OR(628.63605="",884.8753=""),"-",884.8753/628.63605*100)</f>
        <v>140.76114470368032</v>
      </c>
      <c r="D73" s="42">
        <f>IF(628.63605="","-",628.63605/1966837.29975*100)</f>
        <v>0.03196177182931727</v>
      </c>
      <c r="E73" s="42">
        <f>IF(884.8753="","-",884.8753/2045340.42783*100)</f>
        <v>0.04326298390037725</v>
      </c>
      <c r="F73" s="42">
        <f>IF(OR(2339529.78212="",7919.10836="",628.63605=""),"-",(628.63605-7919.10836)/2339529.78212*100)</f>
        <v>-0.3116212653379274</v>
      </c>
      <c r="G73" s="42">
        <f>IF(OR(1966837.29975="",884.8753="",628.63605=""),"-",(884.8753-628.63605)/1966837.29975*100)</f>
        <v>0.01302798406520814</v>
      </c>
    </row>
    <row r="74" spans="1:7" s="27" customFormat="1" ht="15">
      <c r="A74" s="22" t="s">
        <v>184</v>
      </c>
      <c r="B74" s="46">
        <f>IF(827.03792="","-",827.03792)/1000</f>
        <v>0.82703792</v>
      </c>
      <c r="C74" s="42">
        <f>IF(OR(1289.8873="",827.03792=""),"-",827.03792/1289.8873*100)</f>
        <v>64.11706821208332</v>
      </c>
      <c r="D74" s="42">
        <f>IF(1289.8873="","-",1289.8873/1966837.29975*100)</f>
        <v>0.06558179978404693</v>
      </c>
      <c r="E74" s="42">
        <f>IF(827.03792="","-",827.03792/2045340.42783*100)</f>
        <v>0.04043522089266305</v>
      </c>
      <c r="F74" s="42">
        <f>IF(OR(2339529.78212="",1445.52768="",1289.8873=""),"-",(1289.8873-1445.52768)/2339529.78212*100)</f>
        <v>-0.006652635123070071</v>
      </c>
      <c r="G74" s="42">
        <f>IF(OR(1966837.29975="",827.03792="",1289.8873=""),"-",(827.03792-1289.8873)/1966837.29975*100)</f>
        <v>-0.023532672481797644</v>
      </c>
    </row>
    <row r="75" spans="1:7" s="27" customFormat="1" ht="15">
      <c r="A75" s="22" t="s">
        <v>183</v>
      </c>
      <c r="B75" s="46">
        <f>IF(788.2225="","-",788.2225)/1000</f>
        <v>0.7882224999999999</v>
      </c>
      <c r="C75" s="42">
        <f>IF(OR(763.55175="",788.2225=""),"-",788.2225/763.55175*100)</f>
        <v>103.23105146442269</v>
      </c>
      <c r="D75" s="42">
        <f>IF(763.55175="","-",763.55175/1966837.29975*100)</f>
        <v>0.03882129701816481</v>
      </c>
      <c r="E75" s="42">
        <f>IF(788.2225="","-",788.2225/2045340.42783*100)</f>
        <v>0.03853747226011971</v>
      </c>
      <c r="F75" s="42">
        <f>IF(OR(2339529.78212="",523.94375="",763.55175=""),"-",(763.55175-523.94375)/2339529.78212*100)</f>
        <v>0.010241716170113276</v>
      </c>
      <c r="G75" s="42">
        <f>IF(OR(1966837.29975="",788.2225="",763.55175=""),"-",(788.2225-763.55175)/1966837.29975*100)</f>
        <v>0.001254336085813292</v>
      </c>
    </row>
    <row r="76" spans="1:7" ht="15">
      <c r="A76" s="22" t="s">
        <v>185</v>
      </c>
      <c r="B76" s="46">
        <f>IF(775.97094="","-",775.97094)/1000</f>
        <v>0.77597094</v>
      </c>
      <c r="C76" s="42">
        <f>IF(OR(786.53835="",775.97094=""),"-",775.97094/786.53835*100)</f>
        <v>98.65646601974335</v>
      </c>
      <c r="D76" s="42">
        <f>IF(786.53835="","-",786.53835/1966837.29975*100)</f>
        <v>0.0399900057874627</v>
      </c>
      <c r="E76" s="42">
        <f>IF(775.97094="","-",775.97094/2045340.42783*100)</f>
        <v>0.03793847368593134</v>
      </c>
      <c r="F76" s="42">
        <f>IF(OR(2339529.78212="",1966.99706="",786.53835=""),"-",(786.53835-1966.99706)/2339529.78212*100)</f>
        <v>-0.050457092661171835</v>
      </c>
      <c r="G76" s="42">
        <f>IF(OR(1966837.29975="",775.97094="",786.53835=""),"-",(775.97094-786.53835)/1966837.29975*100)</f>
        <v>-0.0005372793164611629</v>
      </c>
    </row>
    <row r="77" spans="1:7" ht="15">
      <c r="A77" s="22" t="s">
        <v>186</v>
      </c>
      <c r="B77" s="46">
        <f>IF(774.35532="","-",774.35532)/1000</f>
        <v>0.77435532</v>
      </c>
      <c r="C77" s="42" t="str">
        <f>IF(OR(""="",774.35532=""),"-",774.35532/""*100)</f>
        <v>-</v>
      </c>
      <c r="D77" s="42" t="str">
        <f>IF(""="","-",""/1966837.29975*100)</f>
        <v>-</v>
      </c>
      <c r="E77" s="42">
        <f>IF(774.35532="","-",774.35532/2045340.42783*100)</f>
        <v>0.037859483412331064</v>
      </c>
      <c r="F77" s="42" t="str">
        <f>IF(OR(2339529.78212="",""="",""=""),"-",(""-"")/2339529.78212*100)</f>
        <v>-</v>
      </c>
      <c r="G77" s="42" t="str">
        <f>IF(OR(1966837.29975="",774.35532="",""=""),"-",(774.35532-"")/1966837.29975*100)</f>
        <v>-</v>
      </c>
    </row>
    <row r="78" spans="1:7" ht="15">
      <c r="A78" s="22" t="s">
        <v>187</v>
      </c>
      <c r="B78" s="46">
        <f>IF(517.16083="","-",517.16083)/1000</f>
        <v>0.51716083</v>
      </c>
      <c r="C78" s="42">
        <f>IF(OR(625.519="",517.16083=""),"-",517.16083/625.519*100)</f>
        <v>82.67707775463255</v>
      </c>
      <c r="D78" s="42">
        <f>IF(625.519="","-",625.519/1966837.29975*100)</f>
        <v>0.03180329151168265</v>
      </c>
      <c r="E78" s="42">
        <f>IF(517.16083="","-",517.16083/2045340.42783*100)</f>
        <v>0.02528482901737198</v>
      </c>
      <c r="F78" s="42">
        <f>IF(OR(2339529.78212="",601.81987="",625.519=""),"-",(625.519-601.81987)/2339529.78212*100)</f>
        <v>0.0010129868908325948</v>
      </c>
      <c r="G78" s="42">
        <f>IF(OR(1966837.29975="",517.16083="",625.519=""),"-",(517.16083-625.519)/1966837.29975*100)</f>
        <v>-0.00550925946003633</v>
      </c>
    </row>
    <row r="79" spans="1:7" ht="15">
      <c r="A79" s="22" t="s">
        <v>189</v>
      </c>
      <c r="B79" s="46">
        <f>IF(495.16209="","-",495.16209)/1000</f>
        <v>0.49516209</v>
      </c>
      <c r="C79" s="42">
        <f>IF(OR(492.19435="",495.16209=""),"-",495.16209/492.19435*100)</f>
        <v>100.60296100513952</v>
      </c>
      <c r="D79" s="42">
        <f>IF(492.19435="","-",492.19435/1966837.29975*100)</f>
        <v>0.025024660151735056</v>
      </c>
      <c r="E79" s="42">
        <f>IF(495.16209="","-",495.16209/2045340.42783*100)</f>
        <v>0.024209275055758872</v>
      </c>
      <c r="F79" s="42">
        <f>IF(OR(2339529.78212="",359.74969="",492.19435=""),"-",(492.19435-359.74969)/2339529.78212*100)</f>
        <v>0.005661165804009697</v>
      </c>
      <c r="G79" s="42">
        <f>IF(OR(1966837.29975="",495.16209="",492.19435=""),"-",(495.16209-492.19435)/1966837.29975*100)</f>
        <v>0.00015088894238365392</v>
      </c>
    </row>
    <row r="80" spans="1:7" ht="15">
      <c r="A80" s="22" t="s">
        <v>188</v>
      </c>
      <c r="B80" s="46">
        <f>IF(485.669="","-",485.669)/1000</f>
        <v>0.48566899999999996</v>
      </c>
      <c r="C80" s="42">
        <f>IF(OR(533.90627="",485.669=""),"-",485.669/533.90627*100)</f>
        <v>90.96521754651805</v>
      </c>
      <c r="D80" s="42">
        <f>IF(533.90627="","-",533.90627/1966837.29975*100)</f>
        <v>0.02714542123376771</v>
      </c>
      <c r="E80" s="42">
        <f>IF(485.669="","-",485.669/2045340.42783*100)</f>
        <v>0.023745142539194297</v>
      </c>
      <c r="F80" s="42">
        <f>IF(OR(2339529.78212="",678.20346="",533.90627=""),"-",(533.90627-678.20346)/2339529.78212*100)</f>
        <v>-0.006167785984294798</v>
      </c>
      <c r="G80" s="42">
        <f>IF(OR(1966837.29975="",485.669="",533.90627=""),"-",(485.669-533.90627)/1966837.29975*100)</f>
        <v>-0.002452529754552209</v>
      </c>
    </row>
    <row r="81" spans="1:7" ht="15">
      <c r="A81" s="22" t="s">
        <v>194</v>
      </c>
      <c r="B81" s="46">
        <f>IF(473.76905="","-",473.76905)/1000</f>
        <v>0.47376904999999997</v>
      </c>
      <c r="C81" s="42">
        <f>IF(OR(876.14248="",473.76905=""),"-",473.76905/876.14248*100)</f>
        <v>54.074429766263584</v>
      </c>
      <c r="D81" s="42">
        <f>IF(876.14248="","-",876.14248/1966837.29975*100)</f>
        <v>0.044545752722473</v>
      </c>
      <c r="E81" s="42">
        <f>IF(473.76905="","-",473.76905/2045340.42783*100)</f>
        <v>0.02316333474631626</v>
      </c>
      <c r="F81" s="42">
        <f>IF(OR(2339529.78212="",916.59112="",876.14248=""),"-",(876.14248-916.59112)/2339529.78212*100)</f>
        <v>-0.0017289217820235193</v>
      </c>
      <c r="G81" s="42">
        <f>IF(OR(1966837.29975="",473.76905="",876.14248=""),"-",(473.76905-876.14248)/1966837.29975*100)</f>
        <v>-0.020457890952705886</v>
      </c>
    </row>
    <row r="82" spans="1:7" ht="15">
      <c r="A82" s="22" t="s">
        <v>190</v>
      </c>
      <c r="B82" s="46">
        <f>IF(451.10036="","-",451.10036)/1000</f>
        <v>0.45110036000000003</v>
      </c>
      <c r="C82" s="42" t="s">
        <v>18</v>
      </c>
      <c r="D82" s="42">
        <f>IF(108.7816="","-",108.7816/1966837.29975*100)</f>
        <v>0.005530787931153582</v>
      </c>
      <c r="E82" s="42">
        <f>IF(451.10036="","-",451.10036/2045340.42783*100)</f>
        <v>0.022055025846166552</v>
      </c>
      <c r="F82" s="42" t="str">
        <f>IF(OR(2339529.78212="",""="",108.7816=""),"-",(108.7816-"")/2339529.78212*100)</f>
        <v>-</v>
      </c>
      <c r="G82" s="42">
        <f>IF(OR(1966837.29975="",451.10036="",108.7816=""),"-",(451.10036-108.7816)/1966837.29975*100)</f>
        <v>0.017404528582181725</v>
      </c>
    </row>
    <row r="83" spans="1:7" ht="15">
      <c r="A83" s="69" t="s">
        <v>35</v>
      </c>
      <c r="B83" s="69"/>
      <c r="C83" s="69"/>
      <c r="D83" s="69"/>
      <c r="E83" s="69"/>
      <c r="F83" s="69"/>
      <c r="G83" s="69"/>
    </row>
  </sheetData>
  <sheetProtection/>
  <mergeCells count="6">
    <mergeCell ref="A83:G83"/>
    <mergeCell ref="A1:G1"/>
    <mergeCell ref="F3:G3"/>
    <mergeCell ref="D3:E3"/>
    <mergeCell ref="A3:A4"/>
    <mergeCell ref="B3:C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98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27.875" style="0" customWidth="1"/>
    <col min="2" max="2" width="11.00390625" style="0" customWidth="1"/>
    <col min="3" max="3" width="11.25390625" style="0" customWidth="1"/>
    <col min="4" max="4" width="9.75390625" style="0" customWidth="1"/>
    <col min="5" max="5" width="9.625" style="0" customWidth="1"/>
    <col min="6" max="6" width="10.00390625" style="0" customWidth="1"/>
    <col min="7" max="7" width="9.75390625" style="0" customWidth="1"/>
  </cols>
  <sheetData>
    <row r="1" spans="1:7" ht="15.75">
      <c r="A1" s="70" t="s">
        <v>38</v>
      </c>
      <c r="B1" s="70"/>
      <c r="C1" s="70"/>
      <c r="D1" s="70"/>
      <c r="E1" s="70"/>
      <c r="F1" s="70"/>
      <c r="G1" s="70"/>
    </row>
    <row r="2" ht="15">
      <c r="A2" s="4"/>
    </row>
    <row r="3" spans="1:8" ht="57.75" customHeight="1">
      <c r="A3" s="75"/>
      <c r="B3" s="73">
        <v>2016</v>
      </c>
      <c r="C3" s="74"/>
      <c r="D3" s="73" t="s">
        <v>0</v>
      </c>
      <c r="E3" s="74"/>
      <c r="F3" s="71" t="s">
        <v>227</v>
      </c>
      <c r="G3" s="72"/>
      <c r="H3" s="2"/>
    </row>
    <row r="4" spans="1:8" ht="30.75" customHeight="1">
      <c r="A4" s="76"/>
      <c r="B4" s="65" t="s">
        <v>2</v>
      </c>
      <c r="C4" s="66" t="s">
        <v>224</v>
      </c>
      <c r="D4" s="67">
        <v>2015</v>
      </c>
      <c r="E4" s="67">
        <v>2016</v>
      </c>
      <c r="F4" s="67" t="s">
        <v>3</v>
      </c>
      <c r="G4" s="63" t="s">
        <v>4</v>
      </c>
      <c r="H4" s="2"/>
    </row>
    <row r="5" spans="1:7" s="5" customFormat="1" ht="13.5">
      <c r="A5" s="15" t="s">
        <v>37</v>
      </c>
      <c r="B5" s="57">
        <f>IF(4020344.63484="","-",4020344.63484)/1000</f>
        <v>4020.34463484</v>
      </c>
      <c r="C5" s="57">
        <f>IF(3986820.02566="","-",4020355.63484/3986820.02566*100)</f>
        <v>100.84116185240764</v>
      </c>
      <c r="D5" s="57">
        <v>100</v>
      </c>
      <c r="E5" s="57">
        <v>100</v>
      </c>
      <c r="F5" s="57">
        <f>IF(5316958.59674="","-",(3986820.02566-5316958.59674)/5316958.59674*100)</f>
        <v>-25.01690669352873</v>
      </c>
      <c r="G5" s="57">
        <f>IF(3986820.02566="","-",(4020355.63484-3986820.02566)/3986820.02566*100)</f>
        <v>0.8411618524076335</v>
      </c>
    </row>
    <row r="6" spans="1:7" ht="15">
      <c r="A6" s="16" t="s">
        <v>5</v>
      </c>
      <c r="B6" s="29"/>
      <c r="C6" s="30"/>
      <c r="D6" s="28"/>
      <c r="E6" s="28"/>
      <c r="F6" s="31"/>
      <c r="G6" s="31"/>
    </row>
    <row r="7" spans="1:7" ht="15">
      <c r="A7" s="17" t="s">
        <v>6</v>
      </c>
      <c r="B7" s="56">
        <f>IF(1973711.78862="","-",1973711.78862)/1000</f>
        <v>1973.71178862</v>
      </c>
      <c r="C7" s="56">
        <f>IF(1954250.90917="","-",1973711.78862/1954250.90917*100)</f>
        <v>100.99582297025846</v>
      </c>
      <c r="D7" s="56">
        <f>IF(1954250.90917="","-",1954250.90917/3986820.02566*100)</f>
        <v>49.01778601973594</v>
      </c>
      <c r="E7" s="56">
        <f>IF(1973711.78862="","-",1973711.78862/4020355.63484*100)</f>
        <v>49.09296509781401</v>
      </c>
      <c r="F7" s="56">
        <f>IF(5316958.59674="","-",(1954250.90917-2567695.33916)/5316958.59674*100)</f>
        <v>-11.537506242123506</v>
      </c>
      <c r="G7" s="56">
        <f>IF(3986820.02566="","-",(1973711.78862-1954250.90917)/3986820.02566*100)</f>
        <v>0.48813037269667653</v>
      </c>
    </row>
    <row r="8" spans="1:7" s="27" customFormat="1" ht="15">
      <c r="A8" s="22" t="s">
        <v>7</v>
      </c>
      <c r="B8" s="46">
        <f>IF(551498.92302="","-",551498.92302)/1000</f>
        <v>551.49892302</v>
      </c>
      <c r="C8" s="42">
        <f>IF(OR(555137.31157="",551498.92302=""),"-",551498.92302/555137.31157*100)</f>
        <v>99.3445966476816</v>
      </c>
      <c r="D8" s="42">
        <f>IF(555137.31157="","-",555137.31157/3986820.02566*100)</f>
        <v>13.924313312289524</v>
      </c>
      <c r="E8" s="42">
        <f>IF(551498.92302="","-",551498.92302/4020355.63484*100)</f>
        <v>13.717665129939387</v>
      </c>
      <c r="F8" s="42">
        <f>IF(OR(5316958.59674="",803088.09538="",555137.31157=""),"-",(555137.31157-803088.09538)/5316958.59674*100)</f>
        <v>-4.663395046221098</v>
      </c>
      <c r="G8" s="42">
        <f>IF(OR(3986820.02566="",551498.92302="",555137.31157=""),"-",(551498.92302-555137.31157)/3986820.02566*100)</f>
        <v>-0.09126041623606307</v>
      </c>
    </row>
    <row r="9" spans="1:7" s="27" customFormat="1" ht="15">
      <c r="A9" s="22" t="s">
        <v>9</v>
      </c>
      <c r="B9" s="46">
        <f>IF(316440.87766="","-",316440.87766)/1000</f>
        <v>316.44087766</v>
      </c>
      <c r="C9" s="42">
        <f>IF(OR(321297.07905="",316440.87766=""),"-",316440.87766/321297.07905*100)</f>
        <v>98.4885634801416</v>
      </c>
      <c r="D9" s="42">
        <f>IF(321297.07905="","-",321297.07905/3986820.02566*100)</f>
        <v>8.058981267829132</v>
      </c>
      <c r="E9" s="42">
        <f>IF(316440.87766="","-",316440.87766/4020355.63484*100)</f>
        <v>7.87096730741318</v>
      </c>
      <c r="F9" s="42">
        <f>IF(OR(5316958.59674="",426957.27668="",321297.07905=""),"-",(321297.07905-426957.27668)/5316958.59674*100)</f>
        <v>-1.9872300246005998</v>
      </c>
      <c r="G9" s="42">
        <f>IF(OR(3986820.02566="",316440.87766="",321297.07905=""),"-",(316440.87766-321297.07905)/3986820.02566*100)</f>
        <v>-0.12180638601051673</v>
      </c>
    </row>
    <row r="10" spans="1:7" s="27" customFormat="1" ht="15">
      <c r="A10" s="22" t="s">
        <v>8</v>
      </c>
      <c r="B10" s="46">
        <f>IF(280771.26368="","-",280771.26368)/1000</f>
        <v>280.77126367999995</v>
      </c>
      <c r="C10" s="42">
        <f>IF(OR(279160.08764="",280771.26368=""),"-",280771.26368/279160.08764*100)</f>
        <v>100.57715128749987</v>
      </c>
      <c r="D10" s="42">
        <f>IF(279160.08764="","-",279160.08764/3986820.02566*100)</f>
        <v>7.002073979845286</v>
      </c>
      <c r="E10" s="42">
        <f>IF(280771.26368="","-",280771.26368/4020355.63484*100)</f>
        <v>6.983741966677383</v>
      </c>
      <c r="F10" s="42">
        <f>IF(OR(5316958.59674="",351275.0591="",279160.08764=""),"-",(279160.08764-351275.0591)/5316958.59674*100)</f>
        <v>-1.3563199740584038</v>
      </c>
      <c r="G10" s="42">
        <f>IF(OR(3986820.02566="",280771.26368="",279160.08764=""),"-",(280771.26368-279160.08764)/3986820.02566*100)</f>
        <v>0.040412560126369595</v>
      </c>
    </row>
    <row r="11" spans="1:7" s="27" customFormat="1" ht="15">
      <c r="A11" s="22" t="s">
        <v>10</v>
      </c>
      <c r="B11" s="46">
        <f>IF(132205.1983="","-",132205.1983)/1000</f>
        <v>132.20519829999998</v>
      </c>
      <c r="C11" s="42">
        <f>IF(OR(122353.81074="",132205.1983=""),"-",132205.1983/122353.81074*100)</f>
        <v>108.05155761019493</v>
      </c>
      <c r="D11" s="42">
        <f>IF(122353.81074="","-",122353.81074/3986820.02566*100)</f>
        <v>3.0689574636553822</v>
      </c>
      <c r="E11" s="42">
        <f>IF(132205.1983="","-",132205.1983/4020355.63484*100)</f>
        <v>3.288395612425999</v>
      </c>
      <c r="F11" s="42">
        <f>IF(OR(5316958.59674="",155802.45602="",122353.81074=""),"-",(122353.81074-155802.45602)/5316958.59674*100)</f>
        <v>-0.6290935818177795</v>
      </c>
      <c r="G11" s="42">
        <f>IF(OR(3986820.02566="",132205.1983="",122353.81074=""),"-",(132205.1983-122353.81074)/3986820.02566*100)</f>
        <v>0.24709887821859067</v>
      </c>
    </row>
    <row r="12" spans="1:7" s="27" customFormat="1" ht="15">
      <c r="A12" s="22" t="s">
        <v>143</v>
      </c>
      <c r="B12" s="46">
        <f>IF(89958.01176="","-",89958.01176)/1000</f>
        <v>89.95801175999999</v>
      </c>
      <c r="C12" s="42">
        <f>IF(OR(81020.70045="",89958.01176=""),"-",89958.01176/81020.70045*100)</f>
        <v>111.0308985979644</v>
      </c>
      <c r="D12" s="42">
        <f>IF(81020.70045="","-",81020.70045/3986820.02566*100)</f>
        <v>2.032213642164281</v>
      </c>
      <c r="E12" s="42">
        <f>IF(89958.01176="","-",89958.01176/4020355.63484*100)</f>
        <v>2.2375635374252183</v>
      </c>
      <c r="F12" s="42">
        <f>IF(OR(5316958.59674="",93821.72856="",81020.70045=""),"-",(81020.70045-93821.72856)/5316958.59674*100)</f>
        <v>-0.2407584689083102</v>
      </c>
      <c r="G12" s="42">
        <f>IF(OR(3986820.02566="",89958.01176="",81020.70045=""),"-",(89958.01176-81020.70045)/3986820.02566*100)</f>
        <v>0.22417142616114102</v>
      </c>
    </row>
    <row r="13" spans="1:7" s="27" customFormat="1" ht="15">
      <c r="A13" s="22" t="s">
        <v>146</v>
      </c>
      <c r="B13" s="46">
        <f>IF(80095.7453="","-",80095.7453)/1000</f>
        <v>80.09574529999999</v>
      </c>
      <c r="C13" s="42">
        <f>IF(OR(69313.57829="",80095.7453=""),"-",80095.7453/69313.57829*100)</f>
        <v>115.5556346620696</v>
      </c>
      <c r="D13" s="42">
        <f>IF(69313.57829="","-",69313.57829/3986820.02566*100)</f>
        <v>1.7385680277485178</v>
      </c>
      <c r="E13" s="42">
        <f>IF(80095.7453="","-",80095.7453/4020355.63484*100)</f>
        <v>1.9922552275201295</v>
      </c>
      <c r="F13" s="42">
        <f>IF(OR(5316958.59674="",85582.11132="",69313.57829=""),"-",(69313.57829-85582.11132)/5316958.59674*100)</f>
        <v>-0.3059744162757776</v>
      </c>
      <c r="G13" s="42">
        <f>IF(OR(3986820.02566="",80095.7453="",69313.57829=""),"-",(80095.7453-69313.57829)/3986820.02566*100)</f>
        <v>0.27044529074810825</v>
      </c>
    </row>
    <row r="14" spans="1:7" s="27" customFormat="1" ht="15">
      <c r="A14" s="22" t="s">
        <v>13</v>
      </c>
      <c r="B14" s="46">
        <f>IF(73737.98233="","-",73737.98233)/1000</f>
        <v>73.73798233</v>
      </c>
      <c r="C14" s="42">
        <f>IF(OR(89506.27647="",73737.98233=""),"-",73737.98233/89506.27647*100)</f>
        <v>82.38302970263199</v>
      </c>
      <c r="D14" s="42">
        <f>IF(89506.27647="","-",89506.27647/3986820.02566*100)</f>
        <v>2.2450543514359578</v>
      </c>
      <c r="E14" s="42">
        <f>IF(73737.98233="","-",73737.98233/4020355.63484*100)</f>
        <v>1.8341159098213606</v>
      </c>
      <c r="F14" s="42">
        <f>IF(OR(5316958.59674="",110496.70075="",89506.27647=""),"-",(89506.27647-110496.70075)/5316958.59674*100)</f>
        <v>-0.39478254152420744</v>
      </c>
      <c r="G14" s="42">
        <f>IF(OR(3986820.02566="",73737.98233="",89506.27647=""),"-",(73737.98233-89506.27647)/3986820.02566*100)</f>
        <v>-0.39551055825224085</v>
      </c>
    </row>
    <row r="15" spans="1:7" s="27" customFormat="1" ht="27">
      <c r="A15" s="22" t="s">
        <v>137</v>
      </c>
      <c r="B15" s="46">
        <f>IF(61997.72757="","-",61997.72757)/1000</f>
        <v>61.99772757</v>
      </c>
      <c r="C15" s="42">
        <f>IF(OR(53061.87537="",61997.72757=""),"-",61997.72757/53061.87537*100)</f>
        <v>116.84043795604731</v>
      </c>
      <c r="D15" s="42">
        <f>IF(53061.87537="","-",53061.87537/3986820.02566*100)</f>
        <v>1.3309322976327693</v>
      </c>
      <c r="E15" s="42">
        <f>IF(61997.72757="","-",61997.72757/4020355.63484*100)</f>
        <v>1.5420956054915613</v>
      </c>
      <c r="F15" s="42">
        <f>IF(OR(5316958.59674="",68992.04676="",53061.87537=""),"-",(53061.87537-68992.04676)/5316958.59674*100)</f>
        <v>-0.29961059692598135</v>
      </c>
      <c r="G15" s="42">
        <f>IF(OR(3986820.02566="",61997.72757="",53061.87537=""),"-",(61997.72757-53061.87537)/3986820.02566*100)</f>
        <v>0.2241348278198415</v>
      </c>
    </row>
    <row r="16" spans="1:7" s="27" customFormat="1" ht="15">
      <c r="A16" s="22" t="s">
        <v>11</v>
      </c>
      <c r="B16" s="46">
        <f>IF(57622.09049="","-",57622.09049)/1000</f>
        <v>57.622090490000005</v>
      </c>
      <c r="C16" s="42">
        <f>IF(OR(68439.04654="",57622.09049=""),"-",57622.09049/68439.04654*100)</f>
        <v>84.19475928309741</v>
      </c>
      <c r="D16" s="42">
        <f>IF(68439.04654="","-",68439.04654/3986820.02566*100)</f>
        <v>1.7166324564317454</v>
      </c>
      <c r="E16" s="42">
        <f>IF(57622.09049="","-",57622.09049/4020355.63484*100)</f>
        <v>1.4332585403801774</v>
      </c>
      <c r="F16" s="42">
        <f>IF(OR(5316958.59674="",81336.92413="",68439.04654=""),"-",(68439.04654-81336.92413)/5316958.59674*100)</f>
        <v>-0.24257998920488325</v>
      </c>
      <c r="G16" s="42">
        <f>IF(OR(3986820.02566="",57622.09049="",68439.04654=""),"-",(57622.09049-68439.04654)/3986820.02566*100)</f>
        <v>-0.27131789196351536</v>
      </c>
    </row>
    <row r="17" spans="1:7" s="27" customFormat="1" ht="15">
      <c r="A17" s="22" t="s">
        <v>12</v>
      </c>
      <c r="B17" s="46">
        <f>IF(56147.92079="","-",56147.92079)/1000</f>
        <v>56.14792078999999</v>
      </c>
      <c r="C17" s="42">
        <f>IF(OR(51055.09853="",56147.92079=""),"-",56147.92079/51055.09853*100)</f>
        <v>109.97514921454406</v>
      </c>
      <c r="D17" s="42">
        <f>IF(51055.09853="","-",51055.09853/3986820.02566*100)</f>
        <v>1.2805970222231957</v>
      </c>
      <c r="E17" s="42">
        <f>IF(56147.92079="","-",56147.92079/4020355.63484*100)</f>
        <v>1.3965908961741527</v>
      </c>
      <c r="F17" s="42">
        <f>IF(OR(5316958.59674="",66557.61055="",51055.09853=""),"-",(51055.09853-66557.61055)/5316958.59674*100)</f>
        <v>-0.2915672886658378</v>
      </c>
      <c r="G17" s="42">
        <f>IF(OR(3986820.02566="",56147.92079="",51055.09853=""),"-",(56147.92079-51055.09853)/3986820.02566*100)</f>
        <v>0.1277414638037718</v>
      </c>
    </row>
    <row r="18" spans="1:7" s="27" customFormat="1" ht="15">
      <c r="A18" s="22" t="s">
        <v>144</v>
      </c>
      <c r="B18" s="46">
        <f>IF(49953.10577="","-",49953.10577)/1000</f>
        <v>49.95310577</v>
      </c>
      <c r="C18" s="42">
        <f>IF(OR(44772.65466="",49953.10577=""),"-",49953.10577/44772.65466*100)</f>
        <v>111.57056946776987</v>
      </c>
      <c r="D18" s="42">
        <f>IF(44772.65466="","-",44772.65466/3986820.02566*100)</f>
        <v>1.1230166993201076</v>
      </c>
      <c r="E18" s="42">
        <f>IF(49953.10577="","-",49953.10577/4020355.63484*100)</f>
        <v>1.242504651506732</v>
      </c>
      <c r="F18" s="42">
        <f>IF(OR(5316958.59674="",47460.41703="",44772.65466=""),"-",(44772.65466-47460.41703)/5316958.59674*100)</f>
        <v>-0.05055074853597602</v>
      </c>
      <c r="G18" s="42">
        <f>IF(OR(3986820.02566="",49953.10577="",44772.65466=""),"-",(49953.10577-44772.65466)/3986820.02566*100)</f>
        <v>0.1299394273294893</v>
      </c>
    </row>
    <row r="19" spans="1:7" s="27" customFormat="1" ht="15">
      <c r="A19" s="22" t="s">
        <v>15</v>
      </c>
      <c r="B19" s="46">
        <f>IF(43416.92907="","-",43416.92907)/1000</f>
        <v>43.416929069999995</v>
      </c>
      <c r="C19" s="42">
        <f>IF(OR(41682.47537="",43416.92907=""),"-",43416.92907/41682.47537*100)</f>
        <v>104.16111011787062</v>
      </c>
      <c r="D19" s="42">
        <f>IF(41682.47537="","-",41682.47537/3986820.02566*100)</f>
        <v>1.045506822523288</v>
      </c>
      <c r="E19" s="42">
        <f>IF(43416.92907="","-",43416.92907/4020355.63484*100)</f>
        <v>1.0799275739129452</v>
      </c>
      <c r="F19" s="42">
        <f>IF(OR(5316958.59674="",56205.95674="",41682.47537=""),"-",(41682.47537-56205.95674)/5316958.59674*100)</f>
        <v>-0.27315393012284916</v>
      </c>
      <c r="G19" s="42">
        <f>IF(OR(3986820.02566="",43416.92907="",41682.47537=""),"-",(43416.92907-41682.47537)/3986820.02566*100)</f>
        <v>0.04350469017504414</v>
      </c>
    </row>
    <row r="20" spans="1:7" s="27" customFormat="1" ht="15">
      <c r="A20" s="22" t="s">
        <v>145</v>
      </c>
      <c r="B20" s="46">
        <f>IF(30688.9778="","-",30688.9778)/1000</f>
        <v>30.6889778</v>
      </c>
      <c r="C20" s="42">
        <f>IF(OR(32813.50573="",30688.9778=""),"-",30688.9778/32813.50573*100)</f>
        <v>93.52544666369607</v>
      </c>
      <c r="D20" s="42">
        <f>IF(32813.50573="","-",32813.50573/3986820.02566*100)</f>
        <v>0.8230495863571838</v>
      </c>
      <c r="E20" s="42">
        <f>IF(30688.9778="","-",30688.9778/4020355.63484*100)</f>
        <v>0.7633398780459217</v>
      </c>
      <c r="F20" s="42">
        <f>IF(OR(5316958.59674="",40453.61337="",32813.50573=""),"-",(32813.50573-40453.61337)/5316958.59674*100)</f>
        <v>-0.14369319416337753</v>
      </c>
      <c r="G20" s="42">
        <f>IF(OR(3986820.02566="",30688.9778="",32813.50573=""),"-",(30688.9778-32813.50573)/3986820.02566*100)</f>
        <v>-0.05328878445292475</v>
      </c>
    </row>
    <row r="21" spans="1:7" s="27" customFormat="1" ht="15">
      <c r="A21" s="22" t="s">
        <v>14</v>
      </c>
      <c r="B21" s="46">
        <f>IF(19544.22574="","-",19544.22574)/1000</f>
        <v>19.54422574</v>
      </c>
      <c r="C21" s="42">
        <f>IF(OR(19710.66372="",19544.22574=""),"-",19544.22574/19710.66372*100)</f>
        <v>99.15559423891385</v>
      </c>
      <c r="D21" s="42">
        <f>IF(19710.66372="","-",19710.66372/3986820.02566*100)</f>
        <v>0.4943956234075801</v>
      </c>
      <c r="E21" s="42">
        <f>IF(19544.22574="","-",19544.22574/4020355.63484*100)</f>
        <v>0.48613176333535507</v>
      </c>
      <c r="F21" s="42">
        <f>IF(OR(5316958.59674="",36809.05827="",19710.66372=""),"-",(19710.66372-36809.05827)/5316958.59674*100)</f>
        <v>-0.3215822399009009</v>
      </c>
      <c r="G21" s="42">
        <f>IF(OR(3986820.02566="",19544.22574="",19710.66372=""),"-",(19544.22574-19710.66372)/3986820.02566*100)</f>
        <v>-0.004174705126611421</v>
      </c>
    </row>
    <row r="22" spans="1:7" s="27" customFormat="1" ht="15">
      <c r="A22" s="22" t="s">
        <v>154</v>
      </c>
      <c r="B22" s="46">
        <f>IF(18555.69944="","-",18555.69944)/1000</f>
        <v>18.55569944</v>
      </c>
      <c r="C22" s="42">
        <f>IF(OR(16422.46186="",18555.69944=""),"-",18555.69944/16422.46186*100)</f>
        <v>112.98975511823781</v>
      </c>
      <c r="D22" s="42">
        <f>IF(16422.46186="","-",16422.46186/3986820.02566*100)</f>
        <v>0.4119188163574386</v>
      </c>
      <c r="E22" s="42">
        <f>IF(18555.69944="","-",18555.69944/4020355.63484*100)</f>
        <v>0.4615437320817632</v>
      </c>
      <c r="F22" s="42">
        <f>IF(OR(5316958.59674="",19705.50966="",16422.46186=""),"-",(16422.46186-19705.50966)/5316958.59674*100)</f>
        <v>-0.06174672494182941</v>
      </c>
      <c r="G22" s="42">
        <f>IF(OR(3986820.02566="",18555.69944="",16422.46186=""),"-",(18555.69944-16422.46186)/3986820.02566*100)</f>
        <v>0.05350724553077495</v>
      </c>
    </row>
    <row r="23" spans="1:7" s="27" customFormat="1" ht="15">
      <c r="A23" s="22" t="s">
        <v>148</v>
      </c>
      <c r="B23" s="46">
        <f>IF(18272.41732="","-",18272.41732)/1000</f>
        <v>18.27241732</v>
      </c>
      <c r="C23" s="42">
        <f>IF(OR(15428.56799="",18272.41732=""),"-",18272.41732/15428.56799*100)</f>
        <v>118.43236087654563</v>
      </c>
      <c r="D23" s="42">
        <f>IF(15428.56799="","-",15428.56799/3986820.02566*100)</f>
        <v>0.3869893271002588</v>
      </c>
      <c r="E23" s="42">
        <f>IF(18272.41732="","-",18272.41732/4020355.63484*100)</f>
        <v>0.45449753652769076</v>
      </c>
      <c r="F23" s="42">
        <f>IF(OR(5316958.59674="",21468.55904="",15428.56799=""),"-",(15428.56799-21468.55904)/5316958.59674*100)</f>
        <v>-0.1135986098086849</v>
      </c>
      <c r="G23" s="42">
        <f>IF(OR(3986820.02566="",18272.41732="",15428.56799=""),"-",(18272.41732-15428.56799)/3986820.02566*100)</f>
        <v>0.07133126932483526</v>
      </c>
    </row>
    <row r="24" spans="1:7" s="27" customFormat="1" ht="15">
      <c r="A24" s="22" t="s">
        <v>156</v>
      </c>
      <c r="B24" s="46">
        <f>IF(17464.7063="","-",17464.7063)/1000</f>
        <v>17.464706300000003</v>
      </c>
      <c r="C24" s="42">
        <f>IF(OR(19437.83286="",17464.7063=""),"-",17464.7063/19437.83286*100)</f>
        <v>89.8490404037768</v>
      </c>
      <c r="D24" s="42">
        <f>IF(19437.83286="","-",19437.83286/3986820.02566*100)</f>
        <v>0.4875523032114336</v>
      </c>
      <c r="E24" s="42">
        <f>IF(17464.7063="","-",17464.7063/4020355.63484*100)</f>
        <v>0.43440699993434917</v>
      </c>
      <c r="F24" s="42">
        <f>IF(OR(5316958.59674="",20433.2217="",19437.83286=""),"-",(19437.83286-20433.2217)/5316958.59674*100)</f>
        <v>-0.01872101920466909</v>
      </c>
      <c r="G24" s="42">
        <f>IF(OR(3986820.02566="",17464.7063="",19437.83286=""),"-",(17464.7063-19437.83286)/3986820.02566*100)</f>
        <v>-0.04949123730944827</v>
      </c>
    </row>
    <row r="25" spans="1:7" s="27" customFormat="1" ht="15">
      <c r="A25" s="22" t="s">
        <v>147</v>
      </c>
      <c r="B25" s="46">
        <f>IF(14256.61149="","-",14256.61149)/1000</f>
        <v>14.25661149</v>
      </c>
      <c r="C25" s="42">
        <f>IF(OR(11017.62964="",14256.61149=""),"-",14256.61149/11017.62964*100)</f>
        <v>129.39817325353476</v>
      </c>
      <c r="D25" s="42">
        <f>IF(11017.62964="","-",11017.62964/3986820.02566*100)</f>
        <v>0.27635131681611536</v>
      </c>
      <c r="E25" s="42">
        <f>IF(14256.61149="","-",14256.61149/4020355.63484*100)</f>
        <v>0.35461070574089587</v>
      </c>
      <c r="F25" s="42">
        <f>IF(OR(5316958.59674="",12424.63018="",11017.62964=""),"-",(11017.62964-12424.63018)/5316958.59674*100)</f>
        <v>-0.02646250698402426</v>
      </c>
      <c r="G25" s="42">
        <f>IF(OR(3986820.02566="",14256.61149="",11017.62964=""),"-",(14256.61149-11017.62964)/3986820.02566*100)</f>
        <v>0.0812422389060264</v>
      </c>
    </row>
    <row r="26" spans="1:7" s="27" customFormat="1" ht="15">
      <c r="A26" s="22" t="s">
        <v>155</v>
      </c>
      <c r="B26" s="46">
        <f>IF(12477.98026="","-",12477.98026)/1000</f>
        <v>12.47798026</v>
      </c>
      <c r="C26" s="42" t="s">
        <v>140</v>
      </c>
      <c r="D26" s="42">
        <f>IF(7560.01516="","-",7560.01516/3986820.02566*100)</f>
        <v>0.18962519279381</v>
      </c>
      <c r="E26" s="42">
        <f>IF(12477.98026="","-",12477.98026/4020355.63484*100)</f>
        <v>0.31037006159025016</v>
      </c>
      <c r="F26" s="42">
        <f>IF(OR(5316958.59674="",7634.74329="",7560.01516=""),"-",(7560.01516-7634.74329)/5316958.59674*100)</f>
        <v>-0.001405467592804252</v>
      </c>
      <c r="G26" s="42">
        <f>IF(OR(3986820.02566="",12477.98026="",7560.01516=""),"-",(12477.98026-7560.01516)/3986820.02566*100)</f>
        <v>0.12335558335583141</v>
      </c>
    </row>
    <row r="27" spans="1:7" s="27" customFormat="1" ht="15">
      <c r="A27" s="22" t="s">
        <v>152</v>
      </c>
      <c r="B27" s="46">
        <f>IF(11953.43987="","-",11953.43987)/1000</f>
        <v>11.95343987</v>
      </c>
      <c r="C27" s="42">
        <f>IF(OR(14848.85882="",11953.43987=""),"-",11953.43987/14848.85882*100)</f>
        <v>80.50073082989955</v>
      </c>
      <c r="D27" s="42">
        <f>IF(14848.85882="","-",14848.85882/3986820.02566*100)</f>
        <v>0.3724486865328675</v>
      </c>
      <c r="E27" s="42">
        <f>IF(11953.43987="","-",11953.43987/4020355.63484*100)</f>
        <v>0.297322947413226</v>
      </c>
      <c r="F27" s="42">
        <f>IF(OR(5316958.59674="",17102.51624="",14848.85882=""),"-",(14848.85882-17102.51624)/5316958.59674*100)</f>
        <v>-0.04238621345258908</v>
      </c>
      <c r="G27" s="42">
        <f>IF(OR(3986820.02566="",11953.43987="",14848.85882=""),"-",(11953.43987-14848.85882)/3986820.02566*100)</f>
        <v>-0.07262477190754744</v>
      </c>
    </row>
    <row r="28" spans="1:7" s="27" customFormat="1" ht="15">
      <c r="A28" s="22" t="s">
        <v>153</v>
      </c>
      <c r="B28" s="46">
        <f>IF(11925.33977="","-",11925.33977)/1000</f>
        <v>11.92533977</v>
      </c>
      <c r="C28" s="42">
        <f>IF(OR(13049.25933="",11925.33977=""),"-",11925.33977/13049.25933*100)</f>
        <v>91.3871007420618</v>
      </c>
      <c r="D28" s="42">
        <f>IF(13049.25933="","-",13049.25933/3986820.02566*100)</f>
        <v>0.3273099674931967</v>
      </c>
      <c r="E28" s="42">
        <f>IF(11925.33977="","-",11925.33977/4020355.63484*100)</f>
        <v>0.2966240017837277</v>
      </c>
      <c r="F28" s="42">
        <f>IF(OR(5316958.59674="",15973.65433="",13049.25933=""),"-",(13049.25933-15973.65433)/5316958.59674*100)</f>
        <v>-0.05500127463458226</v>
      </c>
      <c r="G28" s="42">
        <f>IF(OR(3986820.02566="",11925.33977="",13049.25933=""),"-",(11925.33977-13049.25933)/3986820.02566*100)</f>
        <v>-0.02819087776137927</v>
      </c>
    </row>
    <row r="29" spans="1:7" s="27" customFormat="1" ht="15">
      <c r="A29" s="22" t="s">
        <v>149</v>
      </c>
      <c r="B29" s="46">
        <f>IF(8840.70828="","-",8840.70828)/1000</f>
        <v>8.840708280000001</v>
      </c>
      <c r="C29" s="42">
        <f>IF(OR(8700.86603="",8840.70828=""),"-",8840.70828/8700.86603*100)</f>
        <v>101.60722219509914</v>
      </c>
      <c r="D29" s="42">
        <f>IF(8700.86603="","-",8700.86603/3986820.02566*100)</f>
        <v>0.21824075262990109</v>
      </c>
      <c r="E29" s="42">
        <f>IF(8840.70828="","-",8840.70828/4020355.63484*100)</f>
        <v>0.21989866277966325</v>
      </c>
      <c r="F29" s="42">
        <f>IF(OR(5316958.59674="",7423.53472="",8700.86603=""),"-",(8700.86603-7423.53472)/5316958.59674*100)</f>
        <v>0.02402372120751839</v>
      </c>
      <c r="G29" s="42">
        <f>IF(OR(3986820.02566="",8840.70828="",8700.86603=""),"-",(8840.70828-8700.86603)/3986820.02566*100)</f>
        <v>0.0035076138150191834</v>
      </c>
    </row>
    <row r="30" spans="1:7" s="27" customFormat="1" ht="15">
      <c r="A30" s="22" t="s">
        <v>157</v>
      </c>
      <c r="B30" s="46">
        <f>IF(6251.12958="","-",6251.12958)/1000</f>
        <v>6.25112958</v>
      </c>
      <c r="C30" s="42">
        <f>IF(OR(6946.42116="",6251.12958=""),"-",6251.12958/6946.42116*100)</f>
        <v>89.99065037974174</v>
      </c>
      <c r="D30" s="42">
        <f>IF(6946.42116="","-",6946.42116/3986820.02566*100)</f>
        <v>0.17423463099140152</v>
      </c>
      <c r="E30" s="42">
        <f>IF(6251.12958="","-",6251.12958/4020355.63484*100)</f>
        <v>0.15548698045089188</v>
      </c>
      <c r="F30" s="42">
        <f>IF(OR(5316958.59674="",8245.16873="",6946.42116=""),"-",(6946.42116-8245.16873)/5316958.59674*100)</f>
        <v>-0.02442651275855907</v>
      </c>
      <c r="G30" s="42">
        <f>IF(OR(3986820.02566="",6251.12958="",6946.42116=""),"-",(6251.12958-6946.42116)/3986820.02566*100)</f>
        <v>-0.017439753375496244</v>
      </c>
    </row>
    <row r="31" spans="1:7" s="27" customFormat="1" ht="15">
      <c r="A31" s="22" t="s">
        <v>150</v>
      </c>
      <c r="B31" s="46">
        <f>IF(4283.86899="","-",4283.86899)/1000</f>
        <v>4.28386899</v>
      </c>
      <c r="C31" s="42">
        <f>IF(OR(6103.31957="",4283.86899=""),"-",4283.86899/6103.31957*100)</f>
        <v>70.18916412400802</v>
      </c>
      <c r="D31" s="42">
        <f>IF(6103.31957="","-",6103.31957/3986820.02566*100)</f>
        <v>0.1530874112881387</v>
      </c>
      <c r="E31" s="42">
        <f>IF(4283.86899="","-",4283.86899/4020355.63484*100)</f>
        <v>0.10655447873507556</v>
      </c>
      <c r="F31" s="42">
        <f>IF(OR(5316958.59674="",5989.47886="",6103.31957=""),"-",(6103.31957-5989.47886)/5316958.59674*100)</f>
        <v>0.0021410870129739005</v>
      </c>
      <c r="G31" s="42">
        <f>IF(OR(3986820.02566="",4283.86899="",6103.31957=""),"-",(4283.86899-6103.31957)/3986820.02566*100)</f>
        <v>-0.04563663692591185</v>
      </c>
    </row>
    <row r="32" spans="1:7" s="27" customFormat="1" ht="15">
      <c r="A32" s="22" t="s">
        <v>158</v>
      </c>
      <c r="B32" s="46">
        <f>IF(2429.78706="","-",2429.78706)/1000</f>
        <v>2.42978706</v>
      </c>
      <c r="C32" s="42">
        <f>IF(OR(2522.33822="",2429.78706=""),"-",2429.78706/2522.33822*100)</f>
        <v>96.3307394993206</v>
      </c>
      <c r="D32" s="42">
        <f>IF(2522.33822="","-",2522.33822/3986820.02566*100)</f>
        <v>0.06326691959420562</v>
      </c>
      <c r="E32" s="42">
        <f>IF(2429.78706="","-",2429.78706/4020355.63484*100)</f>
        <v>0.06043711752621356</v>
      </c>
      <c r="F32" s="42">
        <f>IF(OR(5316958.59674="",3634.37568="",2522.33822=""),"-",(2522.33822-3634.37568)/5316958.59674*100)</f>
        <v>-0.02091491667213332</v>
      </c>
      <c r="G32" s="42">
        <f>IF(OR(3986820.02566="",2429.78706="",2522.33822=""),"-",(2429.78706-2522.33822)/3986820.02566*100)</f>
        <v>-0.0023214280906667857</v>
      </c>
    </row>
    <row r="33" spans="1:7" s="27" customFormat="1" ht="15">
      <c r="A33" s="22" t="s">
        <v>134</v>
      </c>
      <c r="B33" s="46">
        <f>IF(1945.47882="","-",1945.47882)/1000</f>
        <v>1.94547882</v>
      </c>
      <c r="C33" s="42">
        <f>IF(OR(2054.28965="",1945.47882=""),"-",1945.47882/2054.28965*100)</f>
        <v>94.70323817286427</v>
      </c>
      <c r="D33" s="42">
        <f>IF(2054.28965="","-",2054.28965/3986820.02566*100)</f>
        <v>0.051527022458454766</v>
      </c>
      <c r="E33" s="42">
        <f>IF(1945.47882="","-",1945.47882/4020355.63484*100)</f>
        <v>0.04839071457113582</v>
      </c>
      <c r="F33" s="42">
        <f>IF(OR(5316958.59674="",1686.3874="",2054.28965=""),"-",(2054.28965-1686.3874)/5316958.59674*100)</f>
        <v>0.006919411601692232</v>
      </c>
      <c r="G33" s="42">
        <f>IF(OR(3986820.02566="",1945.47882="",2054.28965=""),"-",(1945.47882-2054.28965)/3986820.02566*100)</f>
        <v>-0.0027292636562390848</v>
      </c>
    </row>
    <row r="34" spans="1:7" s="27" customFormat="1" ht="15">
      <c r="A34" s="22" t="s">
        <v>151</v>
      </c>
      <c r="B34" s="46">
        <f>IF(619.63752="","-",619.63752)/1000</f>
        <v>0.6196375199999999</v>
      </c>
      <c r="C34" s="42">
        <f>IF(OR(658.8154="",619.63752=""),"-",619.63752/658.8154*100)</f>
        <v>94.05328412177373</v>
      </c>
      <c r="D34" s="42">
        <f>IF(658.8154="","-",658.8154/3986820.02566*100)</f>
        <v>0.016524834222757172</v>
      </c>
      <c r="E34" s="42">
        <f>IF(619.63752="","-",619.63752/4020355.63484*100)</f>
        <v>0.015412505168206593</v>
      </c>
      <c r="F34" s="42">
        <f>IF(OR(5316958.59674="",978.5783="",658.8154=""),"-",(658.8154-978.5783)/5316958.59674*100)</f>
        <v>-0.006014018995672772</v>
      </c>
      <c r="G34" s="42">
        <f>IF(OR(3986820.02566="",619.63752="",658.8154=""),"-",(619.63752-658.8154)/3986820.02566*100)</f>
        <v>-0.0009826849405752706</v>
      </c>
    </row>
    <row r="35" spans="1:7" s="27" customFormat="1" ht="15">
      <c r="A35" s="22" t="s">
        <v>159</v>
      </c>
      <c r="B35" s="46">
        <f>IF(356.00464="","-",356.00464)/1000</f>
        <v>0.35600464</v>
      </c>
      <c r="C35" s="42" t="s">
        <v>34</v>
      </c>
      <c r="D35" s="42">
        <f>IF(176.06935="","-",176.06935/3986820.02566*100)</f>
        <v>0.00441628538200323</v>
      </c>
      <c r="E35" s="42">
        <f>IF(356.00464="","-",356.00464/4020355.63484*100)</f>
        <v>0.00885505344141447</v>
      </c>
      <c r="F35" s="42">
        <f>IF(OR(5316958.59674="",155.92637="",176.06935=""),"-",(176.06935-155.92637)/5316958.59674*100)</f>
        <v>0.00037884402583744604</v>
      </c>
      <c r="G35" s="42">
        <f>IF(OR(3986820.02566="",356.00464="",176.06935=""),"-",(356.00464-176.06935)/3986820.02566*100)</f>
        <v>0.004513253390970729</v>
      </c>
    </row>
    <row r="36" spans="1:7" s="27" customFormat="1" ht="15">
      <c r="A36" s="26" t="s">
        <v>19</v>
      </c>
      <c r="B36" s="34">
        <f>IF(1027442.05818="","-",1027442.05818)/1000</f>
        <v>1027.44205818</v>
      </c>
      <c r="C36" s="34">
        <f>IF(1018110.76461="","-",1027442.05818/1018110.76461*100)</f>
        <v>100.91653029261256</v>
      </c>
      <c r="D36" s="34">
        <f>IF(1018110.76461="","-",1018110.76461/3986820.02566*100)</f>
        <v>25.5369130800294</v>
      </c>
      <c r="E36" s="34">
        <f>IF(1027442.05818="","-",1027442.05818/4020355.63484*100)</f>
        <v>25.555999307033684</v>
      </c>
      <c r="F36" s="34">
        <f>IF(5316958.59674="","-",(1018110.76461-1449245.91968)/5316958.59674*100)</f>
        <v>-8.108679938458483</v>
      </c>
      <c r="G36" s="34">
        <f>IF(3986820.02566="","-",(1027442.05818-1018110.76461)/3986820.02566*100)</f>
        <v>0.23405354417661084</v>
      </c>
    </row>
    <row r="37" spans="1:7" s="27" customFormat="1" ht="15">
      <c r="A37" s="22" t="s">
        <v>20</v>
      </c>
      <c r="B37" s="46">
        <f>IF(535201.0264="","-",535201.0264)/1000</f>
        <v>535.2010263999999</v>
      </c>
      <c r="C37" s="42">
        <f>IF(OR(535691.12699="",535201.0264=""),"-",535201.0264/535691.12699*100)</f>
        <v>99.90851060148151</v>
      </c>
      <c r="D37" s="42">
        <f>IF(535691.12699="","-",535691.12699/3986820.02566*100)</f>
        <v>13.43655152583214</v>
      </c>
      <c r="E37" s="42">
        <f>IF(535201.0264="","-",535201.0264/4020355.63484*100)</f>
        <v>13.312280678903166</v>
      </c>
      <c r="F37" s="42">
        <f>IF(OR(5316958.59674="",717220.64657="",535691.12699=""),"-",(535691.12699-717220.64657)/5316958.59674*100)</f>
        <v>-3.4141608642824792</v>
      </c>
      <c r="G37" s="42">
        <f>IF(OR(3986820.02566="",535201.0264="",535691.12699=""),"-",(535201.0264-535691.12699)/3986820.02566*100)</f>
        <v>-0.012293020172610164</v>
      </c>
    </row>
    <row r="38" spans="1:7" s="27" customFormat="1" ht="15">
      <c r="A38" s="22" t="s">
        <v>22</v>
      </c>
      <c r="B38" s="46">
        <f>IF(383892.41327="","-",383892.41327)/1000</f>
        <v>383.89241327</v>
      </c>
      <c r="C38" s="42">
        <f>IF(OR(371127.90649="",383892.41327=""),"-",383892.41327/371127.90649*100)</f>
        <v>103.43938209894328</v>
      </c>
      <c r="D38" s="42">
        <f>IF(371127.90649="","-",371127.90649/3986820.02566*100)</f>
        <v>9.308870330271844</v>
      </c>
      <c r="E38" s="42">
        <f>IF(383892.41327="","-",383892.41327/4020355.63484*100)</f>
        <v>9.54871777867676</v>
      </c>
      <c r="F38" s="42">
        <f>IF(OR(5316958.59674="",546369.96858="",371127.90649=""),"-",(371127.90649-546369.96858)/5316958.59674*100)</f>
        <v>-3.2959079688423105</v>
      </c>
      <c r="G38" s="42">
        <f>IF(OR(3986820.02566="",383892.41327="",371127.90649=""),"-",(383892.41327-371127.90649)/3986820.02566*100)</f>
        <v>0.3201676197532115</v>
      </c>
    </row>
    <row r="39" spans="1:7" s="27" customFormat="1" ht="15">
      <c r="A39" s="22" t="s">
        <v>21</v>
      </c>
      <c r="B39" s="46">
        <f>IF(101288.44083="","-",101288.44083)/1000</f>
        <v>101.28844083000001</v>
      </c>
      <c r="C39" s="42">
        <f>IF(OR(84153.16514="",101288.44083=""),"-",101288.44083/84153.16514*100)</f>
        <v>120.36200974912019</v>
      </c>
      <c r="D39" s="42">
        <f>IF(84153.16514="","-",84153.16514/3986820.02566*100)</f>
        <v>2.110784148729383</v>
      </c>
      <c r="E39" s="42">
        <f>IF(101288.44083="","-",101288.44083/4020355.63484*100)</f>
        <v>2.5193900746552</v>
      </c>
      <c r="F39" s="42">
        <f>IF(OR(5316958.59674="",141981.16881="",84153.16514=""),"-",(84153.16514-141981.16881)/5316958.59674*100)</f>
        <v>-1.0876143309721507</v>
      </c>
      <c r="G39" s="42">
        <f>IF(OR(3986820.02566="",101288.44083="",84153.16514=""),"-",(101288.44083-84153.16514)/3986820.02566*100)</f>
        <v>0.42979807414716054</v>
      </c>
    </row>
    <row r="40" spans="1:7" s="27" customFormat="1" ht="15">
      <c r="A40" s="22" t="s">
        <v>23</v>
      </c>
      <c r="B40" s="46">
        <f>IF(3154.30103="","-",3154.30103)/1000</f>
        <v>3.15430103</v>
      </c>
      <c r="C40" s="42">
        <f>IF(OR(11022.44926="",3154.30103=""),"-",3154.30103/11022.44926*100)</f>
        <v>28.617061014259548</v>
      </c>
      <c r="D40" s="42">
        <f>IF(11022.44926="","-",11022.44926/3986820.02566*100)</f>
        <v>0.27647220564402786</v>
      </c>
      <c r="E40" s="42">
        <f>IF(3154.30103="","-",3154.30103/4020355.63484*100)</f>
        <v>0.07845825883325203</v>
      </c>
      <c r="F40" s="42">
        <f>IF(OR(5316958.59674="",27279.11709="",11022.44926=""),"-",(11022.44926-27279.11709)/5316958.59674*100)</f>
        <v>-0.3057512586230687</v>
      </c>
      <c r="G40" s="42">
        <f>IF(OR(3986820.02566="",3154.30103="",11022.44926=""),"-",(3154.30103-11022.44926)/3986820.02566*100)</f>
        <v>-0.19735398586740727</v>
      </c>
    </row>
    <row r="41" spans="1:7" s="27" customFormat="1" ht="15">
      <c r="A41" s="22" t="s">
        <v>25</v>
      </c>
      <c r="B41" s="46">
        <f>IF(2832.94461="","-",2832.94461)/1000</f>
        <v>2.83294461</v>
      </c>
      <c r="C41" s="42">
        <f>IF(OR(12291.47233="",2832.94461=""),"-",2832.94461/12291.47233*100)</f>
        <v>23.048049362529053</v>
      </c>
      <c r="D41" s="42">
        <f>IF(12291.47233="","-",12291.47233/3986820.02566*100)</f>
        <v>0.30830266354863123</v>
      </c>
      <c r="E41" s="42">
        <f>IF(2832.94461="","-",2832.94461/4020355.63484*100)</f>
        <v>0.07046502516966373</v>
      </c>
      <c r="F41" s="42">
        <f>IF(OR(5316958.59674="",15446.90363="",12291.47233=""),"-",(12291.47233-15446.90363)/5316958.59674*100)</f>
        <v>-0.05934654638715257</v>
      </c>
      <c r="G41" s="42">
        <f>IF(OR(3986820.02566="",2832.94461="",12291.47233=""),"-",(2832.94461-12291.47233)/3986820.02566*100)</f>
        <v>-0.2372449134679508</v>
      </c>
    </row>
    <row r="42" spans="1:7" s="27" customFormat="1" ht="15">
      <c r="A42" s="22" t="s">
        <v>24</v>
      </c>
      <c r="B42" s="46">
        <f>IF(594.95087="","-",594.95087)/1000</f>
        <v>0.59495087</v>
      </c>
      <c r="C42" s="42" t="s">
        <v>32</v>
      </c>
      <c r="D42" s="42">
        <f>IF(254.14658="","-",254.14658/3986820.02566*100)</f>
        <v>0.006374668993439883</v>
      </c>
      <c r="E42" s="42">
        <f>IF(594.95087="","-",594.95087/4020355.63484*100)</f>
        <v>0.014798463719085329</v>
      </c>
      <c r="F42" s="42">
        <f>IF(OR(5316958.59674="",114.50286="",254.14658=""),"-",(254.14658-114.50286)/5316958.59674*100)</f>
        <v>0.002626383438186261</v>
      </c>
      <c r="G42" s="42">
        <f>IF(OR(3986820.02566="",594.95087="",254.14658=""),"-",(594.95087-254.14658)/3986820.02566*100)</f>
        <v>0.008548273757192774</v>
      </c>
    </row>
    <row r="43" spans="1:7" s="27" customFormat="1" ht="15">
      <c r="A43" s="22" t="s">
        <v>28</v>
      </c>
      <c r="B43" s="46">
        <f>IF(334.39906="","-",334.39906)/1000</f>
        <v>0.33439906</v>
      </c>
      <c r="C43" s="42">
        <f>IF(OR(578.43325="",334.39906=""),"-",334.39906/578.43325*100)</f>
        <v>57.811175273897206</v>
      </c>
      <c r="D43" s="42">
        <f>IF(578.43325="","-",578.43325/3986820.02566*100)</f>
        <v>0.014508637116225057</v>
      </c>
      <c r="E43" s="42">
        <f>IF(334.39906="","-",334.39906/4020355.63484*100)</f>
        <v>0.008317648744855586</v>
      </c>
      <c r="F43" s="42">
        <f>IF(OR(5316958.59674="",442.27763="",578.43325=""),"-",(578.43325-442.27763)/5316958.59674*100)</f>
        <v>0.002560780143811567</v>
      </c>
      <c r="G43" s="42">
        <f>IF(OR(3986820.02566="",334.39906="",578.43325=""),"-",(334.39906-578.43325)/3986820.02566*100)</f>
        <v>-0.0061210234831104845</v>
      </c>
    </row>
    <row r="44" spans="1:7" s="27" customFormat="1" ht="15">
      <c r="A44" s="22" t="s">
        <v>26</v>
      </c>
      <c r="B44" s="46">
        <f>IF(120.23401="","-",120.23401)/1000</f>
        <v>0.12023401</v>
      </c>
      <c r="C44" s="42">
        <f>IF(OR(215.75387="",120.23401=""),"-",120.23401/215.75387*100)</f>
        <v>55.72739436840693</v>
      </c>
      <c r="D44" s="42">
        <f>IF(215.75387="","-",215.75387/3986820.02566*100)</f>
        <v>0.005411678194936401</v>
      </c>
      <c r="E44" s="42">
        <f>IF(120.23401="","-",120.23401/4020355.63484*100)</f>
        <v>0.0029906312008336797</v>
      </c>
      <c r="F44" s="42">
        <f>IF(OR(5316958.59674="",370.50651="",215.75387=""),"-",(215.75387-370.50651)/5316958.59674*100)</f>
        <v>-0.002910548148614207</v>
      </c>
      <c r="G44" s="42">
        <f>IF(OR(3986820.02566="",120.23401="",215.75387=""),"-",(120.23401-215.75387)/3986820.02566*100)</f>
        <v>-0.0023958909452951073</v>
      </c>
    </row>
    <row r="45" spans="1:7" s="27" customFormat="1" ht="15">
      <c r="A45" s="22" t="s">
        <v>27</v>
      </c>
      <c r="B45" s="46">
        <f>IF(21.91645="","-",21.91645)/1000</f>
        <v>0.02191645</v>
      </c>
      <c r="C45" s="42">
        <f>IF(OR(2682.67357="",21.91645=""),"-",21.91645/2682.67357*100)</f>
        <v>0.8169629821939164</v>
      </c>
      <c r="D45" s="42">
        <f>IF(2682.67357="","-",2682.67357/3986820.02566*100)</f>
        <v>0.06728855460576993</v>
      </c>
      <c r="E45" s="42">
        <f>IF(21.91645="","-",21.91645/4020355.63484*100)</f>
        <v>0.0005451370970785329</v>
      </c>
      <c r="F45" s="42">
        <f>IF(OR(5316958.59674="",9.79502="",2682.67357=""),"-",(2682.67357-9.79502)/5316958.59674*100)</f>
        <v>0.0502708174488857</v>
      </c>
      <c r="G45" s="42">
        <f>IF(OR(3986820.02566="",21.91645="",2682.67357=""),"-",(21.91645-2682.67357)/3986820.02566*100)</f>
        <v>-0.06673883202338746</v>
      </c>
    </row>
    <row r="46" spans="1:7" s="27" customFormat="1" ht="15">
      <c r="A46" s="22" t="s">
        <v>29</v>
      </c>
      <c r="B46" s="46">
        <f>IF(1.43165="","-",1.43165)/1000</f>
        <v>0.00143165</v>
      </c>
      <c r="C46" s="42">
        <f>IF(OR(93.63713="",1.43165=""),"-",1.43165/93.63713*100)</f>
        <v>1.528934088432655</v>
      </c>
      <c r="D46" s="42">
        <f>IF(93.63713="","-",93.63713/3986820.02566*100)</f>
        <v>0.0023486670930047515</v>
      </c>
      <c r="E46" s="42">
        <f>IF(1.43165="","-",1.43165/4020355.63484*100)</f>
        <v>3.561003378888833E-05</v>
      </c>
      <c r="F46" s="42">
        <f>IF(OR(5316958.59674="",11.03298="",93.63713=""),"-",(93.63713-11.03298)/5316958.59674*100)</f>
        <v>0.0015535977664119349</v>
      </c>
      <c r="G46" s="42">
        <f>IF(OR(3986820.02566="",1.43165="",93.63713=""),"-",(1.43165-93.63713)/3986820.02566*100)</f>
        <v>-0.002312757521196001</v>
      </c>
    </row>
    <row r="47" spans="1:7" s="27" customFormat="1" ht="15">
      <c r="A47" s="26" t="s">
        <v>30</v>
      </c>
      <c r="B47" s="56">
        <f>IF(1019201.78804="","-",1019201.78804)/1000</f>
        <v>1019.20178804</v>
      </c>
      <c r="C47" s="56">
        <f>IF(1014458.35188="","-",1019201.78804/1014458.35188*100)</f>
        <v>100.46758313450815</v>
      </c>
      <c r="D47" s="56">
        <v>25.5</v>
      </c>
      <c r="E47" s="56">
        <v>25.3</v>
      </c>
      <c r="F47" s="56">
        <f>IF(5316958.59674="","-",(1014458.35188-1300017.3379)/5316958.59674*100)</f>
        <v>-5.3707205129467335</v>
      </c>
      <c r="G47" s="56">
        <f>IF(3986820.02566="","-",(1019201.78804-1014458.35188)/3986820.02566*100)</f>
        <v>0.11897793553434324</v>
      </c>
    </row>
    <row r="48" spans="1:7" s="27" customFormat="1" ht="15">
      <c r="A48" s="22" t="s">
        <v>164</v>
      </c>
      <c r="B48" s="35">
        <f>IF(393688.77701="","-",393688.77701)/1000</f>
        <v>393.68877701</v>
      </c>
      <c r="C48" s="39">
        <f>IF(OR(366425.92066="",393688.77701=""),"-",393688.77701/366425.92066*100)</f>
        <v>107.44020955201385</v>
      </c>
      <c r="D48" s="39">
        <f>IF(366425.92066="","-",366425.92066/3986820.02566*100)</f>
        <v>9.190932078739618</v>
      </c>
      <c r="E48" s="39">
        <f>IF(393688.77701="","-",393688.77701/4020355.63484*100)</f>
        <v>9.79238686245397</v>
      </c>
      <c r="F48" s="39">
        <f>IF(OR(5316958.59674="",481167.358="",366425.92066=""),"-",(366425.92066-481167.358)/5316958.59674*100)</f>
        <v>-2.1580276628513095</v>
      </c>
      <c r="G48" s="39">
        <f>IF(OR(3986820.02566="",393688.77701="",366425.92066=""),"-",(393688.77701-366425.92066)/3986820.02566*100)</f>
        <v>0.6838246064414903</v>
      </c>
    </row>
    <row r="49" spans="1:7" s="27" customFormat="1" ht="15">
      <c r="A49" s="22" t="s">
        <v>161</v>
      </c>
      <c r="B49" s="35">
        <f>IF(271985.86135="","-",271985.86135)/1000</f>
        <v>271.98586135</v>
      </c>
      <c r="C49" s="39">
        <f>IF(OR(285117.059="",271985.86135=""),"-",271985.86135/285117.059*100)</f>
        <v>95.39445387938012</v>
      </c>
      <c r="D49" s="39">
        <f>IF(285117.059="","-",285117.059/3986820.02566*100)</f>
        <v>7.151490590619279</v>
      </c>
      <c r="E49" s="39">
        <f>IF(271985.86135="","-",271985.86135/4020355.63484*100)</f>
        <v>6.7652189520996036</v>
      </c>
      <c r="F49" s="39">
        <f>IF(OR(5316958.59674="",300854.86251="",285117.059=""),"-",(285117.059-300854.86251)/5316958.59674*100)</f>
        <v>-0.2959925909456838</v>
      </c>
      <c r="G49" s="39">
        <f>IF(OR(3986820.02566="",271985.86135="",285117.059=""),"-",(271985.86135-285117.059)/3986820.02566*100)</f>
        <v>-0.32936519746276177</v>
      </c>
    </row>
    <row r="50" spans="1:7" s="27" customFormat="1" ht="15">
      <c r="A50" s="22" t="s">
        <v>31</v>
      </c>
      <c r="B50" s="35">
        <f>IF(53292.24956="","-",53292.24956)/1000</f>
        <v>53.292249559999995</v>
      </c>
      <c r="C50" s="39">
        <f>IF(OR(50769.38734="",53292.24956=""),"-",53292.24956/50769.38734*100)</f>
        <v>104.96925874465357</v>
      </c>
      <c r="D50" s="39">
        <f>IF(50769.38734="","-",50769.38734/3986820.02566*100)</f>
        <v>1.2734306292543356</v>
      </c>
      <c r="E50" s="39">
        <f>IF(53292.24956="","-",53292.24956/4020355.63484*100)</f>
        <v>1.3255605822075711</v>
      </c>
      <c r="F50" s="39">
        <f>IF(OR(5316958.59674="",76359.18681="",50769.38734=""),"-",(50769.38734-76359.18681)/5316958.59674*100)</f>
        <v>-0.4812864159914643</v>
      </c>
      <c r="G50" s="39">
        <f>IF(OR(3986820.02566="",53292.24956="",50769.38734=""),"-",(53292.24956-50769.38734)/3986820.02566*100)</f>
        <v>0.06328006290131813</v>
      </c>
    </row>
    <row r="51" spans="1:7" s="27" customFormat="1" ht="15">
      <c r="A51" s="22" t="s">
        <v>135</v>
      </c>
      <c r="B51" s="35">
        <f>IF(30582.05803="","-",30582.05803)/1000</f>
        <v>30.58205803</v>
      </c>
      <c r="C51" s="39">
        <f>IF(OR(32064.13252="",30582.05803=""),"-",30582.05803/32064.13252*100)</f>
        <v>95.37778079891743</v>
      </c>
      <c r="D51" s="39">
        <f>IF(32064.13252="","-",32064.13252/3986820.02566*100)</f>
        <v>0.8042533225384791</v>
      </c>
      <c r="E51" s="39">
        <f>IF(30582.05803="","-",30582.05803/4020355.63484*100)</f>
        <v>0.7606804175476155</v>
      </c>
      <c r="F51" s="39">
        <f>IF(OR(5316958.59674="",42294.97607="",32064.13252=""),"-",(32064.13252-42294.97607)/5316958.59674*100)</f>
        <v>-0.19241909380811917</v>
      </c>
      <c r="G51" s="39">
        <f>IF(OR(3986820.02566="",30582.05803="",32064.13252=""),"-",(30582.05803-32064.13252)/3986820.02566*100)</f>
        <v>-0.03717435149971809</v>
      </c>
    </row>
    <row r="52" spans="1:7" s="27" customFormat="1" ht="15">
      <c r="A52" s="22" t="s">
        <v>184</v>
      </c>
      <c r="B52" s="35">
        <f>IF(28130.52328="","-",28130.52328)/1000</f>
        <v>28.130523280000002</v>
      </c>
      <c r="C52" s="39">
        <f>IF(OR(42054.3467="",28130.52328=""),"-",28130.52328/42054.3467*100)</f>
        <v>66.89088165052864</v>
      </c>
      <c r="D52" s="39">
        <f>IF(42054.3467="","-",42054.3467/3986820.02566*100)</f>
        <v>1.0548343398831528</v>
      </c>
      <c r="E52" s="39">
        <f>IF(28130.52328="","-",28130.52328/4020355.63484*100)</f>
        <v>0.6997023605629238</v>
      </c>
      <c r="F52" s="39">
        <f>IF(OR(5316958.59674="",45792.42611="",42054.3467=""),"-",(42054.3467-45792.42611)/5316958.59674*100)</f>
        <v>-0.0703048433044398</v>
      </c>
      <c r="G52" s="39">
        <f>IF(OR(3986820.02566="",28130.52328="",42054.3467=""),"-",(28130.52328-42054.3467)/3986820.02566*100)</f>
        <v>-0.3492463499827779</v>
      </c>
    </row>
    <row r="53" spans="1:7" s="27" customFormat="1" ht="15">
      <c r="A53" s="22" t="s">
        <v>176</v>
      </c>
      <c r="B53" s="35">
        <f>IF(22417.2078="","-",22417.2078)/1000</f>
        <v>22.4172078</v>
      </c>
      <c r="C53" s="39">
        <f>IF(OR(26232.4249="",22417.2078=""),"-",22417.2078/26232.4249*100)</f>
        <v>85.45610207770002</v>
      </c>
      <c r="D53" s="39">
        <f>IF(26232.4249="","-",26232.4249/3986820.02566*100)</f>
        <v>0.6579786579570355</v>
      </c>
      <c r="E53" s="39">
        <f>IF(22417.2078="","-",22417.2078/4020355.63484*100)</f>
        <v>0.557592656871813</v>
      </c>
      <c r="F53" s="39">
        <f>IF(OR(5316958.59674="",36851.13604="",26232.4249=""),"-",(26232.4249-36851.13604)/5316958.59674*100)</f>
        <v>-0.1997140084278759</v>
      </c>
      <c r="G53" s="39">
        <f>IF(OR(3986820.02566="",22417.2078="",26232.4249=""),"-",(22417.2078-26232.4249)/3986820.02566*100)</f>
        <v>-0.09569574436379052</v>
      </c>
    </row>
    <row r="54" spans="1:7" s="27" customFormat="1" ht="15">
      <c r="A54" s="22" t="s">
        <v>179</v>
      </c>
      <c r="B54" s="35">
        <f>IF(22381.55829="","-",22381.55829)/1000</f>
        <v>22.38155829</v>
      </c>
      <c r="C54" s="39" t="s">
        <v>45</v>
      </c>
      <c r="D54" s="39">
        <f>IF(11818.21827="","-",11818.21827/3986820.02566*100)</f>
        <v>0.2964321989439076</v>
      </c>
      <c r="E54" s="39">
        <f>IF(22381.55829="","-",22381.55829/4020355.63484*100)</f>
        <v>0.5567059315858441</v>
      </c>
      <c r="F54" s="39">
        <f>IF(OR(5316958.59674="",15420.06346="",11818.21827=""),"-",(11818.21827-15420.06346)/5316958.59674*100)</f>
        <v>-0.0677425848718929</v>
      </c>
      <c r="G54" s="39">
        <f>IF(OR(3986820.02566="",22381.55829="",11818.21827=""),"-",(22381.55829-11818.21827)/3986820.02566*100)</f>
        <v>0.26495653056852725</v>
      </c>
    </row>
    <row r="55" spans="1:7" s="27" customFormat="1" ht="15">
      <c r="A55" s="22" t="s">
        <v>127</v>
      </c>
      <c r="B55" s="35">
        <f>IF(21416.61607="","-",21416.61607)/1000</f>
        <v>21.41661607</v>
      </c>
      <c r="C55" s="39">
        <f>IF(OR(22738.62737="",21416.61607=""),"-",21416.61607/22738.62737*100)</f>
        <v>94.18605495182976</v>
      </c>
      <c r="D55" s="39">
        <f>IF(22738.62737="","-",22738.62737/3986820.02566*100)</f>
        <v>0.5703449672583534</v>
      </c>
      <c r="E55" s="39">
        <f>IF(21416.61607="","-",21416.61607/4020355.63484*100)</f>
        <v>0.5327045170931085</v>
      </c>
      <c r="F55" s="39">
        <f>IF(OR(5316958.59674="",38630.41178="",22738.62737=""),"-",(22738.62737-38630.41178)/5316958.59674*100)</f>
        <v>-0.29888862440538416</v>
      </c>
      <c r="G55" s="39">
        <f>IF(OR(3986820.02566="",21416.61607="",22738.62737=""),"-",(21416.61607-22738.62737)/3986820.02566*100)</f>
        <v>-0.03315954298140522</v>
      </c>
    </row>
    <row r="56" spans="1:7" s="27" customFormat="1" ht="15">
      <c r="A56" s="22" t="s">
        <v>173</v>
      </c>
      <c r="B56" s="35">
        <f>IF(17479.30637="","-",17479.30637)/1000</f>
        <v>17.47930637</v>
      </c>
      <c r="C56" s="39">
        <f>IF(OR(15844.31879="",17479.30637=""),"-",17479.30637/15844.31879*100)</f>
        <v>110.31907778220106</v>
      </c>
      <c r="D56" s="39">
        <f>IF(15844.31879="","-",15844.31879/3986820.02566*100)</f>
        <v>0.3974174577237668</v>
      </c>
      <c r="E56" s="39">
        <f>IF(17479.30637="","-",17479.30637/4020355.63484*100)</f>
        <v>0.4347701536283526</v>
      </c>
      <c r="F56" s="39">
        <f>IF(OR(5316958.59674="",21040.57178="",15844.31879=""),"-",(15844.31879-21040.57178)/5316958.59674*100)</f>
        <v>-0.09772979976157779</v>
      </c>
      <c r="G56" s="39">
        <f>IF(OR(3986820.02566="",17479.30637="",15844.31879=""),"-",(17479.30637-15844.31879)/3986820.02566*100)</f>
        <v>0.041009816582561545</v>
      </c>
    </row>
    <row r="57" spans="1:7" s="27" customFormat="1" ht="15">
      <c r="A57" s="22" t="s">
        <v>177</v>
      </c>
      <c r="B57" s="35">
        <f>IF(15019.84992="","-",15019.84992)/1000</f>
        <v>15.01984992</v>
      </c>
      <c r="C57" s="39">
        <f>IF(OR(11426.07747="",15019.84992=""),"-",15019.84992/11426.07747*100)</f>
        <v>131.45237251747778</v>
      </c>
      <c r="D57" s="39">
        <f>IF(11426.07747="","-",11426.07747/3986820.02566*100)</f>
        <v>0.28659626961988244</v>
      </c>
      <c r="E57" s="39">
        <f>IF(15019.84992="","-",15019.84992/4020355.63484*100)</f>
        <v>0.3735950568611265</v>
      </c>
      <c r="F57" s="39">
        <f>IF(OR(5316958.59674="",18881.83914="",11426.07747=""),"-",(11426.07747-18881.83914)/5316958.59674*100)</f>
        <v>-0.1402260622185655</v>
      </c>
      <c r="G57" s="39">
        <f>IF(OR(3986820.02566="",15019.84992="",11426.07747=""),"-",(15019.84992-11426.07747)/3986820.02566*100)</f>
        <v>0.09014132634204043</v>
      </c>
    </row>
    <row r="58" spans="1:7" s="27" customFormat="1" ht="15">
      <c r="A58" s="22" t="s">
        <v>167</v>
      </c>
      <c r="B58" s="35">
        <f>IF(11329.72449="","-",11329.72449)/1000</f>
        <v>11.32972449</v>
      </c>
      <c r="C58" s="39">
        <f>IF(OR(28322.70705="",11329.72449=""),"-",11329.72449/28322.70705*100)</f>
        <v>40.00226556733743</v>
      </c>
      <c r="D58" s="39">
        <f>IF(28322.70705="","-",28322.70705/3986820.02566*100)</f>
        <v>0.7104084675934501</v>
      </c>
      <c r="E58" s="39">
        <f>IF(11329.72449="","-",11329.72449/4020355.63484*100)</f>
        <v>0.28180901191471075</v>
      </c>
      <c r="F58" s="39">
        <f>IF(OR(5316958.59674="",22462.77414="",28322.70705=""),"-",(28322.70705-22462.77414)/5316958.59674*100)</f>
        <v>0.11021212227593637</v>
      </c>
      <c r="G58" s="39">
        <f>IF(OR(3986820.02566="",11329.72449="",28322.70705=""),"-",(11329.72449-28322.70705)/3986820.02566*100)</f>
        <v>-0.4262289857738659</v>
      </c>
    </row>
    <row r="59" spans="1:7" s="27" customFormat="1" ht="15">
      <c r="A59" s="22" t="s">
        <v>191</v>
      </c>
      <c r="B59" s="35">
        <f>IF(10196.31546="","-",10196.31546)/1000</f>
        <v>10.19631546</v>
      </c>
      <c r="C59" s="39">
        <f>IF(OR(7394.8317="",10196.31546=""),"-",10196.31546/7394.8317*100)</f>
        <v>137.8843477938788</v>
      </c>
      <c r="D59" s="39">
        <f>IF(7394.8317="","-",7394.8317/3986820.02566*100)</f>
        <v>0.1854819543497156</v>
      </c>
      <c r="E59" s="39">
        <f>IF(10196.31546="","-",10196.31546/4020355.63484*100)</f>
        <v>0.2536172514600388</v>
      </c>
      <c r="F59" s="39">
        <f>IF(OR(5316958.59674="",8804.81072="",7394.8317=""),"-",(7394.8317-8804.81072)/5316958.59674*100)</f>
        <v>-0.026518525475532267</v>
      </c>
      <c r="G59" s="39">
        <f>IF(OR(3986820.02566="",10196.31546="",7394.8317=""),"-",(10196.31546-7394.8317)/3986820.02566*100)</f>
        <v>0.07026862868072975</v>
      </c>
    </row>
    <row r="60" spans="1:7" s="27" customFormat="1" ht="15">
      <c r="A60" s="22" t="s">
        <v>178</v>
      </c>
      <c r="B60" s="35">
        <f>IF(6888.10718="","-",6888.10718)/1000</f>
        <v>6.8881071799999996</v>
      </c>
      <c r="C60" s="39">
        <f>IF(OR(5452.30419="",6888.10718=""),"-",6888.10718/5452.30419*100)</f>
        <v>126.33387536655398</v>
      </c>
      <c r="D60" s="39">
        <f>IF(5452.30419="","-",5452.30419/3986820.02566*100)</f>
        <v>0.1367582222148941</v>
      </c>
      <c r="E60" s="39">
        <f>IF(6888.10718="","-",6888.10718/4020355.63484*100)</f>
        <v>0.17133079273655175</v>
      </c>
      <c r="F60" s="39">
        <f>IF(OR(5316958.59674="",6832.37117="",5452.30419=""),"-",(5452.30419-6832.37117)/5316958.59674*100)</f>
        <v>-0.025955947463013242</v>
      </c>
      <c r="G60" s="39">
        <f>IF(OR(3986820.02566="",6888.10718="",5452.30419=""),"-",(6888.10718-5452.30419)/3986820.02566*100)</f>
        <v>0.03601373979158514</v>
      </c>
    </row>
    <row r="61" spans="1:7" s="27" customFormat="1" ht="15">
      <c r="A61" s="22" t="s">
        <v>166</v>
      </c>
      <c r="B61" s="35">
        <f>IF(6548.44238="","-",6548.44238)/1000</f>
        <v>6.54844238</v>
      </c>
      <c r="C61" s="39">
        <f>IF(OR(7484.06433="",6548.44238=""),"-",6548.44238/7484.06433*100)</f>
        <v>87.49847798275138</v>
      </c>
      <c r="D61" s="39">
        <f>IF(7484.06433="","-",7484.06433/3986820.02566*100)</f>
        <v>0.18772014492329755</v>
      </c>
      <c r="E61" s="39">
        <f>IF(6548.44238="","-",6548.44238/4020355.63484*100)</f>
        <v>0.1628821670215404</v>
      </c>
      <c r="F61" s="39">
        <f>IF(OR(5316958.59674="",11794.27378="",7484.06433=""),"-",(7484.06433-11794.27378)/5316958.59674*100)</f>
        <v>-0.08106531904616915</v>
      </c>
      <c r="G61" s="39">
        <f>IF(OR(3986820.02566="",6548.44238="",7484.06433=""),"-",(6548.44238-7484.06433)/3986820.02566*100)</f>
        <v>-0.023467875248397045</v>
      </c>
    </row>
    <row r="62" spans="1:7" s="27" customFormat="1" ht="15">
      <c r="A62" s="22" t="s">
        <v>192</v>
      </c>
      <c r="B62" s="35">
        <f>IF(6547.18128="","-",6547.18128)/1000</f>
        <v>6.54718128</v>
      </c>
      <c r="C62" s="39">
        <f>IF(OR(4022.39997="",6547.18128=""),"-",6547.18128/4022.39997*100)</f>
        <v>162.76803224021504</v>
      </c>
      <c r="D62" s="39">
        <f>IF(4022.39997="","-",4022.39997/3986820.02566*100)</f>
        <v>0.10089243918990574</v>
      </c>
      <c r="E62" s="39">
        <f>IF(6547.18128="","-",6547.18128/4020355.63484*100)</f>
        <v>0.16285079914977624</v>
      </c>
      <c r="F62" s="39">
        <f>IF(OR(5316958.59674="",3728.08157="",4022.39997=""),"-",(4022.39997-3728.08157)/5316958.59674*100)</f>
        <v>0.005535465335021722</v>
      </c>
      <c r="G62" s="39">
        <f>IF(OR(3986820.02566="",6547.18128="",4022.39997=""),"-",(6547.18128-4022.39997)/3986820.02566*100)</f>
        <v>0.06332819875865939</v>
      </c>
    </row>
    <row r="63" spans="1:7" s="27" customFormat="1" ht="15">
      <c r="A63" s="22" t="s">
        <v>187</v>
      </c>
      <c r="B63" s="35">
        <f>IF(6321.78644="","-",6321.78644)/1000</f>
        <v>6.3217864399999995</v>
      </c>
      <c r="C63" s="39">
        <f>IF(OR(6119.3576="",6321.78644=""),"-",6321.78644/6119.3576*100)</f>
        <v>103.30800801705067</v>
      </c>
      <c r="D63" s="39">
        <f>IF(6119.3576="","-",6119.3576/3986820.02566*100)</f>
        <v>0.15348968753579412</v>
      </c>
      <c r="E63" s="39">
        <f>IF(6321.78644="","-",6321.78644/4020355.63484*100)</f>
        <v>0.1572444583065247</v>
      </c>
      <c r="F63" s="39">
        <f>IF(OR(5316958.59674="",9922.01194="",6119.3576=""),"-",(6119.3576-9922.01194)/5316958.59674*100)</f>
        <v>-0.0715193521035039</v>
      </c>
      <c r="G63" s="39">
        <f>IF(OR(3986820.02566="",6321.78644="",6119.3576=""),"-",(6321.78644-6119.3576)/3986820.02566*100)</f>
        <v>0.005077451169030095</v>
      </c>
    </row>
    <row r="64" spans="1:7" s="27" customFormat="1" ht="15">
      <c r="A64" s="22" t="s">
        <v>171</v>
      </c>
      <c r="B64" s="35">
        <f>IF(6034.25667="","-",6034.25667)/1000</f>
        <v>6.0342566699999995</v>
      </c>
      <c r="C64" s="39" t="s">
        <v>210</v>
      </c>
      <c r="D64" s="39">
        <f>IF(1811.91839="","-",1811.91839/3986820.02566*100)</f>
        <v>0.04544770966178854</v>
      </c>
      <c r="E64" s="39">
        <f>IF(6034.25667="","-",6034.25667/4020355.63484*100)</f>
        <v>0.15009260916391912</v>
      </c>
      <c r="F64" s="39">
        <f>IF(OR(5316958.59674="",1878.60759="",1811.91839=""),"-",(1811.91839-1878.60759)/5316958.59674*100)</f>
        <v>-0.0012542734495034312</v>
      </c>
      <c r="G64" s="39">
        <f>IF(OR(3986820.02566="",6034.25667="",1811.91839=""),"-",(6034.25667-1811.91839)/3986820.02566*100)</f>
        <v>0.10590742127370074</v>
      </c>
    </row>
    <row r="65" spans="1:7" s="27" customFormat="1" ht="15">
      <c r="A65" s="22" t="s">
        <v>169</v>
      </c>
      <c r="B65" s="35">
        <f>IF(5940.49753="","-",5940.49753)/1000</f>
        <v>5.94049753</v>
      </c>
      <c r="C65" s="39">
        <f>IF(OR(6268.9405="",5940.49753=""),"-",5940.49753/6268.9405*100)</f>
        <v>94.76078980172169</v>
      </c>
      <c r="D65" s="39">
        <f>IF(6268.9405="","-",6268.9405/3986820.02566*100)</f>
        <v>0.15724162263788682</v>
      </c>
      <c r="E65" s="39">
        <f>IF(5940.49753="","-",5940.49753/4020355.63484*100)</f>
        <v>0.14776049856187454</v>
      </c>
      <c r="F65" s="39">
        <f>IF(OR(5316958.59674="",13276.79071="",6268.9405=""),"-",(6268.9405-13276.79071)/5316958.59674*100)</f>
        <v>-0.1318018578195576</v>
      </c>
      <c r="G65" s="39">
        <f>IF(OR(3986820.02566="",5940.49753="",6268.9405=""),"-",(5940.49753-6268.9405)/3986820.02566*100)</f>
        <v>-0.008238219129182482</v>
      </c>
    </row>
    <row r="66" spans="1:7" s="27" customFormat="1" ht="15">
      <c r="A66" s="22" t="s">
        <v>193</v>
      </c>
      <c r="B66" s="35">
        <f>IF(5924.43733="","-",5924.43733)/1000</f>
        <v>5.92443733</v>
      </c>
      <c r="C66" s="39">
        <f>IF(OR(5803.41208="",5924.43733=""),"-",5924.43733/5803.41208*100)</f>
        <v>102.08541541306506</v>
      </c>
      <c r="D66" s="39">
        <f>IF(5803.41208="","-",5803.41208/3986820.02566*100)</f>
        <v>0.14556493753538002</v>
      </c>
      <c r="E66" s="39">
        <f>IF(5924.43733="","-",5924.43733/4020355.63484*100)</f>
        <v>0.1473610264390398</v>
      </c>
      <c r="F66" s="39">
        <f>IF(OR(5316958.59674="",10648.90282="",5803.41208=""),"-",(5803.41208-10648.90282)/5316958.59674*100)</f>
        <v>-0.09113275290446923</v>
      </c>
      <c r="G66" s="39">
        <f>IF(OR(3986820.02566="",5924.43733="",5803.41208=""),"-",(5924.43733-5803.41208)/3986820.02566*100)</f>
        <v>0.003035633643381344</v>
      </c>
    </row>
    <row r="67" spans="1:7" s="27" customFormat="1" ht="15">
      <c r="A67" s="22" t="s">
        <v>194</v>
      </c>
      <c r="B67" s="35">
        <f>IF(5706.48816="","-",5706.48816)/1000</f>
        <v>5.70648816</v>
      </c>
      <c r="C67" s="39">
        <f>IF(OR(5215.07076="",5706.48816=""),"-",5706.48816/5215.07076*100)</f>
        <v>109.42302458806907</v>
      </c>
      <c r="D67" s="39">
        <f>IF(5215.07076="","-",5215.07076/3986820.02566*100)</f>
        <v>0.1308077797952936</v>
      </c>
      <c r="E67" s="39">
        <f>IF(5706.48816="","-",5706.48816/4020355.63484*100)</f>
        <v>0.14193988488351986</v>
      </c>
      <c r="F67" s="39">
        <f>IF(OR(5316958.59674="",8677.15009="",5215.07076=""),"-",(5215.07076-8677.15009)/5316958.59674*100)</f>
        <v>-0.06511390425576594</v>
      </c>
      <c r="G67" s="39">
        <f>IF(OR(3986820.02566="",5706.48816="",5215.07076=""),"-",(5706.48816-5215.07076)/3986820.02566*100)</f>
        <v>0.012326049253217754</v>
      </c>
    </row>
    <row r="68" spans="1:7" s="27" customFormat="1" ht="15">
      <c r="A68" s="22" t="s">
        <v>172</v>
      </c>
      <c r="B68" s="35">
        <f>IF(4655.15028="","-",4655.15028)/1000</f>
        <v>4.65515028</v>
      </c>
      <c r="C68" s="39">
        <f>IF(OR(4631.88551="",4655.15028=""),"-",4655.15028/4631.88551*100)</f>
        <v>100.50227428872695</v>
      </c>
      <c r="D68" s="39">
        <f>IF(4631.88551="","-",4631.88551/3986820.02566*100)</f>
        <v>0.11617994993975712</v>
      </c>
      <c r="E68" s="39">
        <f>IF(4655.15028="","-",4655.15028/4020355.63484*100)</f>
        <v>0.115789514729964</v>
      </c>
      <c r="F68" s="39">
        <f>IF(OR(5316958.59674="",6863.94231="",4631.88551=""),"-",(4631.88551-6863.94231)/5316958.59674*100)</f>
        <v>-0.04197995450573091</v>
      </c>
      <c r="G68" s="39">
        <f>IF(OR(3986820.02566="",4655.15028="",4631.88551=""),"-",(4655.15028-4631.88551)/3986820.02566*100)</f>
        <v>0.000583542017203257</v>
      </c>
    </row>
    <row r="69" spans="1:7" s="27" customFormat="1" ht="15">
      <c r="A69" s="22" t="s">
        <v>175</v>
      </c>
      <c r="B69" s="35">
        <f>IF(4285.96603="","-",4285.96603)/1000</f>
        <v>4.28596603</v>
      </c>
      <c r="C69" s="39">
        <f>IF(OR(5735.32882="",4285.96603=""),"-",4285.96603/5735.32882*100)</f>
        <v>74.72921195126872</v>
      </c>
      <c r="D69" s="39">
        <f>IF(5735.32882="","-",5735.32882/3986820.02566*100)</f>
        <v>0.1438572291471959</v>
      </c>
      <c r="E69" s="39">
        <f>IF(4285.96603="","-",4285.96603/4020355.63484*100)</f>
        <v>0.10660663929474912</v>
      </c>
      <c r="F69" s="39">
        <f>IF(OR(5316958.59674="",7296.0866="",5735.32882=""),"-",(5735.32882-7296.0866)/5316958.59674*100)</f>
        <v>-0.02935433390353935</v>
      </c>
      <c r="G69" s="39">
        <f>IF(OR(3986820.02566="",4285.96603="",5735.32882=""),"-",(4285.96603-5735.32882)/3986820.02566*100)</f>
        <v>-0.036353855470565535</v>
      </c>
    </row>
    <row r="70" spans="1:7" s="27" customFormat="1" ht="15">
      <c r="A70" s="22" t="s">
        <v>195</v>
      </c>
      <c r="B70" s="35">
        <f>IF(3922.61258="","-",3922.61258)/1000</f>
        <v>3.92261258</v>
      </c>
      <c r="C70" s="39">
        <f>IF(OR(5367.15681="",3922.61258=""),"-",3922.61258/5367.15681*100)</f>
        <v>73.08548490126935</v>
      </c>
      <c r="D70" s="39">
        <f>IF(5367.15681="","-",5367.15681/3986820.02566*100)</f>
        <v>0.13462250052562863</v>
      </c>
      <c r="E70" s="39">
        <f>IF(3922.61258="","-",3922.61258/4020355.63484*100)</f>
        <v>0.0975687958052027</v>
      </c>
      <c r="F70" s="39">
        <f>IF(OR(5316958.59674="",36038.59441="",5367.15681=""),"-",(5367.15681-36038.59441)/5316958.59674*100)</f>
        <v>-0.5768605687244894</v>
      </c>
      <c r="G70" s="39">
        <f>IF(OR(3986820.02566="",3922.61258="",5367.15681=""),"-",(3922.61258-5367.15681)/3986820.02566*100)</f>
        <v>-0.03623299323025907</v>
      </c>
    </row>
    <row r="71" spans="1:7" s="27" customFormat="1" ht="15">
      <c r="A71" s="22" t="s">
        <v>196</v>
      </c>
      <c r="B71" s="35">
        <f>IF(3353.3432="","-",3353.3432)/1000</f>
        <v>3.3533432</v>
      </c>
      <c r="C71" s="39">
        <f>IF(OR(3549.77664="",3353.3432=""),"-",3353.3432/3549.77664*100)</f>
        <v>94.46631549189529</v>
      </c>
      <c r="D71" s="39">
        <f>IF(3549.77664="","-",3549.77664/3986820.02566*100)</f>
        <v>0.08903779496322638</v>
      </c>
      <c r="E71" s="39">
        <f>IF(3353.3432="","-",3353.3432/4020355.63484*100)</f>
        <v>0.0834091186098131</v>
      </c>
      <c r="F71" s="39">
        <f>IF(OR(5316958.59674="",5142.93258="",3549.77664=""),"-",(3549.77664-5142.93258)/5316958.59674*100)</f>
        <v>-0.02996367022637369</v>
      </c>
      <c r="G71" s="39">
        <f>IF(OR(3986820.02566="",3353.3432="",3549.77664=""),"-",(3353.3432-3549.77664)/3986820.02566*100)</f>
        <v>-0.004927070666238102</v>
      </c>
    </row>
    <row r="72" spans="1:7" s="27" customFormat="1" ht="15">
      <c r="A72" s="22" t="s">
        <v>138</v>
      </c>
      <c r="B72" s="35">
        <f>IF(3316.54068="","-",3316.54068)/1000</f>
        <v>3.31654068</v>
      </c>
      <c r="C72" s="39">
        <f>IF(OR(3411.52013="",3316.54068=""),"-",3316.54068/3411.52013*100)</f>
        <v>97.21591998930987</v>
      </c>
      <c r="D72" s="39">
        <f>IF(3411.52013="","-",3411.52013/3986820.02566*100)</f>
        <v>0.08556995570511709</v>
      </c>
      <c r="E72" s="39">
        <f>IF(3316.54068="","-",3316.54068/4020355.63484*100)</f>
        <v>0.08249371402020235</v>
      </c>
      <c r="F72" s="39">
        <f>IF(OR(5316958.59674="",2631.0347="",3411.52013=""),"-",(3411.52013-2631.0347)/5316958.59674*100)</f>
        <v>0.014679170728892655</v>
      </c>
      <c r="G72" s="39">
        <f>IF(OR(3986820.02566="",3316.54068="",3411.52013=""),"-",(3316.54068-3411.52013)/3986820.02566*100)</f>
        <v>-0.0023823360319425607</v>
      </c>
    </row>
    <row r="73" spans="1:7" s="27" customFormat="1" ht="15">
      <c r="A73" s="22" t="s">
        <v>197</v>
      </c>
      <c r="B73" s="35">
        <f>IF(3313.44677="","-",3313.44677)/1000</f>
        <v>3.31344677</v>
      </c>
      <c r="C73" s="39" t="s">
        <v>141</v>
      </c>
      <c r="D73" s="39">
        <f>IF(1391.86413="","-",1391.86413/3986820.02566*100)</f>
        <v>0.03491163686952694</v>
      </c>
      <c r="E73" s="39">
        <f>IF(3313.44677="","-",3313.44677/4020355.63484*100)</f>
        <v>0.08241675789290881</v>
      </c>
      <c r="F73" s="39">
        <f>IF(OR(5316958.59674="",1612.01569="",1391.86413=""),"-",(1391.86413-1612.01569)/5316958.59674*100)</f>
        <v>-0.004140554341254079</v>
      </c>
      <c r="G73" s="39">
        <f>IF(OR(3986820.02566="",3313.44677="",1391.86413=""),"-",(3313.44677-1391.86413)/3986820.02566*100)</f>
        <v>0.048198379350768185</v>
      </c>
    </row>
    <row r="74" spans="1:7" s="27" customFormat="1" ht="15">
      <c r="A74" s="22" t="s">
        <v>139</v>
      </c>
      <c r="B74" s="35">
        <f>IF(2760.96814="","-",2760.96814)/1000</f>
        <v>2.76096814</v>
      </c>
      <c r="C74" s="39">
        <f>IF(OR(4494.9647="",2760.96814=""),"-",2760.96814/4494.9647*100)</f>
        <v>61.423577809187236</v>
      </c>
      <c r="D74" s="39">
        <f>IF(4494.9647="","-",4494.9647/3986820.02566*100)</f>
        <v>0.11274561357346145</v>
      </c>
      <c r="E74" s="39">
        <f>IF(2760.96814="","-",2760.96814/4020355.63484*100)</f>
        <v>0.06867472409837892</v>
      </c>
      <c r="F74" s="39">
        <f>IF(OR(5316958.59674="",4232.63636="",4494.9647=""),"-",(4494.9647-4232.63636)/5316958.59674*100)</f>
        <v>0.004933804452809582</v>
      </c>
      <c r="G74" s="39">
        <f>IF(OR(3986820.02566="",2760.96814="",4494.9647=""),"-",(2760.96814-4494.9647)/3986820.02566*100)</f>
        <v>-0.04349322389372079</v>
      </c>
    </row>
    <row r="75" spans="1:7" s="27" customFormat="1" ht="15">
      <c r="A75" s="22" t="s">
        <v>181</v>
      </c>
      <c r="B75" s="35">
        <f>IF(2129.50181="","-",2129.50181)/1000</f>
        <v>2.1295018100000003</v>
      </c>
      <c r="C75" s="39">
        <f>IF(OR(3194.87866="",2129.50181=""),"-",2129.50181/3194.87866*100)</f>
        <v>66.65360524208454</v>
      </c>
      <c r="D75" s="39">
        <f>IF(3194.87866="","-",3194.87866/3986820.02566*100)</f>
        <v>0.08013601415256015</v>
      </c>
      <c r="E75" s="39">
        <f>IF(2129.50181="","-",2129.50181/4020355.63484*100)</f>
        <v>0.05296799595403826</v>
      </c>
      <c r="F75" s="39">
        <f>IF(OR(5316958.59674="",2887.21953="",3194.87866=""),"-",(3194.87866-2887.21953)/5316958.59674*100)</f>
        <v>0.005786374379304662</v>
      </c>
      <c r="G75" s="39">
        <f>IF(OR(3986820.02566="",2129.50181="",3194.87866=""),"-",(2129.50181-3194.87866)/3986820.02566*100)</f>
        <v>-0.026722471622571714</v>
      </c>
    </row>
    <row r="76" spans="1:7" s="27" customFormat="1" ht="15">
      <c r="A76" s="22" t="s">
        <v>136</v>
      </c>
      <c r="B76" s="35">
        <f>IF(2108.21635="","-",2108.21635)/1000</f>
        <v>2.10821635</v>
      </c>
      <c r="C76" s="39">
        <f>IF(OR(1942.07368="",2108.21635=""),"-",2108.21635/1942.07368*100)</f>
        <v>108.55491074880332</v>
      </c>
      <c r="D76" s="39">
        <f>IF(1942.07368="","-",1942.07368/3986820.02566*100)</f>
        <v>0.0487123488770602</v>
      </c>
      <c r="E76" s="39">
        <f>IF(2108.21635="","-",2108.21635/4020355.63484*100)</f>
        <v>0.05243855373714723</v>
      </c>
      <c r="F76" s="39">
        <f>IF(OR(5316958.59674="",2286.10816="",1942.07368=""),"-",(1942.07368-2286.10816)/5316958.59674*100)</f>
        <v>-0.006470512676381174</v>
      </c>
      <c r="G76" s="39">
        <f>IF(OR(3986820.02566="",2108.21635="",1942.07368=""),"-",(2108.21635-1942.07368)/3986820.02566*100)</f>
        <v>0.004167297970078195</v>
      </c>
    </row>
    <row r="77" spans="1:7" s="27" customFormat="1" ht="15">
      <c r="A77" s="22" t="s">
        <v>198</v>
      </c>
      <c r="B77" s="35">
        <f>IF(1981.3787="","-",1981.3787)/1000</f>
        <v>1.9813787</v>
      </c>
      <c r="C77" s="39">
        <f>IF(OR(2334.73415="",1981.3787=""),"-",1981.3787/2334.73415*100)</f>
        <v>84.8652811284745</v>
      </c>
      <c r="D77" s="39">
        <f>IF(2334.73415="","-",2334.73415/3986820.02566*100)</f>
        <v>0.058561312900335796</v>
      </c>
      <c r="E77" s="39">
        <f>IF(1981.3787="","-",1981.3787/4020355.63484*100)</f>
        <v>0.049283667415627876</v>
      </c>
      <c r="F77" s="39">
        <f>IF(OR(5316958.59674="",1633.6308="",2334.73415=""),"-",(2334.73415-1633.6308)/5316958.59674*100)</f>
        <v>0.013186172832526277</v>
      </c>
      <c r="G77" s="39">
        <f>IF(OR(3986820.02566="",1981.3787="",2334.73415=""),"-",(1981.3787-2334.73415)/3986820.02566*100)</f>
        <v>-0.008863090074940213</v>
      </c>
    </row>
    <row r="78" spans="1:7" s="27" customFormat="1" ht="15">
      <c r="A78" s="22" t="s">
        <v>199</v>
      </c>
      <c r="B78" s="35">
        <f>IF(1919.70615="","-",1919.70615)/1000</f>
        <v>1.91970615</v>
      </c>
      <c r="C78" s="39">
        <f>IF(OR(1328.43933="",1919.70615=""),"-",1919.70615/1328.43933*100)</f>
        <v>144.50837961866125</v>
      </c>
      <c r="D78" s="39">
        <f>IF(1328.43933="","-",1328.43933/3986820.02566*100)</f>
        <v>0.03332077498983874</v>
      </c>
      <c r="E78" s="39">
        <f>IF(1919.70615="","-",1919.70615/4020355.63484*100)</f>
        <v>0.047749660088874185</v>
      </c>
      <c r="F78" s="39">
        <f>IF(OR(5316958.59674="",1400.03931="",1328.43933=""),"-",(1328.43933-1400.03931)/5316958.59674*100)</f>
        <v>-0.0013466341461432524</v>
      </c>
      <c r="G78" s="39">
        <f>IF(OR(3986820.02566="",1919.70615="",1328.43933=""),"-",(1919.70615-1328.43933)/3986820.02566*100)</f>
        <v>0.014830537024357365</v>
      </c>
    </row>
    <row r="79" spans="1:7" s="27" customFormat="1" ht="15">
      <c r="A79" s="22" t="s">
        <v>174</v>
      </c>
      <c r="B79" s="35">
        <f>IF(1899.55162="","-",1899.55162)/1000</f>
        <v>1.89955162</v>
      </c>
      <c r="C79" s="39" t="s">
        <v>217</v>
      </c>
      <c r="D79" s="39">
        <f>IF(611.47807="","-",611.47807/3986820.02566*100)</f>
        <v>0.015337488676800067</v>
      </c>
      <c r="E79" s="39">
        <f>IF(1899.55162="","-",1899.55162/4020355.63484*100)</f>
        <v>0.047248347970479915</v>
      </c>
      <c r="F79" s="39">
        <f>IF(OR(5316958.59674="",762.85953="",611.47807=""),"-",(611.47807-762.85953)/5316958.59674*100)</f>
        <v>-0.0028471438557527385</v>
      </c>
      <c r="G79" s="39">
        <f>IF(OR(3986820.02566="",1899.55162="",611.47807=""),"-",(1899.55162-611.47807)/3986820.02566*100)</f>
        <v>0.032308294372700344</v>
      </c>
    </row>
    <row r="80" spans="1:7" s="27" customFormat="1" ht="15">
      <c r="A80" s="22" t="s">
        <v>188</v>
      </c>
      <c r="B80" s="35">
        <f>IF(1621.82256="","-",1621.82256)/1000</f>
        <v>1.62182256</v>
      </c>
      <c r="C80" s="39">
        <f>IF(OR(1673.65801="",1621.82256=""),"-",1621.82256/1673.65801*100)</f>
        <v>96.90286488098008</v>
      </c>
      <c r="D80" s="39">
        <f>IF(1673.65801="","-",1673.65801/3986820.02566*100)</f>
        <v>0.04197977333383474</v>
      </c>
      <c r="E80" s="39">
        <f>IF(1621.82256="","-",1621.82256/4020355.63484*100)</f>
        <v>0.04034027601800816</v>
      </c>
      <c r="F80" s="39">
        <f>IF(OR(5316958.59674="",0.84155="",1673.65801=""),"-",(1673.65801-0.84155)/5316958.59674*100)</f>
        <v>0.031461904951181265</v>
      </c>
      <c r="G80" s="39">
        <f>IF(OR(3986820.02566="",1621.82256="",1673.65801=""),"-",(1621.82256-1673.65801)/3986820.02566*100)</f>
        <v>-0.001300170302807158</v>
      </c>
    </row>
    <row r="81" spans="1:7" s="27" customFormat="1" ht="15">
      <c r="A81" s="22" t="s">
        <v>180</v>
      </c>
      <c r="B81" s="35">
        <f>IF(1568.65247="","-",1568.65247)/1000</f>
        <v>1.56865247</v>
      </c>
      <c r="C81" s="39">
        <f>IF(OR(1065.87821="",1568.65247=""),"-",1568.65247/1065.87821*100)</f>
        <v>147.16995387306022</v>
      </c>
      <c r="D81" s="39">
        <f>IF(1065.87821="","-",1065.87821/3986820.02566*100)</f>
        <v>0.02673504705855261</v>
      </c>
      <c r="E81" s="39">
        <f>IF(1568.65247="","-",1568.65247/4020355.63484*100)</f>
        <v>0.03901775396201805</v>
      </c>
      <c r="F81" s="39">
        <f>IF(OR(5316958.59674="",1064.33147="",1065.87821=""),"-",(1065.87821-1064.33147)/5316958.59674*100)</f>
        <v>2.909069107569046E-05</v>
      </c>
      <c r="G81" s="39">
        <f>IF(OR(3986820.02566="",1568.65247="",1065.87821=""),"-",(1568.65247-1065.87821)/3986820.02566*100)</f>
        <v>0.012610909365460207</v>
      </c>
    </row>
    <row r="82" spans="1:7" s="27" customFormat="1" ht="15">
      <c r="A82" s="22" t="s">
        <v>163</v>
      </c>
      <c r="B82" s="35">
        <f>IF(1516.89178="","-",1516.89178)/1000</f>
        <v>1.51689178</v>
      </c>
      <c r="C82" s="39">
        <f>IF(OR(1915.48611="",1516.89178=""),"-",1516.89178/1915.48611*100)</f>
        <v>79.19095691067162</v>
      </c>
      <c r="D82" s="39">
        <f>IF(1915.48611="","-",1915.48611/3986820.02566*100)</f>
        <v>0.048045462239868726</v>
      </c>
      <c r="E82" s="39">
        <f>IF(1516.89178="","-",1516.89178/4020355.63484*100)</f>
        <v>0.037730288506190035</v>
      </c>
      <c r="F82" s="39">
        <f>IF(OR(5316958.59674="",2199.50035="",1915.48611=""),"-",(1915.48611-2199.50035)/5316958.59674*100)</f>
        <v>-0.0053416673241378654</v>
      </c>
      <c r="G82" s="39">
        <f>IF(OR(3986820.02566="",1516.89178="",1915.48611=""),"-",(1516.89178-1915.48611)/3986820.02566*100)</f>
        <v>-0.009997800939961282</v>
      </c>
    </row>
    <row r="83" spans="1:7" s="27" customFormat="1" ht="15">
      <c r="A83" s="22" t="s">
        <v>201</v>
      </c>
      <c r="B83" s="35">
        <f>IF(1481.19033="","-",1481.19033)/1000</f>
        <v>1.48119033</v>
      </c>
      <c r="C83" s="39">
        <f>IF(OR(1792.25327="",1481.19033=""),"-",1481.19033/1792.25327*100)</f>
        <v>82.6440299924798</v>
      </c>
      <c r="D83" s="39">
        <f>IF(1792.25327="","-",1792.25327/3986820.02566*100)</f>
        <v>0.044954456395440136</v>
      </c>
      <c r="E83" s="39">
        <f>IF(1481.19033="","-",1481.19033/4020355.63484*100)</f>
        <v>0.03684227129471215</v>
      </c>
      <c r="F83" s="39">
        <f>IF(OR(5316958.59674="",2393.09977="",1792.25327=""),"-",(1792.25327-2393.09977)/5316958.59674*100)</f>
        <v>-0.011300567590810249</v>
      </c>
      <c r="G83" s="39">
        <f>IF(OR(3986820.02566="",1481.19033="",1792.25327=""),"-",(1481.19033-1792.25327)/3986820.02566*100)</f>
        <v>-0.007802281969036338</v>
      </c>
    </row>
    <row r="84" spans="1:7" s="27" customFormat="1" ht="15">
      <c r="A84" s="22" t="s">
        <v>200</v>
      </c>
      <c r="B84" s="35">
        <f>IF(1465.91511="","-",1465.91511)/1000</f>
        <v>1.4659151099999999</v>
      </c>
      <c r="C84" s="39">
        <f>IF(OR(1397.95443="",1465.91511=""),"-",1465.91511/1397.95443*100)</f>
        <v>104.86143743612585</v>
      </c>
      <c r="D84" s="39">
        <f>IF(1397.95443="","-",1397.95443/3986820.02566*100)</f>
        <v>0.03506439771553458</v>
      </c>
      <c r="E84" s="39">
        <f>IF(1465.91511="","-",1465.91511/4020355.63484*100)</f>
        <v>0.03646232431023082</v>
      </c>
      <c r="F84" s="39">
        <f>IF(OR(5316958.59674="",2083.22456="",1397.95443=""),"-",(1397.95443-2083.22456)/5316958.59674*100)</f>
        <v>-0.012888385672594132</v>
      </c>
      <c r="G84" s="39">
        <f>IF(OR(3986820.02566="",1465.91511="",1397.95443=""),"-",(1465.91511-1397.95443)/3986820.02566*100)</f>
        <v>0.0017046337572950597</v>
      </c>
    </row>
    <row r="85" spans="1:7" s="27" customFormat="1" ht="15">
      <c r="A85" s="22" t="s">
        <v>189</v>
      </c>
      <c r="B85" s="35">
        <f>IF(1462.42796="","-",1462.42796)/1000</f>
        <v>1.46242796</v>
      </c>
      <c r="C85" s="39">
        <f>IF(OR(2056.44389="",1462.42796=""),"-",1462.42796/2056.44389*100)</f>
        <v>71.11441100393942</v>
      </c>
      <c r="D85" s="39">
        <f>IF(2056.44389="","-",2056.44389/3986820.02566*100)</f>
        <v>0.05158105650027593</v>
      </c>
      <c r="E85" s="39">
        <f>IF(1462.42796="","-",1462.42796/4020355.63484*100)</f>
        <v>0.036375586958694535</v>
      </c>
      <c r="F85" s="39">
        <f>IF(OR(5316958.59674="",2275.05827="",2056.44389=""),"-",(2056.44389-2275.05827)/5316958.59674*100)</f>
        <v>-0.004111643452217957</v>
      </c>
      <c r="G85" s="39">
        <f>IF(OR(3986820.02566="",1462.42796="",2056.44389=""),"-",(1462.42796-2056.44389)/3986820.02566*100)</f>
        <v>-0.014899491980495491</v>
      </c>
    </row>
    <row r="86" spans="1:7" s="27" customFormat="1" ht="15">
      <c r="A86" s="22" t="s">
        <v>202</v>
      </c>
      <c r="B86" s="35">
        <f>IF(1273.81657="","-",1273.81657)/1000</f>
        <v>1.27381657</v>
      </c>
      <c r="C86" s="39">
        <f>IF(OR(2002.45431="",1273.81657=""),"-",1273.81657/2002.45431*100)</f>
        <v>63.61276577641364</v>
      </c>
      <c r="D86" s="39">
        <f>IF(2002.45431="","-",2002.45431/3986820.02566*100)</f>
        <v>0.0502268549147388</v>
      </c>
      <c r="E86" s="39">
        <f>IF(1273.81657="","-",1273.81657/4020355.63484*100)</f>
        <v>0.031684176368907094</v>
      </c>
      <c r="F86" s="39">
        <f>IF(OR(5316958.59674="",2233.9933="",2002.45431=""),"-",(2002.45431-2233.9933)/5316958.59674*100)</f>
        <v>-0.004354726217766</v>
      </c>
      <c r="G86" s="39">
        <f>IF(OR(3986820.02566="",1273.81657="",2002.45431=""),"-",(1273.81657-2002.45431)/3986820.02566*100)</f>
        <v>-0.018276163340966902</v>
      </c>
    </row>
    <row r="87" spans="1:7" s="27" customFormat="1" ht="15">
      <c r="A87" s="22" t="s">
        <v>203</v>
      </c>
      <c r="B87" s="35">
        <f>IF(1212.67484="","-",1212.67484)/1000</f>
        <v>1.2126748399999998</v>
      </c>
      <c r="C87" s="39">
        <f>IF(OR(2232.38496="",1212.67484=""),"-",1212.67484/2232.38496*100)</f>
        <v>54.321940961293706</v>
      </c>
      <c r="D87" s="39">
        <f>IF(2232.38496="","-",2232.38496/3986820.02566*100)</f>
        <v>0.05599412428030128</v>
      </c>
      <c r="E87" s="39">
        <f>IF(1212.67484="","-",1212.67484/4020355.63484*100)</f>
        <v>0.030163372351716376</v>
      </c>
      <c r="F87" s="39">
        <f>IF(OR(5316958.59674="",3853.18225="",2232.38496=""),"-",(2232.38496-3853.18225)/5316958.59674*100)</f>
        <v>-0.030483541681023497</v>
      </c>
      <c r="G87" s="39">
        <f>IF(OR(3986820.02566="",1212.67484="",2232.38496=""),"-",(1212.67484-2232.38496)/3986820.02566*100)</f>
        <v>-0.0255770291469626</v>
      </c>
    </row>
    <row r="88" spans="1:7" s="27" customFormat="1" ht="15">
      <c r="A88" s="22" t="s">
        <v>183</v>
      </c>
      <c r="B88" s="35">
        <f>IF(1074.5706="","-",1074.5706)/1000</f>
        <v>1.0745706</v>
      </c>
      <c r="C88" s="39">
        <f>IF(OR(888.70885="",1074.5706=""),"-",1074.5706/888.70885*100)</f>
        <v>120.9136828107428</v>
      </c>
      <c r="D88" s="39">
        <f>IF(888.70885="","-",888.70885/3986820.02566*100)</f>
        <v>0.022291170513845264</v>
      </c>
      <c r="E88" s="39">
        <f>IF(1074.5706="","-",1074.5706/4020355.63484*100)</f>
        <v>0.026728247389058782</v>
      </c>
      <c r="F88" s="39">
        <f>IF(OR(5316958.59674="",1270.79034="",888.70885=""),"-",(888.70885-1270.79034)/5316958.59674*100)</f>
        <v>-0.007186091128004393</v>
      </c>
      <c r="G88" s="39">
        <f>IF(OR(3986820.02566="",1074.5706="",888.70885=""),"-",(1074.5706-888.70885)/3986820.02566*100)</f>
        <v>0.004661904696067424</v>
      </c>
    </row>
    <row r="89" spans="1:7" s="27" customFormat="1" ht="15">
      <c r="A89" s="22" t="s">
        <v>204</v>
      </c>
      <c r="B89" s="35">
        <f>IF(1010.61832="","-",1010.61832)/1000</f>
        <v>1.01061832</v>
      </c>
      <c r="C89" s="39">
        <f>IF(OR(1036.98374="",1010.61832=""),"-",1010.61832/1036.98374*100)</f>
        <v>97.45748954559308</v>
      </c>
      <c r="D89" s="39">
        <f>IF(1036.98374="","-",1036.98374/3986820.02566*100)</f>
        <v>0.026010297262624292</v>
      </c>
      <c r="E89" s="39">
        <f>IF(1010.61832="","-",1010.61832/4020355.63484*100)</f>
        <v>0.025137535377270676</v>
      </c>
      <c r="F89" s="39">
        <f>IF(OR(5316958.59674="",948.86984="",1036.98374=""),"-",(1036.98374-948.86984)/5316958.59674*100)</f>
        <v>0.0016572237379095906</v>
      </c>
      <c r="G89" s="39">
        <f>IF(OR(3986820.02566="",1010.61832="",1036.98374=""),"-",(1010.61832-1036.98374)/3986820.02566*100)</f>
        <v>-0.0006613145271245391</v>
      </c>
    </row>
    <row r="90" spans="1:7" s="27" customFormat="1" ht="15">
      <c r="A90" s="22" t="s">
        <v>205</v>
      </c>
      <c r="B90" s="35">
        <f>IF(960.06975="","-",960.06975)/1000</f>
        <v>0.9600697499999999</v>
      </c>
      <c r="C90" s="39">
        <f>IF(OR(1945.66958="",960.06975=""),"-",960.06975/1945.66958*100)</f>
        <v>49.343925601180445</v>
      </c>
      <c r="D90" s="39">
        <f>IF(1945.66958="","-",1945.66958/3986820.02566*100)</f>
        <v>0.0488025435679882</v>
      </c>
      <c r="E90" s="39">
        <f>IF(960.06975="","-",960.06975/4020355.63484*100)</f>
        <v>0.023880219493025233</v>
      </c>
      <c r="F90" s="39">
        <f>IF(OR(5316958.59674="",2330.10246="",1945.66958=""),"-",(1945.66958-2330.10246)/5316958.59674*100)</f>
        <v>-0.007230315470872922</v>
      </c>
      <c r="G90" s="39">
        <f>IF(OR(3986820.02566="",960.06975="",1945.66958=""),"-",(960.06975-1945.66958)/3986820.02566*100)</f>
        <v>-0.024721452778316434</v>
      </c>
    </row>
    <row r="91" spans="1:7" s="27" customFormat="1" ht="15">
      <c r="A91" s="22" t="s">
        <v>165</v>
      </c>
      <c r="B91" s="35">
        <f>IF(886.16613="","-",886.16613)/1000</f>
        <v>0.88616613</v>
      </c>
      <c r="C91" s="39" t="s">
        <v>34</v>
      </c>
      <c r="D91" s="39">
        <f>IF(449.8183="","-",449.8183/3986820.02566*100)</f>
        <v>0.01128263370568213</v>
      </c>
      <c r="E91" s="39">
        <f>IF(886.16613="","-",886.16613/4020355.63484*100)</f>
        <v>0.022041983607633434</v>
      </c>
      <c r="F91" s="39">
        <f>IF(OR(5316958.59674="",526.85233="",449.8183=""),"-",(449.8183-526.85233)/5316958.59674*100)</f>
        <v>-0.0014488363713652406</v>
      </c>
      <c r="G91" s="39">
        <f>IF(OR(3986820.02566="",886.16613="",449.8183=""),"-",(886.16613-449.8183)/3986820.02566*100)</f>
        <v>0.010944758659572663</v>
      </c>
    </row>
    <row r="92" spans="1:7" s="27" customFormat="1" ht="15">
      <c r="A92" s="22" t="s">
        <v>190</v>
      </c>
      <c r="B92" s="35">
        <f>IF(841.41687="","-",841.41687)/1000</f>
        <v>0.84141687</v>
      </c>
      <c r="C92" s="39">
        <f>IF(OR(612.39="",841.41687=""),"-",841.41687/612.39*100)</f>
        <v>137.3988585705188</v>
      </c>
      <c r="D92" s="39">
        <f>IF(612.39="","-",612.39/3986820.02566*100)</f>
        <v>0.015360362295226046</v>
      </c>
      <c r="E92" s="39">
        <f>IF(841.41687="","-",841.41687/4020355.63484*100)</f>
        <v>0.020928916405015655</v>
      </c>
      <c r="F92" s="39">
        <f>IF(OR(5316958.59674="",868.42338="",612.39=""),"-",(612.39-868.42338)/5316958.59674*100)</f>
        <v>-0.004815410452076538</v>
      </c>
      <c r="G92" s="39">
        <f>IF(OR(3986820.02566="",841.41687="",612.39=""),"-",(841.41687-612.39)/3986820.02566*100)</f>
        <v>0.005744600170710883</v>
      </c>
    </row>
    <row r="93" spans="1:7" s="27" customFormat="1" ht="15">
      <c r="A93" s="22" t="s">
        <v>206</v>
      </c>
      <c r="B93" s="35">
        <f>IF(822.37384="","-",822.37384)/1000</f>
        <v>0.82237384</v>
      </c>
      <c r="C93" s="39" t="s">
        <v>45</v>
      </c>
      <c r="D93" s="39">
        <f>IF(428.66646="","-",428.66646/3986820.02566*100)</f>
        <v>0.010752089566145795</v>
      </c>
      <c r="E93" s="39">
        <f>IF(822.37384="","-",822.37384/4020355.63484*100)</f>
        <v>0.02045525109453976</v>
      </c>
      <c r="F93" s="39">
        <f>IF(OR(5316958.59674="",653.70586="",428.66646=""),"-",(428.66646-653.70586)/5316958.59674*100)</f>
        <v>-0.004232483588229915</v>
      </c>
      <c r="G93" s="39">
        <f>IF(OR(3986820.02566="",822.37384="",428.66646=""),"-",(822.37384-428.66646)/3986820.02566*100)</f>
        <v>0.009875223297415426</v>
      </c>
    </row>
    <row r="94" spans="1:7" s="27" customFormat="1" ht="15">
      <c r="A94" s="22" t="s">
        <v>132</v>
      </c>
      <c r="B94" s="35">
        <f>IF(767.62111="","-",767.62111)/1000</f>
        <v>0.76762111</v>
      </c>
      <c r="C94" s="39" t="s">
        <v>17</v>
      </c>
      <c r="D94" s="39">
        <f>IF(217.66178="","-",217.66178/3986820.02566*100)</f>
        <v>0.005459533628282282</v>
      </c>
      <c r="E94" s="39">
        <f>IF(767.62111="","-",767.62111/4020355.63484*100)</f>
        <v>0.019093363366859198</v>
      </c>
      <c r="F94" s="39">
        <f>IF(OR(5316958.59674="",878.06376="",217.66178=""),"-",(217.66178-878.06376)/5316958.59674*100)</f>
        <v>-0.012420671855615238</v>
      </c>
      <c r="G94" s="39">
        <f>IF(OR(3986820.02566="",767.62111="",217.66178=""),"-",(767.62111-217.66178)/3986820.02566*100)</f>
        <v>0.013794435827560507</v>
      </c>
    </row>
    <row r="95" spans="1:7" ht="15">
      <c r="A95" s="22" t="s">
        <v>209</v>
      </c>
      <c r="B95" s="35">
        <f>IF(708.43353="","-",708.43353)/1000</f>
        <v>0.70843353</v>
      </c>
      <c r="C95" s="39">
        <f>IF(OR(1920.71269="",708.43353=""),"-",708.43353/1920.71269*100)</f>
        <v>36.88388865697555</v>
      </c>
      <c r="D95" s="39">
        <f>IF(1920.71269="","-",1920.71269/3986820.02566*100)</f>
        <v>0.04817655870187004</v>
      </c>
      <c r="E95" s="39">
        <f>IF(708.43353="","-",708.43353/4020355.63484*100)</f>
        <v>0.017621165746154042</v>
      </c>
      <c r="F95" s="39">
        <f>IF(OR(5316958.59674="",4344.62131="",1920.71269=""),"-",(1920.71269-4344.62131)/5316958.59674*100)</f>
        <v>-0.04558825456128579</v>
      </c>
      <c r="G95" s="39">
        <f>IF(OR(3986820.02566="",708.43353="",1920.71269=""),"-",(708.43353-1920.71269)/3986820.02566*100)</f>
        <v>-0.030407170431509832</v>
      </c>
    </row>
    <row r="96" spans="1:7" ht="15">
      <c r="A96" s="22" t="s">
        <v>207</v>
      </c>
      <c r="B96" s="35">
        <f>IF(691.46612="","-",691.46612)/1000</f>
        <v>0.6914661200000001</v>
      </c>
      <c r="C96" s="39">
        <f>IF(OR(734.61513="",691.46612=""),"-",691.46612/734.61513*100)</f>
        <v>94.12631073906687</v>
      </c>
      <c r="D96" s="39">
        <f>IF(734.61513="","-",734.61513/3986820.02566*100)</f>
        <v>0.01842609210528353</v>
      </c>
      <c r="E96" s="39">
        <f>IF(691.46612="","-",691.46612/4020355.63484*100)</f>
        <v>0.017199128206664697</v>
      </c>
      <c r="F96" s="39">
        <f>IF(OR(5316958.59674="",784.19786="",734.61513=""),"-",(734.61513-784.19786)/5316958.59674*100)</f>
        <v>-0.000932539328600391</v>
      </c>
      <c r="G96" s="39">
        <f>IF(OR(3986820.02566="",691.46612="",734.61513=""),"-",(691.46612-734.61513)/3986820.02566*100)</f>
        <v>-0.0010822913931976866</v>
      </c>
    </row>
    <row r="97" spans="1:7" ht="15">
      <c r="A97" s="22" t="s">
        <v>208</v>
      </c>
      <c r="B97" s="35">
        <f>IF(553.40197="","-",553.40197)/1000</f>
        <v>0.55340197</v>
      </c>
      <c r="C97" s="39" t="s">
        <v>218</v>
      </c>
      <c r="D97" s="39">
        <f>IF(60.08362="","-",60.08362/3986820.02566*100)</f>
        <v>0.0015070562406451602</v>
      </c>
      <c r="E97" s="39">
        <f>IF(553.40197="","-",553.40197/4020355.63484*100)</f>
        <v>0.013765000419472194</v>
      </c>
      <c r="F97" s="39">
        <f>IF(OR(5316958.59674="",1135.06213="",60.08362=""),"-",(60.08362-1135.06213)/5316958.59674*100)</f>
        <v>-0.020217921400762916</v>
      </c>
      <c r="G97" s="39">
        <f>IF(OR(3986820.02566="",553.40197="",60.08362=""),"-",(553.40197-60.08362)/3986820.02566*100)</f>
        <v>0.012373730111339387</v>
      </c>
    </row>
    <row r="98" spans="1:7" ht="15">
      <c r="A98" s="69" t="s">
        <v>35</v>
      </c>
      <c r="B98" s="69"/>
      <c r="C98" s="69"/>
      <c r="D98" s="69"/>
      <c r="E98" s="69"/>
      <c r="F98" s="69"/>
      <c r="G98" s="69"/>
    </row>
  </sheetData>
  <sheetProtection/>
  <mergeCells count="6">
    <mergeCell ref="A98:G98"/>
    <mergeCell ref="A1:G1"/>
    <mergeCell ref="D3:E3"/>
    <mergeCell ref="F3:G3"/>
    <mergeCell ref="A3:A4"/>
    <mergeCell ref="B3:C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3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43.625" style="0" customWidth="1"/>
    <col min="2" max="2" width="15.00390625" style="0" customWidth="1"/>
    <col min="3" max="3" width="15.125" style="0" customWidth="1"/>
    <col min="4" max="4" width="14.625" style="0" customWidth="1"/>
  </cols>
  <sheetData>
    <row r="1" spans="1:4" ht="15.75">
      <c r="A1" s="70" t="s">
        <v>42</v>
      </c>
      <c r="B1" s="70"/>
      <c r="C1" s="70"/>
      <c r="D1" s="70"/>
    </row>
    <row r="2" ht="15">
      <c r="A2" s="6"/>
    </row>
    <row r="3" spans="1:5" ht="45" customHeight="1">
      <c r="A3" s="64"/>
      <c r="B3" s="64">
        <v>2015</v>
      </c>
      <c r="C3" s="63">
        <v>2016</v>
      </c>
      <c r="D3" s="68" t="s">
        <v>226</v>
      </c>
      <c r="E3" s="2"/>
    </row>
    <row r="4" spans="1:4" ht="15">
      <c r="A4" s="7" t="s">
        <v>43</v>
      </c>
      <c r="B4" s="57">
        <f>IF(-2019966.72591="","-",-2019962.72591)/1000</f>
        <v>-2019.96272591</v>
      </c>
      <c r="C4" s="57">
        <f>IF(-1975015.20701="","-",-1975015.20701)/1000</f>
        <v>-1975.01520701</v>
      </c>
      <c r="D4" s="58">
        <f>IF(-2019982.72591="","-",-1975015.20701/-2019982.72591*100)</f>
        <v>97.7738661661207</v>
      </c>
    </row>
    <row r="5" spans="1:4" ht="15">
      <c r="A5" s="8" t="s">
        <v>40</v>
      </c>
      <c r="B5" s="28"/>
      <c r="C5" s="32"/>
      <c r="D5" s="30"/>
    </row>
    <row r="6" spans="1:4" ht="15">
      <c r="A6" s="9" t="s">
        <v>6</v>
      </c>
      <c r="B6" s="45">
        <f>IF(-736563.40077="","-",-736563.40077)/1000</f>
        <v>-736.5634007699999</v>
      </c>
      <c r="C6" s="45">
        <f>IF(-641293.07481="","-",-641293.07481)/1000</f>
        <v>-641.29307481</v>
      </c>
      <c r="D6" s="41">
        <f>IF(-736663.40077="","-",-641293.07481/-736663.40077*100)</f>
        <v>87.05374451067968</v>
      </c>
    </row>
    <row r="7" spans="1:4" ht="15">
      <c r="A7" s="22" t="s">
        <v>9</v>
      </c>
      <c r="B7" s="46">
        <f>IF(-204084.946="","-",-204084.946)/1000</f>
        <v>-204.084946</v>
      </c>
      <c r="C7" s="46">
        <f>IF(-189816.97727="","-",-189816.97727)/1000</f>
        <v>-189.81697727</v>
      </c>
      <c r="D7" s="42">
        <f>IF(OR(-204084.946="",-189816.97727="",-204084.946=0),"-",-189816.97727/-204084.946*100)</f>
        <v>93.00880882708518</v>
      </c>
    </row>
    <row r="8" spans="1:4" ht="15">
      <c r="A8" s="22" t="s">
        <v>8</v>
      </c>
      <c r="B8" s="46">
        <f>IF(-82112.77037="","-",-82112.77037)/1000</f>
        <v>-82.11277036999999</v>
      </c>
      <c r="C8" s="46">
        <f>IF(-82514.66111="","-",-82514.66111)/1000</f>
        <v>-82.51466111</v>
      </c>
      <c r="D8" s="42">
        <f>IF(OR(-82112.77037="",-82514.66111="",-82112.77037=0),"-",-82514.66111/-82112.77037*100)</f>
        <v>100.4894375603077</v>
      </c>
    </row>
    <row r="9" spans="1:4" ht="15">
      <c r="A9" s="22" t="s">
        <v>146</v>
      </c>
      <c r="B9" s="46">
        <f>IF(-64977.7478899999="","-",-64977.7478899999)/1000</f>
        <v>-64.9777478899999</v>
      </c>
      <c r="C9" s="46">
        <f>IF(-70882.40887="","-",-70882.40887)/1000</f>
        <v>-70.88240887</v>
      </c>
      <c r="D9" s="42">
        <f>IF(OR(-64977.7478899999="",-70882.40887="",-64977.7478899999=0),"-",-70882.40887/-64977.7478899999*100)</f>
        <v>109.08720473045024</v>
      </c>
    </row>
    <row r="10" spans="1:4" ht="15">
      <c r="A10" s="22" t="s">
        <v>10</v>
      </c>
      <c r="B10" s="46">
        <f>IF(-53901.46212="","-",-53901.46212)/1000</f>
        <v>-53.90146212</v>
      </c>
      <c r="C10" s="46">
        <f>IF(-58796.94119="","-",-58796.94119)/1000</f>
        <v>-58.79694119</v>
      </c>
      <c r="D10" s="42">
        <f>IF(OR(-53901.46212="",-58796.94119="",-53901.46212=0),"-",-58796.94119/-53901.46212*100)</f>
        <v>109.08227509506378</v>
      </c>
    </row>
    <row r="11" spans="1:4" ht="15">
      <c r="A11" s="22" t="s">
        <v>13</v>
      </c>
      <c r="B11" s="46">
        <f>IF(-67906.06159="","-",-67906.06159)/1000</f>
        <v>-67.90606159</v>
      </c>
      <c r="C11" s="46">
        <f>IF(-46505.65728="","-",-46505.65728)/1000</f>
        <v>-46.50565728</v>
      </c>
      <c r="D11" s="42">
        <f>IF(OR(-67906.06159="",-46505.65728="",-67906.06159=0),"-",-46505.65728/-67906.06159*100)</f>
        <v>68.48528127104419</v>
      </c>
    </row>
    <row r="12" spans="1:4" ht="15">
      <c r="A12" s="22" t="s">
        <v>143</v>
      </c>
      <c r="B12" s="46">
        <f>IF(-37894.08489="","-",-37894.08489)/1000</f>
        <v>-37.894084889999995</v>
      </c>
      <c r="C12" s="46">
        <f>IF(-45211.92569="","-",-45211.92569)/1000</f>
        <v>-45.211925689999994</v>
      </c>
      <c r="D12" s="42">
        <f>IF(OR(-37894.08489="",-45211.92569="",-37894.08489=0),"-",-45211.92569/-37894.08489*100)</f>
        <v>119.31130101503288</v>
      </c>
    </row>
    <row r="13" spans="1:4" ht="15">
      <c r="A13" s="22" t="s">
        <v>7</v>
      </c>
      <c r="B13" s="46">
        <f>IF(-108766.87831="","-",-108766.87831)/1000</f>
        <v>-108.76687831</v>
      </c>
      <c r="C13" s="46">
        <f>IF(-38435.05892="","-",-38435.05892)/1000</f>
        <v>-38.43505892</v>
      </c>
      <c r="D13" s="42">
        <f>IF(OR(-108766.87831="",-38435.05892="",-108766.87831=0),"-",-38435.05892/-108766.87831*100)</f>
        <v>35.33709849652483</v>
      </c>
    </row>
    <row r="14" spans="1:4" ht="15">
      <c r="A14" s="22" t="s">
        <v>144</v>
      </c>
      <c r="B14" s="46">
        <f>IF(-26207.90544="","-",-26207.90544)/1000</f>
        <v>-26.207905439999998</v>
      </c>
      <c r="C14" s="46">
        <f>IF(-31156.56404="","-",-31156.56404)/1000</f>
        <v>-31.156564040000003</v>
      </c>
      <c r="D14" s="42">
        <f>IF(OR(-26207.90544="",-31156.56404="",-26207.90544=0),"-",-31156.56404/-26207.90544*100)</f>
        <v>118.88231248135945</v>
      </c>
    </row>
    <row r="15" spans="1:4" ht="15">
      <c r="A15" s="22" t="s">
        <v>12</v>
      </c>
      <c r="B15" s="46">
        <f>IF(-23376.58689="","-",-23376.58689)/1000</f>
        <v>-23.37658689</v>
      </c>
      <c r="C15" s="46">
        <f>IF(-27861.81304="","-",-27861.81304)/1000</f>
        <v>-27.86181304</v>
      </c>
      <c r="D15" s="42">
        <f>IF(OR(-23376.58689="",-27861.81304="",-23376.58689=0),"-",-27861.81304/-23376.58689*100)</f>
        <v>119.18683069990293</v>
      </c>
    </row>
    <row r="16" spans="1:4" ht="15">
      <c r="A16" s="22" t="s">
        <v>145</v>
      </c>
      <c r="B16" s="46">
        <f>IF(-23408.82085="","-",-23408.82085)/1000</f>
        <v>-23.40882085</v>
      </c>
      <c r="C16" s="46">
        <f>IF(-20829.50141="","-",-20829.50141)/1000</f>
        <v>-20.829501410000002</v>
      </c>
      <c r="D16" s="42">
        <f>IF(OR(-23408.82085="",-20829.50141="",-23408.82085=0),"-",-20829.50141/-23408.82085*100)</f>
        <v>88.98142090740978</v>
      </c>
    </row>
    <row r="17" spans="1:4" ht="15">
      <c r="A17" s="22" t="s">
        <v>154</v>
      </c>
      <c r="B17" s="46">
        <f>IF(-13320.63654="","-",-13320.63654)/1000</f>
        <v>-13.320636539999999</v>
      </c>
      <c r="C17" s="46">
        <f>IF(-17858.24237="","-",-17858.24237)/1000</f>
        <v>-17.85824237</v>
      </c>
      <c r="D17" s="42">
        <f>IF(OR(-13320.63654="",-17858.24237="",-13320.63654=0),"-",-17858.24237/-13320.63654*100)</f>
        <v>134.06448195155093</v>
      </c>
    </row>
    <row r="18" spans="1:4" ht="15">
      <c r="A18" s="22" t="s">
        <v>156</v>
      </c>
      <c r="B18" s="46">
        <f>IF(-19022.42086="","-",-19022.42086)/1000</f>
        <v>-19.022420859999997</v>
      </c>
      <c r="C18" s="46">
        <f>IF(-17017.66827="","-",-17017.66827)/1000</f>
        <v>-17.017668269999998</v>
      </c>
      <c r="D18" s="42">
        <f>IF(OR(-19022.42086="",-17017.66827="",-19022.42086=0),"-",-17017.66827/-19022.42086*100)</f>
        <v>89.46110694977023</v>
      </c>
    </row>
    <row r="19" spans="1:4" ht="15">
      <c r="A19" s="22" t="s">
        <v>15</v>
      </c>
      <c r="B19" s="46">
        <f>IF(-17452.25057="","-",-17452.25057)/1000</f>
        <v>-17.45225057</v>
      </c>
      <c r="C19" s="46">
        <f>IF(-16518.92768="","-",-16518.92768)/1000</f>
        <v>-16.51892768</v>
      </c>
      <c r="D19" s="42">
        <f>IF(OR(-17452.25057="",-16518.92768="",-17452.25057=0),"-",-16518.92768/-17452.25057*100)</f>
        <v>94.65213448399395</v>
      </c>
    </row>
    <row r="20" spans="1:4" ht="15">
      <c r="A20" s="22" t="s">
        <v>148</v>
      </c>
      <c r="B20" s="46">
        <f>IF(-6529.4306="","-",-6529.4306)/1000</f>
        <v>-6.5294305999999995</v>
      </c>
      <c r="C20" s="46">
        <f>IF(-11424.9367="","-",-11424.9367)/1000</f>
        <v>-11.4249367</v>
      </c>
      <c r="D20" s="42" t="s">
        <v>16</v>
      </c>
    </row>
    <row r="21" spans="1:4" ht="15">
      <c r="A21" s="22" t="s">
        <v>153</v>
      </c>
      <c r="B21" s="46">
        <f>IF(-12709.04965="","-",-12709.04965)/1000</f>
        <v>-12.70904965</v>
      </c>
      <c r="C21" s="46">
        <f>IF(-10970.24593="","-",-10970.24593)/1000</f>
        <v>-10.970245929999999</v>
      </c>
      <c r="D21" s="42">
        <f>IF(OR(-12709.04965="",-10970.24593="",-12709.04965=0),"-",-10970.24593/-12709.04965*100)</f>
        <v>86.31838124890793</v>
      </c>
    </row>
    <row r="22" spans="1:4" ht="15">
      <c r="A22" s="22" t="s">
        <v>152</v>
      </c>
      <c r="B22" s="46">
        <f>IF(-11809.71959="","-",-11809.71959)/1000</f>
        <v>-11.80971959</v>
      </c>
      <c r="C22" s="46">
        <f>IF(-10859.23233="","-",-10859.23233)/1000</f>
        <v>-10.859232330000001</v>
      </c>
      <c r="D22" s="42">
        <f>IF(OR(-11809.71959="",-10859.23233="",-11809.71959=0),"-",-10859.23233/-11809.71959*100)</f>
        <v>91.95165259635094</v>
      </c>
    </row>
    <row r="23" spans="1:4" ht="15">
      <c r="A23" s="22" t="s">
        <v>155</v>
      </c>
      <c r="B23" s="46">
        <f>IF(-7194.03112="","-",-7194.03112)/1000</f>
        <v>-7.19403112</v>
      </c>
      <c r="C23" s="46">
        <f>IF(-7012.05406="","-",-7012.05406)/1000</f>
        <v>-7.0120540600000005</v>
      </c>
      <c r="D23" s="42">
        <f>IF(OR(-7194.03112="",-7012.05406="",-7194.03112=0),"-",-7012.05406/-7194.03112*100)</f>
        <v>97.47044380313996</v>
      </c>
    </row>
    <row r="24" spans="1:4" ht="15">
      <c r="A24" s="22" t="s">
        <v>147</v>
      </c>
      <c r="B24" s="46">
        <f>IF(-2325.89529="","-",-2325.89529)/1000</f>
        <v>-2.32589529</v>
      </c>
      <c r="C24" s="46">
        <f>IF(-6717.74492="","-",-6717.74492)/1000</f>
        <v>-6.71774492</v>
      </c>
      <c r="D24" s="42" t="s">
        <v>219</v>
      </c>
    </row>
    <row r="25" spans="1:4" ht="15">
      <c r="A25" s="22" t="s">
        <v>157</v>
      </c>
      <c r="B25" s="46">
        <f>IF(-6701.89084="","-",-6701.89084)/1000</f>
        <v>-6.70189084</v>
      </c>
      <c r="C25" s="46">
        <f>IF(-5967.46656="","-",-5967.46656)/1000</f>
        <v>-5.96746656</v>
      </c>
      <c r="D25" s="42">
        <f>IF(OR(-6701.89084="",-5967.46656="",-6701.89084=0),"-",-5967.46656/-6701.89084*100)</f>
        <v>89.04153622412626</v>
      </c>
    </row>
    <row r="26" spans="1:4" ht="15">
      <c r="A26" s="22" t="s">
        <v>149</v>
      </c>
      <c r="B26" s="46">
        <f>IF(1875.36316="","-",1875.36316)/1000</f>
        <v>1.87536316</v>
      </c>
      <c r="C26" s="46">
        <f>IF(-3533.50733="","-",-3533.50733)/1000</f>
        <v>-3.53350733</v>
      </c>
      <c r="D26" s="42" t="s">
        <v>41</v>
      </c>
    </row>
    <row r="27" spans="1:4" ht="15">
      <c r="A27" s="22" t="s">
        <v>158</v>
      </c>
      <c r="B27" s="46">
        <f>IF(-2163.47628="","-",-2163.47628)/1000</f>
        <v>-2.16347628</v>
      </c>
      <c r="C27" s="46">
        <f>IF(-2330.93956="","-",-2330.93956)/1000</f>
        <v>-2.33093956</v>
      </c>
      <c r="D27" s="42">
        <f>IF(OR(-2163.47628="",-2330.93956="",-2163.47628=0),"-",-2330.93956/-2163.47628*100)</f>
        <v>107.7404721996767</v>
      </c>
    </row>
    <row r="28" spans="1:4" ht="15">
      <c r="A28" s="22" t="s">
        <v>134</v>
      </c>
      <c r="B28" s="46">
        <f>IF(-1839.76985="","-",-1839.76985)/1000</f>
        <v>-1.83976985</v>
      </c>
      <c r="C28" s="46">
        <f>IF(-1743.17962="","-",-1743.17962)/1000</f>
        <v>-1.74317962</v>
      </c>
      <c r="D28" s="42">
        <f>IF(OR(-1839.76985="",-1743.17962="",-1839.76985=0),"-",-1743.17962/-1839.76985*100)</f>
        <v>94.74987428454708</v>
      </c>
    </row>
    <row r="29" spans="1:4" ht="15">
      <c r="A29" s="22" t="s">
        <v>150</v>
      </c>
      <c r="B29" s="46">
        <f>IF(-1831.4551="","-",-1831.4551)/1000</f>
        <v>-1.8314551</v>
      </c>
      <c r="C29" s="46">
        <f>IF(-851.15589="","-",-851.15589)/1000</f>
        <v>-0.85115589</v>
      </c>
      <c r="D29" s="42">
        <f>IF(OR(-1831.4551="",-851.15589="",-1831.4551=0),"-",-851.15589/-1831.4551*100)</f>
        <v>46.47429740428799</v>
      </c>
    </row>
    <row r="30" spans="1:4" ht="15">
      <c r="A30" s="22" t="s">
        <v>159</v>
      </c>
      <c r="B30" s="46">
        <f>IF(117.24134="","-",117.24134)/1000</f>
        <v>0.11724134</v>
      </c>
      <c r="C30" s="46">
        <f>IF(-280.81323="","-",-280.81323)/1000</f>
        <v>-0.28081322999999997</v>
      </c>
      <c r="D30" s="42" t="s">
        <v>41</v>
      </c>
    </row>
    <row r="31" spans="1:4" ht="15">
      <c r="A31" s="22" t="s">
        <v>151</v>
      </c>
      <c r="B31" s="46">
        <f>IF(6361.66304="","-",6361.66304)/1000</f>
        <v>6.361663040000001</v>
      </c>
      <c r="C31" s="46">
        <f>IF(3125.0438="","-",3125.0438)/1000</f>
        <v>3.1250438</v>
      </c>
      <c r="D31" s="42">
        <f>IF(OR(6361.66304="",3125.0438="",6361.66304=0),"-",3125.0438/6361.66304*100)</f>
        <v>49.123063896197806</v>
      </c>
    </row>
    <row r="32" spans="1:4" ht="15">
      <c r="A32" s="22" t="s">
        <v>14</v>
      </c>
      <c r="B32" s="46">
        <f>IF(5702.0058="","-",5702.0058)/1000</f>
        <v>5.7020058</v>
      </c>
      <c r="C32" s="46">
        <f>IF(9950.26096="","-",9950.26096)/1000</f>
        <v>9.95026096</v>
      </c>
      <c r="D32" s="42" t="s">
        <v>140</v>
      </c>
    </row>
    <row r="33" spans="1:4" ht="15">
      <c r="A33" s="22" t="s">
        <v>11</v>
      </c>
      <c r="B33" s="46">
        <f>IF(-40277.12615="","-",-40277.12615)/1000</f>
        <v>-40.277126149999994</v>
      </c>
      <c r="C33" s="46">
        <f>IF(18393.82615="","-",18393.82615)/1000</f>
        <v>18.393826150000002</v>
      </c>
      <c r="D33" s="42" t="s">
        <v>41</v>
      </c>
    </row>
    <row r="34" spans="1:4" ht="15">
      <c r="A34" s="22" t="s">
        <v>137</v>
      </c>
      <c r="B34" s="46">
        <f>IF(85094.74268="","-",85094.74268)/1000</f>
        <v>85.09474268</v>
      </c>
      <c r="C34" s="46">
        <f>IF(52335.41755="","-",52335.41755)/1000</f>
        <v>52.335417549999995</v>
      </c>
      <c r="D34" s="42">
        <f>IF(OR(85094.74268="",52335.41755="",85094.74268=0),"-",52335.41755/85094.74268*100)</f>
        <v>61.50252753781522</v>
      </c>
    </row>
    <row r="35" spans="1:4" ht="15">
      <c r="A35" s="9" t="s">
        <v>19</v>
      </c>
      <c r="B35" s="56">
        <f>IF(-525816.23807="","-",-525816.23807)/1000</f>
        <v>-525.8162380699999</v>
      </c>
      <c r="C35" s="56">
        <f>IF(-613246.80506="","-",-613246.80506)/1000</f>
        <v>-613.24680506</v>
      </c>
      <c r="D35" s="59">
        <f>IF(-525816.23807="","-",-613256.80506/-525816.23807*100)</f>
        <v>116.62949157122824</v>
      </c>
    </row>
    <row r="36" spans="1:4" ht="15">
      <c r="A36" s="22" t="s">
        <v>22</v>
      </c>
      <c r="B36" s="46">
        <f>IF(-325288.35339="","-",-325288.35339)/1000</f>
        <v>-325.28835339</v>
      </c>
      <c r="C36" s="46">
        <f>IF(-334185.96329="","-",-334185.96329)/1000</f>
        <v>-334.18596328999996</v>
      </c>
      <c r="D36" s="42">
        <f>IF(OR(-325288.35339="",-334185.96329="",-325288.35339=0),"-",-334185.96329/-325288.35339*100)</f>
        <v>102.73529925288543</v>
      </c>
    </row>
    <row r="37" spans="1:4" ht="15">
      <c r="A37" s="22" t="s">
        <v>20</v>
      </c>
      <c r="B37" s="46">
        <f>IF(-295042.53417="","-",-295042.53417)/1000</f>
        <v>-295.04253417</v>
      </c>
      <c r="C37" s="46">
        <f>IF(-302023.63032="","-",-302023.63032)/1000</f>
        <v>-302.02363032</v>
      </c>
      <c r="D37" s="42">
        <f>IF(OR(-295042.53417="",-302023.63032="",-295042.53417=0),"-",-302023.63032/-295042.53417*100)</f>
        <v>102.36613211367604</v>
      </c>
    </row>
    <row r="38" spans="1:4" ht="15">
      <c r="A38" s="22" t="s">
        <v>29</v>
      </c>
      <c r="B38" s="46">
        <f>IF(653.91869="","-",653.91869)/1000</f>
        <v>0.65391869</v>
      </c>
      <c r="C38" s="46">
        <f>IF(546.861="","-",546.861)/1000</f>
        <v>0.546861</v>
      </c>
      <c r="D38" s="42">
        <f>IF(OR(653.91869="",546.861="",653.91869=0),"-",546.861/653.91869*100)</f>
        <v>83.62828718047498</v>
      </c>
    </row>
    <row r="39" spans="1:4" ht="15">
      <c r="A39" s="22" t="s">
        <v>28</v>
      </c>
      <c r="B39" s="46">
        <f>IF(518.72728="","-",518.72728)/1000</f>
        <v>0.5187272799999999</v>
      </c>
      <c r="C39" s="46">
        <f>IF(569.90825="","-",569.90825)/1000</f>
        <v>0.56990825</v>
      </c>
      <c r="D39" s="42">
        <f>IF(OR(518.72728="",569.90825="",518.72728=0),"-",569.90825/518.72728*100)</f>
        <v>109.86664321953532</v>
      </c>
    </row>
    <row r="40" spans="1:4" ht="15">
      <c r="A40" s="22" t="s">
        <v>27</v>
      </c>
      <c r="B40" s="46">
        <f>IF(-904.29521="","-",-904.29521)/1000</f>
        <v>-0.90429521</v>
      </c>
      <c r="C40" s="46">
        <f>IF(1034.70165="","-",1034.70165)/1000</f>
        <v>1.03470165</v>
      </c>
      <c r="D40" s="42" t="s">
        <v>41</v>
      </c>
    </row>
    <row r="41" spans="1:4" ht="15">
      <c r="A41" s="22" t="s">
        <v>26</v>
      </c>
      <c r="B41" s="46">
        <f>IF(1679.63631="","-",1679.63631)/1000</f>
        <v>1.67963631</v>
      </c>
      <c r="C41" s="46">
        <f>IF(1664.69606="","-",1664.69606)/1000</f>
        <v>1.66469606</v>
      </c>
      <c r="D41" s="42">
        <f>IF(OR(1679.63631="",1664.69606="",1679.63631=0),"-",1664.69606/1679.63631*100)</f>
        <v>99.11050684537773</v>
      </c>
    </row>
    <row r="42" spans="1:4" ht="15">
      <c r="A42" s="22" t="s">
        <v>21</v>
      </c>
      <c r="B42" s="46">
        <f>IF(47410.75071="","-",47410.75071)/1000</f>
        <v>47.41075071</v>
      </c>
      <c r="C42" s="46">
        <f>IF(2250.65607="","-",2250.65607)/1000</f>
        <v>2.25065607</v>
      </c>
      <c r="D42" s="42">
        <f>IF(OR(47410.75071="",2250.65607="",47410.75071=0),"-",2250.65607/47410.75071*100)</f>
        <v>4.747142865901269</v>
      </c>
    </row>
    <row r="43" spans="1:4" ht="15">
      <c r="A43" s="22" t="s">
        <v>25</v>
      </c>
      <c r="B43" s="46">
        <f>IF(-5713.17727="","-",-5713.17727)/1000</f>
        <v>-5.71317727</v>
      </c>
      <c r="C43" s="46">
        <f>IF(2786.88657="","-",2786.88657)/1000</f>
        <v>2.78688657</v>
      </c>
      <c r="D43" s="42" t="s">
        <v>41</v>
      </c>
    </row>
    <row r="44" spans="1:4" ht="15">
      <c r="A44" s="22" t="s">
        <v>24</v>
      </c>
      <c r="B44" s="46">
        <f>IF(3271.19354="","-",3271.19354)/1000</f>
        <v>3.27119354</v>
      </c>
      <c r="C44" s="46">
        <f>IF(4070.23606="","-",4070.23606)/1000</f>
        <v>4.07023606</v>
      </c>
      <c r="D44" s="42">
        <f>IF(OR(3271.19354="",4070.23606="",3271.19354=0),"-",4070.23606/3271.19354*100)</f>
        <v>124.42663542310615</v>
      </c>
    </row>
    <row r="45" spans="1:4" ht="15">
      <c r="A45" s="22" t="s">
        <v>23</v>
      </c>
      <c r="B45" s="46">
        <f>IF(47597.89544="","-",47597.89544)/1000</f>
        <v>47.59789544</v>
      </c>
      <c r="C45" s="46">
        <f>IF(10028.84289="","-",10028.84289)/1000</f>
        <v>10.02884289</v>
      </c>
      <c r="D45" s="42">
        <f>IF(OR(47597.89544="",10028.84289="",47597.89544=0),"-",10028.84289/47597.89544*100)</f>
        <v>21.0699292422329</v>
      </c>
    </row>
    <row r="46" spans="1:4" ht="15">
      <c r="A46" s="1" t="s">
        <v>30</v>
      </c>
      <c r="B46" s="45">
        <f>IF(-757503.08707="","-",-757503.08707)/1000</f>
        <v>-757.50308707</v>
      </c>
      <c r="C46" s="45">
        <f>IF(-720465.32714="","-",-720465.32714)/1000</f>
        <v>-720.46532714</v>
      </c>
      <c r="D46" s="41">
        <f>IF(-757503.08707="","-",-720465.32714/-757503.08707*100)</f>
        <v>95.1105466680986</v>
      </c>
    </row>
    <row r="47" spans="1:4" ht="15">
      <c r="A47" s="22" t="s">
        <v>164</v>
      </c>
      <c r="B47" s="46">
        <f>IF(-357874.7393="","-",-357874.7393)/1000</f>
        <v>-357.8747393</v>
      </c>
      <c r="C47" s="46">
        <f>IF(-379175.73418="","-",-379175.73418)/1000</f>
        <v>-379.17573418</v>
      </c>
      <c r="D47" s="42">
        <f>IF(OR(-357874.7393="",-379175.73418="",-357874.7393=0),"-",-379175.73418/-357874.7393*100)</f>
        <v>105.95208114483425</v>
      </c>
    </row>
    <row r="48" spans="1:4" ht="15">
      <c r="A48" s="22" t="s">
        <v>161</v>
      </c>
      <c r="B48" s="46">
        <f>IF(-220695.80055="","-",-220695.80055)/1000</f>
        <v>-220.69580055</v>
      </c>
      <c r="C48" s="46">
        <f>IF(-210302.53017="","-",-210302.53017)/1000</f>
        <v>-210.30253017</v>
      </c>
      <c r="D48" s="42">
        <f>IF(OR(-220695.80055="",-210302.53017="",-220695.80055=0),"-",-210302.53017/-220695.80055*100)</f>
        <v>95.29068049591395</v>
      </c>
    </row>
    <row r="49" spans="1:4" ht="15">
      <c r="A49" s="22" t="s">
        <v>31</v>
      </c>
      <c r="B49" s="46">
        <f>IF(-28738.37859="","-",-28738.37859)/1000</f>
        <v>-28.73837859</v>
      </c>
      <c r="C49" s="46">
        <f>IF(-36275.88363="","-",-36275.88363)/1000</f>
        <v>-36.275883629999996</v>
      </c>
      <c r="D49" s="42">
        <f>IF(OR(-28738.37859="",-36275.88363="",-28738.37859=0),"-",-36275.88363/-28738.37859*100)</f>
        <v>126.2280107988514</v>
      </c>
    </row>
    <row r="50" spans="1:4" ht="15">
      <c r="A50" s="22" t="s">
        <v>184</v>
      </c>
      <c r="B50" s="46">
        <f>IF(-40764.4594="","-",-40764.4594)/1000</f>
        <v>-40.7644594</v>
      </c>
      <c r="C50" s="46">
        <f>IF(-27303.48536="","-",-27303.48536)/1000</f>
        <v>-27.30348536</v>
      </c>
      <c r="D50" s="42">
        <f>IF(OR(-40764.4594="",-27303.48536="",-40764.4594=0),"-",-27303.48536/-40764.4594*100)</f>
        <v>66.97865189891368</v>
      </c>
    </row>
    <row r="51" spans="1:4" ht="15">
      <c r="A51" s="22" t="s">
        <v>127</v>
      </c>
      <c r="B51" s="46">
        <f>IF(-22554.65136="","-",-22554.65136)/1000</f>
        <v>-22.55465136</v>
      </c>
      <c r="C51" s="46">
        <f>IF(-21111.74595="","-",-21111.74595)/1000</f>
        <v>-21.11174595</v>
      </c>
      <c r="D51" s="42">
        <f>IF(OR(-22554.65136="",-21111.74595="",-22554.65136=0),"-",-21111.74595/-22554.65136*100)</f>
        <v>93.60262596406633</v>
      </c>
    </row>
    <row r="52" spans="1:4" ht="15">
      <c r="A52" s="22" t="s">
        <v>179</v>
      </c>
      <c r="B52" s="46">
        <f>IF(-10930.33615="","-",-10930.33615)/1000</f>
        <v>-10.930336149999999</v>
      </c>
      <c r="C52" s="46">
        <f>IF(-21059.13789="","-",-21059.13789)/1000</f>
        <v>-21.059137890000002</v>
      </c>
      <c r="D52" s="42" t="s">
        <v>45</v>
      </c>
    </row>
    <row r="53" spans="1:4" ht="15">
      <c r="A53" s="22" t="s">
        <v>176</v>
      </c>
      <c r="B53" s="46">
        <f>IF(-25937.51083="","-",-25937.51083)/1000</f>
        <v>-25.93751083</v>
      </c>
      <c r="C53" s="46">
        <f>IF(-20482.19539="","-",-20482.19539)/1000</f>
        <v>-20.48219539</v>
      </c>
      <c r="D53" s="42">
        <f>IF(OR(-25937.51083="",-20482.19539="",-25937.51083=0),"-",-20482.19539/-25937.51083*100)</f>
        <v>78.96746732654762</v>
      </c>
    </row>
    <row r="54" spans="1:4" ht="15">
      <c r="A54" s="22" t="s">
        <v>173</v>
      </c>
      <c r="B54" s="46">
        <f>IF(-13288.6556="","-",-13288.6556)/1000</f>
        <v>-13.2886556</v>
      </c>
      <c r="C54" s="46">
        <f>IF(-13772.35146="","-",-13772.35146)/1000</f>
        <v>-13.77235146</v>
      </c>
      <c r="D54" s="42">
        <f>IF(OR(-13288.6556="",-13772.35146="",-13288.6556=0),"-",-13772.35146/-13288.6556*100)</f>
        <v>103.63991568868711</v>
      </c>
    </row>
    <row r="55" spans="1:4" ht="15">
      <c r="A55" s="22" t="s">
        <v>177</v>
      </c>
      <c r="B55" s="46">
        <f>IF(-10102.78955="","-",-10102.78955)/1000</f>
        <v>-10.102789549999999</v>
      </c>
      <c r="C55" s="46">
        <f>IF(-13335.80654="","-",-13335.80654)/1000</f>
        <v>-13.33580654</v>
      </c>
      <c r="D55" s="42">
        <f>IF(OR(-10102.78955="",-13335.80654="",-10102.78955=0),"-",-13335.80654/-10102.78955*100)</f>
        <v>132.001230689795</v>
      </c>
    </row>
    <row r="56" spans="1:4" ht="15">
      <c r="A56" s="22" t="s">
        <v>191</v>
      </c>
      <c r="B56" s="46">
        <f>IF(-7393.3367="","-",-7393.3367)/1000</f>
        <v>-7.3933367</v>
      </c>
      <c r="C56" s="46">
        <f>IF(-10192.60806="","-",-10192.60806)/1000</f>
        <v>-10.192608060000001</v>
      </c>
      <c r="D56" s="42">
        <f>IF(OR(-7393.3367="",-10192.60806="",-7393.3367=0),"-",-10192.60806/-7393.3367*100)</f>
        <v>137.86208411149462</v>
      </c>
    </row>
    <row r="57" spans="1:4" ht="15">
      <c r="A57" s="22" t="s">
        <v>192</v>
      </c>
      <c r="B57" s="46">
        <f>IF(-4022.39997="","-",-4022.39997)/1000</f>
        <v>-4.02239997</v>
      </c>
      <c r="C57" s="46">
        <f>IF(-6506.68352="","-",-6506.68352)/1000</f>
        <v>-6.506683519999999</v>
      </c>
      <c r="D57" s="42">
        <f>IF(OR(-4022.39997="",-6506.68352="",-4022.39997=0),"-",-6506.68352/-4022.39997*100)</f>
        <v>161.76122634567344</v>
      </c>
    </row>
    <row r="58" spans="1:4" ht="15">
      <c r="A58" s="22" t="s">
        <v>193</v>
      </c>
      <c r="B58" s="46">
        <f>IF(-5803.41208="","-",-5803.41208)/1000</f>
        <v>-5.80341208</v>
      </c>
      <c r="C58" s="46">
        <f>IF(-5917.21233="","-",-5917.21233)/1000</f>
        <v>-5.91721233</v>
      </c>
      <c r="D58" s="42">
        <f>IF(OR(-5803.41208="",-5917.21233="",-5803.41208=0),"-",-5917.21233/-5803.41208*100)</f>
        <v>101.96091968709553</v>
      </c>
    </row>
    <row r="59" spans="1:4" ht="15">
      <c r="A59" s="22" t="s">
        <v>187</v>
      </c>
      <c r="B59" s="46">
        <f>IF(-5493.8386="","-",-5493.8386)/1000</f>
        <v>-5.4938386</v>
      </c>
      <c r="C59" s="46">
        <f>IF(-5804.62561="","-",-5804.62561)/1000</f>
        <v>-5.80462561</v>
      </c>
      <c r="D59" s="42">
        <f>IF(OR(-5493.8386="",-5804.62561="",-5493.8386=0),"-",-5804.62561/-5493.8386*100)</f>
        <v>105.65701020048168</v>
      </c>
    </row>
    <row r="60" spans="1:4" ht="15">
      <c r="A60" s="22" t="s">
        <v>178</v>
      </c>
      <c r="B60" s="46">
        <f>IF(-4894.24876="","-",-4894.24876)/1000</f>
        <v>-4.89424876</v>
      </c>
      <c r="C60" s="46">
        <f>IF(-5458.21995="","-",-5458.21995)/1000</f>
        <v>-5.458219949999999</v>
      </c>
      <c r="D60" s="42">
        <f>IF(OR(-4894.24876="",-5458.21995="",-4894.24876=0),"-",-5458.21995/-4894.24876*100)</f>
        <v>111.5231410918312</v>
      </c>
    </row>
    <row r="61" spans="1:4" ht="15">
      <c r="A61" s="22" t="s">
        <v>194</v>
      </c>
      <c r="B61" s="46">
        <f>IF(-4338.92828="","-",-4338.92828)/1000</f>
        <v>-4.33892828</v>
      </c>
      <c r="C61" s="46">
        <f>IF(-5232.71911="","-",-5232.71911)/1000</f>
        <v>-5.23271911</v>
      </c>
      <c r="D61" s="42">
        <f>IF(OR(-4338.92828="",-5232.71911="",-4338.92828=0),"-",-5232.71911/-4338.92828*100)</f>
        <v>120.59934556005152</v>
      </c>
    </row>
    <row r="62" spans="1:4" ht="15">
      <c r="A62" s="22" t="s">
        <v>195</v>
      </c>
      <c r="B62" s="46">
        <f>IF(-5356.67522="","-",-5356.67522)/1000</f>
        <v>-5.3566752200000005</v>
      </c>
      <c r="C62" s="46">
        <f>IF(-3905.7516="","-",-3905.7516)/1000</f>
        <v>-3.9057516</v>
      </c>
      <c r="D62" s="42">
        <f>IF(OR(-5356.67522="",-3905.7516="",-5356.67522=0),"-",-3905.7516/-5356.67522*100)</f>
        <v>72.91372800458863</v>
      </c>
    </row>
    <row r="63" spans="1:4" ht="15">
      <c r="A63" s="22" t="s">
        <v>167</v>
      </c>
      <c r="B63" s="46">
        <f>IF(-26044.55465="","-",-26044.55465)/1000</f>
        <v>-26.04455465</v>
      </c>
      <c r="C63" s="46">
        <f>IF(-3603.07903="","-",-3603.07903)/1000</f>
        <v>-3.60307903</v>
      </c>
      <c r="D63" s="42">
        <f>IF(OR(-26044.55465="",-3603.07903="",-26044.55465=0),"-",-3603.07903/-26044.55465*100)</f>
        <v>13.834289272441064</v>
      </c>
    </row>
    <row r="64" spans="1:4" ht="15">
      <c r="A64" s="22" t="s">
        <v>196</v>
      </c>
      <c r="B64" s="46">
        <f>IF(-3543.18464="","-",-3543.18464)/1000</f>
        <v>-3.5431846399999998</v>
      </c>
      <c r="C64" s="46">
        <f>IF(-3329.4156="","-",-3329.4156)/1000</f>
        <v>-3.3294156</v>
      </c>
      <c r="D64" s="42">
        <f>IF(OR(-3543.18464="",-3329.4156="",-3543.18464=0),"-",-3329.4156/-3543.18464*100)</f>
        <v>93.96675415707378</v>
      </c>
    </row>
    <row r="65" spans="1:4" ht="15">
      <c r="A65" s="22" t="s">
        <v>197</v>
      </c>
      <c r="B65" s="46">
        <f>IF(-1372.06467="","-",-1372.06467)/1000</f>
        <v>-1.3720646699999999</v>
      </c>
      <c r="C65" s="46">
        <f>IF(-3242.88886="","-",-3242.88886)/1000</f>
        <v>-3.24288886</v>
      </c>
      <c r="D65" s="42" t="s">
        <v>141</v>
      </c>
    </row>
    <row r="66" spans="1:4" ht="15">
      <c r="A66" s="22" t="s">
        <v>138</v>
      </c>
      <c r="B66" s="46">
        <f>IF(-3201.50672="","-",-3201.50672)/1000</f>
        <v>-3.20150672</v>
      </c>
      <c r="C66" s="46">
        <f>IF(-3073.48271="","-",-3073.48271)/1000</f>
        <v>-3.0734827100000004</v>
      </c>
      <c r="D66" s="42">
        <f>IF(OR(-3201.50672="",-3073.48271="",-3201.50672=0),"-",-3073.48271/-3201.50672*100)</f>
        <v>96.00113255423685</v>
      </c>
    </row>
    <row r="67" spans="1:4" ht="15">
      <c r="A67" s="22" t="s">
        <v>139</v>
      </c>
      <c r="B67" s="46">
        <f>IF(-4411.45218="","-",-4411.45218)/1000</f>
        <v>-4.41145218</v>
      </c>
      <c r="C67" s="46">
        <f>IF(-2704.57539="","-",-2704.57539)/1000</f>
        <v>-2.70457539</v>
      </c>
      <c r="D67" s="42">
        <f>IF(OR(-4411.45218="",-2704.57539="",-4411.45218=0),"-",-2704.57539/-4411.45218*100)</f>
        <v>61.308051853346846</v>
      </c>
    </row>
    <row r="68" spans="1:4" ht="15">
      <c r="A68" s="22" t="s">
        <v>175</v>
      </c>
      <c r="B68" s="46">
        <f>IF(-3140.85607="","-",-3140.85607)/1000</f>
        <v>-3.14085607</v>
      </c>
      <c r="C68" s="46">
        <f>IF(-1861.43305="","-",-1861.43305)/1000</f>
        <v>-1.86143305</v>
      </c>
      <c r="D68" s="42">
        <f>IF(OR(-3140.85607="",-1861.43305="",-3140.85607=0),"-",-1861.43305/-3140.85607*100)</f>
        <v>59.26514964437706</v>
      </c>
    </row>
    <row r="69" spans="1:4" ht="15">
      <c r="A69" s="22" t="s">
        <v>169</v>
      </c>
      <c r="B69" s="46">
        <f>IF(-3171.71856="","-",-3171.71856)/1000</f>
        <v>-3.17171856</v>
      </c>
      <c r="C69" s="46">
        <f>IF(-1730.4645="","-",-1730.4645)/1000</f>
        <v>-1.7304645</v>
      </c>
      <c r="D69" s="42">
        <f>IF(OR(-3171.71856="",-1730.4645="",-3171.71856=0),"-",-1730.4645/-3171.71856*100)</f>
        <v>54.559207170008186</v>
      </c>
    </row>
    <row r="70" spans="1:4" ht="15">
      <c r="A70" s="22" t="s">
        <v>198</v>
      </c>
      <c r="B70" s="46">
        <f>IF(-1862.64481="","-",-1862.64481)/1000</f>
        <v>-1.86264481</v>
      </c>
      <c r="C70" s="46">
        <f>IF(-1695.40596="","-",-1695.40596)/1000</f>
        <v>-1.69540596</v>
      </c>
      <c r="D70" s="42">
        <f>IF(OR(-1862.64481="",-1695.40596="",-1862.64481=0),"-",-1695.40596/-1862.64481*100)</f>
        <v>91.02143097266087</v>
      </c>
    </row>
    <row r="71" spans="1:4" ht="15">
      <c r="A71" s="22" t="s">
        <v>199</v>
      </c>
      <c r="B71" s="46">
        <f>IF(-1039.94236="","-",-1039.94236)/1000</f>
        <v>-1.03994236</v>
      </c>
      <c r="C71" s="46">
        <f>IF(-1666.15235="","-",-1666.15235)/1000</f>
        <v>-1.6661523500000002</v>
      </c>
      <c r="D71" s="42">
        <f>IF(OR(-1039.94236="",-1666.15235="",-1039.94236=0),"-",-1666.15235/-1039.94236*100)</f>
        <v>160.21583638539352</v>
      </c>
    </row>
    <row r="72" spans="1:4" ht="15">
      <c r="A72" s="22" t="s">
        <v>201</v>
      </c>
      <c r="B72" s="46">
        <f>IF(-1792.19129="","-",-1792.19129)/1000</f>
        <v>-1.7921912899999999</v>
      </c>
      <c r="C72" s="46">
        <f>IF(-1481.19033="","-",-1481.19033)/1000</f>
        <v>-1.48119033</v>
      </c>
      <c r="D72" s="42">
        <f>IF(OR(-1792.19129="",-1481.19033="",-1792.19129=0),"-",-1481.19033/-1792.19129*100)</f>
        <v>82.646888100879</v>
      </c>
    </row>
    <row r="73" spans="1:4" ht="15">
      <c r="A73" s="22" t="s">
        <v>200</v>
      </c>
      <c r="B73" s="46">
        <f>IF(-1397.95443="","-",-1397.95443)/1000</f>
        <v>-1.39795443</v>
      </c>
      <c r="C73" s="46">
        <f>IF(-1437.78395="","-",-1437.78395)/1000</f>
        <v>-1.43778395</v>
      </c>
      <c r="D73" s="42">
        <f>IF(OR(-1397.95443="",-1437.78395="",-1397.95443=0),"-",-1437.78395/-1397.95443*100)</f>
        <v>102.84912863719026</v>
      </c>
    </row>
    <row r="74" spans="1:4" ht="15">
      <c r="A74" s="22" t="s">
        <v>202</v>
      </c>
      <c r="B74" s="46">
        <f>IF(-381.57703="","-",-381.57703)/1000</f>
        <v>-0.38157703</v>
      </c>
      <c r="C74" s="46">
        <f>IF(-1273.81657="","-",-1273.81657)/1000</f>
        <v>-1.27381657</v>
      </c>
      <c r="D74" s="42" t="s">
        <v>210</v>
      </c>
    </row>
    <row r="75" spans="1:4" ht="15">
      <c r="A75" s="22" t="s">
        <v>181</v>
      </c>
      <c r="B75" s="46">
        <f>IF(-2566.24261="","-",-2566.24261)/1000</f>
        <v>-2.5662426099999998</v>
      </c>
      <c r="C75" s="46">
        <f>IF(-1244.62651="","-",-1244.62651)/1000</f>
        <v>-1.24462651</v>
      </c>
      <c r="D75" s="42">
        <f>IF(OR(-2566.24261="",-1244.62651="",-2566.24261=0),"-",-1244.62651/-2566.24261*100)</f>
        <v>48.49995495944166</v>
      </c>
    </row>
    <row r="76" spans="1:4" ht="15">
      <c r="A76" s="22" t="s">
        <v>203</v>
      </c>
      <c r="B76" s="46">
        <f>IF(-2232.38496="","-",-2232.38496)/1000</f>
        <v>-2.23238496</v>
      </c>
      <c r="C76" s="46">
        <f>IF(-1212.67484="","-",-1212.67484)/1000</f>
        <v>-1.2126748399999998</v>
      </c>
      <c r="D76" s="42">
        <f>IF(OR(-2232.38496="",-1212.67484="",-2232.38496=0),"-",-1212.67484/-2232.38496*100)</f>
        <v>54.321940961293706</v>
      </c>
    </row>
    <row r="77" spans="1:4" ht="15">
      <c r="A77" s="22" t="s">
        <v>171</v>
      </c>
      <c r="B77" s="46">
        <f>IF(54.03344="","-",54.03344)/1000</f>
        <v>0.05403344</v>
      </c>
      <c r="C77" s="46">
        <f>IF(-1203.70516="","-",-1203.70516)/1000</f>
        <v>-1.20370516</v>
      </c>
      <c r="D77" s="42" t="s">
        <v>41</v>
      </c>
    </row>
    <row r="78" spans="1:4" ht="15">
      <c r="A78" s="22" t="s">
        <v>188</v>
      </c>
      <c r="B78" s="46">
        <f>IF(-1139.75174="","-",-1139.75174)/1000</f>
        <v>-1.13975174</v>
      </c>
      <c r="C78" s="46">
        <f>IF(-1136.15356="","-",-1136.15356)/1000</f>
        <v>-1.13615356</v>
      </c>
      <c r="D78" s="42">
        <f>IF(OR(-1139.75174="",-1136.15356="",-1139.75174=0),"-",-1136.15356/-1139.75174*100)</f>
        <v>99.68430142515071</v>
      </c>
    </row>
    <row r="79" spans="1:7" ht="15">
      <c r="A79" s="22" t="s">
        <v>204</v>
      </c>
      <c r="B79" s="46">
        <f>IF(-1036.98374="","-",-1036.98374)/1000</f>
        <v>-1.03698374</v>
      </c>
      <c r="C79" s="46">
        <f>IF(-1010.61832="","-",-1010.61832)/1000</f>
        <v>-1.01061832</v>
      </c>
      <c r="D79" s="42">
        <f>IF(OR(-1036.98374="",-1010.61832="",-1036.98374=0),"-",-1010.61832/-1036.98374*100)</f>
        <v>97.45748954559308</v>
      </c>
      <c r="E79" s="21"/>
      <c r="F79" s="21"/>
      <c r="G79" s="21"/>
    </row>
    <row r="80" spans="1:4" ht="15">
      <c r="A80" s="22" t="s">
        <v>189</v>
      </c>
      <c r="B80" s="46">
        <f>IF(-1564.24954="","-",-1564.24954)/1000</f>
        <v>-1.56424954</v>
      </c>
      <c r="C80" s="46">
        <f>IF(-967.26587="","-",-967.26587)/1000</f>
        <v>-0.96726587</v>
      </c>
      <c r="D80" s="42">
        <f>IF(OR(-1564.24954="",-967.26587="",-1564.24954=0),"-",-967.26587/-1564.24954*100)</f>
        <v>61.83577781330209</v>
      </c>
    </row>
    <row r="81" spans="1:4" ht="15">
      <c r="A81" s="22" t="s">
        <v>205</v>
      </c>
      <c r="B81" s="46">
        <f>IF(-1909.74103="","-",-1909.74103)/1000</f>
        <v>-1.90974103</v>
      </c>
      <c r="C81" s="46">
        <f>IF(-906.60197="","-",-906.60197)/1000</f>
        <v>-0.9066019700000001</v>
      </c>
      <c r="D81" s="42">
        <f>IF(OR(-1909.74103="",-906.60197="",-1909.74103=0),"-",-906.60197/-1909.74103*100)</f>
        <v>47.472508353658824</v>
      </c>
    </row>
    <row r="82" spans="1:4" ht="15">
      <c r="A82" s="22" t="s">
        <v>172</v>
      </c>
      <c r="B82" s="46">
        <f>IF(7002.40096="","-",7002.40096)/1000</f>
        <v>7.00240096</v>
      </c>
      <c r="C82" s="46">
        <f>IF(-774.87379="","-",-774.87379)/1000</f>
        <v>-0.77487379</v>
      </c>
      <c r="D82" s="42" t="s">
        <v>41</v>
      </c>
    </row>
    <row r="83" spans="1:4" ht="15">
      <c r="A83" s="22" t="s">
        <v>209</v>
      </c>
      <c r="B83" s="46">
        <f>IF(-1906.69369="","-",-1906.69369)/1000</f>
        <v>-1.90669369</v>
      </c>
      <c r="C83" s="46">
        <f>IF(-662.85003="","-",-662.85003)/1000</f>
        <v>-0.66285003</v>
      </c>
      <c r="D83" s="42">
        <f>IF(OR(-1906.69369="",-662.85003="",-1906.69369=0),"-",-662.85003/-1906.69369*100)</f>
        <v>34.76436899521076</v>
      </c>
    </row>
    <row r="84" spans="1:4" ht="15">
      <c r="A84" s="22" t="s">
        <v>180</v>
      </c>
      <c r="B84" s="46">
        <f>IF(-165.50818="","-",-165.50818)/1000</f>
        <v>-0.16550818</v>
      </c>
      <c r="C84" s="46">
        <f>IF(-650.58164="","-",-650.58164)/1000</f>
        <v>-0.65058164</v>
      </c>
      <c r="D84" s="42" t="s">
        <v>220</v>
      </c>
    </row>
    <row r="85" spans="1:4" ht="15">
      <c r="A85" s="22" t="s">
        <v>208</v>
      </c>
      <c r="B85" s="46">
        <f>IF(-59.9187="","-",-59.9187)/1000</f>
        <v>-0.0599187</v>
      </c>
      <c r="C85" s="46">
        <f>IF(-553.40197="","-",-553.40197)/1000</f>
        <v>-0.55340197</v>
      </c>
      <c r="D85" s="42" t="s">
        <v>218</v>
      </c>
    </row>
    <row r="86" spans="1:4" ht="15">
      <c r="A86" s="22" t="s">
        <v>136</v>
      </c>
      <c r="B86" s="46">
        <f>IF(-1169.91225="","-",-1169.91225)/1000</f>
        <v>-1.16991225</v>
      </c>
      <c r="C86" s="46">
        <f>IF(-504.97635="","-",-504.97635)/1000</f>
        <v>-0.5049763500000001</v>
      </c>
      <c r="D86" s="42">
        <f>IF(OR(-1169.91225="",-504.97635="",-1169.91225=0),"-",-504.97635/-1169.91225*100)</f>
        <v>43.16360906555171</v>
      </c>
    </row>
    <row r="87" spans="1:4" ht="15">
      <c r="A87" s="22" t="s">
        <v>207</v>
      </c>
      <c r="B87" s="46">
        <f>IF(-547.11444="","-",-547.11444)/1000</f>
        <v>-0.54711444</v>
      </c>
      <c r="C87" s="46">
        <f>IF(-426.86313="","-",-426.86313)/1000</f>
        <v>-0.42686313000000004</v>
      </c>
      <c r="D87" s="42">
        <f>IF(OR(-547.11444="",-426.86313="",-547.11444=0),"-",-426.86313/-547.11444*100)</f>
        <v>78.02081224542347</v>
      </c>
    </row>
    <row r="88" spans="1:4" ht="15">
      <c r="A88" s="22" t="s">
        <v>190</v>
      </c>
      <c r="B88" s="46">
        <f>IF(-503.6084="","-",-503.6084)/1000</f>
        <v>-0.5036084000000001</v>
      </c>
      <c r="C88" s="46">
        <f>IF(-390.31651="","-",-390.31651)/1000</f>
        <v>-0.39031651</v>
      </c>
      <c r="D88" s="42">
        <f>IF(OR(-503.6084="",-390.31651="",-503.6084=0),"-",-390.31651/-503.6084*100)</f>
        <v>77.50397133963611</v>
      </c>
    </row>
    <row r="89" spans="1:4" ht="15">
      <c r="A89" s="22" t="s">
        <v>183</v>
      </c>
      <c r="B89" s="46">
        <f>IF(-125.1571="","-",-125.1571)/1000</f>
        <v>-0.1251571</v>
      </c>
      <c r="C89" s="46">
        <f>IF(-286.3481="","-",-286.3481)/1000</f>
        <v>-0.2863481</v>
      </c>
      <c r="D89" s="42" t="s">
        <v>32</v>
      </c>
    </row>
    <row r="90" spans="1:4" ht="15">
      <c r="A90" s="22" t="s">
        <v>206</v>
      </c>
      <c r="B90" s="46">
        <f>IF(-383.09804="","-",-383.09804)/1000</f>
        <v>-0.38309804000000003</v>
      </c>
      <c r="C90" s="46">
        <f>IF(-821.00673="","-",-821.00673)/10000</f>
        <v>-0.082100673</v>
      </c>
      <c r="D90" s="42" t="s">
        <v>211</v>
      </c>
    </row>
    <row r="91" spans="1:4" ht="15">
      <c r="A91" s="22" t="s">
        <v>174</v>
      </c>
      <c r="B91" s="46">
        <f>IF(-11.64263="","-",-11.64263)/1000</f>
        <v>-0.011642630000000001</v>
      </c>
      <c r="C91" s="46">
        <f>IF(666.15048="","-",666.15048)/1000</f>
        <v>0.66615048</v>
      </c>
      <c r="D91" s="42" t="s">
        <v>41</v>
      </c>
    </row>
    <row r="92" spans="1:4" ht="15">
      <c r="A92" s="22" t="s">
        <v>186</v>
      </c>
      <c r="B92" s="46">
        <f>IF(-35.4139="","-",-35.4139)/1000</f>
        <v>-0.0354139</v>
      </c>
      <c r="C92" s="46">
        <f>IF(760.32673="","-",760.32673)/1000</f>
        <v>0.76032673</v>
      </c>
      <c r="D92" s="42" t="s">
        <v>41</v>
      </c>
    </row>
    <row r="93" spans="1:4" ht="15">
      <c r="A93" s="22" t="s">
        <v>185</v>
      </c>
      <c r="B93" s="46">
        <f>IF(785.49006="","-",785.49006)/1000</f>
        <v>0.78549006</v>
      </c>
      <c r="C93" s="46">
        <f>IF(774.64648="","-",774.64648)/1000</f>
        <v>0.77464648</v>
      </c>
      <c r="D93" s="42">
        <f>IF(OR(785.49006="",774.64648="",785.49006=0),"-",774.64648/785.49006*100)</f>
        <v>98.61951403942655</v>
      </c>
    </row>
    <row r="94" spans="1:4" ht="15">
      <c r="A94" s="22" t="s">
        <v>182</v>
      </c>
      <c r="B94" s="46">
        <f>IF(-343.31995="","-",-343.31995)/1000</f>
        <v>-0.34331995</v>
      </c>
      <c r="C94" s="46">
        <f>IF(890.3805="","-",890.3805)/1000</f>
        <v>0.8903805</v>
      </c>
      <c r="D94" s="42" t="s">
        <v>41</v>
      </c>
    </row>
    <row r="95" spans="1:4" ht="15">
      <c r="A95" s="22" t="s">
        <v>132</v>
      </c>
      <c r="B95" s="46">
        <f>IF(312.40036="","-",312.40036)/1000</f>
        <v>0.31240036</v>
      </c>
      <c r="C95" s="46">
        <f>IF(993.03775="","-",993.03775)/1000</f>
        <v>0.9930377499999999</v>
      </c>
      <c r="D95" s="42" t="s">
        <v>44</v>
      </c>
    </row>
    <row r="96" spans="1:4" ht="15">
      <c r="A96" s="22" t="s">
        <v>166</v>
      </c>
      <c r="B96" s="46">
        <f>IF(-4388.39261="","-",-4388.39261)/1000</f>
        <v>-4.3883926099999995</v>
      </c>
      <c r="C96" s="46">
        <f>IF(3813.59563="","-",3813.59563)/1000</f>
        <v>3.81359563</v>
      </c>
      <c r="D96" s="42" t="s">
        <v>41</v>
      </c>
    </row>
    <row r="97" spans="1:4" ht="15">
      <c r="A97" s="22" t="s">
        <v>170</v>
      </c>
      <c r="B97" s="46">
        <f>IF(1009.65441="","-",1009.65441)/1000</f>
        <v>1.00965441</v>
      </c>
      <c r="C97" s="46">
        <f>IF(4541.73666="","-",4541.73666)/1000</f>
        <v>4.54173666</v>
      </c>
      <c r="D97" s="42" t="s">
        <v>142</v>
      </c>
    </row>
    <row r="98" spans="1:4" ht="15">
      <c r="A98" s="22" t="s">
        <v>168</v>
      </c>
      <c r="B98" s="46">
        <f>IF(5711.0174="","-",5711.0174)/1000</f>
        <v>5.711017399999999</v>
      </c>
      <c r="C98" s="46">
        <f>IF(5567.02674="","-",5567.02674)/1000</f>
        <v>5.56702674</v>
      </c>
      <c r="D98" s="42">
        <f>IF(OR(5711.0174="",5567.02674="",5711.0174=0),"-",5567.02674/5711.0174*100)</f>
        <v>97.47872139209383</v>
      </c>
    </row>
    <row r="99" spans="1:7" ht="15">
      <c r="A99" s="22" t="s">
        <v>165</v>
      </c>
      <c r="B99" s="46">
        <f>IF(8170.00966="","-",8170.00966)/1000</f>
        <v>8.17000966</v>
      </c>
      <c r="C99" s="46">
        <f>IF(10358.60385="","-",10358.60385)/1000</f>
        <v>10.35860385</v>
      </c>
      <c r="D99" s="42">
        <f>IF(OR(8170.00966="",10358.60385="",8170.00966=0),"-",10358.60385/8170.00966*100)</f>
        <v>126.78814690654845</v>
      </c>
      <c r="E99" s="21"/>
      <c r="F99" s="21"/>
      <c r="G99" s="21"/>
    </row>
    <row r="100" spans="1:7" ht="15">
      <c r="A100" s="22" t="s">
        <v>135</v>
      </c>
      <c r="B100" s="46">
        <f>IF(3305.7355="","-",3305.7355)/1000</f>
        <v>3.3057355</v>
      </c>
      <c r="C100" s="46">
        <f>IF(13916.22299="","-",13916.22299)/1000</f>
        <v>13.91622299</v>
      </c>
      <c r="D100" s="42" t="s">
        <v>221</v>
      </c>
      <c r="E100" s="2"/>
      <c r="F100" s="2"/>
      <c r="G100" s="2"/>
    </row>
    <row r="101" spans="1:7" ht="15">
      <c r="A101" s="22" t="s">
        <v>163</v>
      </c>
      <c r="B101" s="46">
        <f>IF(16014.76007="","-",16014.76007)/1000</f>
        <v>16.01476007</v>
      </c>
      <c r="C101" s="46">
        <f>IF(15375.28463="","-",15375.28463)/1000</f>
        <v>15.37528463</v>
      </c>
      <c r="D101" s="42">
        <f>IF(OR(16014.76007="",15375.28463="",16014.76007=0),"-",15375.28463/16014.76007*100)</f>
        <v>96.00696209493697</v>
      </c>
      <c r="E101" s="2"/>
      <c r="F101" s="2"/>
      <c r="G101" s="2"/>
    </row>
    <row r="102" spans="1:7" ht="15">
      <c r="A102" s="22" t="s">
        <v>162</v>
      </c>
      <c r="B102" s="46">
        <f>IF(17083.89221="","-",17083.89221)/1000</f>
        <v>17.083892210000002</v>
      </c>
      <c r="C102" s="46">
        <f>IF(26275.5896="","-",26275.5896)/1000</f>
        <v>26.2755896</v>
      </c>
      <c r="D102" s="42">
        <f>IF(OR(17083.89221="",26275.5896="",17083.89221=0),"-",26275.5896/17083.89221*100)</f>
        <v>153.80329773223264</v>
      </c>
      <c r="E102" s="2"/>
      <c r="F102" s="2"/>
      <c r="G102" s="2"/>
    </row>
    <row r="103" spans="1:7" ht="15">
      <c r="A103" s="77" t="s">
        <v>35</v>
      </c>
      <c r="B103" s="77"/>
      <c r="C103" s="77"/>
      <c r="D103" s="77"/>
      <c r="E103" s="43"/>
      <c r="F103" s="43"/>
      <c r="G103" s="43"/>
    </row>
  </sheetData>
  <sheetProtection/>
  <mergeCells count="2">
    <mergeCell ref="A103:D103"/>
    <mergeCell ref="A1:D1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2"/>
  <sheetViews>
    <sheetView zoomScalePageLayoutView="0" workbookViewId="0" topLeftCell="A1">
      <selection activeCell="J7" sqref="J7:J8"/>
    </sheetView>
  </sheetViews>
  <sheetFormatPr defaultColWidth="9.00390625" defaultRowHeight="15.75"/>
  <cols>
    <col min="1" max="1" width="29.875" style="0" customWidth="1"/>
    <col min="2" max="2" width="10.125" style="0" customWidth="1"/>
    <col min="3" max="3" width="10.50390625" style="0" customWidth="1"/>
    <col min="4" max="4" width="8.375" style="0" customWidth="1"/>
    <col min="5" max="5" width="8.25390625" style="0" customWidth="1"/>
    <col min="6" max="6" width="9.875" style="0" customWidth="1"/>
    <col min="7" max="7" width="9.625" style="0" customWidth="1"/>
  </cols>
  <sheetData>
    <row r="1" spans="1:7" ht="15.75">
      <c r="A1" s="70" t="s">
        <v>128</v>
      </c>
      <c r="B1" s="70"/>
      <c r="C1" s="70"/>
      <c r="D1" s="70"/>
      <c r="E1" s="70"/>
      <c r="F1" s="70"/>
      <c r="G1" s="70"/>
    </row>
    <row r="2" spans="1:7" ht="15.75">
      <c r="A2" s="70" t="s">
        <v>46</v>
      </c>
      <c r="B2" s="70"/>
      <c r="C2" s="70"/>
      <c r="D2" s="70"/>
      <c r="E2" s="70"/>
      <c r="F2" s="70"/>
      <c r="G2" s="70"/>
    </row>
    <row r="3" ht="15">
      <c r="A3" s="14"/>
    </row>
    <row r="4" spans="1:7" ht="52.5" customHeight="1">
      <c r="A4" s="75"/>
      <c r="B4" s="73">
        <v>2016</v>
      </c>
      <c r="C4" s="74"/>
      <c r="D4" s="73" t="s">
        <v>0</v>
      </c>
      <c r="E4" s="74"/>
      <c r="F4" s="71" t="s">
        <v>228</v>
      </c>
      <c r="G4" s="72"/>
    </row>
    <row r="5" spans="1:7" ht="27.75" customHeight="1">
      <c r="A5" s="76"/>
      <c r="B5" s="65" t="s">
        <v>2</v>
      </c>
      <c r="C5" s="66" t="s">
        <v>224</v>
      </c>
      <c r="D5" s="67">
        <v>2015</v>
      </c>
      <c r="E5" s="67">
        <v>2016</v>
      </c>
      <c r="F5" s="67" t="s">
        <v>3</v>
      </c>
      <c r="G5" s="63" t="s">
        <v>4</v>
      </c>
    </row>
    <row r="6" spans="1:7" ht="15">
      <c r="A6" s="15" t="s">
        <v>119</v>
      </c>
      <c r="B6" s="44">
        <f>IF(2045340.42783="","-",2045340.42783)/1000</f>
        <v>2045.34042783</v>
      </c>
      <c r="C6" s="60">
        <f>IF(1966837.29975="","-",2045340.42783/1966837.29975*100)</f>
        <v>103.991338179827</v>
      </c>
      <c r="D6" s="60">
        <v>100</v>
      </c>
      <c r="E6" s="60">
        <v>100</v>
      </c>
      <c r="F6" s="60">
        <f>IF(2339529.78212="","-",(1966837.29975-2339529.78212)/2339529.78212*100)</f>
        <v>-15.930230306035224</v>
      </c>
      <c r="G6" s="60">
        <f>IF(1966837.29975="","-",(2045340.42783-1966837.29975)/1966837.29975*100)</f>
        <v>3.9913381798269887</v>
      </c>
    </row>
    <row r="7" spans="1:7" ht="15">
      <c r="A7" s="16" t="s">
        <v>120</v>
      </c>
      <c r="B7" s="47"/>
      <c r="C7" s="47"/>
      <c r="D7" s="47"/>
      <c r="E7" s="47"/>
      <c r="F7" s="47"/>
      <c r="G7" s="47"/>
    </row>
    <row r="8" spans="1:7" ht="15">
      <c r="A8" s="17" t="s">
        <v>47</v>
      </c>
      <c r="B8" s="34">
        <f>IF(498482.91776="","-",498482.91776)/1000</f>
        <v>498.48291775999996</v>
      </c>
      <c r="C8" s="40">
        <f>IF(488996.69734="","-",498482.91776/488996.69734*100)</f>
        <v>101.93993547841984</v>
      </c>
      <c r="D8" s="40">
        <f>IF(488996.69734="","-",488996.69734/1966837.29975*100)</f>
        <v>24.86208174932188</v>
      </c>
      <c r="E8" s="40">
        <f>IF(498482.91776="","-",498482.91776/2045340.42783*100)</f>
        <v>24.371635693372788</v>
      </c>
      <c r="F8" s="40">
        <f>IF(2339529.78212="","-",(488996.69734-619748.8402)/2339529.78212*100)</f>
        <v>-5.588821474267233</v>
      </c>
      <c r="G8" s="40">
        <f>IF(1966837.29975="","-",(498482.91776-488996.69734)/1966837.29975*100)</f>
        <v>0.4823083445288402</v>
      </c>
    </row>
    <row r="9" spans="1:7" s="27" customFormat="1" ht="15">
      <c r="A9" s="25" t="s">
        <v>48</v>
      </c>
      <c r="B9" s="35">
        <f>IF(10080.02738="","-",10080.02738)/1000</f>
        <v>10.080027379999999</v>
      </c>
      <c r="C9" s="39">
        <f>IF(OR(10130.93882="",10080.02738=""),"-",10080.02738/10130.93882*100)</f>
        <v>99.4974657245043</v>
      </c>
      <c r="D9" s="39">
        <f>IF(10130.93882="","-",10130.93882/1966837.29975*100)</f>
        <v>0.5150877920246743</v>
      </c>
      <c r="E9" s="39">
        <f>IF(10080.02738="","-",10080.02738/2045340.42783*100)</f>
        <v>0.4928288339117408</v>
      </c>
      <c r="F9" s="39">
        <f>IF(OR(2339529.78212="",6416.17755="",10130.93882=""),"-",(10130.93882-6416.17755)/2339529.78212*100)</f>
        <v>0.15878238859749894</v>
      </c>
      <c r="G9" s="39">
        <f>IF(OR(1966837.29975="",10080.02738="",10130.93882=""),"-",(10080.02738-10130.93882)/1966837.29975*100)</f>
        <v>-0.0025884927038180073</v>
      </c>
    </row>
    <row r="10" spans="1:7" s="27" customFormat="1" ht="15">
      <c r="A10" s="25" t="s">
        <v>49</v>
      </c>
      <c r="B10" s="35">
        <f>IF(8487.41361="","-",8487.41361)/1000</f>
        <v>8.487413609999999</v>
      </c>
      <c r="C10" s="39">
        <f>IF(OR(8927.64623="",8487.41361=""),"-",8487.41361/8927.64623*100)</f>
        <v>95.06888368268149</v>
      </c>
      <c r="D10" s="39">
        <f>IF(8927.64623="","-",8927.64623/1966837.29975*100)</f>
        <v>0.45390873109508206</v>
      </c>
      <c r="E10" s="39">
        <f>IF(8487.41361="","-",8487.41361/2045340.42783*100)</f>
        <v>0.4149633720878781</v>
      </c>
      <c r="F10" s="39">
        <f>IF(OR(2339529.78212="",33696.87907="",8927.64623=""),"-",(8927.64623-33696.87907)/2339529.78212*100)</f>
        <v>-1.0587269728002775</v>
      </c>
      <c r="G10" s="39">
        <f>IF(OR(1966837.29975="",8487.41361="",8927.64623=""),"-",(8487.41361-8927.64623)/1966837.29975*100)</f>
        <v>-0.022382767504762983</v>
      </c>
    </row>
    <row r="11" spans="1:7" s="27" customFormat="1" ht="15">
      <c r="A11" s="25" t="s">
        <v>50</v>
      </c>
      <c r="B11" s="35">
        <f>IF(18577.12832="","-",18577.12832)/1000</f>
        <v>18.57712832</v>
      </c>
      <c r="C11" s="39">
        <f>IF(OR(14351.88678="",18577.12832=""),"-",18577.12832/14351.88678*100)</f>
        <v>129.44032101680222</v>
      </c>
      <c r="D11" s="39">
        <f>IF(14351.88678="","-",14351.88678/1966837.29975*100)</f>
        <v>0.7296936448085581</v>
      </c>
      <c r="E11" s="39">
        <f>IF(18577.12832="","-",18577.12832/2045340.42783*100)</f>
        <v>0.9082658352237906</v>
      </c>
      <c r="F11" s="39">
        <f>IF(OR(2339529.78212="",14353.40443="",14351.88678=""),"-",(14351.88678-14353.40443)/2339529.78212*100)</f>
        <v>-6.486987306588312E-05</v>
      </c>
      <c r="G11" s="39">
        <f>IF(OR(1966837.29975="",18577.12832="",14351.88678=""),"-",(18577.12832-14351.88678)/1966837.29975*100)</f>
        <v>0.21482415147084402</v>
      </c>
    </row>
    <row r="12" spans="1:7" s="27" customFormat="1" ht="15">
      <c r="A12" s="25" t="s">
        <v>52</v>
      </c>
      <c r="B12" s="35">
        <f>IF(172510.10877="","-",172510.10877)/1000</f>
        <v>172.51010877</v>
      </c>
      <c r="C12" s="39">
        <f>IF(OR(128710.25485="",172510.10877=""),"-",172510.10877/128710.25485*100)</f>
        <v>134.02980902418747</v>
      </c>
      <c r="D12" s="39">
        <f>IF(128710.25485="","-",128710.25485/1966837.29975*100)</f>
        <v>6.544021453445084</v>
      </c>
      <c r="E12" s="39">
        <f>IF(172510.10877="","-",172510.10877/2045340.42783*100)</f>
        <v>8.43429809643103</v>
      </c>
      <c r="F12" s="39">
        <f>IF(OR(2339529.78212="",200820.84345="",128710.25485=""),"-",(128710.25485-200820.84345)/2339529.78212*100)</f>
        <v>-3.082268460573128</v>
      </c>
      <c r="G12" s="39">
        <f>IF(OR(1966837.29975="",172510.10877="",128710.25485=""),"-",(172510.10877-128710.25485)/1966837.29975*100)</f>
        <v>2.2269180031092195</v>
      </c>
    </row>
    <row r="13" spans="1:7" s="27" customFormat="1" ht="15">
      <c r="A13" s="25" t="s">
        <v>53</v>
      </c>
      <c r="B13" s="35">
        <f>IF(206048.11428="","-",206048.11428)/1000</f>
        <v>206.04811428000002</v>
      </c>
      <c r="C13" s="39">
        <f>IF(OR(253811.06175="",206048.11428=""),"-",206048.11428/253811.06175*100)</f>
        <v>81.18169194806578</v>
      </c>
      <c r="D13" s="39">
        <f>IF(253811.06175="","-",253811.06175/1966837.29975*100)</f>
        <v>12.904527577459573</v>
      </c>
      <c r="E13" s="39">
        <f>IF(206048.11428="","-",206048.11428/2045340.42783*100)</f>
        <v>10.07402540312599</v>
      </c>
      <c r="F13" s="39">
        <f>IF(OR(2339529.78212="",268710.99041="",253811.06175=""),"-",(253811.06175-268710.99041)/2339529.78212*100)</f>
        <v>-0.6368770670873118</v>
      </c>
      <c r="G13" s="39">
        <f>IF(OR(1966837.29975="",206048.11428="",253811.06175=""),"-",(206048.11428-253811.06175)/1966837.29975*100)</f>
        <v>-2.4284137521731473</v>
      </c>
    </row>
    <row r="14" spans="1:7" s="27" customFormat="1" ht="15">
      <c r="A14" s="25" t="s">
        <v>54</v>
      </c>
      <c r="B14" s="35">
        <f>IF(52784.83393="","-",52784.83393)/1000</f>
        <v>52.78483393</v>
      </c>
      <c r="C14" s="39">
        <f>IF(OR(48043.70897="",52784.83393=""),"-",52784.83393/48043.70897*100)</f>
        <v>109.86835750537185</v>
      </c>
      <c r="D14" s="39">
        <f>IF(48043.70897="","-",48043.70897/1966837.29975*100)</f>
        <v>2.4426885221317858</v>
      </c>
      <c r="E14" s="39">
        <f>IF(52784.83393="","-",52784.83393/2045340.42783*100)</f>
        <v>2.580735862440365</v>
      </c>
      <c r="F14" s="39">
        <f>IF(OR(2339529.78212="",65487.3264="",48043.70897=""),"-",(48043.70897-65487.3264)/2339529.78212*100)</f>
        <v>-0.7456035637295115</v>
      </c>
      <c r="G14" s="39">
        <f>IF(OR(1966837.29975="",52784.83393="",48043.70897=""),"-",(52784.83393-48043.70897)/1966837.29975*100)</f>
        <v>0.2410532361066487</v>
      </c>
    </row>
    <row r="15" spans="1:7" s="27" customFormat="1" ht="26.25">
      <c r="A15" s="25" t="s">
        <v>55</v>
      </c>
      <c r="B15" s="35">
        <f>IF(8335.67869="","-",8335.67869)/1000</f>
        <v>8.33567869</v>
      </c>
      <c r="C15" s="39">
        <f>IF(OR(7187.14277="",8335.67869=""),"-",8335.67869/7187.14277*100)</f>
        <v>115.98042444341203</v>
      </c>
      <c r="D15" s="39">
        <f>IF(7187.14277="","-",7187.14277/1966837.29975*100)</f>
        <v>0.36541623300074394</v>
      </c>
      <c r="E15" s="39">
        <f>IF(8335.67869="","-",8335.67869/2045340.42783*100)</f>
        <v>0.4075448065554409</v>
      </c>
      <c r="F15" s="39">
        <f>IF(OR(2339529.78212="",6737.73166="",7187.14277=""),"-",(7187.14277-6737.73166)/2339529.78212*100)</f>
        <v>0.019209463091030173</v>
      </c>
      <c r="G15" s="39">
        <f>IF(OR(1966837.29975="",8335.67869="",7187.14277=""),"-",(8335.67869-7187.14277)/1966837.29975*100)</f>
        <v>0.058395065018646324</v>
      </c>
    </row>
    <row r="16" spans="1:7" s="27" customFormat="1" ht="26.25">
      <c r="A16" s="25" t="s">
        <v>56</v>
      </c>
      <c r="B16" s="35">
        <f>IF(15873.10716="","-",15873.10716)/1000</f>
        <v>15.87310716</v>
      </c>
      <c r="C16" s="39">
        <f>IF(OR(15866.89641="",15873.10716=""),"-",15873.10716/15866.89641*100)</f>
        <v>100.03914281557978</v>
      </c>
      <c r="D16" s="39">
        <f>IF(15866.89641="","-",15866.89641/1966837.29975*100)</f>
        <v>0.8067213496518905</v>
      </c>
      <c r="E16" s="39">
        <f>IF(15873.10716="","-",15873.10716/2045340.42783*100)</f>
        <v>0.7760618694092183</v>
      </c>
      <c r="F16" s="39">
        <f>IF(OR(2339529.78212="",21212.05115="",15866.89641=""),"-",(15866.89641-21212.05115)/2339529.78212*100)</f>
        <v>-0.22847132705258438</v>
      </c>
      <c r="G16" s="39">
        <f>IF(OR(1966837.29975="",15873.10716="",15866.89641=""),"-",(15873.10716-15866.89641)/1966837.29975*100)</f>
        <v>0.0003157734501369088</v>
      </c>
    </row>
    <row r="17" spans="1:7" s="27" customFormat="1" ht="15">
      <c r="A17" s="25" t="s">
        <v>57</v>
      </c>
      <c r="B17" s="35">
        <f>IF(5764.83948="","-",5764.83948)/1000</f>
        <v>5.76483948</v>
      </c>
      <c r="C17" s="39" t="s">
        <v>160</v>
      </c>
      <c r="D17" s="39">
        <f>IF(1903.24782="","-",1903.24782/1966837.29975*100)</f>
        <v>0.09676691713350756</v>
      </c>
      <c r="E17" s="39">
        <f>IF(5764.83948="","-",5764.83948/2045340.42783*100)</f>
        <v>0.2818523215774009</v>
      </c>
      <c r="F17" s="39">
        <f>IF(OR(2339529.78212="",2219.69143="",1903.24782=""),"-",(1903.24782-2219.69143)/2339529.78212*100)</f>
        <v>-0.01352594920647899</v>
      </c>
      <c r="G17" s="39">
        <f>IF(OR(1966837.29975="",5764.83948="",1903.24782=""),"-",(5764.83948-1903.24782)/1966837.29975*100)</f>
        <v>0.1963350837657409</v>
      </c>
    </row>
    <row r="18" spans="1:7" s="27" customFormat="1" ht="15">
      <c r="A18" s="26" t="s">
        <v>58</v>
      </c>
      <c r="B18" s="34">
        <f>IF(171699.74389="","-",171699.74389)/1000</f>
        <v>171.69974389</v>
      </c>
      <c r="C18" s="40">
        <f>IF(167454.33466="","-",171699.74389/167454.33466*100)</f>
        <v>102.5352638608131</v>
      </c>
      <c r="D18" s="40">
        <f>IF(167454.33466="","-",167454.33466/1966837.29975*100)</f>
        <v>8.513888499129273</v>
      </c>
      <c r="E18" s="40">
        <f>IF(171699.74389="","-",171699.74389/2045340.42783*100)</f>
        <v>8.394678047417493</v>
      </c>
      <c r="F18" s="40">
        <f>IF(2339529.78212="","-",(167454.33466-208537.73531)/2339529.78212*100)</f>
        <v>-1.756053757638924</v>
      </c>
      <c r="G18" s="40">
        <f>IF(1966837.29975="","-",(171699.74389-167454.33466)/1966837.29975*100)</f>
        <v>0.21584953826834802</v>
      </c>
    </row>
    <row r="19" spans="1:7" s="27" customFormat="1" ht="15">
      <c r="A19" s="25" t="s">
        <v>59</v>
      </c>
      <c r="B19" s="35">
        <f>IF(158131.24679="","-",158131.24679)/1000</f>
        <v>158.13124679</v>
      </c>
      <c r="C19" s="39">
        <f>IF(OR(154777.48168="",158131.24679=""),"-",158131.24679/154777.48168*100)</f>
        <v>102.16683013161688</v>
      </c>
      <c r="D19" s="39">
        <f>IF(154777.48168="","-",154777.48168/1966837.29975*100)</f>
        <v>7.869358675456958</v>
      </c>
      <c r="E19" s="39">
        <f>IF(158131.24679="","-",158131.24679/2045340.42783*100)</f>
        <v>7.731292289458584</v>
      </c>
      <c r="F19" s="39">
        <f>IF(OR(2339529.78212="",191840.36848="",154777.48168=""),"-",(154777.48168-191840.36848)/2339529.78212*100)</f>
        <v>-1.5842023932866933</v>
      </c>
      <c r="G19" s="39">
        <f>IF(OR(1966837.29975="",158131.24679="",154777.48168=""),"-",(158131.24679-154777.48168)/1966837.29975*100)</f>
        <v>0.1705156349448069</v>
      </c>
    </row>
    <row r="20" spans="1:7" s="27" customFormat="1" ht="15">
      <c r="A20" s="25" t="s">
        <v>60</v>
      </c>
      <c r="B20" s="35">
        <f>IF(13568.4971="","-",13568.4971)/1000</f>
        <v>13.5684971</v>
      </c>
      <c r="C20" s="39">
        <f>IF(OR(12676.85298="",13568.4971=""),"-",13568.4971/12676.85298*100)</f>
        <v>107.03363935360557</v>
      </c>
      <c r="D20" s="39">
        <f>IF(12676.85298="","-",12676.85298/1966837.29975*100)</f>
        <v>0.6445298236723151</v>
      </c>
      <c r="E20" s="39">
        <f>IF(13568.4971="","-",13568.4971/2045340.42783*100)</f>
        <v>0.6633857579589072</v>
      </c>
      <c r="F20" s="39">
        <f>IF(OR(2339529.78212="",16697.36683="",12676.85298=""),"-",(12676.85298-16697.36683)/2339529.78212*100)</f>
        <v>-0.17185136435223108</v>
      </c>
      <c r="G20" s="39">
        <f>IF(OR(1966837.29975="",13568.4971="",12676.85298=""),"-",(13568.4971-12676.85298)/1966837.29975*100)</f>
        <v>0.045333903323540564</v>
      </c>
    </row>
    <row r="21" spans="1:7" s="27" customFormat="1" ht="26.25">
      <c r="A21" s="26" t="s">
        <v>61</v>
      </c>
      <c r="B21" s="34">
        <f>IF(231690.36679="","-",231690.36679)/1000</f>
        <v>231.69036679</v>
      </c>
      <c r="C21" s="40">
        <f>IF(219497.32203="","-",231690.36679/219497.32203*100)</f>
        <v>105.55498565870134</v>
      </c>
      <c r="D21" s="40">
        <f>IF(219497.32203="","-",219497.32203/1966837.29975*100)</f>
        <v>11.159912518330813</v>
      </c>
      <c r="E21" s="40">
        <f>IF(231690.36679="","-",231690.36679/2045340.42783*100)</f>
        <v>11.32771658143048</v>
      </c>
      <c r="F21" s="40">
        <f>IF(2339529.78212="","-",(219497.32203-211138.11106)/2339529.78212*100)</f>
        <v>0.3573030372977424</v>
      </c>
      <c r="G21" s="40">
        <f>IF(1966837.29975="","-",(231690.36679-219497.32203)/1966837.29975*100)</f>
        <v>0.6199315399168919</v>
      </c>
    </row>
    <row r="22" spans="1:8" s="27" customFormat="1" ht="15">
      <c r="A22" s="25" t="s">
        <v>62</v>
      </c>
      <c r="B22" s="35">
        <f>IF(3578.16014="","-",3578.16014)/1000</f>
        <v>3.57816014</v>
      </c>
      <c r="C22" s="39">
        <f>IF(OR(4135.07431="",3578.16014=""),"-",3578.16014/4135.07431*100)</f>
        <v>86.53194288061053</v>
      </c>
      <c r="D22" s="39">
        <f>IF(4135.07431="","-",4135.07431/1966837.29975*100)</f>
        <v>0.2102397748164324</v>
      </c>
      <c r="E22" s="39">
        <f>IF(3578.16014="","-",3578.16014/2045340.42783*100)</f>
        <v>0.17494203367388783</v>
      </c>
      <c r="F22" s="39">
        <f>IF(OR(2339529.78212="",5507.46004="",4135.07431=""),"-",(4135.07431-5507.46004)/2339529.78212*100)</f>
        <v>-0.058660750569988124</v>
      </c>
      <c r="G22" s="39">
        <f>IF(OR(1966837.29975="",3578.16014="",4135.07431=""),"-",(3578.16014-4135.07431)/1966837.29975*100)</f>
        <v>-0.02831521295995292</v>
      </c>
      <c r="H22" s="23"/>
    </row>
    <row r="23" spans="1:8" s="27" customFormat="1" ht="15">
      <c r="A23" s="25" t="s">
        <v>63</v>
      </c>
      <c r="B23" s="35">
        <f>IF(201499.9007="","-",201499.9007)/1000</f>
        <v>201.4999007</v>
      </c>
      <c r="C23" s="39">
        <f>IF(OR(177410.61675="",201499.9007=""),"-",201499.9007/177410.61675*100)</f>
        <v>113.57826515193601</v>
      </c>
      <c r="D23" s="39">
        <f>IF(177410.61675="","-",177410.61675/1966837.29975*100)</f>
        <v>9.020096210934692</v>
      </c>
      <c r="E23" s="39">
        <f>IF(201499.9007="","-",201499.9007/2045340.42783*100)</f>
        <v>9.851655888588724</v>
      </c>
      <c r="F23" s="39">
        <f>IF(OR(2339529.78212="",153344.97165="",177410.61675=""),"-",(177410.61675-153344.97165)/2339529.78212*100)</f>
        <v>1.0286530773800429</v>
      </c>
      <c r="G23" s="39">
        <f>IF(OR(1966837.29975="",201499.9007="",177410.61675=""),"-",(201499.9007-177410.61675)/1966837.29975*100)</f>
        <v>1.2247725804804466</v>
      </c>
      <c r="H23" s="24"/>
    </row>
    <row r="24" spans="1:8" s="27" customFormat="1" ht="15">
      <c r="A24" s="25" t="s">
        <v>65</v>
      </c>
      <c r="B24" s="35">
        <f>IF(1933.30242="","-",1933.30242)/1000</f>
        <v>1.93330242</v>
      </c>
      <c r="C24" s="39">
        <f>IF(OR(2067.81614="",1933.30242=""),"-",1933.30242/2067.81614*100)</f>
        <v>93.49488973424882</v>
      </c>
      <c r="D24" s="39">
        <f>IF(2067.81614="","-",2067.81614/1966837.29975*100)</f>
        <v>0.105134071855503</v>
      </c>
      <c r="E24" s="39">
        <f>IF(1933.30242="","-",1933.30242/2045340.42783*100)</f>
        <v>0.09452228067731168</v>
      </c>
      <c r="F24" s="39">
        <f>IF(OR(2339529.78212="",1613.03903="",2067.81614=""),"-",(2067.81614-1613.03903)/2339529.78212*100)</f>
        <v>0.019438825420204607</v>
      </c>
      <c r="G24" s="39">
        <f>IF(OR(1966837.29975="",1933.30242="",2067.81614=""),"-",(1933.30242-2067.81614)/1966837.29975*100)</f>
        <v>-0.006839087301074555</v>
      </c>
      <c r="H24" s="24"/>
    </row>
    <row r="25" spans="1:8" s="27" customFormat="1" ht="15">
      <c r="A25" s="25" t="s">
        <v>66</v>
      </c>
      <c r="B25" s="35">
        <f>IF(2635.26976="","-",2635.26976)/1000</f>
        <v>2.6352697600000003</v>
      </c>
      <c r="C25" s="39">
        <f>IF(OR(2047.37992="",2635.26976=""),"-",2635.26976/2047.37992*100)</f>
        <v>128.71425250668668</v>
      </c>
      <c r="D25" s="39">
        <f>IF(2047.37992="","-",2047.37992/1966837.29975*100)</f>
        <v>0.10409503217476289</v>
      </c>
      <c r="E25" s="39">
        <f>IF(2635.26976="","-",2635.26976/2045340.42783*100)</f>
        <v>0.12884259872552778</v>
      </c>
      <c r="F25" s="39">
        <f>IF(OR(2339529.78212="",1718.61696="",2047.37992=""),"-",(2047.37992-1718.61696)/2339529.78212*100)</f>
        <v>0.014052522969042374</v>
      </c>
      <c r="G25" s="39">
        <f>IF(OR(1966837.29975="",2635.26976="",2047.37992=""),"-",(2635.26976-2047.37992)/1966837.29975*100)</f>
        <v>0.029890110385578175</v>
      </c>
      <c r="H25" s="24"/>
    </row>
    <row r="26" spans="1:8" s="27" customFormat="1" ht="39">
      <c r="A26" s="25" t="s">
        <v>67</v>
      </c>
      <c r="B26" s="35">
        <f>IF(788.7385="","-",788.7385)/1000</f>
        <v>0.7887385</v>
      </c>
      <c r="C26" s="39">
        <f>IF(OR(3854.09943="",788.7385=""),"-",788.7385/3854.09943*100)</f>
        <v>20.464923500948704</v>
      </c>
      <c r="D26" s="39">
        <f>IF(3854.09943="","-",3854.09943/1966837.29975*100)</f>
        <v>0.19595415596856364</v>
      </c>
      <c r="E26" s="39">
        <f>IF(788.7385="","-",788.7385/2045340.42783*100)</f>
        <v>0.038562700334281795</v>
      </c>
      <c r="F26" s="39">
        <f>IF(OR(2339529.78212="",2548.02639="",3854.09943=""),"-",(3854.09943-2548.02639)/2339529.78212*100)</f>
        <v>0.05582630535339809</v>
      </c>
      <c r="G26" s="39">
        <f>IF(OR(1966837.29975="",788.7385="",3854.09943=""),"-",(788.7385-3854.09943)/1966837.29975*100)</f>
        <v>-0.1558522878526674</v>
      </c>
      <c r="H26" s="24"/>
    </row>
    <row r="27" spans="1:8" s="27" customFormat="1" ht="28.5" customHeight="1">
      <c r="A27" s="25" t="s">
        <v>68</v>
      </c>
      <c r="B27" s="35">
        <f>IF(7545.5741="","-",7545.5741)/1000</f>
        <v>7.5455741</v>
      </c>
      <c r="C27" s="39">
        <f>IF(OR(6821.49569="",7545.5741=""),"-",7545.5741/6821.49569*100)</f>
        <v>110.61465758985183</v>
      </c>
      <c r="D27" s="39">
        <f>IF(6821.49569="","-",6821.49569/1966837.29975*100)</f>
        <v>0.3468256215634645</v>
      </c>
      <c r="E27" s="39">
        <f>IF(7545.5741="","-",7545.5741/2045340.42783*100)</f>
        <v>0.3689153158726473</v>
      </c>
      <c r="F27" s="39">
        <f>IF(OR(2339529.78212="",11532.86054="",6821.49569=""),"-",(6821.49569-11532.86054)/2339529.78212*100)</f>
        <v>-0.20138084524535205</v>
      </c>
      <c r="G27" s="39">
        <f>IF(OR(1966837.29975="",7545.5741="",6821.49569=""),"-",(7545.5741-6821.49569)/1966837.29975*100)</f>
        <v>0.03681435216283706</v>
      </c>
      <c r="H27" s="24"/>
    </row>
    <row r="28" spans="1:8" s="27" customFormat="1" ht="15">
      <c r="A28" s="25" t="s">
        <v>69</v>
      </c>
      <c r="B28" s="35">
        <f>IF(10724.32964="","-",10724.32964)/1000</f>
        <v>10.72432964</v>
      </c>
      <c r="C28" s="39">
        <f>IF(OR(17657.2588="",10724.32964=""),"-",10724.32964/17657.2588*100)</f>
        <v>60.736095910878305</v>
      </c>
      <c r="D28" s="39">
        <f>IF(17657.2588="","-",17657.2588/1966837.29975*100)</f>
        <v>0.8977488276353297</v>
      </c>
      <c r="E28" s="39">
        <f>IF(10724.32964="","-",10724.32964/2045340.42783*100)</f>
        <v>0.5243298129777817</v>
      </c>
      <c r="F28" s="39">
        <f>IF(OR(2339529.78212="",26275.47402="",17657.2588=""),"-",(17657.2588-26275.47402)/2339529.78212*100)</f>
        <v>-0.36837381963953786</v>
      </c>
      <c r="G28" s="39">
        <f>IF(OR(1966837.29975="",10724.32964="",17657.2588=""),"-",(10724.32964-17657.2588)/1966837.29975*100)</f>
        <v>-0.35249123864395027</v>
      </c>
      <c r="H28" s="24"/>
    </row>
    <row r="29" spans="1:8" s="27" customFormat="1" ht="26.25">
      <c r="A29" s="25" t="s">
        <v>70</v>
      </c>
      <c r="B29" s="35">
        <f>IF(2868.32694="","-",2868.32694)/1000</f>
        <v>2.8683269399999998</v>
      </c>
      <c r="C29" s="39">
        <f>IF(OR(3515.53938="",2868.32694=""),"-",2868.32694/3515.53938*100)</f>
        <v>81.58995334593577</v>
      </c>
      <c r="D29" s="39">
        <f>IF(3515.53938="","-",3515.53938/1966837.29975*100)</f>
        <v>0.17874073165313936</v>
      </c>
      <c r="E29" s="39">
        <f>IF(2868.32694="","-",2868.32694/2045340.42783*100)</f>
        <v>0.14023714101437607</v>
      </c>
      <c r="F29" s="39">
        <f>IF(OR(2339529.78212="",2755.91382="",3515.53938=""),"-",(3515.53938-2755.91382)/2339529.78212*100)</f>
        <v>0.03246915537495974</v>
      </c>
      <c r="G29" s="39">
        <f>IF(OR(1966837.29975="",2868.32694="",3515.53938=""),"-",(2868.32694-3515.53938)/1966837.29975*100)</f>
        <v>-0.03290625208715871</v>
      </c>
      <c r="H29" s="24"/>
    </row>
    <row r="30" spans="1:8" s="27" customFormat="1" ht="26.25">
      <c r="A30" s="26" t="s">
        <v>71</v>
      </c>
      <c r="B30" s="34">
        <f>IF(6697.10618="","-",6697.10618)/1000</f>
        <v>6.69710618</v>
      </c>
      <c r="C30" s="40">
        <f>IF(10067.32496="","-",6697.10618/10067.32496*100)</f>
        <v>66.5231946580574</v>
      </c>
      <c r="D30" s="40">
        <f>IF(10067.32496="","-",10067.32496/1966837.29975*100)</f>
        <v>0.511853469592001</v>
      </c>
      <c r="E30" s="40">
        <f>IF(6697.10618="","-",6697.10618/2045340.42783*100)</f>
        <v>0.32743234763639234</v>
      </c>
      <c r="F30" s="40">
        <f>IF(2339529.78212="","-",(10067.32496-16086.73597)/2339529.78212*100)</f>
        <v>-0.2572914889138714</v>
      </c>
      <c r="G30" s="40">
        <f>IF(1966837.29975="","-",(6697.10618-10067.32496)/1966837.29975*100)</f>
        <v>-0.1713521896512935</v>
      </c>
      <c r="H30" s="24"/>
    </row>
    <row r="31" spans="1:8" s="27" customFormat="1" ht="16.5" customHeight="1">
      <c r="A31" s="25" t="s">
        <v>73</v>
      </c>
      <c r="B31" s="35">
        <f>IF(6690.52587="","-",6690.52587)/1000</f>
        <v>6.69052587</v>
      </c>
      <c r="C31" s="39">
        <f>IF(OR(9987.69292="",6690.52587=""),"-",6690.52587/9987.69292*100)</f>
        <v>66.98770099952172</v>
      </c>
      <c r="D31" s="39">
        <f>IF(9987.69292="","-",9987.69292/1966837.29975*100)</f>
        <v>0.507804734091097</v>
      </c>
      <c r="E31" s="39">
        <f>IF(6690.52587="","-",6690.52587/2045340.42783*100)</f>
        <v>0.3271106256428081</v>
      </c>
      <c r="F31" s="39">
        <f>IF(OR(2339529.78212="",15020.17016="",9987.69292=""),"-",(9987.69292-15020.17016)/2339529.78212*100)</f>
        <v>-0.21510635506592035</v>
      </c>
      <c r="G31" s="39">
        <f>IF(OR(1966837.29975="",6690.52587="",9987.69292=""),"-",(6690.52587-9987.69292)/1966837.29975*100)</f>
        <v>-0.16763801715673657</v>
      </c>
      <c r="H31" s="24"/>
    </row>
    <row r="32" spans="1:7" s="27" customFormat="1" ht="26.25">
      <c r="A32" s="26" t="s">
        <v>76</v>
      </c>
      <c r="B32" s="34">
        <f>IF(54310.39029="","-",54310.39029)/1000</f>
        <v>54.31039029</v>
      </c>
      <c r="C32" s="40">
        <f>IF(71945.54959="","-",54310.39029/71945.54959*100)</f>
        <v>75.4881859955224</v>
      </c>
      <c r="D32" s="40">
        <f>IF(71945.54959="","-",71945.54959/1966837.29975*100)</f>
        <v>3.657930912696481</v>
      </c>
      <c r="E32" s="40">
        <f>IF(54310.39029="","-",54310.39029/2045340.42783*100)</f>
        <v>2.655322779084776</v>
      </c>
      <c r="F32" s="40">
        <f>IF(2339529.78212="","-",(71945.54959-79259.90679)/2339529.78212*100)</f>
        <v>-0.31264219228583545</v>
      </c>
      <c r="G32" s="40">
        <f>IF(1966837.29975="","-",(54310.39029-71945.54959)/1966837.29975*100)</f>
        <v>-0.8966252217324512</v>
      </c>
    </row>
    <row r="33" spans="1:7" s="27" customFormat="1" ht="26.25">
      <c r="A33" s="25" t="s">
        <v>78</v>
      </c>
      <c r="B33" s="35">
        <f>IF(54100.62913="","-",54100.62913)/1000</f>
        <v>54.10062913</v>
      </c>
      <c r="C33" s="39">
        <f>IF(OR(71923.6206="",54100.62913=""),"-",54100.62913/71923.6206*100)</f>
        <v>75.21955746760614</v>
      </c>
      <c r="D33" s="39">
        <f>IF(71923.6206="","-",71923.6206/1966837.29975*100)</f>
        <v>3.6568159760414365</v>
      </c>
      <c r="E33" s="39">
        <f>IF(54100.62913="","-",54100.62913/2045340.42783*100)</f>
        <v>2.645067216873915</v>
      </c>
      <c r="F33" s="39">
        <f>IF(OR(2339529.78212="",77430.3395="",71923.6206=""),"-",(71923.6206-77430.3395)/2339529.78212*100)</f>
        <v>-0.23537716604787184</v>
      </c>
      <c r="G33" s="39">
        <f>IF(OR(1966837.29975="",54100.62913="",71923.6206=""),"-",(54100.62913-71923.6206)/1966837.29975*100)</f>
        <v>-0.906175181458346</v>
      </c>
    </row>
    <row r="34" spans="1:7" s="27" customFormat="1" ht="26.25">
      <c r="A34" s="26" t="s">
        <v>80</v>
      </c>
      <c r="B34" s="34">
        <f>IF(113350.5433="","-",113350.5433)/1000</f>
        <v>113.3505433</v>
      </c>
      <c r="C34" s="40">
        <f>IF(130871.44999="","-",113350.5433/130871.44999*100)</f>
        <v>86.61212457618619</v>
      </c>
      <c r="D34" s="40">
        <f>IF(130871.44999="","-",130871.44999/1966837.29975*100)</f>
        <v>6.653903198125984</v>
      </c>
      <c r="E34" s="40">
        <f>IF(113350.5433="","-",113350.5433/2045340.42783*100)</f>
        <v>5.54189130365252</v>
      </c>
      <c r="F34" s="40">
        <f>IF(2339529.78212="","-",(130871.44999-176194.78803)/2339529.78212*100)</f>
        <v>-1.9372840810314276</v>
      </c>
      <c r="G34" s="40">
        <f>IF(1966837.29975="","-",(113350.5433-130871.44999)/1966837.29975*100)</f>
        <v>-0.8908162709862697</v>
      </c>
    </row>
    <row r="35" spans="1:7" s="27" customFormat="1" ht="15">
      <c r="A35" s="25" t="s">
        <v>81</v>
      </c>
      <c r="B35" s="35">
        <f>IF(17932.04113="","-",17932.04113)/1000</f>
        <v>17.93204113</v>
      </c>
      <c r="C35" s="39" t="s">
        <v>219</v>
      </c>
      <c r="D35" s="39">
        <f>IF(6212.0403="","-",6212.0403/1966837.29975*100)</f>
        <v>0.3158390529196084</v>
      </c>
      <c r="E35" s="39">
        <f>IF(17932.04113="","-",17932.04113/2045340.42783*100)</f>
        <v>0.8767264796611373</v>
      </c>
      <c r="F35" s="39">
        <f>IF(OR(2339529.78212="",2455.14097="",6212.0403=""),"-",(6212.0403-2455.14097)/2339529.78212*100)</f>
        <v>0.16058352232625261</v>
      </c>
      <c r="G35" s="39">
        <f>IF(OR(1966837.29975="",17932.04113="",6212.0403=""),"-",(17932.04113-6212.0403)/1966837.29975*100)</f>
        <v>0.5958805454568968</v>
      </c>
    </row>
    <row r="36" spans="1:7" s="27" customFormat="1" ht="15">
      <c r="A36" s="25" t="s">
        <v>82</v>
      </c>
      <c r="B36" s="35">
        <f>IF(899.85629="","-",899.85629)/1000</f>
        <v>0.8998562899999999</v>
      </c>
      <c r="C36" s="39" t="s">
        <v>222</v>
      </c>
      <c r="D36" s="39">
        <f>IF(187.55495="","-",187.55495/1966837.29975*100)</f>
        <v>0.00953586501658473</v>
      </c>
      <c r="E36" s="39">
        <f>IF(899.85629="","-",899.85629/2045340.42783*100)</f>
        <v>0.04399542871964355</v>
      </c>
      <c r="F36" s="39">
        <f>IF(OR(2339529.78212="",220.97087="",187.55495=""),"-",(187.55495-220.97087)/2339529.78212*100)</f>
        <v>-0.0014283177865647711</v>
      </c>
      <c r="G36" s="39">
        <f>IF(OR(1966837.29975="",899.85629="",187.55495=""),"-",(899.85629-187.55495)/1966837.29975*100)</f>
        <v>0.036215570046924515</v>
      </c>
    </row>
    <row r="37" spans="1:7" s="27" customFormat="1" ht="15">
      <c r="A37" s="25" t="s">
        <v>83</v>
      </c>
      <c r="B37" s="35">
        <f>IF(1418.11717="","-",1418.11717)/1000</f>
        <v>1.41811717</v>
      </c>
      <c r="C37" s="39">
        <f>IF(OR(1212.71829="",1418.11717=""),"-",1418.11717/1212.71829*100)</f>
        <v>116.93706458405933</v>
      </c>
      <c r="D37" s="39">
        <f>IF(1212.71829="","-",1212.71829/1966837.29975*100)</f>
        <v>0.061658292231601755</v>
      </c>
      <c r="E37" s="39">
        <f>IF(1418.11717="","-",1418.11717/2045340.42783*100)</f>
        <v>0.06933404095984885</v>
      </c>
      <c r="F37" s="39">
        <f>IF(OR(2339529.78212="",1226.61595="",1212.71829=""),"-",(1212.71829-1226.61595)/2339529.78212*100)</f>
        <v>-0.0005940364643448357</v>
      </c>
      <c r="G37" s="39">
        <f>IF(OR(1966837.29975="",1418.11717="",1212.71829=""),"-",(1418.11717-1212.71829)/1966837.29975*100)</f>
        <v>0.010443104776694427</v>
      </c>
    </row>
    <row r="38" spans="1:7" s="27" customFormat="1" ht="15">
      <c r="A38" s="25" t="s">
        <v>84</v>
      </c>
      <c r="B38" s="35">
        <f>IF(48873.23855="","-",48873.23855)/1000</f>
        <v>48.87323855</v>
      </c>
      <c r="C38" s="39">
        <f>IF(OR(75843.5446="",48873.23855=""),"-",48873.23855/75843.5446*100)</f>
        <v>64.43954961197845</v>
      </c>
      <c r="D38" s="39">
        <f>IF(75843.5446="","-",75843.5446/1966837.29975*100)</f>
        <v>3.8561168536736767</v>
      </c>
      <c r="E38" s="39">
        <f>IF(48873.23855="","-",48873.23855/2045340.42783*100)</f>
        <v>2.389491640853741</v>
      </c>
      <c r="F38" s="39">
        <f>IF(OR(2339529.78212="",125180.82297="",75843.5446=""),"-",(75843.5446-125180.82297)/2339529.78212*100)</f>
        <v>-2.1088544692640023</v>
      </c>
      <c r="G38" s="39">
        <f>IF(OR(1966837.29975="",48873.23855="",75843.5446=""),"-",(48873.23855-75843.5446)/1966837.29975*100)</f>
        <v>-1.371252520654765</v>
      </c>
    </row>
    <row r="39" spans="1:7" s="27" customFormat="1" ht="39">
      <c r="A39" s="25" t="s">
        <v>85</v>
      </c>
      <c r="B39" s="35">
        <f>IF(34970.92367="","-",34970.92367)/1000</f>
        <v>34.97092367</v>
      </c>
      <c r="C39" s="39">
        <f>IF(OR(38422.28818="",34970.92367=""),"-",34970.92367/38422.28818*100)</f>
        <v>91.01728534794408</v>
      </c>
      <c r="D39" s="39">
        <f>IF(38422.28818="","-",38422.28818/1966837.29975*100)</f>
        <v>1.9535061789240915</v>
      </c>
      <c r="E39" s="39">
        <f>IF(34970.92367="","-",34970.92367/2045340.42783*100)</f>
        <v>1.7097849919830865</v>
      </c>
      <c r="F39" s="39">
        <f>IF(OR(2339529.78212="",39432.52724="",38422.28818=""),"-",(38422.28818-39432.52724)/2339529.78212*100)</f>
        <v>-0.04318128658676688</v>
      </c>
      <c r="G39" s="39">
        <f>IF(OR(1966837.29975="",34970.92367="",38422.28818=""),"-",(34970.92367-38422.28818)/1966837.29975*100)</f>
        <v>-0.17547788576303192</v>
      </c>
    </row>
    <row r="40" spans="1:7" s="27" customFormat="1" ht="15">
      <c r="A40" s="25" t="s">
        <v>87</v>
      </c>
      <c r="B40" s="35">
        <f>IF(2980.15044="","-",2980.15044)/1000</f>
        <v>2.98015044</v>
      </c>
      <c r="C40" s="39">
        <f>IF(OR(4753.07147="",2980.15044=""),"-",2980.15044/4753.07147*100)</f>
        <v>62.69946620432366</v>
      </c>
      <c r="D40" s="39">
        <f>IF(4753.07147="","-",4753.07147/1966837.29975*100)</f>
        <v>0.2416606330683352</v>
      </c>
      <c r="E40" s="39">
        <f>IF(2980.15044="","-",2980.15044/2045340.42783*100)</f>
        <v>0.1457043727024838</v>
      </c>
      <c r="F40" s="39">
        <f>IF(OR(2339529.78212="",2340.43934="",4753.07147=""),"-",(4753.07147-2340.43934)/2339529.78212*100)</f>
        <v>0.1031246598542446</v>
      </c>
      <c r="G40" s="39">
        <f>IF(OR(1966837.29975="",2980.15044="",4753.07147=""),"-",(2980.15044-4753.07147)/1966837.29975*100)</f>
        <v>-0.09014070610849977</v>
      </c>
    </row>
    <row r="41" spans="1:7" s="27" customFormat="1" ht="15">
      <c r="A41" s="25" t="s">
        <v>88</v>
      </c>
      <c r="B41" s="35">
        <f>IF(3288.50089="","-",3288.50089)/1000</f>
        <v>3.28850089</v>
      </c>
      <c r="C41" s="39">
        <f>IF(OR(2098.06202="",3288.50089=""),"-",3288.50089/2098.06202*100)</f>
        <v>156.7399275451352</v>
      </c>
      <c r="D41" s="39">
        <f>IF(2098.06202="","-",2098.06202/1966837.29975*100)</f>
        <v>0.10667186453433031</v>
      </c>
      <c r="E41" s="39">
        <f>IF(3288.50089="","-",3288.50089/2045340.42783*100)</f>
        <v>0.16078012468021904</v>
      </c>
      <c r="F41" s="39">
        <f>IF(OR(2339529.78212="",3883.57887="",2098.06202=""),"-",(2098.06202-3883.57887)/2339529.78212*100)</f>
        <v>-0.07631947512042471</v>
      </c>
      <c r="G41" s="39">
        <f>IF(OR(1966837.29975="",3288.50089="",2098.06202=""),"-",(3288.50089-2098.06202)/1966837.29975*100)</f>
        <v>0.060525538647823784</v>
      </c>
    </row>
    <row r="42" spans="1:7" s="27" customFormat="1" ht="15">
      <c r="A42" s="25" t="s">
        <v>89</v>
      </c>
      <c r="B42" s="35">
        <f>IF(2966.26883="","-",2966.26883)/1000</f>
        <v>2.96626883</v>
      </c>
      <c r="C42" s="39">
        <f>IF(OR(2060.65057="",2966.26883=""),"-",2966.26883/2060.65057*100)</f>
        <v>143.948172154195</v>
      </c>
      <c r="D42" s="39">
        <f>IF(2060.65057="","-",2060.65057/1966837.29975*100)</f>
        <v>0.10476975244784732</v>
      </c>
      <c r="E42" s="39">
        <f>IF(2966.26883="","-",2966.26883/2045340.42783*100)</f>
        <v>0.14502567834866772</v>
      </c>
      <c r="F42" s="39">
        <f>IF(OR(2339529.78212="",1419.3961="",2060.65057=""),"-",(2060.65057-1419.3961)/2339529.78212*100)</f>
        <v>0.027409545067595485</v>
      </c>
      <c r="G42" s="39">
        <f>IF(OR(1966837.29975="",2966.26883="",2060.65057=""),"-",(2966.26883-2060.65057)/1966837.29975*100)</f>
        <v>0.04604439117130386</v>
      </c>
    </row>
    <row r="43" spans="1:7" s="27" customFormat="1" ht="26.25">
      <c r="A43" s="26" t="s">
        <v>90</v>
      </c>
      <c r="B43" s="34">
        <f>IF(171875.50721="","-",171875.50721)/1000</f>
        <v>171.87550721000002</v>
      </c>
      <c r="C43" s="40">
        <f>IF(137402.6055="","-",171875.50721/137402.6055*100)</f>
        <v>125.08897235576804</v>
      </c>
      <c r="D43" s="40">
        <f>IF(137402.6055="","-",137402.6055/1966837.29975*100)</f>
        <v>6.98596704045957</v>
      </c>
      <c r="E43" s="40">
        <f>IF(171875.50721="","-",171875.50721/2045340.42783*100)</f>
        <v>8.403271400270077</v>
      </c>
      <c r="F43" s="40">
        <f>IF(2339529.78212="","-",(137402.6055-173775.70227)/2339529.78212*100)</f>
        <v>-1.5547182621047884</v>
      </c>
      <c r="G43" s="40">
        <f>IF(1966837.29975="","-",(171875.50721-137402.6055)/1966837.29975*100)</f>
        <v>1.7527073395639678</v>
      </c>
    </row>
    <row r="44" spans="1:7" s="27" customFormat="1" ht="15">
      <c r="A44" s="25" t="s">
        <v>91</v>
      </c>
      <c r="B44" s="35">
        <f>IF(2350.56899="","-",2350.56899)/1000</f>
        <v>2.35056899</v>
      </c>
      <c r="C44" s="39" t="s">
        <v>223</v>
      </c>
      <c r="D44" s="39">
        <f>IF(1445.23757="","-",1445.23757/1966837.29975*100)</f>
        <v>0.0734802807626081</v>
      </c>
      <c r="E44" s="39">
        <f>IF(2350.56899="","-",2350.56899/2045340.42783*100)</f>
        <v>0.11492311783490398</v>
      </c>
      <c r="F44" s="39">
        <f>IF(OR(2339529.78212="",2141.41878="",1445.23757=""),"-",(1445.23757-2141.41878)/2339529.78212*100)</f>
        <v>-0.029757313427707033</v>
      </c>
      <c r="G44" s="39">
        <f>IF(OR(1966837.29975="",2350.56899="",1445.23757=""),"-",(2350.56899-1445.23757)/1966837.29975*100)</f>
        <v>0.04602980735188796</v>
      </c>
    </row>
    <row r="45" spans="1:7" s="27" customFormat="1" ht="15">
      <c r="A45" s="25" t="s">
        <v>92</v>
      </c>
      <c r="B45" s="35">
        <f>IF(12359.37123="","-",12359.37123)/1000</f>
        <v>12.35937123</v>
      </c>
      <c r="C45" s="39">
        <f>IF(OR(11491.58753="",12359.37123=""),"-",12359.37123/11491.58753*100)</f>
        <v>107.55146926161908</v>
      </c>
      <c r="D45" s="39">
        <f>IF(11491.58753="","-",11491.58753/1966837.29975*100)</f>
        <v>0.5842673174573549</v>
      </c>
      <c r="E45" s="39">
        <f>IF(12359.37123="","-",12359.37123/2045340.42783*100)</f>
        <v>0.6042696395099691</v>
      </c>
      <c r="F45" s="39">
        <f>IF(OR(2339529.78212="",7884.92484="",11491.58753=""),"-",(11491.58753-7884.92484)/2339529.78212*100)</f>
        <v>0.15416186267702775</v>
      </c>
      <c r="G45" s="39">
        <f>IF(OR(1966837.29975="",12359.37123="",11491.58753=""),"-",(12359.37123-11491.58753)/1966837.29975*100)</f>
        <v>0.044120766883478456</v>
      </c>
    </row>
    <row r="46" spans="1:7" s="27" customFormat="1" ht="15">
      <c r="A46" s="25" t="s">
        <v>93</v>
      </c>
      <c r="B46" s="35">
        <f>IF(7733.8581="","-",7733.8581)/1000</f>
        <v>7.7338581</v>
      </c>
      <c r="C46" s="39">
        <f>IF(OR(5918.42382="",7733.8581=""),"-",7733.8581/5918.42382*100)</f>
        <v>130.67428651975115</v>
      </c>
      <c r="D46" s="39">
        <f>IF(5918.42382="","-",5918.42382/1966837.29975*100)</f>
        <v>0.3009106966169635</v>
      </c>
      <c r="E46" s="39">
        <f>IF(7733.8581="","-",7733.8581/2045340.42783*100)</f>
        <v>0.3781208250112781</v>
      </c>
      <c r="F46" s="39">
        <f>IF(OR(2339529.78212="",6712.86122="",5918.42382=""),"-",(5918.42382-6712.86122)/2339529.78212*100)</f>
        <v>-0.03395713985227016</v>
      </c>
      <c r="G46" s="39">
        <f>IF(OR(1966837.29975="",7733.8581="",5918.42382=""),"-",(7733.8581-5918.42382)/1966837.29975*100)</f>
        <v>0.09230220924886648</v>
      </c>
    </row>
    <row r="47" spans="1:7" s="27" customFormat="1" ht="26.25">
      <c r="A47" s="25" t="s">
        <v>94</v>
      </c>
      <c r="B47" s="35">
        <f>IF(6495.12913="","-",6495.12913)/1000</f>
        <v>6.4951291300000005</v>
      </c>
      <c r="C47" s="39">
        <f>IF(OR(6071.49328="",6495.12913=""),"-",6495.12913/6071.49328*100)</f>
        <v>106.97745728214</v>
      </c>
      <c r="D47" s="39">
        <f>IF(6071.49328="","-",6071.49328/1966837.29975*100)</f>
        <v>0.30869321426697227</v>
      </c>
      <c r="E47" s="39">
        <f>IF(6495.12913="","-",6495.12913/2045340.42783*100)</f>
        <v>0.3175573631471703</v>
      </c>
      <c r="F47" s="39">
        <f>IF(OR(2339529.78212="",13223.01764="",6071.49328=""),"-",(6071.49328-13223.01764)/2339529.78212*100)</f>
        <v>-0.30568212529953515</v>
      </c>
      <c r="G47" s="39">
        <f>IF(OR(1966837.29975="",6495.12913="",6071.49328=""),"-",(6495.12913-6071.49328)/1966837.29975*100)</f>
        <v>0.021538937158342885</v>
      </c>
    </row>
    <row r="48" spans="1:7" s="27" customFormat="1" ht="26.25">
      <c r="A48" s="25" t="s">
        <v>95</v>
      </c>
      <c r="B48" s="35">
        <f>IF(75270.76017="","-",75270.76017)/1000</f>
        <v>75.27076016999999</v>
      </c>
      <c r="C48" s="39">
        <f>IF(OR(53165.08215="",75270.76017=""),"-",75270.76017/53165.08215*100)</f>
        <v>141.57931696151812</v>
      </c>
      <c r="D48" s="39">
        <f>IF(53165.08215="","-",53165.08215/1966837.29975*100)</f>
        <v>2.7030747361135408</v>
      </c>
      <c r="E48" s="39">
        <f>IF(75270.76017="","-",75270.76017/2045340.42783*100)</f>
        <v>3.680109146909024</v>
      </c>
      <c r="F48" s="39">
        <f>IF(OR(2339529.78212="",63544.326="",53165.08215=""),"-",(53165.08215-63544.326)/2339529.78212*100)</f>
        <v>-0.4436465792965752</v>
      </c>
      <c r="G48" s="39">
        <f>IF(OR(1966837.29975="",75270.76017="",53165.08215=""),"-",(75270.76017-53165.08215)/1966837.29975*100)</f>
        <v>1.1239200122353685</v>
      </c>
    </row>
    <row r="49" spans="1:7" s="27" customFormat="1" ht="15">
      <c r="A49" s="25" t="s">
        <v>96</v>
      </c>
      <c r="B49" s="35">
        <f>IF(35023.66856="","-",35023.66856)/1000</f>
        <v>35.02366856</v>
      </c>
      <c r="C49" s="39">
        <f>IF(OR(33730.62638="",35023.66856=""),"-",35023.66856/33730.62638*100)</f>
        <v>103.83343660871557</v>
      </c>
      <c r="D49" s="39">
        <f>IF(33730.62638="","-",33730.62638/1966837.29975*100)</f>
        <v>1.7149678005540885</v>
      </c>
      <c r="E49" s="39">
        <f>IF(35023.66856="","-",35023.66856/2045340.42783*100)</f>
        <v>1.7123637749222165</v>
      </c>
      <c r="F49" s="39">
        <f>IF(OR(2339529.78212="",51408.27483="",33730.62638=""),"-",(33730.62638-51408.27483)/2339529.78212*100)</f>
        <v>-0.7556068995189765</v>
      </c>
      <c r="G49" s="39">
        <f>IF(OR(1966837.29975="",35023.66856="",33730.62638=""),"-",(35023.66856-33730.62638)/1966837.29975*100)</f>
        <v>0.06574220349412492</v>
      </c>
    </row>
    <row r="50" spans="1:7" s="27" customFormat="1" ht="15">
      <c r="A50" s="25" t="s">
        <v>97</v>
      </c>
      <c r="B50" s="35">
        <f>IF(3369.09362="","-",3369.09362)/1000</f>
        <v>3.36909362</v>
      </c>
      <c r="C50" s="39">
        <f>IF(OR(2450.56295="",3369.09362=""),"-",3369.09362/2450.56295*100)</f>
        <v>137.4824352094281</v>
      </c>
      <c r="D50" s="39">
        <f>IF(2450.56295="","-",2450.56295/1966837.29975*100)</f>
        <v>0.12459408565779616</v>
      </c>
      <c r="E50" s="39">
        <f>IF(3369.09362="","-",3369.09362/2045340.42783*100)</f>
        <v>0.16472043353557694</v>
      </c>
      <c r="F50" s="39">
        <f>IF(OR(2339529.78212="",4742.30628="",2450.56295=""),"-",(2450.56295-4742.30628)/2339529.78212*100)</f>
        <v>-0.09795743347722216</v>
      </c>
      <c r="G50" s="39">
        <f>IF(OR(1966837.29975="",3369.09362="",2450.56295=""),"-",(3369.09362-2450.56295)/1966837.29975*100)</f>
        <v>0.0467008974314628</v>
      </c>
    </row>
    <row r="51" spans="1:7" s="27" customFormat="1" ht="15">
      <c r="A51" s="25" t="s">
        <v>98</v>
      </c>
      <c r="B51" s="35">
        <f>IF(2104.18423="","-",2104.18423)/1000</f>
        <v>2.10418423</v>
      </c>
      <c r="C51" s="39">
        <f>IF(OR(3196.72744="",2104.18423=""),"-",2104.18423/3196.72744*100)</f>
        <v>65.82307279847417</v>
      </c>
      <c r="D51" s="39">
        <f>IF(3196.72744="","-",3196.72744/1966837.29975*100)</f>
        <v>0.1625313614098293</v>
      </c>
      <c r="E51" s="39">
        <f>IF(2104.18423="","-",2104.18423/2045340.42783*100)</f>
        <v>0.10287696861458072</v>
      </c>
      <c r="F51" s="39">
        <f>IF(OR(2339529.78212="",2149.76351="",3196.72744=""),"-",(3196.72744-2149.76351)/2339529.78212*100)</f>
        <v>0.04475104091435322</v>
      </c>
      <c r="G51" s="39">
        <f>IF(OR(1966837.29975="",2104.18423="",3196.72744=""),"-",(2104.18423-3196.72744)/1966837.29975*100)</f>
        <v>-0.0555482250686862</v>
      </c>
    </row>
    <row r="52" spans="1:7" s="27" customFormat="1" ht="15">
      <c r="A52" s="25" t="s">
        <v>99</v>
      </c>
      <c r="B52" s="35">
        <f>IF(27168.87318="","-",27168.87318)/1000</f>
        <v>27.16887318</v>
      </c>
      <c r="C52" s="39">
        <f>IF(OR(19932.86438="",27168.87318=""),"-",27168.87318/19932.86438*100)</f>
        <v>136.30190153333095</v>
      </c>
      <c r="D52" s="39">
        <f>IF(19932.86438="","-",19932.86438/1966837.29975*100)</f>
        <v>1.0134475476204168</v>
      </c>
      <c r="E52" s="39">
        <f>IF(27168.87318="","-",27168.87318/2045340.42783*100)</f>
        <v>1.328330130785356</v>
      </c>
      <c r="F52" s="39">
        <f>IF(OR(2339529.78212="",21968.80917="",19932.86438=""),"-",(19932.86438-21968.80917)/2339529.78212*100)</f>
        <v>-0.08702367482388275</v>
      </c>
      <c r="G52" s="39">
        <f>IF(OR(1966837.29975="",27168.87318="",19932.86438=""),"-",(27168.87318-19932.86438)/1966837.29975*100)</f>
        <v>0.367900730829121</v>
      </c>
    </row>
    <row r="53" spans="1:7" s="27" customFormat="1" ht="26.25">
      <c r="A53" s="26" t="s">
        <v>100</v>
      </c>
      <c r="B53" s="34">
        <f>IF(325027.23554="","-",325027.23554)/1000</f>
        <v>325.02723554000005</v>
      </c>
      <c r="C53" s="40">
        <f>IF(313503.46756="","-",325027.23554/313503.46756*100)</f>
        <v>103.6758023985156</v>
      </c>
      <c r="D53" s="40">
        <f>IF(313503.46756="","-",313503.46756/1966837.29975*100)</f>
        <v>15.939471332979535</v>
      </c>
      <c r="E53" s="40">
        <f>IF(325027.23554="","-",325027.23554/2045340.42783*100)</f>
        <v>15.891106982363667</v>
      </c>
      <c r="F53" s="40">
        <f>IF(2339529.78212="","-",(313503.46756-336958.38315)/2339529.78212*100)</f>
        <v>-1.0025482799687193</v>
      </c>
      <c r="G53" s="40">
        <f>IF(1966837.29975="","-",(325027.23554-313503.46756)/1966837.29975*100)</f>
        <v>0.5859034695683656</v>
      </c>
    </row>
    <row r="54" spans="1:7" s="27" customFormat="1" ht="26.25">
      <c r="A54" s="25" t="s">
        <v>101</v>
      </c>
      <c r="B54" s="35">
        <f>IF(2518.32372="","-",2518.32372)/1000</f>
        <v>2.5183237199999997</v>
      </c>
      <c r="C54" s="39">
        <f>IF(OR(6377.47739="",2518.32372=""),"-",2518.32372/6377.47739*100)</f>
        <v>39.487771825718696</v>
      </c>
      <c r="D54" s="39">
        <f>IF(6377.47739="","-",6377.47739/1966837.29975*100)</f>
        <v>0.324250378554984</v>
      </c>
      <c r="E54" s="39">
        <f>IF(2518.32372="","-",2518.32372/2045340.42783*100)</f>
        <v>0.1231249177757568</v>
      </c>
      <c r="F54" s="39">
        <f>IF(OR(2339529.78212="",7539.46495="",6377.47739=""),"-",(6377.47739-7539.46495)/2339529.78212*100)</f>
        <v>-0.049667568623428554</v>
      </c>
      <c r="G54" s="39">
        <f>IF(OR(1966837.29975="",2518.32372="",6377.47739=""),"-",(2518.32372-6377.47739)/1966837.29975*100)</f>
        <v>-0.19621112892716283</v>
      </c>
    </row>
    <row r="55" spans="1:7" s="27" customFormat="1" ht="26.25">
      <c r="A55" s="25" t="s">
        <v>102</v>
      </c>
      <c r="B55" s="35">
        <f>IF(10694.26136="","-",10694.26136)/1000</f>
        <v>10.69426136</v>
      </c>
      <c r="C55" s="39">
        <f>IF(OR(11544.56614="",10694.26136=""),"-",10694.26136/11544.56614*100)</f>
        <v>92.63458869143783</v>
      </c>
      <c r="D55" s="39">
        <f>IF(11544.56614="","-",11544.56614/1966837.29975*100)</f>
        <v>0.5869609113813026</v>
      </c>
      <c r="E55" s="39">
        <f>IF(10694.26136="","-",10694.26136/2045340.42783*100)</f>
        <v>0.5228597261604053</v>
      </c>
      <c r="F55" s="39">
        <f>IF(OR(2339529.78212="",11723.29616="",11544.56614=""),"-",(11544.56614-11723.29616)/2339529.78212*100)</f>
        <v>-0.007639570197650579</v>
      </c>
      <c r="G55" s="39">
        <f>IF(OR(1966837.29975="",10694.26136="",11544.56614=""),"-",(10694.26136-11544.56614)/1966837.29975*100)</f>
        <v>-0.043232085343718085</v>
      </c>
    </row>
    <row r="56" spans="1:7" s="27" customFormat="1" ht="26.25">
      <c r="A56" s="25" t="s">
        <v>103</v>
      </c>
      <c r="B56" s="35">
        <f>IF(2161.84939="","-",2161.84939)/1000</f>
        <v>2.16184939</v>
      </c>
      <c r="C56" s="39">
        <f>IF(OR(2169.25174="",2161.84939=""),"-",2161.84939/2169.25174*100)</f>
        <v>99.65876021378688</v>
      </c>
      <c r="D56" s="39">
        <f>IF(2169.25174="","-",2169.25174/1966837.29975*100)</f>
        <v>0.11029136676814744</v>
      </c>
      <c r="E56" s="39">
        <f>IF(2161.84939="","-",2161.84939/2045340.42783*100)</f>
        <v>0.10569631150808524</v>
      </c>
      <c r="F56" s="39">
        <f>IF(OR(2339529.78212="",2913.52446="",2169.25174=""),"-",(2169.25174-2913.52446)/2339529.78212*100)</f>
        <v>-0.03181291923223845</v>
      </c>
      <c r="G56" s="39">
        <f>IF(OR(1966837.29975="",2161.84939="",2169.25174=""),"-",(2161.84939-2169.25174)/1966837.29975*100)</f>
        <v>-0.00037635802417114987</v>
      </c>
    </row>
    <row r="57" spans="1:7" s="27" customFormat="1" ht="39">
      <c r="A57" s="25" t="s">
        <v>104</v>
      </c>
      <c r="B57" s="35">
        <f>IF(28456.66281="","-",28456.66281)/1000</f>
        <v>28.45666281</v>
      </c>
      <c r="C57" s="39">
        <f>IF(OR(36261.95439="",28456.66281=""),"-",28456.66281/36261.95439*100)</f>
        <v>78.47525950737925</v>
      </c>
      <c r="D57" s="39">
        <f>IF(36261.95439="","-",36261.95439/1966837.29975*100)</f>
        <v>1.8436682279011674</v>
      </c>
      <c r="E57" s="39">
        <f>IF(28456.66281="","-",28456.66281/2045340.42783*100)</f>
        <v>1.3912922476279925</v>
      </c>
      <c r="F57" s="39">
        <f>IF(OR(2339529.78212="",39139.14036="",36261.95439=""),"-",(36261.95439-39139.14036)/2339529.78212*100)</f>
        <v>-0.12298137822348187</v>
      </c>
      <c r="G57" s="39">
        <f>IF(OR(1966837.29975="",28456.66281="",36261.95439=""),"-",(28456.66281-36261.95439)/1966837.29975*100)</f>
        <v>-0.396844801600626</v>
      </c>
    </row>
    <row r="58" spans="1:7" s="27" customFormat="1" ht="26.25">
      <c r="A58" s="25" t="s">
        <v>105</v>
      </c>
      <c r="B58" s="35">
        <f>IF(2252.19203="","-",2252.19203)/1000</f>
        <v>2.2521920300000002</v>
      </c>
      <c r="C58" s="39" t="s">
        <v>141</v>
      </c>
      <c r="D58" s="39">
        <f>IF(923.312="","-",923.312/1966837.29975*100)</f>
        <v>0.04694399481428179</v>
      </c>
      <c r="E58" s="39">
        <f>IF(2252.19203="","-",2252.19203/2045340.42783*100)</f>
        <v>0.11011330922498115</v>
      </c>
      <c r="F58" s="39">
        <f>IF(OR(2339529.78212="",1093.25517="",923.312=""),"-",(923.312-1093.25517)/2339529.78212*100)</f>
        <v>-0.00726398831503668</v>
      </c>
      <c r="G58" s="39">
        <f>IF(OR(1966837.29975="",2252.19203="",923.312=""),"-",(2252.19203-923.312)/1966837.29975*100)</f>
        <v>0.06756430896286698</v>
      </c>
    </row>
    <row r="59" spans="1:7" s="27" customFormat="1" ht="39">
      <c r="A59" s="25" t="s">
        <v>106</v>
      </c>
      <c r="B59" s="35">
        <f>IF(2962.75578="","-",2962.75578)/1000</f>
        <v>2.96275578</v>
      </c>
      <c r="C59" s="39">
        <f>IF(OR(3762.56874="",2962.75578=""),"-",2962.75578/3762.56874*100)</f>
        <v>78.74290105328414</v>
      </c>
      <c r="D59" s="39">
        <f>IF(3762.56874="","-",3762.56874/1966837.29975*100)</f>
        <v>0.1913004568541715</v>
      </c>
      <c r="E59" s="39">
        <f>IF(2962.75578="","-",2962.75578/2045340.42783*100)</f>
        <v>0.14485391965499503</v>
      </c>
      <c r="F59" s="39">
        <f>IF(OR(2339529.78212="",3323.8719="",3762.56874=""),"-",(3762.56874-3323.8719)/2339529.78212*100)</f>
        <v>0.018751496277276212</v>
      </c>
      <c r="G59" s="39">
        <f>IF(OR(1966837.29975="",2962.75578="",3762.56874=""),"-",(2962.75578-3762.56874)/1966837.29975*100)</f>
        <v>-0.04066492739901071</v>
      </c>
    </row>
    <row r="60" spans="1:7" s="27" customFormat="1" ht="39.75" customHeight="1">
      <c r="A60" s="25" t="s">
        <v>107</v>
      </c>
      <c r="B60" s="35">
        <f>IF(249090.03869="","-",249090.03869)/1000</f>
        <v>249.09003869</v>
      </c>
      <c r="C60" s="39">
        <f>IF(OR(235549.8574="",249090.03869=""),"-",249090.03869/235549.8574*100)</f>
        <v>105.74832922399382</v>
      </c>
      <c r="D60" s="39">
        <f>IF(235549.8574="","-",235549.8574/1966837.29975*100)</f>
        <v>11.976072318230907</v>
      </c>
      <c r="E60" s="39">
        <f>IF(249090.03869="","-",249090.03869/2045340.42783*100)</f>
        <v>12.178414668812447</v>
      </c>
      <c r="F60" s="39">
        <f>IF(OR(2339529.78212="",244187.93121="",235549.8574=""),"-",(235549.8574-244187.93121)/2339529.78212*100)</f>
        <v>-0.3692226479020276</v>
      </c>
      <c r="G60" s="39">
        <f>IF(OR(1966837.29975="",249090.03869="",235549.8574=""),"-",(249090.03869-235549.8574)/1966837.29975*100)</f>
        <v>0.6884240649555018</v>
      </c>
    </row>
    <row r="61" spans="1:7" s="27" customFormat="1" ht="26.25">
      <c r="A61" s="25" t="s">
        <v>108</v>
      </c>
      <c r="B61" s="35">
        <f>IF(26344.99128="","-",26344.99128)/1000</f>
        <v>26.34499128</v>
      </c>
      <c r="C61" s="39" t="s">
        <v>32</v>
      </c>
      <c r="D61" s="39">
        <f>IF(11520.77959="","-",11520.77959/1966837.29975*100)</f>
        <v>0.5857515307170745</v>
      </c>
      <c r="E61" s="39">
        <f>IF(26344.99128="","-",26344.99128/2045340.42783*100)</f>
        <v>1.2880492128124932</v>
      </c>
      <c r="F61" s="39">
        <f>IF(OR(2339529.78212="",17977.82491="",11520.77959=""),"-",(11520.77959-17977.82491)/2339529.78212*100)</f>
        <v>-0.27599756879986587</v>
      </c>
      <c r="G61" s="39">
        <f>IF(OR(1966837.29975="",26344.99128="",11520.77959=""),"-",(26344.99128-11520.77959)/1966837.29975*100)</f>
        <v>0.753708082101365</v>
      </c>
    </row>
    <row r="62" spans="1:7" s="27" customFormat="1" ht="15">
      <c r="A62" s="25" t="s">
        <v>109</v>
      </c>
      <c r="B62" s="35">
        <f>IF(546.16048="","-",546.16048)/1000</f>
        <v>0.5461604800000001</v>
      </c>
      <c r="C62" s="39">
        <f>IF(OR(5393.70017="",546.16048=""),"-",546.16048/5393.70017*100)</f>
        <v>10.125896189739446</v>
      </c>
      <c r="D62" s="39">
        <f>IF(5393.70017="","-",5393.70017/1966837.29975*100)</f>
        <v>0.2742321477574978</v>
      </c>
      <c r="E62" s="39">
        <f>IF(546.16048="","-",546.16048/2045340.42783*100)</f>
        <v>0.02670266878650846</v>
      </c>
      <c r="F62" s="39">
        <f>IF(OR(2339529.78212="",9060.07403="",5393.70017=""),"-",(5393.70017-9060.07403)/2339529.78212*100)</f>
        <v>-0.15671413495226633</v>
      </c>
      <c r="G62" s="39">
        <f>IF(OR(1966837.29975="",546.16048="",5393.70017=""),"-",(546.16048-5393.70017)/1966837.29975*100)</f>
        <v>-0.24646368515668068</v>
      </c>
    </row>
    <row r="63" spans="1:7" s="27" customFormat="1" ht="15">
      <c r="A63" s="26" t="s">
        <v>110</v>
      </c>
      <c r="B63" s="34">
        <f>IF(471820.56401="","-",471820.56401)/1000</f>
        <v>471.82056401</v>
      </c>
      <c r="C63" s="40">
        <f>IF(426636.58462="","-",471820.56401/426636.58462*100)</f>
        <v>110.59074186763537</v>
      </c>
      <c r="D63" s="40">
        <f>IF(426636.58462="","-",426636.58462/1966837.29975*100)</f>
        <v>21.691503647720566</v>
      </c>
      <c r="E63" s="40">
        <f>IF(471820.56401="","-",471820.56401/2045340.42783*100)</f>
        <v>23.06807011635599</v>
      </c>
      <c r="F63" s="40">
        <f>IF(2339529.78212="","-",(426636.58462-517001.54828)/2339529.78212*100)</f>
        <v>-3.862526750059768</v>
      </c>
      <c r="G63" s="40">
        <f>IF(1966837.29975="","-",(471820.56401-426636.58462)/1966837.29975*100)</f>
        <v>2.2972911585387985</v>
      </c>
    </row>
    <row r="64" spans="1:7" s="27" customFormat="1" ht="39">
      <c r="A64" s="25" t="s">
        <v>111</v>
      </c>
      <c r="B64" s="35">
        <f>IF(6215.65646="","-",6215.65646)/1000</f>
        <v>6.21565646</v>
      </c>
      <c r="C64" s="39" t="s">
        <v>45</v>
      </c>
      <c r="D64" s="39">
        <f>IF(3330.51684="","-",3330.51684/1966837.29975*100)</f>
        <v>0.16933362207556943</v>
      </c>
      <c r="E64" s="39">
        <f>IF(6215.65646="","-",6215.65646/2045340.42783*100)</f>
        <v>0.30389349251725734</v>
      </c>
      <c r="F64" s="39">
        <f>IF(OR(2339529.78212="",3318.68447="",3330.51684=""),"-",(3330.51684-3318.68447)/2339529.78212*100)</f>
        <v>0.000505758468664483</v>
      </c>
      <c r="G64" s="39">
        <f>IF(OR(1966837.29975="",6215.65646="",3330.51684=""),"-",(6215.65646-3330.51684)/1966837.29975*100)</f>
        <v>0.14668928743453885</v>
      </c>
    </row>
    <row r="65" spans="1:7" s="27" customFormat="1" ht="15">
      <c r="A65" s="25" t="s">
        <v>112</v>
      </c>
      <c r="B65" s="35">
        <f>IF(122319.53766="","-",122319.53766)/1000</f>
        <v>122.31953766000001</v>
      </c>
      <c r="C65" s="39">
        <f>IF(OR(97778.6279="",122319.53766=""),"-",122319.53766/97778.6279*100)</f>
        <v>125.09843949241998</v>
      </c>
      <c r="D65" s="39">
        <f>IF(97778.6279="","-",97778.6279/1966837.29975*100)</f>
        <v>4.971363310652508</v>
      </c>
      <c r="E65" s="39">
        <f>IF(122319.53766="","-",122319.53766/2045340.42783*100)</f>
        <v>5.9803999371280545</v>
      </c>
      <c r="F65" s="39">
        <f>IF(OR(2339529.78212="",108934.53503="",97778.6279=""),"-",(97778.6279-108934.53503)/2339529.78212*100)</f>
        <v>-0.4768439887048969</v>
      </c>
      <c r="G65" s="39">
        <f>IF(OR(1966837.29975="",122319.53766="",97778.6279=""),"-",(122319.53766-97778.6279)/1966837.29975*100)</f>
        <v>1.2477346124724873</v>
      </c>
    </row>
    <row r="66" spans="1:7" s="27" customFormat="1" ht="15">
      <c r="A66" s="25" t="s">
        <v>113</v>
      </c>
      <c r="B66" s="35">
        <f>IF(14669.6418="","-",14669.6418)/1000</f>
        <v>14.669641799999999</v>
      </c>
      <c r="C66" s="39">
        <f>IF(OR(15274.50914="",14669.6418=""),"-",14669.6418/15274.50914*100)</f>
        <v>96.04002109360091</v>
      </c>
      <c r="D66" s="39">
        <f>IF(15274.50914="","-",15274.50914/1966837.29975*100)</f>
        <v>0.776602576224353</v>
      </c>
      <c r="E66" s="39">
        <f>IF(14669.6418="","-",14669.6418/2045340.42783*100)</f>
        <v>0.717222502444922</v>
      </c>
      <c r="F66" s="39">
        <f>IF(OR(2339529.78212="",21560.57916="",15274.50914=""),"-",(15274.50914-21560.57916)/2339529.78212*100)</f>
        <v>-0.26868946349995954</v>
      </c>
      <c r="G66" s="39">
        <f>IF(OR(1966837.29975="",14669.6418="",15274.50914=""),"-",(14669.6418-15274.50914)/1966837.29975*100)</f>
        <v>-0.030753298205036275</v>
      </c>
    </row>
    <row r="67" spans="1:7" s="27" customFormat="1" ht="15">
      <c r="A67" s="25" t="s">
        <v>114</v>
      </c>
      <c r="B67" s="35">
        <f>IF(244580.81546="","-",244580.81546)/1000</f>
        <v>244.58081546000003</v>
      </c>
      <c r="C67" s="39">
        <f>IF(OR(229184.36112="",244580.81546=""),"-",244580.81546/229184.36112*100)</f>
        <v>106.71793409670676</v>
      </c>
      <c r="D67" s="39">
        <f>IF(229184.36112="","-",229184.36112/1966837.29975*100)</f>
        <v>11.652431095807012</v>
      </c>
      <c r="E67" s="39">
        <f>IF(244580.81546="","-",244580.81546/2045340.42783*100)</f>
        <v>11.957951455518218</v>
      </c>
      <c r="F67" s="39">
        <f>IF(OR(2339529.78212="",277574.38796="",229184.36112=""),"-",(229184.36112-277574.38796)/2339529.78212*100)</f>
        <v>-2.0683654984785314</v>
      </c>
      <c r="G67" s="39">
        <f>IF(OR(1966837.29975="",244580.81546="",229184.36112=""),"-",(244580.81546-229184.36112)/1966837.29975*100)</f>
        <v>0.7828026416804803</v>
      </c>
    </row>
    <row r="68" spans="1:7" s="27" customFormat="1" ht="15">
      <c r="A68" s="25" t="s">
        <v>115</v>
      </c>
      <c r="B68" s="35">
        <f>IF(28907.08592="","-",28907.08592)/1000</f>
        <v>28.90708592</v>
      </c>
      <c r="C68" s="39">
        <f>IF(OR(23755.59779="",28907.08592=""),"-",28907.08592/23755.59779*100)</f>
        <v>121.6853651738814</v>
      </c>
      <c r="D68" s="39">
        <f>IF(23755.59779="","-",23755.59779/1966837.29975*100)</f>
        <v>1.207806959580211</v>
      </c>
      <c r="E68" s="39">
        <f>IF(28907.08592="","-",28907.08592/2045340.42783*100)</f>
        <v>1.4133141616268212</v>
      </c>
      <c r="F68" s="39">
        <f>IF(OR(2339529.78212="",33503.95177="",23755.59779=""),"-",(23755.59779-33503.95177)/2339529.78212*100)</f>
        <v>-0.4166800548769412</v>
      </c>
      <c r="G68" s="39">
        <f>IF(OR(1966837.29975="",28907.08592="",23755.59779=""),"-",(28907.08592-23755.59779)/1966837.29975*100)</f>
        <v>0.261917349780523</v>
      </c>
    </row>
    <row r="69" spans="1:7" ht="26.25">
      <c r="A69" s="16" t="s">
        <v>121</v>
      </c>
      <c r="B69" s="35">
        <f>IF(24337.48544="","-",24337.48544)/1000</f>
        <v>24.337485440000002</v>
      </c>
      <c r="C69" s="39">
        <f>IF(OR(24234.06664="",24337.48544=""),"-",24337.48544/24234.06664*100)</f>
        <v>100.42674967241898</v>
      </c>
      <c r="D69" s="39">
        <f>IF(24234.06664="","-",24234.06664/1966837.29975*100)</f>
        <v>1.2321337734992281</v>
      </c>
      <c r="E69" s="39">
        <f>IF(24337.48544="","-",24337.48544/2045340.42783*100)</f>
        <v>1.189899006974639</v>
      </c>
      <c r="F69" s="39">
        <f>IF(OR(2339529.78212="",32339.99077="",24234.06664=""),"-",(24234.06664-32339.99077)/2339529.78212*100)</f>
        <v>-0.34647663782483223</v>
      </c>
      <c r="G69" s="39">
        <f>IF(OR(1966837.29975="",24337.48544="",24234.06664=""),"-",(24337.48544-24234.06664)/1966837.29975*100)</f>
        <v>0.005258126842171682</v>
      </c>
    </row>
    <row r="70" spans="1:7" ht="26.25">
      <c r="A70" s="18" t="s">
        <v>117</v>
      </c>
      <c r="B70" s="35">
        <f>IF(2045.31728="","-",2045.31728)/1000</f>
        <v>2.04531728</v>
      </c>
      <c r="C70" s="39">
        <f>IF(OR(1845.8964="",2045.31728=""),"-",2045.31728/1845.8964*100)</f>
        <v>110.80347087734717</v>
      </c>
      <c r="D70" s="39">
        <f>IF(1845.8964="","-",1845.8964/1966837.29975*100)</f>
        <v>0.09385099622803714</v>
      </c>
      <c r="E70" s="39">
        <f>IF(2045.31728="","-",2045.31728/2045340.42783*100)</f>
        <v>0.09999886826517067</v>
      </c>
      <c r="F70" s="39">
        <f>IF(OR(2339529.78212="",1368.67761="",1845.8964=""),"-",(1845.8964-1368.67761)/2339529.78212*100)</f>
        <v>0.020398064331011042</v>
      </c>
      <c r="G70" s="39">
        <f>IF(OR(1966837.29975="",2045.31728="",1845.8964=""),"-",(2045.31728-1845.8964)/1966837.29975*100)</f>
        <v>0.010139165045596187</v>
      </c>
    </row>
    <row r="71" spans="1:7" ht="15">
      <c r="A71" s="19" t="s">
        <v>118</v>
      </c>
      <c r="B71" s="36">
        <f>IF(28745.02399="","-",28745.02399)/1000</f>
        <v>28.74502399</v>
      </c>
      <c r="C71" s="61">
        <f>IF(OR(31233.00879="",28745.02399=""),"-",28745.02399/31233.00879*100)</f>
        <v>92.0341174405311</v>
      </c>
      <c r="D71" s="61">
        <f>IF(31233.00879="","-",31233.00879/1966837.29975*100)</f>
        <v>1.5879813136536487</v>
      </c>
      <c r="E71" s="61">
        <f>IF(28745.02399="","-",28745.02399/2045340.42783*100)</f>
        <v>1.40539069188091</v>
      </c>
      <c r="F71" s="61">
        <f>IF(OR(2339529.78212="",38400.74151="",31233.00879=""),"-",(31233.00879-38400.74151)/2339529.78212*100)</f>
        <v>-0.30637492947428313</v>
      </c>
      <c r="G71" s="61">
        <f>IF(OR(1966837.29975="",28745.02399="",31233.00879=""),"-",(28745.02399-31233.00879)/1966837.29975*100)</f>
        <v>-0.12649672651196112</v>
      </c>
    </row>
    <row r="72" spans="1:7" ht="15">
      <c r="A72" s="13" t="s">
        <v>35</v>
      </c>
      <c r="B72" s="48"/>
      <c r="C72" s="48"/>
      <c r="D72" s="48"/>
      <c r="E72" s="48"/>
      <c r="F72" s="48"/>
      <c r="G72" s="48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79"/>
  <sheetViews>
    <sheetView zoomScalePageLayoutView="0" workbookViewId="0" topLeftCell="A1">
      <selection activeCell="J12" sqref="J12"/>
    </sheetView>
  </sheetViews>
  <sheetFormatPr defaultColWidth="9.00390625" defaultRowHeight="15.75"/>
  <cols>
    <col min="1" max="1" width="28.625" style="0" customWidth="1"/>
    <col min="2" max="2" width="9.875" style="0" customWidth="1"/>
    <col min="3" max="3" width="10.875" style="0" customWidth="1"/>
    <col min="4" max="4" width="8.875" style="0" customWidth="1"/>
    <col min="5" max="5" width="8.75390625" style="0" customWidth="1"/>
    <col min="6" max="6" width="9.75390625" style="0" customWidth="1"/>
    <col min="7" max="7" width="10.375" style="0" customWidth="1"/>
  </cols>
  <sheetData>
    <row r="1" spans="1:7" ht="15.75">
      <c r="A1" s="70" t="s">
        <v>129</v>
      </c>
      <c r="B1" s="70"/>
      <c r="C1" s="70"/>
      <c r="D1" s="70"/>
      <c r="E1" s="70"/>
      <c r="F1" s="70"/>
      <c r="G1" s="70"/>
    </row>
    <row r="2" spans="1:7" ht="15.75">
      <c r="A2" s="70" t="s">
        <v>46</v>
      </c>
      <c r="B2" s="70"/>
      <c r="C2" s="70"/>
      <c r="D2" s="70"/>
      <c r="E2" s="70"/>
      <c r="F2" s="70"/>
      <c r="G2" s="70"/>
    </row>
    <row r="3" ht="15">
      <c r="A3" s="12"/>
    </row>
    <row r="4" spans="1:7" ht="62.25" customHeight="1">
      <c r="A4" s="75"/>
      <c r="B4" s="73">
        <v>2016</v>
      </c>
      <c r="C4" s="74"/>
      <c r="D4" s="73" t="s">
        <v>0</v>
      </c>
      <c r="E4" s="74"/>
      <c r="F4" s="71" t="s">
        <v>229</v>
      </c>
      <c r="G4" s="72"/>
    </row>
    <row r="5" spans="1:7" ht="28.5" customHeight="1">
      <c r="A5" s="76"/>
      <c r="B5" s="65" t="s">
        <v>2</v>
      </c>
      <c r="C5" s="66" t="s">
        <v>224</v>
      </c>
      <c r="D5" s="67">
        <v>2015</v>
      </c>
      <c r="E5" s="67">
        <v>2016</v>
      </c>
      <c r="F5" s="67" t="s">
        <v>3</v>
      </c>
      <c r="G5" s="63" t="s">
        <v>4</v>
      </c>
    </row>
    <row r="6" spans="1:7" ht="15">
      <c r="A6" s="15" t="s">
        <v>122</v>
      </c>
      <c r="B6" s="33">
        <f>IF(4020345.63484="","-",4020345.63484)/1000</f>
        <v>4020.34563484</v>
      </c>
      <c r="C6" s="62">
        <f>IF(3986820.02566="","-",4020355.63484/3986820.02566*100)</f>
        <v>100.84116185240764</v>
      </c>
      <c r="D6" s="62">
        <v>100</v>
      </c>
      <c r="E6" s="62">
        <v>100</v>
      </c>
      <c r="F6" s="62">
        <f>IF(5316958.59674="","-",(3986820.02566-5316958.59674)/5316958.59674*100)</f>
        <v>-25.01690669352873</v>
      </c>
      <c r="G6" s="62">
        <f>IF(3986820.02566="","-",(4020355.63484-3986820.02566)/3986820.02566*100)</f>
        <v>0.8411618524076335</v>
      </c>
    </row>
    <row r="7" spans="1:7" ht="15">
      <c r="A7" s="16" t="s">
        <v>123</v>
      </c>
      <c r="B7" s="50"/>
      <c r="C7" s="50"/>
      <c r="D7" s="50"/>
      <c r="E7" s="50"/>
      <c r="F7" s="50"/>
      <c r="G7" s="50"/>
    </row>
    <row r="8" spans="1:7" ht="15">
      <c r="A8" s="17" t="s">
        <v>47</v>
      </c>
      <c r="B8" s="34">
        <f>IF(440645.31271="","-",440645.31271)/1000</f>
        <v>440.64531271000004</v>
      </c>
      <c r="C8" s="40">
        <f>IF(430800.09832="","-",440645.31271/430800.09832*100)</f>
        <v>102.28533243803648</v>
      </c>
      <c r="D8" s="40">
        <f>IF(430800.09832="","-",430800.09832/3986820.02566*100)</f>
        <v>10.805606863296594</v>
      </c>
      <c r="E8" s="40">
        <f>IF(440645.31271="","-",440645.31271/4020355.63484*100)</f>
        <v>10.960356563767936</v>
      </c>
      <c r="F8" s="40">
        <f>IF(5316958.59674="","-",(430800.09832-543187.7978)/5316958.59674*100)</f>
        <v>-2.11375916203125</v>
      </c>
      <c r="G8" s="40">
        <f>IF(3986820.02566="","-",(440645.31271-430800.09832)/3986820.02566*100)</f>
        <v>0.24694403877361398</v>
      </c>
    </row>
    <row r="9" spans="1:7" ht="15">
      <c r="A9" s="16" t="s">
        <v>48</v>
      </c>
      <c r="B9" s="35">
        <f>IF(6619.23672="","-",6619.23672)/1000</f>
        <v>6.61923672</v>
      </c>
      <c r="C9" s="39">
        <f>IF(OR(8207.25418="",6619.23672=""),"-",6619.23672/8207.25418*100)</f>
        <v>80.65105058071931</v>
      </c>
      <c r="D9" s="39">
        <f>IF(8207.25418="","-",8207.25418/3986820.02566*100)</f>
        <v>0.2058596607616198</v>
      </c>
      <c r="E9" s="39">
        <f>IF(6619.23672="","-",6619.23672/4020355.63484*100)</f>
        <v>0.1646430644751513</v>
      </c>
      <c r="F9" s="39">
        <f>IF(OR(5316958.59674="",17173.78469="",8207.25418=""),"-",(8207.25418-17173.78469)/5316958.59674*100)</f>
        <v>-0.1686402168995198</v>
      </c>
      <c r="G9" s="39">
        <f>IF(OR(3986820.02566="",6619.23672="",8207.25418=""),"-",(6619.23672-8207.25418)/3986820.02566*100)</f>
        <v>-0.03983168163546864</v>
      </c>
    </row>
    <row r="10" spans="1:7" s="27" customFormat="1" ht="15">
      <c r="A10" s="25" t="s">
        <v>49</v>
      </c>
      <c r="B10" s="35">
        <f>IF(25283.15744="","-",25283.15744)/1000</f>
        <v>25.28315744</v>
      </c>
      <c r="C10" s="39">
        <f>IF(OR(28447.93365="",25283.15744=""),"-",25283.15744/28447.93365*100)</f>
        <v>88.87519828702919</v>
      </c>
      <c r="D10" s="39">
        <f>IF(28447.93365="","-",28447.93365/3986820.02566*100)</f>
        <v>0.7135494822164834</v>
      </c>
      <c r="E10" s="39">
        <f>IF(25283.15744="","-",25283.15744/4020355.63484*100)</f>
        <v>0.6288786300619449</v>
      </c>
      <c r="F10" s="39">
        <f>IF(OR(5316958.59674="",56045.21988="",28447.93365=""),"-",(28447.93365-56045.21988)/5316958.59674*100)</f>
        <v>-0.5190427145120293</v>
      </c>
      <c r="G10" s="39">
        <f>IF(OR(3986820.02566="",25283.15744="",28447.93365=""),"-",(25283.15744-28447.93365)/3986820.02566*100)</f>
        <v>-0.0793809650205137</v>
      </c>
    </row>
    <row r="11" spans="1:7" s="27" customFormat="1" ht="15">
      <c r="A11" s="25" t="s">
        <v>50</v>
      </c>
      <c r="B11" s="35">
        <f>IF(39716.62916="","-",39716.62916)/1000</f>
        <v>39.71662916</v>
      </c>
      <c r="C11" s="39">
        <f>IF(OR(34592.20913="",39716.62916=""),"-",39716.62916/34592.20913*100)</f>
        <v>114.81379813223856</v>
      </c>
      <c r="D11" s="39">
        <f>IF(34592.20913="","-",34592.20913/3986820.02566*100)</f>
        <v>0.86766417614433</v>
      </c>
      <c r="E11" s="39">
        <f>IF(39716.62916="","-",39716.62916/4020355.63484*100)</f>
        <v>0.987888454837668</v>
      </c>
      <c r="F11" s="39">
        <f>IF(OR(5316958.59674="",43708.04137="",34592.20913=""),"-",(34592.20913-43708.04137)/5316958.59674*100)</f>
        <v>-0.1714482457243359</v>
      </c>
      <c r="G11" s="39">
        <f>IF(OR(3986820.02566="",39716.62916="",34592.20913=""),"-",(39716.62916-34592.20913)/3986820.02566*100)</f>
        <v>0.12853401951977175</v>
      </c>
    </row>
    <row r="12" spans="1:7" s="27" customFormat="1" ht="15">
      <c r="A12" s="25" t="s">
        <v>51</v>
      </c>
      <c r="B12" s="35">
        <f>IF(43170.21679="","-",43170.21679)/1000</f>
        <v>43.17021679</v>
      </c>
      <c r="C12" s="39">
        <f>IF(OR(36653.56001="",43170.21679=""),"-",43170.21679/36653.56001*100)</f>
        <v>117.77905550844746</v>
      </c>
      <c r="D12" s="39">
        <f>IF(36653.56001="","-",36653.56001/3986820.02566*100)</f>
        <v>0.9193683129434008</v>
      </c>
      <c r="E12" s="39">
        <f>IF(43170.21679="","-",43170.21679/4020355.63484*100)</f>
        <v>1.0737909954007854</v>
      </c>
      <c r="F12" s="39">
        <f>IF(OR(5316958.59674="",49996.54644="",36653.56001=""),"-",(36653.56001-49996.54644)/5316958.59674*100)</f>
        <v>-0.25095148264237027</v>
      </c>
      <c r="G12" s="39">
        <f>IF(OR(3986820.02566="",43170.21679="",36653.56001=""),"-",(43170.21679-36653.56001)/3986820.02566*100)</f>
        <v>0.16345500268528412</v>
      </c>
    </row>
    <row r="13" spans="1:7" s="27" customFormat="1" ht="15">
      <c r="A13" s="25" t="s">
        <v>52</v>
      </c>
      <c r="B13" s="35">
        <f>IF(58188.63086="","-",58188.63086)/1000</f>
        <v>58.188630859999996</v>
      </c>
      <c r="C13" s="39">
        <f>IF(OR(58101.75355="",58188.63086=""),"-",58188.63086/58101.75355*100)</f>
        <v>100.14952614110904</v>
      </c>
      <c r="D13" s="39">
        <f>IF(58101.75355="","-",58101.75355/3986820.02566*100)</f>
        <v>1.4573457837586115</v>
      </c>
      <c r="E13" s="39">
        <f>IF(58188.63086="","-",58188.63086/4020355.63484*100)</f>
        <v>1.4473503377597527</v>
      </c>
      <c r="F13" s="39">
        <f>IF(OR(5316958.59674="",74554.38028="",58101.75355=""),"-",(58101.75355-74554.38028)/5316958.59674*100)</f>
        <v>-0.3094368035908279</v>
      </c>
      <c r="G13" s="39">
        <f>IF(OR(3986820.02566="",58188.63086="",58101.75355=""),"-",(58188.63086-58101.75355)/3986820.02566*100)</f>
        <v>0.00217911291306946</v>
      </c>
    </row>
    <row r="14" spans="1:7" s="27" customFormat="1" ht="15">
      <c r="A14" s="25" t="s">
        <v>53</v>
      </c>
      <c r="B14" s="35">
        <f>IF(95022.22207="","-",95022.22207)/1000</f>
        <v>95.02222207</v>
      </c>
      <c r="C14" s="39">
        <f>IF(OR(117147.28054="",95022.22207=""),"-",95022.22207/117147.28054*100)</f>
        <v>81.1134681334362</v>
      </c>
      <c r="D14" s="39">
        <f>IF(117147.28054="","-",117147.28054/3986820.02566*100)</f>
        <v>2.938363903713131</v>
      </c>
      <c r="E14" s="39">
        <f>IF(95022.22207="","-",95022.22207/4020355.63484*100)</f>
        <v>2.363527774671149</v>
      </c>
      <c r="F14" s="39">
        <f>IF(OR(5316958.59674="",117802.8101="",117147.28054=""),"-",(117147.28054-117802.8101)/5316958.59674*100)</f>
        <v>-0.012329032624062972</v>
      </c>
      <c r="G14" s="39">
        <f>IF(OR(3986820.02566="",95022.22207="",117147.28054=""),"-",(95022.22207-117147.28054)/3986820.02566*100)</f>
        <v>-0.5549550350303887</v>
      </c>
    </row>
    <row r="15" spans="1:7" s="27" customFormat="1" ht="15">
      <c r="A15" s="25" t="s">
        <v>54</v>
      </c>
      <c r="B15" s="35">
        <f>IF(26358.48825="","-",26358.48825)/1000</f>
        <v>26.358488249999997</v>
      </c>
      <c r="C15" s="39" t="s">
        <v>34</v>
      </c>
      <c r="D15" s="39">
        <f>IF(13365.59715="","-",13365.59715/3986820.02566*100)</f>
        <v>0.33524455741609216</v>
      </c>
      <c r="E15" s="39">
        <f>IF(26358.48825="","-",26358.48825/4020355.63484*100)</f>
        <v>0.6556257864747083</v>
      </c>
      <c r="F15" s="39">
        <f>IF(OR(5316958.59674="",17784.03215="",13365.59715=""),"-",(13365.59715-17784.03215)/5316958.59674*100)</f>
        <v>-0.08310079756327397</v>
      </c>
      <c r="G15" s="39">
        <f>IF(OR(3986820.02566="",26358.48825="",13365.59715=""),"-",(26358.48825-13365.59715)/3986820.02566*100)</f>
        <v>0.3258961030689888</v>
      </c>
    </row>
    <row r="16" spans="1:7" s="27" customFormat="1" ht="26.25">
      <c r="A16" s="25" t="s">
        <v>55</v>
      </c>
      <c r="B16" s="35">
        <f>IF(49570.5642="","-",49570.5642)/1000</f>
        <v>49.5705642</v>
      </c>
      <c r="C16" s="39">
        <f>IF(OR(44127.02414="",49570.5642=""),"-",49570.5642/44127.02414*100)</f>
        <v>112.33606880611188</v>
      </c>
      <c r="D16" s="39">
        <f>IF(44127.02414="","-",44127.02414/3986820.02566*100)</f>
        <v>1.1068225767902573</v>
      </c>
      <c r="E16" s="39">
        <f>IF(49570.5642="","-",49570.5642/4020355.63484*100)</f>
        <v>1.2329895338219943</v>
      </c>
      <c r="F16" s="39">
        <f>IF(OR(5316958.59674="",54458.40112="",44127.02414=""),"-",(44127.02414-54458.40112)/5316958.59674*100)</f>
        <v>-0.19430990089587125</v>
      </c>
      <c r="G16" s="39">
        <f>IF(OR(3986820.02566="",49570.5642="",44127.02414=""),"-",(49570.5642-44127.02414)/3986820.02566*100)</f>
        <v>0.1365383946344266</v>
      </c>
    </row>
    <row r="17" spans="1:7" s="27" customFormat="1" ht="26.25">
      <c r="A17" s="25" t="s">
        <v>56</v>
      </c>
      <c r="B17" s="35">
        <f>IF(27448.83442="","-",27448.83442)/1000</f>
        <v>27.44883442</v>
      </c>
      <c r="C17" s="39">
        <f>IF(OR(26209.54297="",27448.83442=""),"-",27448.83442/26209.54297*100)</f>
        <v>104.72839778785352</v>
      </c>
      <c r="D17" s="39">
        <f>IF(26209.54297="","-",26209.54297/3986820.02566*100)</f>
        <v>0.6574047185804714</v>
      </c>
      <c r="E17" s="39">
        <f>IF(27448.83442="","-",27448.83442/4020355.63484*100)</f>
        <v>0.6827464262646604</v>
      </c>
      <c r="F17" s="39">
        <f>IF(OR(5316958.59674="",29542.27643="",26209.54297=""),"-",(26209.54297-29542.27643)/5316958.59674*100)</f>
        <v>-0.06268120015159438</v>
      </c>
      <c r="G17" s="39">
        <f>IF(OR(3986820.02566="",27448.83442="",26209.54297=""),"-",(27448.83442-26209.54297)/3986820.02566*100)</f>
        <v>0.03108471017060374</v>
      </c>
    </row>
    <row r="18" spans="1:7" s="27" customFormat="1" ht="15">
      <c r="A18" s="25" t="s">
        <v>57</v>
      </c>
      <c r="B18" s="35">
        <f>IF(69267.3328="","-",69267.3328)/1000</f>
        <v>69.2673328</v>
      </c>
      <c r="C18" s="39">
        <f>IF(OR(63947.943="",69267.3328=""),"-",69267.3328/63947.943*100)</f>
        <v>108.31831259998465</v>
      </c>
      <c r="D18" s="39">
        <f>IF(63947.943="","-",63947.943/3986820.02566*100)</f>
        <v>1.603983690972198</v>
      </c>
      <c r="E18" s="39">
        <f>IF(69267.3328="","-",69267.3328/4020355.63484*100)</f>
        <v>1.7229155600001211</v>
      </c>
      <c r="F18" s="39">
        <f>IF(OR(5316958.59674="",82122.30534="",63947.943=""),"-",(63947.943-82122.30534)/5316958.59674*100)</f>
        <v>-0.3418187674273653</v>
      </c>
      <c r="G18" s="39">
        <f>IF(OR(3986820.02566="",69267.3328="",63947.943=""),"-",(69267.3328-63947.943)/3986820.02566*100)</f>
        <v>0.13342437746783928</v>
      </c>
    </row>
    <row r="19" spans="1:7" s="27" customFormat="1" ht="15">
      <c r="A19" s="26" t="s">
        <v>58</v>
      </c>
      <c r="B19" s="34">
        <f>IF(108817.02552="","-",108817.02552)/1000</f>
        <v>108.81702552</v>
      </c>
      <c r="C19" s="40">
        <f>IF(99318.17563="","-",108817.02552/99318.17563*100)</f>
        <v>109.56405998171677</v>
      </c>
      <c r="D19" s="40">
        <f>IF(99318.17563="","-",99318.17563/3986820.02566*100)</f>
        <v>2.491162756050377</v>
      </c>
      <c r="E19" s="40">
        <f>IF(108817.02552="","-",108817.02552/4020355.63484*100)</f>
        <v>2.706651734413805</v>
      </c>
      <c r="F19" s="40">
        <f>IF(5316958.59674="","-",(99318.17563-117481.46899)/5316958.59674*100)</f>
        <v>-0.34161058487716084</v>
      </c>
      <c r="G19" s="40">
        <f>IF(3986820.02566="","-",(108817.02552-99318.17563)/3986820.02566*100)</f>
        <v>0.2382563002308464</v>
      </c>
    </row>
    <row r="20" spans="1:7" s="27" customFormat="1" ht="15">
      <c r="A20" s="25" t="s">
        <v>59</v>
      </c>
      <c r="B20" s="35">
        <f>IF(49916.4362="","-",49916.4362)/1000</f>
        <v>49.9164362</v>
      </c>
      <c r="C20" s="39">
        <f>IF(OR(39652.03777="",49916.4362=""),"-",49916.4362/39652.03777*100)</f>
        <v>125.8861814102423</v>
      </c>
      <c r="D20" s="39">
        <f>IF(39652.03777="","-",39652.03777/3986820.02566*100)</f>
        <v>0.9945780726190616</v>
      </c>
      <c r="E20" s="39">
        <f>IF(49916.4362="","-",49916.4362/4020355.63484*100)</f>
        <v>1.2415925538385002</v>
      </c>
      <c r="F20" s="39">
        <f>IF(OR(5316958.59674="",57270.13793="",39652.03777=""),"-",(39652.03777-57270.13793)/5316958.59674*100)</f>
        <v>-0.3313567303458451</v>
      </c>
      <c r="G20" s="39">
        <f>IF(OR(3986820.02566="",49916.4362="",39652.03777=""),"-",(49916.4362-39652.03777)/3986820.02566*100)</f>
        <v>0.2574582841446616</v>
      </c>
    </row>
    <row r="21" spans="1:7" s="27" customFormat="1" ht="15">
      <c r="A21" s="25" t="s">
        <v>60</v>
      </c>
      <c r="B21" s="35">
        <f>IF(58900.58932="","-",58900.58932)/1000</f>
        <v>58.90058932</v>
      </c>
      <c r="C21" s="39">
        <f>IF(OR(59666.13786="",58900.58932=""),"-",58900.58932/59666.13786*100)</f>
        <v>98.71694638289429</v>
      </c>
      <c r="D21" s="39">
        <f>IF(59666.13786="","-",59666.13786/3986820.02566*100)</f>
        <v>1.4965846834313157</v>
      </c>
      <c r="E21" s="39">
        <f>IF(58900.58932="","-",58900.58932/4020355.63484*100)</f>
        <v>1.4650591805753048</v>
      </c>
      <c r="F21" s="39">
        <f>IF(OR(5316958.59674="",60211.3310599999="",59666.13786=""),"-",(59666.13786-60211.3310599999)/5316958.59674*100)</f>
        <v>-0.010253854531313736</v>
      </c>
      <c r="G21" s="39">
        <f>IF(OR(3986820.02566="",58900.58932="",59666.13786=""),"-",(58900.58932-59666.13786)/3986820.02566*100)</f>
        <v>-0.01920198391381538</v>
      </c>
    </row>
    <row r="22" spans="1:7" s="27" customFormat="1" ht="26.25">
      <c r="A22" s="26" t="s">
        <v>61</v>
      </c>
      <c r="B22" s="34">
        <f>IF(96278.52435="","-",96278.52435)/1000</f>
        <v>96.27852435000001</v>
      </c>
      <c r="C22" s="40">
        <f>IF(99818.51935="","-",96278.52435/99818.51935*100)</f>
        <v>96.45356891381299</v>
      </c>
      <c r="D22" s="40">
        <f>IF(99818.51935="","-",99818.51935/3986820.02566*100)</f>
        <v>2.503712701038605</v>
      </c>
      <c r="E22" s="40">
        <f>IF(96278.52435="","-",96278.52435/4020355.63484*100)</f>
        <v>2.3947763107238558</v>
      </c>
      <c r="F22" s="40">
        <f>IF(5316958.59674="","-",(99818.51935-112460.93953)/5316958.59674*100)</f>
        <v>-0.23777541144953582</v>
      </c>
      <c r="G22" s="40">
        <f>IF(3986820.02566="","-",(96278.52435-99818.51935)/3986820.02566*100)</f>
        <v>-0.08879244553844554</v>
      </c>
    </row>
    <row r="23" spans="1:7" s="27" customFormat="1" ht="15">
      <c r="A23" s="25" t="s">
        <v>63</v>
      </c>
      <c r="B23" s="35">
        <f>IF(25536.22187="","-",25536.22187)/1000</f>
        <v>25.536221870000002</v>
      </c>
      <c r="C23" s="39">
        <f>IF(OR(23607.82565="",25536.22187=""),"-",25536.22187/23607.82565*100)</f>
        <v>108.16846179986932</v>
      </c>
      <c r="D23" s="39">
        <f>IF(23607.82565="","-",23607.82565/3986820.02566*100)</f>
        <v>0.592146761028969</v>
      </c>
      <c r="E23" s="39">
        <f>IF(25536.22187="","-",25536.22187/4020355.63484*100)</f>
        <v>0.6351732082780353</v>
      </c>
      <c r="F23" s="39">
        <f>IF(OR(5316958.59674="",19896.14437="",23607.82565=""),"-",(23607.82565-19896.14437)/5316958.59674*100)</f>
        <v>0.06980835401418678</v>
      </c>
      <c r="G23" s="39">
        <f>IF(OR(3986820.02566="",25536.22187="",23607.82565=""),"-",(25536.22187-23607.82565)/3986820.02566*100)</f>
        <v>0.048369281973814834</v>
      </c>
    </row>
    <row r="24" spans="1:7" s="27" customFormat="1" ht="26.25">
      <c r="A24" s="25" t="s">
        <v>64</v>
      </c>
      <c r="B24" s="35">
        <f>IF(712.59639="","-",712.59639)/1000</f>
        <v>0.7125963900000001</v>
      </c>
      <c r="C24" s="39">
        <f>IF(OR(2925.17503="",712.59639=""),"-",712.59639/2925.17503*100)</f>
        <v>24.360812009256076</v>
      </c>
      <c r="D24" s="39">
        <f>IF(2925.17503="","-",2925.17503/3986820.02566*100)</f>
        <v>0.07337113316309658</v>
      </c>
      <c r="E24" s="39">
        <f>IF(712.59639="","-",712.59639/4020355.63484*100)</f>
        <v>0.017724710317284148</v>
      </c>
      <c r="F24" s="39">
        <f>IF(OR(5316958.59674="",6652.27538="",2925.17503=""),"-",(2925.17503-6652.27538)/5316958.59674*100)</f>
        <v>-0.07009835194664119</v>
      </c>
      <c r="G24" s="39">
        <f>IF(OR(3986820.02566="",712.59639="",2925.17503=""),"-",(712.59639-2925.17503)/3986820.02566*100)</f>
        <v>-0.05549732934417368</v>
      </c>
    </row>
    <row r="25" spans="1:7" s="27" customFormat="1" ht="15">
      <c r="A25" s="25" t="s">
        <v>65</v>
      </c>
      <c r="B25" s="35">
        <f>IF(27320.34833="","-",27320.34833)/1000</f>
        <v>27.32034833</v>
      </c>
      <c r="C25" s="39">
        <f>IF(OR(26938.1329499999="",27320.34833=""),"-",27320.34833/26938.1329499999*100)</f>
        <v>101.41886366330411</v>
      </c>
      <c r="D25" s="39">
        <f>IF(26938.1329499999="","-",26938.1329499999/3986820.02566*100)</f>
        <v>0.6756796839742074</v>
      </c>
      <c r="E25" s="39">
        <f>IF(27320.34833="","-",27320.34833/4020355.63484*100)</f>
        <v>0.6795505376003206</v>
      </c>
      <c r="F25" s="39">
        <f>IF(OR(5316958.59674="",29443.97957="",26938.1329499999=""),"-",(26938.1329499999-29443.97957)/5316958.59674*100)</f>
        <v>-0.04712932354855113</v>
      </c>
      <c r="G25" s="39">
        <f>IF(OR(3986820.02566="",27320.34833="",26938.1329499999=""),"-",(27320.34833-26938.1329499999)/3986820.02566*100)</f>
        <v>0.009586973516238063</v>
      </c>
    </row>
    <row r="26" spans="1:7" s="27" customFormat="1" ht="15">
      <c r="A26" s="25" t="s">
        <v>66</v>
      </c>
      <c r="B26" s="35">
        <f>IF(637.92254="","-",637.92254)/1000</f>
        <v>0.63792254</v>
      </c>
      <c r="C26" s="39" t="s">
        <v>140</v>
      </c>
      <c r="D26" s="39">
        <f>IF(375.61329="","-",375.61329/3986820.02566*100)</f>
        <v>0.009421375622237148</v>
      </c>
      <c r="E26" s="39">
        <f>IF(637.92254="","-",637.92254/4020355.63484*100)</f>
        <v>0.01586731617650506</v>
      </c>
      <c r="F26" s="39">
        <f>IF(OR(5316958.59674="",490.43671="",375.61329=""),"-",(375.61329-490.43671)/5316958.59674*100)</f>
        <v>-0.0021595695717924524</v>
      </c>
      <c r="G26" s="39">
        <f>IF(OR(3986820.02566="",637.92254="",375.61329=""),"-",(637.92254-375.61329)/3986820.02566*100)</f>
        <v>0.006579410364945579</v>
      </c>
    </row>
    <row r="27" spans="1:7" s="27" customFormat="1" ht="39">
      <c r="A27" s="25" t="s">
        <v>67</v>
      </c>
      <c r="B27" s="35">
        <f>IF(7894.84155="","-",7894.84155)/1000</f>
        <v>7.89484155</v>
      </c>
      <c r="C27" s="39">
        <f>IF(OR(11459.20916="",7894.84155=""),"-",7894.84155/11459.20916*100)</f>
        <v>68.89516928932642</v>
      </c>
      <c r="D27" s="39">
        <f>IF(11459.20916="","-",11459.20916/3986820.02566*100)</f>
        <v>0.2874273001100164</v>
      </c>
      <c r="E27" s="39">
        <f>IF(7894.84155="","-",7894.84155/4020355.63484*100)</f>
        <v>0.1963717209886631</v>
      </c>
      <c r="F27" s="39">
        <f>IF(OR(5316958.59674="",13927.22284="",11459.20916=""),"-",(11459.20916-13927.22284)/5316958.59674*100)</f>
        <v>-0.0464177712708393</v>
      </c>
      <c r="G27" s="39">
        <f>IF(OR(3986820.02566="",7894.84155="",11459.20916=""),"-",(7894.84155-11459.20916)/3986820.02566*100)</f>
        <v>-0.08940377511548031</v>
      </c>
    </row>
    <row r="28" spans="1:7" s="27" customFormat="1" ht="39">
      <c r="A28" s="25" t="s">
        <v>68</v>
      </c>
      <c r="B28" s="35">
        <f>IF(11410.20505="","-",11410.20505)/1000</f>
        <v>11.41020505</v>
      </c>
      <c r="C28" s="39">
        <f>IF(OR(10497.49395="",11410.20505=""),"-",11410.20505/10497.49395*100)</f>
        <v>108.69456181015471</v>
      </c>
      <c r="D28" s="39">
        <f>IF(10497.49395="","-",10497.49395/3986820.02566*100)</f>
        <v>0.26330493682774625</v>
      </c>
      <c r="E28" s="39">
        <f>IF(11410.20505="","-",11410.20505/4020355.63484*100)</f>
        <v>0.28381083880043606</v>
      </c>
      <c r="F28" s="39">
        <f>IF(OR(5316958.59674="",16084.77222="",10497.49395=""),"-",(10497.49395-16084.77222)/5316958.59674*100)</f>
        <v>-0.10508410340877476</v>
      </c>
      <c r="G28" s="39">
        <f>IF(OR(3986820.02566="",11410.20505="",10497.49395=""),"-",(11410.20505-10497.49395)/3986820.02566*100)</f>
        <v>0.022893210481677192</v>
      </c>
    </row>
    <row r="29" spans="1:7" s="27" customFormat="1" ht="26.25">
      <c r="A29" s="25" t="s">
        <v>69</v>
      </c>
      <c r="B29" s="35">
        <f>IF(766.53044="","-",766.53044)/1000</f>
        <v>0.76653044</v>
      </c>
      <c r="C29" s="39">
        <f>IF(OR(854.61389="",766.53044=""),"-",766.53044/854.61389*100)</f>
        <v>89.69318764524176</v>
      </c>
      <c r="D29" s="39">
        <f>IF(854.61389="","-",854.61389/3986820.02566*100)</f>
        <v>0.02143597866218008</v>
      </c>
      <c r="E29" s="39">
        <f>IF(766.53044="","-",766.53044/4020355.63484*100)</f>
        <v>0.019066234672309182</v>
      </c>
      <c r="F29" s="39">
        <f>IF(OR(5316958.59674="",1006.46688="",854.61389=""),"-",(854.61389-1006.46688)/5316958.59674*100)</f>
        <v>-0.0028560122716228403</v>
      </c>
      <c r="G29" s="39">
        <f>IF(OR(3986820.02566="",766.53044="",854.61389=""),"-",(766.53044-854.61389)/3986820.02566*100)</f>
        <v>-0.002209366097116916</v>
      </c>
    </row>
    <row r="30" spans="1:7" s="27" customFormat="1" ht="26.25">
      <c r="A30" s="25" t="s">
        <v>70</v>
      </c>
      <c r="B30" s="35">
        <f>IF(21864.90511="","-",21864.90511)/1000</f>
        <v>21.86490511</v>
      </c>
      <c r="C30" s="39">
        <f>IF(OR(23151.02443="",21864.90511=""),"-",21864.90511/23151.02443*100)</f>
        <v>94.44465481910426</v>
      </c>
      <c r="D30" s="39">
        <f>IF(23151.02443="","-",23151.02443/3986820.02566*100)</f>
        <v>0.58068897720477</v>
      </c>
      <c r="E30" s="39">
        <f>IF(21864.90511="","-",21864.90511/4020355.63484*100)</f>
        <v>0.5438549993070493</v>
      </c>
      <c r="F30" s="39">
        <f>IF(OR(5316958.59674="",24776.48269="",23151.02443=""),"-",(23151.02443-24776.48269)/5316958.59674*100)</f>
        <v>-0.030571204014953602</v>
      </c>
      <c r="G30" s="39">
        <f>IF(OR(3986820.02566="",21864.90511="",23151.02443=""),"-",(21864.90511-23151.02443)/3986820.02566*100)</f>
        <v>-0.03225927711113798</v>
      </c>
    </row>
    <row r="31" spans="1:7" s="27" customFormat="1" ht="26.25">
      <c r="A31" s="26" t="s">
        <v>71</v>
      </c>
      <c r="B31" s="34">
        <f>IF(615073.26241="","-",615073.26241)/1000</f>
        <v>615.07326241</v>
      </c>
      <c r="C31" s="40">
        <f>IF(717695.59945="","-",615073.26241/717695.59945*100)</f>
        <v>85.7011333051723</v>
      </c>
      <c r="D31" s="40">
        <f>IF(717695.59945="","-",717695.59945/3986820.02566*100)</f>
        <v>18.001705490359797</v>
      </c>
      <c r="E31" s="40">
        <f>IF(615073.26241="","-",615073.26241/4020355.63484*100)</f>
        <v>15.29897646565982</v>
      </c>
      <c r="F31" s="40">
        <f>IF(5316958.59674="","-",(717695.59945-1136017.13239)/5316958.59674*100)</f>
        <v>-7.867684604436952</v>
      </c>
      <c r="G31" s="40">
        <f>IF(3986820.02566="","-",(615073.26241-717695.59945)/3986820.02566*100)</f>
        <v>-2.574039870862025</v>
      </c>
    </row>
    <row r="32" spans="1:7" s="27" customFormat="1" ht="15">
      <c r="A32" s="25" t="s">
        <v>72</v>
      </c>
      <c r="B32" s="35">
        <f>IF(9790.2002="","-",9790.2002)/1000</f>
        <v>9.7902002</v>
      </c>
      <c r="C32" s="39">
        <f>IF(OR(19704.75461="",9790.2002=""),"-",9790.2002/19704.75461*100)</f>
        <v>49.68445633436893</v>
      </c>
      <c r="D32" s="39">
        <f>IF(19704.75461="","-",19704.75461/3986820.02566*100)</f>
        <v>0.49424740728641164</v>
      </c>
      <c r="E32" s="39">
        <f>IF(9790.2002="","-",9790.2002/4020355.63484*100)</f>
        <v>0.24351577544929368</v>
      </c>
      <c r="F32" s="39">
        <f>IF(OR(5316958.59674="",17356.60441="",19704.75461=""),"-",(19704.75461-17356.60441)/5316958.59674*100)</f>
        <v>0.044163409537169</v>
      </c>
      <c r="G32" s="39">
        <f>IF(OR(3986820.02566="",9790.2002="",19704.75461=""),"-",(9790.2002-19704.75461)/3986820.02566*100)</f>
        <v>-0.24868327002944388</v>
      </c>
    </row>
    <row r="33" spans="1:7" s="27" customFormat="1" ht="26.25">
      <c r="A33" s="25" t="s">
        <v>73</v>
      </c>
      <c r="B33" s="35">
        <f>IF(375600.60473="","-",375600.60473)/1000</f>
        <v>375.60060473000004</v>
      </c>
      <c r="C33" s="39">
        <f>IF(OR(407810.7156="",375600.60473=""),"-",375600.60473/407810.7156*100)</f>
        <v>92.10170070626756</v>
      </c>
      <c r="D33" s="39">
        <f>IF(407810.7156="","-",407810.7156/3986820.02566*100)</f>
        <v>10.228972288070334</v>
      </c>
      <c r="E33" s="39">
        <f>IF(375600.60473="","-",375600.60473/4020355.63484*100)</f>
        <v>9.342472130452409</v>
      </c>
      <c r="F33" s="39">
        <f>IF(OR(5316958.59674="",610427.40724="",407810.7156=""),"-",(407810.7156-610427.40724)/5316958.59674*100)</f>
        <v>-3.810763013355621</v>
      </c>
      <c r="G33" s="39">
        <f>IF(OR(3986820.02566="",375600.60473="",407810.7156=""),"-",(375600.60473-407810.7156)/3986820.02566*100)</f>
        <v>-0.8079148459847455</v>
      </c>
    </row>
    <row r="34" spans="1:7" s="27" customFormat="1" ht="26.25">
      <c r="A34" s="25" t="s">
        <v>74</v>
      </c>
      <c r="B34" s="35">
        <f>IF(229428.94258="","-",229428.94258)/1000</f>
        <v>229.42894258</v>
      </c>
      <c r="C34" s="39">
        <f>IF(OR(288986.74596="",229428.94258=""),"-",229428.94258/288986.74596*100)</f>
        <v>79.39081836360631</v>
      </c>
      <c r="D34" s="39">
        <f>IF(288986.74596="","-",288986.74596/3986820.02566*100)</f>
        <v>7.248552583262384</v>
      </c>
      <c r="E34" s="39">
        <f>IF(229428.94258="","-",229428.94258/4020355.63484*100)</f>
        <v>5.706682776811875</v>
      </c>
      <c r="F34" s="39">
        <f>IF(OR(5316958.59674="",458348.70329="",288986.74596=""),"-",(288986.74596-458348.70329)/5316958.59674*100)</f>
        <v>-3.1853164595609473</v>
      </c>
      <c r="G34" s="39">
        <f>IF(OR(3986820.02566="",229428.94258="",288986.74596=""),"-",(229428.94258-288986.74596)/3986820.02566*100)</f>
        <v>-1.493867367894051</v>
      </c>
    </row>
    <row r="35" spans="1:7" s="27" customFormat="1" ht="15">
      <c r="A35" s="25" t="s">
        <v>75</v>
      </c>
      <c r="B35" s="35">
        <f>IF(253.5149="","-",253.5149)/1000</f>
        <v>0.2535149</v>
      </c>
      <c r="C35" s="39">
        <f>IF(OR(1193.38328="",253.5149=""),"-",253.5149/1193.38328*100)</f>
        <v>21.243376226957025</v>
      </c>
      <c r="D35" s="39">
        <f>IF(1193.38328="","-",1193.38328/3986820.02566*100)</f>
        <v>0.029933211740663934</v>
      </c>
      <c r="E35" s="39">
        <f>IF(253.5149="","-",253.5149/4020355.63484*100)</f>
        <v>0.006305782946241503</v>
      </c>
      <c r="F35" s="39">
        <f>IF(OR(5316958.59674="",49884.41745="",1193.38328=""),"-",(1193.38328-49884.41745)/5316958.59674*100)</f>
        <v>-0.9157685410575522</v>
      </c>
      <c r="G35" s="39">
        <f>IF(OR(3986820.02566="",253.5149="",1193.38328=""),"-",(253.5149-1193.38328)/3986820.02566*100)</f>
        <v>-0.023574386953783024</v>
      </c>
    </row>
    <row r="36" spans="1:7" s="27" customFormat="1" ht="26.25">
      <c r="A36" s="26" t="s">
        <v>76</v>
      </c>
      <c r="B36" s="34">
        <f>IF(10126.5447="","-",10126.5447)/1000</f>
        <v>10.1265447</v>
      </c>
      <c r="C36" s="40">
        <f>IF(8964.73277="","-",10126.5447/8964.73277*100)</f>
        <v>112.95980549345477</v>
      </c>
      <c r="D36" s="40">
        <f>IF(8964.73277="","-",8964.73277/3986820.02566*100)</f>
        <v>0.22485922896697425</v>
      </c>
      <c r="E36" s="40">
        <f>IF(10126.5447="","-",10126.5447/4020355.63484*100)</f>
        <v>0.2518818139431342</v>
      </c>
      <c r="F36" s="40">
        <f>IF(5316958.59674="","-",(8964.73277-12955.57679)/5316958.59674*100)</f>
        <v>-0.07505877556479215</v>
      </c>
      <c r="G36" s="40">
        <f>IF(3986820.02566="","-",(10126.5447-8964.73277)/3986820.02566*100)</f>
        <v>0.029141318708201965</v>
      </c>
    </row>
    <row r="37" spans="1:7" s="27" customFormat="1" ht="15">
      <c r="A37" s="25" t="s">
        <v>77</v>
      </c>
      <c r="B37" s="35">
        <f>IF(1009.5764="","-",1009.5764)/1000</f>
        <v>1.0095764</v>
      </c>
      <c r="C37" s="39">
        <f>IF(OR(850.4554="",1009.5764=""),"-",1009.5764/850.4554*100)</f>
        <v>118.71009343935026</v>
      </c>
      <c r="D37" s="39">
        <f>IF(850.4554="","-",850.4554/3986820.02566*100)</f>
        <v>0.021331672724785488</v>
      </c>
      <c r="E37" s="39">
        <f>IF(1009.5764="","-",1009.5764/4020355.63484*100)</f>
        <v>0.025111619262015328</v>
      </c>
      <c r="F37" s="39">
        <f>IF(OR(5316958.59674="",2301.90337="",850.4554=""),"-",(850.4554-2301.90337)/5316958.59674*100)</f>
        <v>-0.027298462901139194</v>
      </c>
      <c r="G37" s="39">
        <f>IF(OR(3986820.02566="",1009.5764="",850.4554=""),"-",(1009.5764-850.4554)/3986820.02566*100)</f>
        <v>0.003991175898983758</v>
      </c>
    </row>
    <row r="38" spans="1:7" s="27" customFormat="1" ht="26.25">
      <c r="A38" s="25" t="s">
        <v>124</v>
      </c>
      <c r="B38" s="35">
        <f>IF(7196.25526="","-",7196.25526)/1000</f>
        <v>7.19625526</v>
      </c>
      <c r="C38" s="39">
        <f>IF(OR(6383.17493="",7196.25526=""),"-",7196.25526/6383.17493*100)</f>
        <v>112.73786695361645</v>
      </c>
      <c r="D38" s="39">
        <f>IF(6383.17493="","-",6383.17493/3986820.02566*100)</f>
        <v>0.160106924539271</v>
      </c>
      <c r="E38" s="39">
        <f>IF(7196.25526="","-",7196.25526/4020355.63484*100)</f>
        <v>0.178995489792942</v>
      </c>
      <c r="F38" s="39">
        <f>IF(OR(5316958.59674="",8870.43768="",6383.17493=""),"-",(6383.17493-8870.43768)/5316958.59674*100)</f>
        <v>-0.04677980286558975</v>
      </c>
      <c r="G38" s="39">
        <f>IF(OR(3986820.02566="",7196.25526="",6383.17493=""),"-",(7196.25526-6383.17493)/3986820.02566*100)</f>
        <v>0.02039420703133942</v>
      </c>
    </row>
    <row r="39" spans="1:7" s="27" customFormat="1" ht="26.25">
      <c r="A39" s="25" t="s">
        <v>125</v>
      </c>
      <c r="B39" s="35">
        <f>IF(1920.71304="","-",1920.71304)/1000</f>
        <v>1.92071304</v>
      </c>
      <c r="C39" s="39">
        <f>IF(OR(1731.10244="",1920.71304=""),"-",1920.71304/1731.10244*100)</f>
        <v>110.95317039701014</v>
      </c>
      <c r="D39" s="39">
        <f>IF(1731.10244="","-",1731.10244/3986820.02566*100)</f>
        <v>0.04342063170291776</v>
      </c>
      <c r="E39" s="39">
        <f>IF(1920.71304="","-",1920.71304/4020355.63484*100)</f>
        <v>0.04777470488817688</v>
      </c>
      <c r="F39" s="39">
        <f>IF(OR(5316958.59674="",1783.23574="",1731.10244=""),"-",(1731.10244-1783.23574)/5316958.59674*100)</f>
        <v>-0.0009805097980632163</v>
      </c>
      <c r="G39" s="39">
        <f>IF(OR(3986820.02566="",1920.71304="",1731.10244=""),"-",(1920.71304-1731.10244)/3986820.02566*100)</f>
        <v>0.0047559357778787885</v>
      </c>
    </row>
    <row r="40" spans="1:7" s="27" customFormat="1" ht="26.25">
      <c r="A40" s="26" t="s">
        <v>80</v>
      </c>
      <c r="B40" s="34">
        <f>IF(629414.91948="","-",629414.91948)/1000</f>
        <v>629.4149194800001</v>
      </c>
      <c r="C40" s="40">
        <f>IF(626043.13056="","-",629414.91948/626043.13056*100)</f>
        <v>100.53858732017137</v>
      </c>
      <c r="D40" s="40">
        <f>IF(626043.13056="","-",626043.13056/3986820.02566*100)</f>
        <v>15.702818951712308</v>
      </c>
      <c r="E40" s="40">
        <f>IF(629414.91948="","-",629414.91948/4020355.63484*100)</f>
        <v>15.655702545952732</v>
      </c>
      <c r="F40" s="40">
        <f>IF(5316958.59674="","-",(626043.13056-796908.69736)/5316958.59674*100)</f>
        <v>-3.2135959626385517</v>
      </c>
      <c r="G40" s="40">
        <f>IF(3986820.02566="","-",(629414.91948-626043.13056)/3986820.02566*100)</f>
        <v>0.08457339178338995</v>
      </c>
    </row>
    <row r="41" spans="1:7" s="27" customFormat="1" ht="15">
      <c r="A41" s="25" t="s">
        <v>81</v>
      </c>
      <c r="B41" s="35">
        <f>IF(17596.68019="","-",17596.68019)/1000</f>
        <v>17.59668019</v>
      </c>
      <c r="C41" s="39">
        <f>IF(OR(18963.13947="",17596.68019=""),"-",17596.68019/18963.13947*100)</f>
        <v>92.79412946278353</v>
      </c>
      <c r="D41" s="39">
        <f>IF(18963.13947="","-",18963.13947/3986820.02566*100)</f>
        <v>0.4756457364001711</v>
      </c>
      <c r="E41" s="39">
        <f>IF(17596.68019="","-",17596.68019/4020355.63484*100)</f>
        <v>0.43768964211794914</v>
      </c>
      <c r="F41" s="39">
        <f>IF(OR(5316958.59674="",14525.70254="",18963.13947=""),"-",(18963.13947-14525.70254)/5316958.59674*100)</f>
        <v>0.08345818101199311</v>
      </c>
      <c r="G41" s="39">
        <f>IF(OR(3986820.02566="",17596.68019="",18963.13947=""),"-",(17596.68019-18963.13947)/3986820.02566*100)</f>
        <v>-0.034274415980786295</v>
      </c>
    </row>
    <row r="42" spans="1:7" s="27" customFormat="1" ht="15">
      <c r="A42" s="25" t="s">
        <v>82</v>
      </c>
      <c r="B42" s="35">
        <f>IF(12924.56457="","-",12924.56457)/1000</f>
        <v>12.924564570000001</v>
      </c>
      <c r="C42" s="39">
        <f>IF(OR(12791.79049="",12924.56457=""),"-",12924.56457/12791.79049*100)</f>
        <v>101.03796321635971</v>
      </c>
      <c r="D42" s="39">
        <f>IF(12791.79049="","-",12791.79049/3986820.02566*100)</f>
        <v>0.32085196742439803</v>
      </c>
      <c r="E42" s="39">
        <f>IF(12924.56457="","-",12924.56457/4020355.63484*100)</f>
        <v>0.3214781413364782</v>
      </c>
      <c r="F42" s="39">
        <f>IF(OR(5316958.59674="",17073.53076="",12791.79049=""),"-",(12791.79049-17073.53076)/5316958.59674*100)</f>
        <v>-0.08052987797620384</v>
      </c>
      <c r="G42" s="39">
        <f>IF(OR(3986820.02566="",12924.56457="",12791.79049=""),"-",(12924.56457-12791.79049)/3986820.02566*100)</f>
        <v>0.0033303254008317292</v>
      </c>
    </row>
    <row r="43" spans="1:7" s="27" customFormat="1" ht="15">
      <c r="A43" s="25" t="s">
        <v>83</v>
      </c>
      <c r="B43" s="35">
        <f>IF(29036.98256="","-",29036.98256)/1000</f>
        <v>29.036982560000002</v>
      </c>
      <c r="C43" s="39">
        <f>IF(OR(27668.9323="",29036.98256=""),"-",29036.98256/27668.9323*100)</f>
        <v>104.94435508087892</v>
      </c>
      <c r="D43" s="39">
        <f>IF(27668.9323="","-",27668.9323/3986820.02566*100)</f>
        <v>0.6940100662161075</v>
      </c>
      <c r="E43" s="39">
        <f>IF(29036.98256="","-",29036.98256/4020355.63484*100)</f>
        <v>0.72224910424263</v>
      </c>
      <c r="F43" s="39">
        <f>IF(OR(5316958.59674="",34845.46744="",27668.9323=""),"-",(27668.9323-34845.46744)/5316958.59674*100)</f>
        <v>-0.13497444092192418</v>
      </c>
      <c r="G43" s="39">
        <f>IF(OR(3986820.02566="",29036.98256="",27668.9323=""),"-",(29036.98256-27668.9323)/3986820.02566*100)</f>
        <v>0.0343143219707673</v>
      </c>
    </row>
    <row r="44" spans="1:7" s="27" customFormat="1" ht="15">
      <c r="A44" s="25" t="s">
        <v>84</v>
      </c>
      <c r="B44" s="35">
        <f>IF(184964.57407="","-",184964.57407)/1000</f>
        <v>184.96457407</v>
      </c>
      <c r="C44" s="39">
        <f>IF(OR(186829.05429="",184964.57407=""),"-",184964.57407/186829.05429*100)</f>
        <v>99.00203947020685</v>
      </c>
      <c r="D44" s="39">
        <f>IF(186829.05429="","-",186829.05429/3986820.02566*100)</f>
        <v>4.686167248271291</v>
      </c>
      <c r="E44" s="39">
        <f>IF(184964.57407="","-",184964.57407/4020355.63484*100)</f>
        <v>4.60070180028641</v>
      </c>
      <c r="F44" s="39">
        <f>IF(OR(5316958.59674="",275248.92878="",186829.05429=""),"-",(186829.05429-275248.92878)/5316958.59674*100)</f>
        <v>-1.6629784280098234</v>
      </c>
      <c r="G44" s="39">
        <f>IF(OR(3986820.02566="",184964.57407="",186829.05429=""),"-",(184964.57407-186829.05429)/3986820.02566*100)</f>
        <v>-0.0467660994978408</v>
      </c>
    </row>
    <row r="45" spans="1:7" s="27" customFormat="1" ht="39">
      <c r="A45" s="25" t="s">
        <v>85</v>
      </c>
      <c r="B45" s="35">
        <f>IF(110811.91286="","-",110811.91286)/1000</f>
        <v>110.81191285999999</v>
      </c>
      <c r="C45" s="39">
        <f>IF(OR(111241.36097="",110811.91286=""),"-",110811.91286/111241.36097*100)</f>
        <v>99.61394924850316</v>
      </c>
      <c r="D45" s="39">
        <f>IF(111241.36097="","-",111241.36097/3986820.02566*100)</f>
        <v>2.79022780697467</v>
      </c>
      <c r="E45" s="39">
        <f>IF(110811.91286="","-",110811.91286/4020355.63484*100)</f>
        <v>2.756271407925086</v>
      </c>
      <c r="F45" s="39">
        <f>IF(OR(5316958.59674="",130900.53605="",111241.36097=""),"-",(111241.36097-130900.53605)/5316958.59674*100)</f>
        <v>-0.36974474640546723</v>
      </c>
      <c r="G45" s="39">
        <f>IF(OR(3986820.02566="",110811.91286="",111241.36097=""),"-",(110811.91286-111241.36097)/3986820.02566*100)</f>
        <v>-0.010771695417299514</v>
      </c>
    </row>
    <row r="46" spans="1:7" s="27" customFormat="1" ht="15">
      <c r="A46" s="25" t="s">
        <v>86</v>
      </c>
      <c r="B46" s="35">
        <f>IF(51436.8692="","-",51436.8692)/1000</f>
        <v>51.436869200000004</v>
      </c>
      <c r="C46" s="39">
        <f>IF(OR(51210.2415299999="",51436.8692=""),"-",51436.8692/51210.2415299999*100)</f>
        <v>100.44254364601531</v>
      </c>
      <c r="D46" s="39">
        <f>IF(51210.2415299999="","-",51210.2415299999/3986820.02566*100)</f>
        <v>1.2844884193517683</v>
      </c>
      <c r="E46" s="39">
        <f>IF(51436.8692="","-",51436.8692/4020355.63484*100)</f>
        <v>1.279410924602123</v>
      </c>
      <c r="F46" s="39">
        <f>IF(OR(5316958.59674="",51439.73301="",51210.2415299999=""),"-",(51210.2415299999-51439.73301)/5316958.59674*100)</f>
        <v>-0.00431621717236645</v>
      </c>
      <c r="G46" s="39">
        <f>IF(OR(3986820.02566="",51436.8692="",51210.2415299999=""),"-",(51436.8692-51210.2415299999)/3986820.02566*100)</f>
        <v>0.005684421883643628</v>
      </c>
    </row>
    <row r="47" spans="1:7" s="27" customFormat="1" ht="15">
      <c r="A47" s="25" t="s">
        <v>87</v>
      </c>
      <c r="B47" s="35">
        <f>IF(45200.42954="","-",45200.42954)/1000</f>
        <v>45.200429539999995</v>
      </c>
      <c r="C47" s="39">
        <f>IF(OR(49402.85484="",45200.42954=""),"-",45200.42954/49402.85484*100)</f>
        <v>91.49355778403837</v>
      </c>
      <c r="D47" s="39">
        <f>IF(49402.85484="","-",49402.85484/3986820.02566*100)</f>
        <v>1.239154376722124</v>
      </c>
      <c r="E47" s="39">
        <f>IF(45200.42954="","-",45200.42954/4020355.63484*100)</f>
        <v>1.12428933272215</v>
      </c>
      <c r="F47" s="39">
        <f>IF(OR(5316958.59674="",61121.89862="",49402.85484=""),"-",(49402.85484-61121.89862)/5316958.59674*100)</f>
        <v>-0.22040878383339915</v>
      </c>
      <c r="G47" s="39">
        <f>IF(OR(3986820.02566="",45200.42954="",49402.85484=""),"-",(45200.42954-49402.85484)/3986820.02566*100)</f>
        <v>-0.10540795102242696</v>
      </c>
    </row>
    <row r="48" spans="1:7" s="27" customFormat="1" ht="15">
      <c r="A48" s="25" t="s">
        <v>88</v>
      </c>
      <c r="B48" s="35">
        <f>IF(85571.61887="","-",85571.61887)/1000</f>
        <v>85.57161887000001</v>
      </c>
      <c r="C48" s="39">
        <f>IF(OR(85031.62904="",85571.61887=""),"-",85571.61887/85031.62904*100)</f>
        <v>100.63504584834659</v>
      </c>
      <c r="D48" s="39">
        <f>IF(85031.62904="","-",85031.62904/3986820.02566*100)</f>
        <v>2.1328183487771915</v>
      </c>
      <c r="E48" s="39">
        <f>IF(85571.61887="","-",85571.61887/4020355.63484*100)</f>
        <v>2.128458938518894</v>
      </c>
      <c r="F48" s="39">
        <f>IF(OR(5316958.59674="",116891.45937="",85031.62904=""),"-",(85031.62904-116891.45937)/5316958.59674*100)</f>
        <v>-0.5992115558231785</v>
      </c>
      <c r="G48" s="39">
        <f>IF(OR(3986820.02566="",85571.61887="",85031.62904=""),"-",(85571.61887-85031.62904)/3986820.02566*100)</f>
        <v>0.013544374376684161</v>
      </c>
    </row>
    <row r="49" spans="1:7" s="27" customFormat="1" ht="15">
      <c r="A49" s="25" t="s">
        <v>89</v>
      </c>
      <c r="B49" s="35">
        <f>IF(91871.28762="","-",91871.28762)/1000</f>
        <v>91.87128762</v>
      </c>
      <c r="C49" s="39">
        <f>IF(OR(82904.12763="",91871.28762=""),"-",91871.28762/82904.12763*100)</f>
        <v>110.8163010049636</v>
      </c>
      <c r="D49" s="39">
        <f>IF(82904.12763="","-",82904.12763/3986820.02566*100)</f>
        <v>2.079454981574585</v>
      </c>
      <c r="E49" s="39">
        <f>IF(91871.28762="","-",91871.28762/4020355.63484*100)</f>
        <v>2.285153254201012</v>
      </c>
      <c r="F49" s="39">
        <f>IF(OR(5316958.59674="",94861.44079="",82904.12763=""),"-",(82904.12763-94861.44079)/5316958.59674*100)</f>
        <v>-0.22489009350818356</v>
      </c>
      <c r="G49" s="39">
        <f>IF(OR(3986820.02566="",91871.28762="",82904.12763=""),"-",(91871.28762-82904.12763)/3986820.02566*100)</f>
        <v>0.22492011006981757</v>
      </c>
    </row>
    <row r="50" spans="1:7" s="27" customFormat="1" ht="26.25">
      <c r="A50" s="26" t="s">
        <v>90</v>
      </c>
      <c r="B50" s="34">
        <f>IF(853250.41985="","-",853250.41985)/1000</f>
        <v>853.25041985</v>
      </c>
      <c r="C50" s="40">
        <f>IF(807838.44107="","-",853250.41985/807838.44107*100)</f>
        <v>105.6214184014134</v>
      </c>
      <c r="D50" s="40">
        <f>IF(807838.44107="","-",807838.44107/3986820.02566*100)</f>
        <v>20.262726580848504</v>
      </c>
      <c r="E50" s="40">
        <f>IF(853250.41985="","-",853250.41985/4020355.63484*100)</f>
        <v>21.223257277436282</v>
      </c>
      <c r="F50" s="40">
        <f>IF(5316958.59674="","-",(807838.44107-992302.10357)/5316958.59674*100)</f>
        <v>-3.469345475308022</v>
      </c>
      <c r="G50" s="40">
        <f>IF(3986820.02566="","-",(853250.41985-807838.44107)/3986820.02566*100)</f>
        <v>1.1390526406438992</v>
      </c>
    </row>
    <row r="51" spans="1:7" s="27" customFormat="1" ht="15">
      <c r="A51" s="25" t="s">
        <v>91</v>
      </c>
      <c r="B51" s="35">
        <f>IF(39373.28529="","-",39373.28529)/1000</f>
        <v>39.37328529</v>
      </c>
      <c r="C51" s="39">
        <f>IF(OR(32481.37855="",39373.28529=""),"-",39373.28529/32481.37855*100)</f>
        <v>121.21802413463143</v>
      </c>
      <c r="D51" s="39">
        <f>IF(32481.37855="","-",32481.37855/3986820.02566*100)</f>
        <v>0.8147189574885025</v>
      </c>
      <c r="E51" s="39">
        <f>IF(39373.28529="","-",39373.28529/4020355.63484*100)</f>
        <v>0.9793483180640797</v>
      </c>
      <c r="F51" s="39">
        <f>IF(OR(5316958.59674="",34044.28371="",32481.37855=""),"-",(32481.37855-34044.28371)/5316958.59674*100)</f>
        <v>-0.029394721278406605</v>
      </c>
      <c r="G51" s="39">
        <f>IF(OR(3986820.02566="",39373.28529="",32481.37855=""),"-",(39373.28529-32481.37855)/3986820.02566*100)</f>
        <v>0.1728672650293281</v>
      </c>
    </row>
    <row r="52" spans="1:7" s="27" customFormat="1" ht="15">
      <c r="A52" s="25" t="s">
        <v>92</v>
      </c>
      <c r="B52" s="35">
        <f>IF(59546.32513="","-",59546.32513)/1000</f>
        <v>59.54632513</v>
      </c>
      <c r="C52" s="39">
        <f>IF(OR(53095.19702="",59546.32513=""),"-",59546.32513/53095.19702*100)</f>
        <v>112.15011615376429</v>
      </c>
      <c r="D52" s="39">
        <f>IF(53095.19702="","-",53095.19702/3986820.02566*100)</f>
        <v>1.331768092822558</v>
      </c>
      <c r="E52" s="39">
        <f>IF(59546.32513="","-",59546.32513/4020355.63484*100)</f>
        <v>1.4811208395092588</v>
      </c>
      <c r="F52" s="39">
        <f>IF(OR(5316958.59674="",66483.98184="",53095.19702=""),"-",(53095.19702-66483.98184)/5316958.59674*100)</f>
        <v>-0.25181284707029866</v>
      </c>
      <c r="G52" s="39">
        <f>IF(OR(3986820.02566="",59546.32513="",53095.19702=""),"-",(59546.32513-53095.19702)/3986820.02566*100)</f>
        <v>0.16181137017671227</v>
      </c>
    </row>
    <row r="53" spans="1:7" s="27" customFormat="1" ht="15">
      <c r="A53" s="25" t="s">
        <v>93</v>
      </c>
      <c r="B53" s="35">
        <f>IF(57709.19674="","-",57709.19674)/1000</f>
        <v>57.709196739999996</v>
      </c>
      <c r="C53" s="39">
        <f>IF(OR(57224.7351="",57709.19674=""),"-",57709.19674/57224.7351*100)</f>
        <v>100.84659481455598</v>
      </c>
      <c r="D53" s="39">
        <f>IF(57224.7351="","-",57224.7351/3986820.02566*100)</f>
        <v>1.4353478394231427</v>
      </c>
      <c r="E53" s="39">
        <f>IF(57709.19674="","-",57709.19674/4020355.63484*100)</f>
        <v>1.435425170845531</v>
      </c>
      <c r="F53" s="39">
        <f>IF(OR(5316958.59674="",72932.45674="",57224.7351=""),"-",(57224.7351-72932.45674)/5316958.59674*100)</f>
        <v>-0.2954268188138781</v>
      </c>
      <c r="G53" s="39">
        <f>IF(OR(3986820.02566="",57709.19674="",57224.7351=""),"-",(57709.19674-57224.7351)/3986820.02566*100)</f>
        <v>0.012151580379397762</v>
      </c>
    </row>
    <row r="54" spans="1:7" s="27" customFormat="1" ht="26.25">
      <c r="A54" s="25" t="s">
        <v>94</v>
      </c>
      <c r="B54" s="35">
        <f>IF(80363.59938="","-",80363.59938)/1000</f>
        <v>80.36359938</v>
      </c>
      <c r="C54" s="39">
        <f>IF(OR(79052.93277="",80363.59938=""),"-",80363.59938/79052.93277*100)</f>
        <v>101.65796076638081</v>
      </c>
      <c r="D54" s="39">
        <f>IF(79052.93277="","-",79052.93277/3986820.02566*100)</f>
        <v>1.9828568197510534</v>
      </c>
      <c r="E54" s="39">
        <f>IF(80363.59938="","-",80363.59938/4020355.63484*100)</f>
        <v>1.998917674933458</v>
      </c>
      <c r="F54" s="39">
        <f>IF(OR(5316958.59674="",99538.37853="",79052.93277=""),"-",(79052.93277-99538.37853)/5316958.59674*100)</f>
        <v>-0.38528503442852263</v>
      </c>
      <c r="G54" s="39">
        <f>IF(OR(3986820.02566="",80363.59938="",79052.93277=""),"-",(80363.59938-79052.93277)/3986820.02566*100)</f>
        <v>0.032874988124978764</v>
      </c>
    </row>
    <row r="55" spans="1:7" s="27" customFormat="1" ht="39">
      <c r="A55" s="25" t="s">
        <v>95</v>
      </c>
      <c r="B55" s="35">
        <f>IF(249583.74146="","-",249583.74146)/1000</f>
        <v>249.58374146</v>
      </c>
      <c r="C55" s="39">
        <f>IF(OR(207750.79546="",249583.74146=""),"-",249583.74146/207750.79546*100)</f>
        <v>120.13611832742872</v>
      </c>
      <c r="D55" s="39">
        <f>IF(207750.79546="","-",207750.79546/3986820.02566*100)</f>
        <v>5.210939900042461</v>
      </c>
      <c r="E55" s="39">
        <f>IF(249583.74146="","-",249583.74146/4020355.63484*100)</f>
        <v>6.208001583171704</v>
      </c>
      <c r="F55" s="39">
        <f>IF(OR(5316958.59674="",254421.81447="",207750.79546=""),"-",(207750.79546-254421.81447)/5316958.59674*100)</f>
        <v>-0.8777766115879768</v>
      </c>
      <c r="G55" s="39">
        <f>IF(OR(3986820.02566="",249583.74146="",207750.79546=""),"-",(249583.74146-207750.79546)/3986820.02566*100)</f>
        <v>1.0492810242437454</v>
      </c>
    </row>
    <row r="56" spans="1:7" s="27" customFormat="1" ht="15">
      <c r="A56" s="25" t="s">
        <v>96</v>
      </c>
      <c r="B56" s="35">
        <f>IF(99543.18411="","-",99543.18411)/1000</f>
        <v>99.54318411</v>
      </c>
      <c r="C56" s="39">
        <f>IF(OR(98999.82526="",99543.18411=""),"-",99543.18411/98999.82526*100)</f>
        <v>100.54884829197728</v>
      </c>
      <c r="D56" s="39">
        <f>IF(98999.82526="","-",98999.82526/3986820.02566*100)</f>
        <v>2.4831776860459365</v>
      </c>
      <c r="E56" s="39">
        <f>IF(99543.18411="","-",99543.18411/4020355.63484*100)</f>
        <v>2.4759795687567716</v>
      </c>
      <c r="F56" s="39">
        <f>IF(OR(5316958.59674="",127744.0572="",98999.82526=""),"-",(98999.82526-127744.0572)/5316958.59674*100)</f>
        <v>-0.5406141766389533</v>
      </c>
      <c r="G56" s="39">
        <f>IF(OR(3986820.02566="",99543.18411="",98999.82526=""),"-",(99543.18411-98999.82526)/3986820.02566*100)</f>
        <v>0.013628878316624125</v>
      </c>
    </row>
    <row r="57" spans="1:7" s="27" customFormat="1" ht="15">
      <c r="A57" s="25" t="s">
        <v>97</v>
      </c>
      <c r="B57" s="35">
        <f>IF(91100.397="","-",91100.397)/1000</f>
        <v>91.100397</v>
      </c>
      <c r="C57" s="39">
        <f>IF(OR(100612.36918="",91100.397=""),"-",91100.397/100612.36918*100)</f>
        <v>90.54592168187328</v>
      </c>
      <c r="D57" s="39">
        <f>IF(100612.36918="","-",100612.36918/3986820.02566*100)</f>
        <v>2.5236245562237056</v>
      </c>
      <c r="E57" s="39">
        <f>IF(91100.397="","-",91100.397/4020355.63484*100)</f>
        <v>2.265978566934056</v>
      </c>
      <c r="F57" s="39">
        <f>IF(OR(5316958.59674="",132968.94997="",100612.36918=""),"-",(100612.36918-132968.94997)/5316958.59674*100)</f>
        <v>-0.6085543116668025</v>
      </c>
      <c r="G57" s="39">
        <f>IF(OR(3986820.02566="",91100.397="",100612.36918=""),"-",(91100.397-100612.36918)/3986820.02566*100)</f>
        <v>-0.23858544200086718</v>
      </c>
    </row>
    <row r="58" spans="1:7" s="27" customFormat="1" ht="15">
      <c r="A58" s="25" t="s">
        <v>98</v>
      </c>
      <c r="B58" s="35">
        <f>IF(53939.03176="","-",53939.03176)/1000</f>
        <v>53.93903176</v>
      </c>
      <c r="C58" s="39">
        <f>IF(OR(66090.65033="",53939.03176=""),"-",53939.03176/66090.65033*100)</f>
        <v>81.61371009465749</v>
      </c>
      <c r="D58" s="39">
        <f>IF(66090.65033="","-",66090.65033/3986820.02566*100)</f>
        <v>1.6577284629009308</v>
      </c>
      <c r="E58" s="39">
        <f>IF(53939.03176="","-",53939.03176/4020355.63484*100)</f>
        <v>1.3416482684409743</v>
      </c>
      <c r="F58" s="39">
        <f>IF(OR(5316958.59674="",67014.7121="",66090.65033=""),"-",(66090.65033-67014.7121)/5316958.59674*100)</f>
        <v>-0.017379517880138706</v>
      </c>
      <c r="G58" s="39">
        <f>IF(OR(3986820.02566="",53939.03176="",66090.65033=""),"-",(53939.03176-66090.65033)/3986820.02566*100)</f>
        <v>-0.3047947610323433</v>
      </c>
    </row>
    <row r="59" spans="1:7" s="27" customFormat="1" ht="15">
      <c r="A59" s="25" t="s">
        <v>99</v>
      </c>
      <c r="B59" s="35">
        <f>IF(122091.65898="","-",122091.65898)/1000</f>
        <v>122.09165897999999</v>
      </c>
      <c r="C59" s="39">
        <f>IF(OR(112530.5574="",122091.65898=""),"-",122091.65898/112530.5574*100)</f>
        <v>108.49644914315513</v>
      </c>
      <c r="D59" s="39">
        <f>IF(112530.5574="","-",112530.5574/3986820.02566*100)</f>
        <v>2.8225642661502155</v>
      </c>
      <c r="E59" s="39">
        <f>IF(122091.65898="","-",122091.65898/4020355.63484*100)</f>
        <v>3.03683728678045</v>
      </c>
      <c r="F59" s="39">
        <f>IF(OR(5316958.59674="",137153.46901="",112530.5574=""),"-",(112530.5574-137153.46901)/5316958.59674*100)</f>
        <v>-0.46310143594304276</v>
      </c>
      <c r="G59" s="39">
        <f>IF(OR(3986820.02566="",122091.65898="",112530.5574=""),"-",(122091.65898-112530.5574)/3986820.02566*100)</f>
        <v>0.23981773740632276</v>
      </c>
    </row>
    <row r="60" spans="1:7" s="27" customFormat="1" ht="26.25">
      <c r="A60" s="26" t="s">
        <v>100</v>
      </c>
      <c r="B60" s="34">
        <f>IF(864404.49495="","-",864404.49495)/1000</f>
        <v>864.40449495</v>
      </c>
      <c r="C60" s="40">
        <f>IF(821046.11918="","-",864404.49495/821046.11918*100)</f>
        <v>105.28086970477408</v>
      </c>
      <c r="D60" s="40">
        <f>IF(821046.11918="","-",821046.11918/3986820.02566*100)</f>
        <v>20.594010110704197</v>
      </c>
      <c r="E60" s="40">
        <f>IF(864404.49495="","-",864404.49495/4020355.63484*100)</f>
        <v>21.500697288049768</v>
      </c>
      <c r="F60" s="40">
        <f>IF(5316958.59674="","-",(821046.11918-1123744.99522)/5316958.59674*100)</f>
        <v>-5.693083189054629</v>
      </c>
      <c r="G60" s="40">
        <f>IF(3986820.02566="","-",(864404.49495-821046.11918)/3986820.02566*100)</f>
        <v>1.0875428409342893</v>
      </c>
    </row>
    <row r="61" spans="1:7" s="27" customFormat="1" ht="26.25">
      <c r="A61" s="25" t="s">
        <v>126</v>
      </c>
      <c r="B61" s="35">
        <f>IF(12158.03221="","-",12158.03221)/1000</f>
        <v>12.15803221</v>
      </c>
      <c r="C61" s="39">
        <f>IF(OR(13290.30671="",12158.03221=""),"-",12158.03221/13290.30671*100)</f>
        <v>91.48044868559695</v>
      </c>
      <c r="D61" s="39">
        <f>IF(13290.30671="","-",13290.30671/3986820.02566*100)</f>
        <v>0.3333560738749387</v>
      </c>
      <c r="E61" s="39">
        <f>IF(12158.03221="","-",12158.03221/4020355.63484*100)</f>
        <v>0.30241185890719985</v>
      </c>
      <c r="F61" s="39">
        <f>IF(OR(5316958.59674="",15304.16567="",13290.30671=""),"-",(13290.30671-15304.16567)/5316958.59674*100)</f>
        <v>-0.03787614523150062</v>
      </c>
      <c r="G61" s="39">
        <f>IF(OR(3986820.02566="",12158.03221="",13290.30671=""),"-",(12158.03221-13290.30671)/3986820.02566*100)</f>
        <v>-0.028400441773454733</v>
      </c>
    </row>
    <row r="62" spans="1:7" s="27" customFormat="1" ht="26.25">
      <c r="A62" s="25" t="s">
        <v>102</v>
      </c>
      <c r="B62" s="35">
        <f>IF(125196.21107="","-",125196.21107)/1000</f>
        <v>125.19621107</v>
      </c>
      <c r="C62" s="39">
        <f>IF(OR(117517.13219="",125196.21107=""),"-",125196.21107/117517.13219*100)</f>
        <v>106.53443352207113</v>
      </c>
      <c r="D62" s="39">
        <f>IF(117517.13219="","-",117517.13219/3986820.02566*100)</f>
        <v>2.947640762152176</v>
      </c>
      <c r="E62" s="39">
        <f>IF(125196.21107="","-",125196.21107/4020355.63484*100)</f>
        <v>3.1140581192634342</v>
      </c>
      <c r="F62" s="39">
        <f>IF(OR(5316958.59674="",188175.33285="",117517.13219=""),"-",(117517.13219-188175.33285)/5316958.59674*100)</f>
        <v>-1.3289214007294101</v>
      </c>
      <c r="G62" s="39">
        <f>IF(OR(3986820.02566="",125196.21107="",117517.13219=""),"-",(125196.21107-117517.13219)/3986820.02566*100)</f>
        <v>0.1926116260723047</v>
      </c>
    </row>
    <row r="63" spans="1:7" s="27" customFormat="1" ht="26.25">
      <c r="A63" s="25" t="s">
        <v>103</v>
      </c>
      <c r="B63" s="35">
        <f>IF(6899.5461="","-",6899.5461)/1000</f>
        <v>6.899546099999999</v>
      </c>
      <c r="C63" s="39">
        <f>IF(OR(7889.73716="",6899.5461=""),"-",6899.5461/7889.73716*100)</f>
        <v>87.44963184553033</v>
      </c>
      <c r="D63" s="39">
        <f>IF(7889.73716="","-",7889.73716/3986820.02566*100)</f>
        <v>0.19789549338119142</v>
      </c>
      <c r="E63" s="39">
        <f>IF(6899.5461="","-",6899.5461/4020355.63484*100)</f>
        <v>0.17161531781440487</v>
      </c>
      <c r="F63" s="39">
        <f>IF(OR(5316958.59674="",7089.96868="",7889.73716=""),"-",(7889.73716-7089.96868)/5316958.59674*100)</f>
        <v>0.015041841410808873</v>
      </c>
      <c r="G63" s="39">
        <f>IF(OR(3986820.02566="",6899.5461="",7889.73716=""),"-",(6899.5461-7889.73716)/3986820.02566*100)</f>
        <v>-0.024836612980443692</v>
      </c>
    </row>
    <row r="64" spans="1:7" s="27" customFormat="1" ht="39">
      <c r="A64" s="25" t="s">
        <v>104</v>
      </c>
      <c r="B64" s="35">
        <f>IF(117962.42125="","-",117962.42125)/1000</f>
        <v>117.96242125</v>
      </c>
      <c r="C64" s="39">
        <f>IF(OR(132600.47894="",117962.42125=""),"-",117962.42125/132600.47894*100)</f>
        <v>88.96078067966592</v>
      </c>
      <c r="D64" s="39">
        <f>IF(132600.47894="","-",132600.47894/3986820.02566*100)</f>
        <v>3.325971026696862</v>
      </c>
      <c r="E64" s="39">
        <f>IF(117962.42125="","-",117962.42125/4020355.63484*100)</f>
        <v>2.9341290165414584</v>
      </c>
      <c r="F64" s="39">
        <f>IF(OR(5316958.59674="",162203.01583="",132600.47894=""),"-",(132600.47894-162203.01583)/5316958.59674*100)</f>
        <v>-0.5567569570346149</v>
      </c>
      <c r="G64" s="39">
        <f>IF(OR(3986820.02566="",117962.42125="",132600.47894=""),"-",(117962.42125-132600.47894)/3986820.02566*100)</f>
        <v>-0.36716123616783375</v>
      </c>
    </row>
    <row r="65" spans="1:7" s="27" customFormat="1" ht="26.25">
      <c r="A65" s="25" t="s">
        <v>105</v>
      </c>
      <c r="B65" s="35">
        <f>IF(38009.11303="","-",38009.11303)/1000</f>
        <v>38.00911303</v>
      </c>
      <c r="C65" s="39">
        <f>IF(OR(30282.70151="",38009.11303=""),"-",38009.11303/30282.70151*100)</f>
        <v>125.5142742712323</v>
      </c>
      <c r="D65" s="39">
        <f>IF(30282.70151="","-",30282.70151/3986820.02566*100)</f>
        <v>0.7595703170721091</v>
      </c>
      <c r="E65" s="39">
        <f>IF(38009.11303="","-",38009.11303/4020355.63484*100)</f>
        <v>0.9454166865392908</v>
      </c>
      <c r="F65" s="39">
        <f>IF(OR(5316958.59674="",46656.01886="",30282.70151=""),"-",(30282.70151-46656.01886)/5316958.59674*100)</f>
        <v>-0.3079451730175031</v>
      </c>
      <c r="G65" s="39">
        <f>IF(OR(3986820.02566="",38009.11303="",30282.70151=""),"-",(38009.11303-30282.70151)/3986820.02566*100)</f>
        <v>0.19379885398064664</v>
      </c>
    </row>
    <row r="66" spans="1:7" s="27" customFormat="1" ht="39">
      <c r="A66" s="25" t="s">
        <v>106</v>
      </c>
      <c r="B66" s="35">
        <f>IF(91080.4613="","-",91080.4613)/1000</f>
        <v>91.0804613</v>
      </c>
      <c r="C66" s="39">
        <f>IF(OR(85841.05139="",91080.4613=""),"-",91080.4613/85841.05139*100)</f>
        <v>106.1036180535533</v>
      </c>
      <c r="D66" s="39">
        <f>IF(85841.05139="","-",85841.05139/3986820.02566*100)</f>
        <v>2.153120803986867</v>
      </c>
      <c r="E66" s="39">
        <f>IF(91080.4613="","-",91080.4613/4020355.63484*100)</f>
        <v>2.265482697866473</v>
      </c>
      <c r="F66" s="39">
        <f>IF(OR(5316958.59674="",105172.82082="",85841.05139=""),"-",(85841.05139-105172.82082)/5316958.59674*100)</f>
        <v>-0.36358698451879873</v>
      </c>
      <c r="G66" s="39">
        <f>IF(OR(3986820.02566="",91080.4613="",85841.05139=""),"-",(91080.4613-85841.05139)/3986820.02566*100)</f>
        <v>0.13141827010695428</v>
      </c>
    </row>
    <row r="67" spans="1:7" s="27" customFormat="1" ht="52.5">
      <c r="A67" s="25" t="s">
        <v>107</v>
      </c>
      <c r="B67" s="35">
        <f>IF(268141.87388="","-",268141.87388)/1000</f>
        <v>268.14187388000005</v>
      </c>
      <c r="C67" s="39">
        <f>IF(OR(263923.0111="",268141.87388=""),"-",268141.87388/263923.0111*100)</f>
        <v>101.59852025119609</v>
      </c>
      <c r="D67" s="39">
        <f>IF(263923.0111="","-",263923.0111/3986820.02566*100)</f>
        <v>6.61988776521982</v>
      </c>
      <c r="E67" s="39">
        <f>IF(268141.87388="","-",268141.87388/4020355.63484*100)</f>
        <v>6.669605831790336</v>
      </c>
      <c r="F67" s="39">
        <f>IF(OR(5316958.59674="",316205.87073="",263923.0111=""),"-",(263923.0111-316205.87073)/5316958.59674*100)</f>
        <v>-0.9833226774053938</v>
      </c>
      <c r="G67" s="39">
        <f>IF(OR(3986820.02566="",268141.87388="",263923.0111=""),"-",(268141.87388-263923.0111)/3986820.02566*100)</f>
        <v>0.1058202465334916</v>
      </c>
    </row>
    <row r="68" spans="1:7" s="27" customFormat="1" ht="26.25">
      <c r="A68" s="25" t="s">
        <v>108</v>
      </c>
      <c r="B68" s="35">
        <f>IF(203856.41797="","-",203856.41797)/1000</f>
        <v>203.85641797</v>
      </c>
      <c r="C68" s="39">
        <f>IF(OR(165182.0047="",203856.41797=""),"-",203856.41797/165182.0047*100)</f>
        <v>123.4132121959893</v>
      </c>
      <c r="D68" s="39">
        <f>IF(165182.0047="","-",165182.0047/3986820.02566*100)</f>
        <v>4.143201941318003</v>
      </c>
      <c r="E68" s="39">
        <f>IF(203856.41797="","-",203856.41797/4020355.63484*100)</f>
        <v>5.070606595182791</v>
      </c>
      <c r="F68" s="39">
        <f>IF(OR(5316958.59674="",252524.1509="",165182.0047=""),"-",(165182.0047-252524.1509)/5316958.59674*100)</f>
        <v>-1.6427087894487709</v>
      </c>
      <c r="G68" s="39">
        <f>IF(OR(3986820.02566="",203856.41797="",165182.0047=""),"-",(203856.41797-165182.0047)/3986820.02566*100)</f>
        <v>0.970056662229132</v>
      </c>
    </row>
    <row r="69" spans="1:7" s="27" customFormat="1" ht="15">
      <c r="A69" s="25" t="s">
        <v>109</v>
      </c>
      <c r="B69" s="35">
        <f>IF(1100.41814="","-",1100.41814)/1000</f>
        <v>1.10041814</v>
      </c>
      <c r="C69" s="39">
        <f>IF(OR(4519.69548="",1100.41814=""),"-",1100.41814/4519.69548*100)</f>
        <v>24.347174380872225</v>
      </c>
      <c r="D69" s="39">
        <f>IF(4519.69548="","-",4519.69548/3986820.02566*100)</f>
        <v>0.11336592700222994</v>
      </c>
      <c r="E69" s="39">
        <f>IF(1100.41814="","-",1100.41814/4020355.63484*100)</f>
        <v>0.02737116414438281</v>
      </c>
      <c r="F69" s="39">
        <f>IF(OR(5316958.59674="",30413.65088="",4519.69548=""),"-",(4519.69548-30413.65088)/5316958.59674*100)</f>
        <v>-0.4870069030794489</v>
      </c>
      <c r="G69" s="39">
        <f>IF(OR(3986820.02566="",1100.41814="",4519.69548=""),"-",(1100.41814-4519.69548)/3986820.02566*100)</f>
        <v>-0.08576452706650471</v>
      </c>
    </row>
    <row r="70" spans="1:7" s="27" customFormat="1" ht="15">
      <c r="A70" s="26" t="s">
        <v>110</v>
      </c>
      <c r="B70" s="34">
        <f>IF(398265.85454="","-",398265.85454)/1000</f>
        <v>398.26585453999996</v>
      </c>
      <c r="C70" s="40">
        <f>IF(370915.69053="","-",398265.85454/370915.69053*100)</f>
        <v>107.37368752745924</v>
      </c>
      <c r="D70" s="40">
        <f>IF(370915.69053="","-",370915.69053/3986820.02566*100)</f>
        <v>9.303547392225127</v>
      </c>
      <c r="E70" s="40">
        <f>IF(398265.85454="","-",398265.85454/4020355.63484*100)</f>
        <v>9.906234440771057</v>
      </c>
      <c r="F70" s="40">
        <f>IF(5316958.59674="","-",(370915.69053-481854.50673)/5316958.59674*100)</f>
        <v>-2.08650893516493</v>
      </c>
      <c r="G70" s="40">
        <f>IF(3986820.02566="","-",(398265.85454-370915.69053)/3986820.02566*100)</f>
        <v>0.6860145136717641</v>
      </c>
    </row>
    <row r="71" spans="1:7" s="27" customFormat="1" ht="39">
      <c r="A71" s="25" t="s">
        <v>111</v>
      </c>
      <c r="B71" s="35">
        <f>IF(34118.19459="","-",34118.19459)/1000</f>
        <v>34.11819459</v>
      </c>
      <c r="C71" s="39">
        <f>IF(OR(35102.31773="",34118.19459=""),"-",34118.19459/35102.31773*100)</f>
        <v>97.1964154972054</v>
      </c>
      <c r="D71" s="39">
        <f>IF(35102.31773="","-",35102.31773/3986820.02566*100)</f>
        <v>0.8804590501721726</v>
      </c>
      <c r="E71" s="39">
        <f>IF(34118.19459="","-",34118.19459/4020355.63484*100)</f>
        <v>0.8486362324351392</v>
      </c>
      <c r="F71" s="39">
        <f>IF(OR(5316958.59674="",46494.37255="",35102.31773=""),"-",(35102.31773-46494.37255)/5316958.59674*100)</f>
        <v>-0.21425885894587998</v>
      </c>
      <c r="G71" s="39">
        <f>IF(OR(3986820.02566="",34118.19459="",35102.31773=""),"-",(34118.19459-35102.31773)/3986820.02566*100)</f>
        <v>-0.024684413484079615</v>
      </c>
    </row>
    <row r="72" spans="1:7" s="27" customFormat="1" ht="15">
      <c r="A72" s="25" t="s">
        <v>112</v>
      </c>
      <c r="B72" s="35">
        <f>IF(42848.85814="","-",42848.85814)/1000</f>
        <v>42.84885814</v>
      </c>
      <c r="C72" s="39">
        <f>IF(OR(41903.1894="",42848.85814=""),"-",42848.85814/41903.1894*100)</f>
        <v>102.25679418092217</v>
      </c>
      <c r="D72" s="39">
        <f>IF(41903.1894="","-",41903.1894/3986820.02566*100)</f>
        <v>1.051042914661369</v>
      </c>
      <c r="E72" s="39">
        <f>IF(42848.85814="","-",42848.85814/4020355.63484*100)</f>
        <v>1.0657977062694672</v>
      </c>
      <c r="F72" s="39">
        <f>IF(OR(5316958.59674="",60143.01674="",41903.1894=""),"-",(41903.1894-60143.01674)/5316958.59674*100)</f>
        <v>-0.3430500164357764</v>
      </c>
      <c r="G72" s="39">
        <f>IF(OR(3986820.02566="",42848.85814="",41903.1894=""),"-",(42848.85814-41903.1894)/3986820.02566*100)</f>
        <v>0.023719875337072496</v>
      </c>
    </row>
    <row r="73" spans="1:7" s="27" customFormat="1" ht="15">
      <c r="A73" s="25" t="s">
        <v>113</v>
      </c>
      <c r="B73" s="35">
        <f>IF(4782.64284="","-",4782.64284)/1000</f>
        <v>4.78264284</v>
      </c>
      <c r="C73" s="39">
        <f>IF(OR(3679.51119="",4782.64284=""),"-",4782.64284/3679.51119*100)</f>
        <v>129.98038579140726</v>
      </c>
      <c r="D73" s="39">
        <f>IF(3679.51119="","-",3679.51119/3986820.02566*100)</f>
        <v>0.09229188090553132</v>
      </c>
      <c r="E73" s="39">
        <f>IF(4782.64284="","-",4782.64284/4020355.63484*100)</f>
        <v>0.11896069090391148</v>
      </c>
      <c r="F73" s="39">
        <f>IF(OR(5316958.59674="",6376.46776="",3679.51119=""),"-",(3679.51119-6376.46776)/5316958.59674*100)</f>
        <v>-0.05072367070252516</v>
      </c>
      <c r="G73" s="39">
        <f>IF(OR(3986820.02566="",4782.64284="",3679.51119=""),"-",(4782.64284-3679.51119)/3986820.02566*100)</f>
        <v>0.02766946194962442</v>
      </c>
    </row>
    <row r="74" spans="1:7" s="27" customFormat="1" ht="15">
      <c r="A74" s="25" t="s">
        <v>114</v>
      </c>
      <c r="B74" s="35">
        <f>IF(100887.00417="","-",100887.00417)/1000</f>
        <v>100.88700417</v>
      </c>
      <c r="C74" s="39">
        <f>IF(OR(77544.61586="",100887.00417=""),"-",100887.00417/77544.61586*100)</f>
        <v>130.10188141513606</v>
      </c>
      <c r="D74" s="39">
        <f>IF(77544.61586="","-",77544.61586/3986820.02566*100)</f>
        <v>1.9450242388898118</v>
      </c>
      <c r="E74" s="39">
        <f>IF(100887.00417="","-",100887.00417/4020355.63484*100)</f>
        <v>2.5094049714339524</v>
      </c>
      <c r="F74" s="39">
        <f>IF(OR(5316958.59674="",98343.30025="",77544.61586=""),"-",(77544.61586-98343.30025)/5316958.59674*100)</f>
        <v>-0.3911763466195194</v>
      </c>
      <c r="G74" s="39">
        <f>IF(OR(3986820.02566="",100887.00417="",77544.61586=""),"-",(100887.00417-77544.61586)/3986820.02566*100)</f>
        <v>0.5854888898862639</v>
      </c>
    </row>
    <row r="75" spans="1:7" s="27" customFormat="1" ht="15">
      <c r="A75" s="25" t="s">
        <v>115</v>
      </c>
      <c r="B75" s="35">
        <f>IF(24991.21201="","-",24991.21201)/1000</f>
        <v>24.991212009999998</v>
      </c>
      <c r="C75" s="39">
        <f>IF(OR(16895.305="",24991.21201=""),"-",24991.21201/16895.305*100)</f>
        <v>147.91808736213994</v>
      </c>
      <c r="D75" s="39">
        <f>IF(16895.305="","-",16895.305/3986820.02566*100)</f>
        <v>0.4237789740007905</v>
      </c>
      <c r="E75" s="39">
        <f>IF(24991.21201="","-",24991.21201/4020355.63484*100)</f>
        <v>0.6216169483472719</v>
      </c>
      <c r="F75" s="39">
        <f>IF(OR(5316958.59674="",27256.49208="",16895.305=""),"-",(16895.305-27256.49208)/5316958.59674*100)</f>
        <v>-0.194870561646893</v>
      </c>
      <c r="G75" s="39">
        <f>IF(OR(3986820.02566="",24991.21201="",16895.305=""),"-",(24991.21201-16895.305)/3986820.02566*100)</f>
        <v>0.20306677898407913</v>
      </c>
    </row>
    <row r="76" spans="1:7" s="27" customFormat="1" ht="26.25">
      <c r="A76" s="25" t="s">
        <v>116</v>
      </c>
      <c r="B76" s="35">
        <f>IF(38803.98702="","-",38803.98702)/1000</f>
        <v>38.80398702</v>
      </c>
      <c r="C76" s="39">
        <f>IF(OR(52680.66863="",38803.98702=""),"-",38803.98702/52680.66863*100)</f>
        <v>73.65887341434072</v>
      </c>
      <c r="D76" s="39">
        <f>IF(52680.66863="","-",52680.66863/3986820.02566*100)</f>
        <v>1.321370623477767</v>
      </c>
      <c r="E76" s="39">
        <f>IF(38803.98702="","-",38803.98702/4020355.63484*100)</f>
        <v>0.9651879222755452</v>
      </c>
      <c r="F76" s="39">
        <f>IF(OR(5316958.59674="",64260.03804="",52680.66863=""),"-",(52680.66863-64260.03804)/5316958.59674*100)</f>
        <v>-0.21778182393783707</v>
      </c>
      <c r="G76" s="39">
        <f>IF(OR(3986820.02566="",38803.98702="",52680.66863=""),"-",(38803.98702-52680.66863)/3986820.02566*100)</f>
        <v>-0.34806390859599384</v>
      </c>
    </row>
    <row r="77" spans="1:7" ht="26.25">
      <c r="A77" s="16" t="s">
        <v>117</v>
      </c>
      <c r="B77" s="35">
        <f>IF(7975.52279="","-",7975.52279)/1000</f>
        <v>7.97552279</v>
      </c>
      <c r="C77" s="39">
        <f>IF(OR(8001.66005="",7975.52279=""),"-",7975.52279/8001.66005*100)</f>
        <v>99.67335203149501</v>
      </c>
      <c r="D77" s="39">
        <f>IF(8001.66005="","-",8001.66005/3986820.02566*100)</f>
        <v>0.20070281574035595</v>
      </c>
      <c r="E77" s="39">
        <f>IF(7975.52279="","-",7975.52279/4020355.63484*100)</f>
        <v>0.1983785394726008</v>
      </c>
      <c r="F77" s="39">
        <f>IF(OR(5316958.59674="",9501.86537="",8001.66005=""),"-",(8001.66005-9501.86537)/5316958.59674*100)</f>
        <v>-0.028215478693398587</v>
      </c>
      <c r="G77" s="39">
        <f>IF(OR(3986820.02566="",7975.52279="",8001.66005=""),"-",(7975.52279-8001.66005)/3986820.02566*100)</f>
        <v>-0.0006555916703481873</v>
      </c>
    </row>
    <row r="78" spans="1:7" ht="15">
      <c r="A78" s="19" t="s">
        <v>118</v>
      </c>
      <c r="B78" s="36">
        <f>IF(143858.43298="","-",143858.43298)/1000</f>
        <v>143.85843298</v>
      </c>
      <c r="C78" s="61">
        <f>IF(OR(135108.42267="",143858.43298=""),"-",143858.43298/135108.42267*100)</f>
        <v>106.4762878117316</v>
      </c>
      <c r="D78" s="61">
        <f>IF(135108.42267="","-",135108.42267/3986820.02566*100)</f>
        <v>3.388876894377328</v>
      </c>
      <c r="E78" s="61">
        <f>IF(143858.43298="","-",143858.43298/4020355.63484*100)</f>
        <v>3.57825142963317</v>
      </c>
      <c r="F78" s="61">
        <f>IF(OR(5316958.59674="",169478.95394="",135108.42267=""),"-",(135108.42267-169478.95394)/5316958.59674*100)</f>
        <v>-0.6464321781831007</v>
      </c>
      <c r="G78" s="61">
        <f>IF(OR(3986820.02566="",143858.43298="",135108.42267=""),"-",(143858.43298-135108.42267)/3986820.02566*100)</f>
        <v>0.21947342126514696</v>
      </c>
    </row>
    <row r="79" ht="15">
      <c r="A79" s="20" t="s">
        <v>130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1" max="1" width="44.50390625" style="0" customWidth="1"/>
    <col min="2" max="2" width="14.625" style="0" customWidth="1"/>
    <col min="3" max="3" width="13.875" style="0" customWidth="1"/>
    <col min="4" max="4" width="12.50390625" style="0" customWidth="1"/>
  </cols>
  <sheetData>
    <row r="1" spans="1:4" ht="15.75">
      <c r="A1" s="70" t="s">
        <v>131</v>
      </c>
      <c r="B1" s="70"/>
      <c r="C1" s="70"/>
      <c r="D1" s="70"/>
    </row>
    <row r="2" spans="1:4" ht="15.75">
      <c r="A2" s="70" t="s">
        <v>46</v>
      </c>
      <c r="B2" s="70"/>
      <c r="C2" s="70"/>
      <c r="D2" s="70"/>
    </row>
    <row r="3" ht="15">
      <c r="A3" s="12"/>
    </row>
    <row r="4" spans="1:4" ht="40.5" customHeight="1">
      <c r="A4" s="64"/>
      <c r="B4" s="64">
        <v>2015</v>
      </c>
      <c r="C4" s="63">
        <v>2016</v>
      </c>
      <c r="D4" s="68" t="s">
        <v>225</v>
      </c>
    </row>
    <row r="5" spans="1:4" ht="15">
      <c r="A5" s="15" t="s">
        <v>43</v>
      </c>
      <c r="B5" s="33">
        <f>IF(-201996.72591="","-",-2019962.72591)/1000</f>
        <v>-2019.96272591</v>
      </c>
      <c r="C5" s="33">
        <f>IF(-1975015.20701="","-",-1975015.20701)/1000</f>
        <v>-1975.01520701</v>
      </c>
      <c r="D5" s="62">
        <f>IF(-2019982.72591="","-",-1975015.20701/-2019982.72591*100)</f>
        <v>97.7738661661207</v>
      </c>
    </row>
    <row r="6" spans="1:4" ht="15">
      <c r="A6" s="16" t="s">
        <v>40</v>
      </c>
      <c r="B6" s="49"/>
      <c r="C6" s="49"/>
      <c r="D6" s="49"/>
    </row>
    <row r="7" spans="1:4" ht="15">
      <c r="A7" s="17" t="s">
        <v>47</v>
      </c>
      <c r="B7" s="34">
        <f>IF(58196.59902="","-",58196.59902)/1000</f>
        <v>58.19659902</v>
      </c>
      <c r="C7" s="34">
        <f>IF(57837.60505="","-",57837.60505)/1000</f>
        <v>57.83760505</v>
      </c>
      <c r="D7" s="40">
        <f>IF(58196.59902="","-",57837.60505/58196.59902*100)</f>
        <v>99.38313582572647</v>
      </c>
    </row>
    <row r="8" spans="1:4" ht="15">
      <c r="A8" s="16" t="s">
        <v>48</v>
      </c>
      <c r="B8" s="35">
        <f>IF(OR(1923.68464="",1923.68464=0),"-",1923.68464)/1000</f>
        <v>1.9236846399999998</v>
      </c>
      <c r="C8" s="35">
        <f>IF(OR(3460.79066="",3460.79066=0),"-",3460.79066)/1000</f>
        <v>3.4607906600000002</v>
      </c>
      <c r="D8" s="39">
        <f>IF(OR(1923.68464="",3460.79066="",1923.68464=0,3460.79066=0),"-",3460.79066/1923.68464*100)</f>
        <v>179.90426227034803</v>
      </c>
    </row>
    <row r="9" spans="1:4" ht="15">
      <c r="A9" s="16" t="s">
        <v>49</v>
      </c>
      <c r="B9" s="35">
        <f>IF(OR(-19520.28742="",-19520.28742=0),"-",-19520.28742)/1000</f>
        <v>-19.52028742</v>
      </c>
      <c r="C9" s="35">
        <f>IF(OR(-16795.74383="",-16795.74383=0),"-",-16795.74383)/1000</f>
        <v>-16.79574383</v>
      </c>
      <c r="D9" s="39">
        <f>IF(OR(-19520.28742="",-16795.74383="",-19520.28742=0,-16795.74383=0),"-",-16795.74383/-19520.28742*100)</f>
        <v>86.04250269794439</v>
      </c>
    </row>
    <row r="10" spans="1:4" ht="15">
      <c r="A10" s="16" t="s">
        <v>50</v>
      </c>
      <c r="B10" s="35">
        <f>IF(OR(-20240.32235="",-20240.32235=0),"-",-20240.32235)/1000</f>
        <v>-20.24032235</v>
      </c>
      <c r="C10" s="35">
        <f>IF(OR(-21139.50084="",-21139.50084=0),"-",-21139.50084)/1000</f>
        <v>-21.13950084</v>
      </c>
      <c r="D10" s="39">
        <f>IF(OR(-20240.32235="",-21139.50084="",-20240.32235=0,-21139.50084=0),"-",-21139.50084/-20240.32235*100)</f>
        <v>104.44251071920306</v>
      </c>
    </row>
    <row r="11" spans="1:4" ht="15">
      <c r="A11" s="16" t="s">
        <v>51</v>
      </c>
      <c r="B11" s="35">
        <f>IF(OR(-36589.64707="",-36589.64707=0),"-",-36589.64707)/1000</f>
        <v>-36.58964707</v>
      </c>
      <c r="C11" s="35">
        <f>IF(OR(-43148.55065="",-43148.55065=0),"-",-43148.55065)/1000</f>
        <v>-43.14855065</v>
      </c>
      <c r="D11" s="39">
        <f>IF(OR(-36589.64707="",-43148.55065="",-36589.64707=0,-43148.55065=0),"-",-43148.55065/-36589.64707*100)</f>
        <v>117.92557213643546</v>
      </c>
    </row>
    <row r="12" spans="1:4" ht="15">
      <c r="A12" s="16" t="s">
        <v>52</v>
      </c>
      <c r="B12" s="35">
        <f>IF(OR(70608.5013="",70608.5013=0),"-",70608.5013)/1000</f>
        <v>70.6085013</v>
      </c>
      <c r="C12" s="35">
        <f>IF(OR(114321.47791="",114321.47791=0),"-",114321.47791)/1000</f>
        <v>114.32147791</v>
      </c>
      <c r="D12" s="39">
        <f>IF(OR(70608.5013="",114321.47791="",70608.5013=0,114321.47791=0),"-",114321.47791/70608.5013*100)</f>
        <v>161.9089426983773</v>
      </c>
    </row>
    <row r="13" spans="1:4" ht="15">
      <c r="A13" s="16" t="s">
        <v>53</v>
      </c>
      <c r="B13" s="35">
        <f>IF(OR(136663.78121="",136663.78121=0),"-",136663.78121)/1000</f>
        <v>136.66378121</v>
      </c>
      <c r="C13" s="35">
        <f>IF(OR(111025.89221="",111025.89221=0),"-",111025.89221)/1000</f>
        <v>111.02589221000001</v>
      </c>
      <c r="D13" s="39">
        <f>IF(OR(136663.78121="",111025.89221="",136663.78121=0,111025.89221=0),"-",111025.89221/136663.78121*100)</f>
        <v>81.24017294633144</v>
      </c>
    </row>
    <row r="14" spans="1:4" ht="15">
      <c r="A14" s="16" t="s">
        <v>54</v>
      </c>
      <c r="B14" s="35">
        <f>IF(OR(34678.11182="",34678.11182=0),"-",34678.11182)/1000</f>
        <v>34.67811182</v>
      </c>
      <c r="C14" s="35">
        <f>IF(OR(26426.34568="",26426.34568=0),"-",26426.34568)/1000</f>
        <v>26.426345679999997</v>
      </c>
      <c r="D14" s="39">
        <f>IF(OR(34678.11182="",26426.34568="",34678.11182=0,26426.34568=0),"-",26426.34568/34678.11182*100)</f>
        <v>76.20468443370974</v>
      </c>
    </row>
    <row r="15" spans="1:4" ht="15">
      <c r="A15" s="16" t="s">
        <v>55</v>
      </c>
      <c r="B15" s="35">
        <f>IF(OR(-36939.88137="",-36939.88137=0),"-",-36939.88137)/1000</f>
        <v>-36.93988137</v>
      </c>
      <c r="C15" s="35">
        <f>IF(OR(-41234.88551="",-41234.88551=0),"-",-41234.88551)/1000</f>
        <v>-41.23488551</v>
      </c>
      <c r="D15" s="39">
        <f>IF(OR(-36939.88137="",-41234.88551="",-36939.88137=0,-41234.88551=0),"-",-41234.88551/-36939.88137*100)</f>
        <v>111.62701118874763</v>
      </c>
    </row>
    <row r="16" spans="1:4" ht="15">
      <c r="A16" s="16" t="s">
        <v>56</v>
      </c>
      <c r="B16" s="35">
        <f>IF(OR(-10342.64656="",-10342.64656=0),"-",-10342.64656)/1000</f>
        <v>-10.342646559999999</v>
      </c>
      <c r="C16" s="35">
        <f>IF(OR(-11575.72726="",-11575.72726=0),"-",-11575.72726)/1000</f>
        <v>-11.575727259999999</v>
      </c>
      <c r="D16" s="39">
        <f>IF(OR(-10342.64656="",-11575.72726="",-10342.64656=0,-11575.72726=0),"-",-11575.72726/-10342.64656*100)</f>
        <v>111.92229370738546</v>
      </c>
    </row>
    <row r="17" spans="1:4" ht="15">
      <c r="A17" s="16" t="s">
        <v>57</v>
      </c>
      <c r="B17" s="35">
        <f>IF(OR(-62044.69518="",-62044.69518=0),"-",-62044.69518)/1000</f>
        <v>-62.044695180000005</v>
      </c>
      <c r="C17" s="35">
        <f>IF(OR(-63502.49332="",-63502.49332=0),"-",-63502.49332)/1000</f>
        <v>-63.50249332</v>
      </c>
      <c r="D17" s="39">
        <f>IF(OR(-62044.69518="",-63502.49332="",-62044.69518=0,-63502.49332=0),"-",-63502.49332/-62044.69518*100)</f>
        <v>102.34959352410505</v>
      </c>
    </row>
    <row r="18" spans="1:4" ht="15">
      <c r="A18" s="17" t="s">
        <v>58</v>
      </c>
      <c r="B18" s="34">
        <f>IF(68136.15903="","-",68136.15903)/1000</f>
        <v>68.13615903</v>
      </c>
      <c r="C18" s="34">
        <f>IF(62882.71837="","-",62882.71837)/1000</f>
        <v>62.88271837</v>
      </c>
      <c r="D18" s="40">
        <f>IF(68136.15903="","-",62882.71837/68136.15903*100)</f>
        <v>92.2897904214311</v>
      </c>
    </row>
    <row r="19" spans="1:4" ht="15">
      <c r="A19" s="16" t="s">
        <v>59</v>
      </c>
      <c r="B19" s="35">
        <f>IF(OR(115125.44391="",115125.44391=0),"-",115125.44391)/1000</f>
        <v>115.12544391</v>
      </c>
      <c r="C19" s="35">
        <f>IF(OR(108214.81059="",108214.81059=0),"-",108214.81059)/1000</f>
        <v>108.21481059</v>
      </c>
      <c r="D19" s="39">
        <f>IF(OR(115125.44391="",108214.81059="",115125.44391=0,108214.81059=0),"-",108214.81059/115125.44391*100)</f>
        <v>93.99730147802737</v>
      </c>
    </row>
    <row r="20" spans="1:4" ht="15">
      <c r="A20" s="16" t="s">
        <v>60</v>
      </c>
      <c r="B20" s="35">
        <f>IF(OR(-46989.28488="",-46989.28488=0),"-",-46989.28488)/1000</f>
        <v>-46.98928488</v>
      </c>
      <c r="C20" s="35">
        <f>IF(OR(-45332.09222="",-45332.09222=0),"-",-45332.09222)/1000</f>
        <v>-45.33209222</v>
      </c>
      <c r="D20" s="39">
        <f>IF(OR(-46989.28488="",-45332.09222="",-46989.28488=0,-45332.09222=0),"-",-45332.09222/-46989.28488*100)</f>
        <v>96.47325413818896</v>
      </c>
    </row>
    <row r="21" spans="1:4" ht="15">
      <c r="A21" s="17" t="s">
        <v>61</v>
      </c>
      <c r="B21" s="34">
        <f>IF(119678.80268="","-",119678.80268)/1000</f>
        <v>119.67880267999999</v>
      </c>
      <c r="C21" s="34">
        <f>IF(135411.84244="","-",135411.84244)/1000</f>
        <v>135.41184244000002</v>
      </c>
      <c r="D21" s="40">
        <f>IF(119678.80268="","-",135411.84244/119678.80268*100)</f>
        <v>113.14605377701461</v>
      </c>
    </row>
    <row r="22" spans="1:4" ht="15">
      <c r="A22" s="16" t="s">
        <v>62</v>
      </c>
      <c r="B22" s="35">
        <f>IF(OR(4125.64331="",4125.64331=0),"-",4125.64331)/1000</f>
        <v>4.12564331</v>
      </c>
      <c r="C22" s="35">
        <f>IF(OR(3443.20707="",3443.20707=0),"-",3443.20707)/1000</f>
        <v>3.44320707</v>
      </c>
      <c r="D22" s="39">
        <f>IF(OR(4125.64331="",3443.20707="",4125.64331=0,3443.20707=0),"-",3443.20707/4125.64331*100)</f>
        <v>83.45867083696093</v>
      </c>
    </row>
    <row r="23" spans="1:4" ht="15">
      <c r="A23" s="16" t="s">
        <v>63</v>
      </c>
      <c r="B23" s="35">
        <f>IF(OR(153802.7911="",153802.7911=0),"-",153802.7911)/1000</f>
        <v>153.8027911</v>
      </c>
      <c r="C23" s="35">
        <f>IF(OR(175963.67883="",175963.67883=0),"-",175963.67883)/1000</f>
        <v>175.96367883</v>
      </c>
      <c r="D23" s="39">
        <f>IF(OR(153802.7911="",175963.67883="",153802.7911=0,175963.67883=0),"-",175963.67883/153802.7911*100)</f>
        <v>114.40863821228793</v>
      </c>
    </row>
    <row r="24" spans="1:4" ht="15">
      <c r="A24" s="16" t="s">
        <v>64</v>
      </c>
      <c r="B24" s="35">
        <f>IF(OR(-937.13342="",-937.13342=0),"-",-937.13342)/1000</f>
        <v>-0.93713342</v>
      </c>
      <c r="C24" s="35">
        <f>IF(OR(-595.8318="",-595.8318=0),"-",-595.8318)/1000</f>
        <v>-0.5958318</v>
      </c>
      <c r="D24" s="39">
        <f>IF(OR(-937.13342="",-595.8318="",-937.13342=0,-595.8318=0),"-",-595.8318/-937.13342*100)</f>
        <v>63.58025306578011</v>
      </c>
    </row>
    <row r="25" spans="1:4" ht="15">
      <c r="A25" s="16" t="s">
        <v>65</v>
      </c>
      <c r="B25" s="35">
        <f>IF(OR(-24870.31681="",-24870.31681=0),"-",-24870.31681)/1000</f>
        <v>-24.87031681</v>
      </c>
      <c r="C25" s="35">
        <f>IF(OR(-25387.04591="",-25387.04591=0),"-",-25387.04591)/1000</f>
        <v>-25.38704591</v>
      </c>
      <c r="D25" s="39">
        <f>IF(OR(-24870.31681="",-25387.04591="",-24870.31681=0,-25387.04591=0),"-",-25387.04591/-24870.31681*100)</f>
        <v>102.07769407984473</v>
      </c>
    </row>
    <row r="26" spans="1:4" ht="15">
      <c r="A26" s="16" t="s">
        <v>66</v>
      </c>
      <c r="B26" s="35">
        <f>IF(OR(1671.76663="",1671.76663=0),"-",1671.76663)/1000</f>
        <v>1.67176663</v>
      </c>
      <c r="C26" s="35">
        <f>IF(OR(1997.34722="",1997.34722=0),"-",1997.34722)/1000</f>
        <v>1.9973472200000002</v>
      </c>
      <c r="D26" s="39">
        <f>IF(OR(1671.76663="",1997.34722="",1671.76663=0,1997.34722=0),"-",1997.34722/1671.76663*100)</f>
        <v>119.47524158919238</v>
      </c>
    </row>
    <row r="27" spans="1:4" ht="27" customHeight="1">
      <c r="A27" s="16" t="s">
        <v>67</v>
      </c>
      <c r="B27" s="35">
        <f>IF(OR(-7605.10973="",-7605.10973=0),"-",-7605.10973)/1000</f>
        <v>-7.605109730000001</v>
      </c>
      <c r="C27" s="35">
        <f>IF(OR(-7106.10305="",-7106.10305=0),"-",-7106.10305)/1000</f>
        <v>-7.10610305</v>
      </c>
      <c r="D27" s="39">
        <f>IF(OR(-7605.10973="",-7106.10305="",-7605.10973=0,-7106.10305=0),"-",-7106.10305/-7605.10973*100)</f>
        <v>93.43853412092714</v>
      </c>
    </row>
    <row r="28" spans="1:4" ht="27.75" customHeight="1">
      <c r="A28" s="16" t="s">
        <v>68</v>
      </c>
      <c r="B28" s="35">
        <f>IF(OR(-3675.99826="",-3675.99826=0),"-",-3675.99826)/1000</f>
        <v>-3.6759982599999996</v>
      </c>
      <c r="C28" s="35">
        <f>IF(OR(-3864.63095="",-3864.63095=0),"-",-3864.63095)/1000</f>
        <v>-3.86463095</v>
      </c>
      <c r="D28" s="39">
        <f>IF(OR(-3675.99826="",-3864.63095="",-3675.99826=0,-3864.63095=0),"-",-3864.63095/-3675.99826*100)</f>
        <v>105.13146842457972</v>
      </c>
    </row>
    <row r="29" spans="1:4" ht="15">
      <c r="A29" s="16" t="s">
        <v>69</v>
      </c>
      <c r="B29" s="35">
        <f>IF(OR(16802.64491="",16802.64491=0),"-",16802.64491)/1000</f>
        <v>16.802644909999998</v>
      </c>
      <c r="C29" s="35">
        <f>IF(OR(9957.7992="",9957.7992=0),"-",9957.7992)/1000</f>
        <v>9.9577992</v>
      </c>
      <c r="D29" s="39">
        <f>IF(OR(16802.64491="",9957.7992="",16802.64491=0,9957.7992=0),"-",9957.7992/16802.64491*100)</f>
        <v>59.26328416351685</v>
      </c>
    </row>
    <row r="30" spans="1:4" ht="15">
      <c r="A30" s="16" t="s">
        <v>70</v>
      </c>
      <c r="B30" s="35">
        <f>IF(OR(-19635.48505="",-19635.48505=0),"-",-19635.48505)/1000</f>
        <v>-19.63548505</v>
      </c>
      <c r="C30" s="35">
        <f>IF(OR(-18996.57817="",-18996.57817=0),"-",-18996.57817)/1000</f>
        <v>-18.99657817</v>
      </c>
      <c r="D30" s="39">
        <f>IF(OR(-19635.48505="",-18996.57817="",-19635.48505=0,-18996.57817=0),"-",-18996.57817/-19635.48505*100)</f>
        <v>96.746161969653</v>
      </c>
    </row>
    <row r="31" spans="1:4" ht="15">
      <c r="A31" s="17" t="s">
        <v>71</v>
      </c>
      <c r="B31" s="34">
        <f>IF(-707628.27449="","-",-707628.27449)/1000</f>
        <v>-707.62827449</v>
      </c>
      <c r="C31" s="34">
        <f>IF(-608376.15623="","-",-608376.15623)/1000</f>
        <v>-608.37615623</v>
      </c>
      <c r="D31" s="40">
        <f>IF(-707628.27449="","-",-608376.15623/-707628.27449*100)</f>
        <v>85.97397506034751</v>
      </c>
    </row>
    <row r="32" spans="1:4" ht="15">
      <c r="A32" s="16" t="s">
        <v>72</v>
      </c>
      <c r="B32" s="35">
        <f>IF(OR(-19692.83195="",-19692.83195=0),"-",-19692.83195)/1000</f>
        <v>-19.69283195</v>
      </c>
      <c r="C32" s="35">
        <f>IF(OR(-9790.2002="",-9790.2002=0),"-",-9790.2002)/1000</f>
        <v>-9.7902002</v>
      </c>
      <c r="D32" s="39">
        <f>IF(OR(-19692.83195="",-9790.2002="",-19692.83195=0,-9790.2002=0),"-",-9790.2002/-19692.83195*100)</f>
        <v>49.71453686730922</v>
      </c>
    </row>
    <row r="33" spans="1:4" ht="15">
      <c r="A33" s="16" t="s">
        <v>73</v>
      </c>
      <c r="B33" s="35">
        <f>IF(OR(-397823.02268="",-397823.02268=0),"-",-397823.02268)/1000</f>
        <v>-397.82302268</v>
      </c>
      <c r="C33" s="35">
        <f>IF(OR(-368910.07886="",-368910.07886=0),"-",-368910.07886)/1000</f>
        <v>-368.91007886</v>
      </c>
      <c r="D33" s="39">
        <f>IF(OR(-397823.02268="",-368910.07886="",-397823.02268=0,-368910.07886=0),"-",-368910.07886/-397823.02268*100)</f>
        <v>92.73220950732735</v>
      </c>
    </row>
    <row r="34" spans="1:4" ht="15">
      <c r="A34" s="16" t="s">
        <v>74</v>
      </c>
      <c r="B34" s="35">
        <f>IF(OR(-288927.96559="",-288927.96559=0),"-",-288927.96559)/1000</f>
        <v>-288.92796559</v>
      </c>
      <c r="C34" s="35">
        <f>IF(OR(-229428.94258="",-229428.94258=0),"-",-229428.94258)/1000</f>
        <v>-229.42894258</v>
      </c>
      <c r="D34" s="39">
        <f>IF(OR(-288927.96559="",-229428.94258="",-288927.96559=0,-229428.94258=0),"-",-229428.94258/-288927.96559*100)</f>
        <v>79.40696986928867</v>
      </c>
    </row>
    <row r="35" spans="1:4" ht="15">
      <c r="A35" s="16" t="s">
        <v>75</v>
      </c>
      <c r="B35" s="35">
        <f>IF(OR(-1184.45427="",-1184.45427=0),"-",-1184.45427)/1000</f>
        <v>-1.18445427</v>
      </c>
      <c r="C35" s="35">
        <f>IF(OR(-246.93459="",-246.93459=0),"-",-246.93459)/1000</f>
        <v>-0.24693458999999998</v>
      </c>
      <c r="D35" s="39">
        <f>IF(OR(-1184.45427="",-246.93459="",-1184.45427=0,-246.93459=0),"-",-246.93459/-1184.45427*100)</f>
        <v>20.84796317210288</v>
      </c>
    </row>
    <row r="36" spans="1:4" ht="14.25" customHeight="1">
      <c r="A36" s="17" t="s">
        <v>76</v>
      </c>
      <c r="B36" s="34">
        <f>IF(62980.81682="","-",62980.81682)/1000</f>
        <v>62.98081682</v>
      </c>
      <c r="C36" s="34">
        <f>IF(44183.84559="","-",44183.84559)/1000</f>
        <v>44.18384559</v>
      </c>
      <c r="D36" s="40">
        <f>IF(62980.81682="","-",44183.84559/62980.81682*100)</f>
        <v>70.1544499117533</v>
      </c>
    </row>
    <row r="37" spans="1:4" ht="15">
      <c r="A37" s="16" t="s">
        <v>77</v>
      </c>
      <c r="B37" s="35">
        <f>IF(OR(-850.4554="",-850.4554=0),"-",-850.4554)/1000</f>
        <v>-0.8504554000000001</v>
      </c>
      <c r="C37" s="35">
        <f>IF(OR(-983.93843="",-983.93843=0),"-",-983.93843)/1000</f>
        <v>-0.98393843</v>
      </c>
      <c r="D37" s="39">
        <f>IF(OR(-850.4554="",-983.93843="",-850.4554=0,-983.93843=0),"-",-983.93843/-850.4554*100)</f>
        <v>115.69547679984157</v>
      </c>
    </row>
    <row r="38" spans="1:4" ht="26.25">
      <c r="A38" s="16" t="s">
        <v>78</v>
      </c>
      <c r="B38" s="35">
        <f>IF(OR(65540.44567="",65540.44567=0),"-",65540.44567)/1000</f>
        <v>65.54044567</v>
      </c>
      <c r="C38" s="35">
        <f>IF(OR(46904.37387="",46904.37387=0),"-",46904.37387)/1000</f>
        <v>46.90437387</v>
      </c>
      <c r="D38" s="39">
        <f>IF(OR(65540.44567="",46904.37387="",65540.44567=0,46904.37387=0),"-",46904.37387/65540.44567*100)</f>
        <v>71.56554001198937</v>
      </c>
    </row>
    <row r="39" spans="1:4" ht="27.75" customHeight="1">
      <c r="A39" s="16" t="s">
        <v>79</v>
      </c>
      <c r="B39" s="35">
        <f>IF(OR(-1709.17345="",-1709.17345=0),"-",-1709.17345)/1000</f>
        <v>-1.70917345</v>
      </c>
      <c r="C39" s="35">
        <f>IF(OR(-1736.58985="",-1736.58985=0),"-",-1736.58985)/1000</f>
        <v>-1.73658985</v>
      </c>
      <c r="D39" s="39">
        <f>IF(OR(-1709.17345="",-1736.58985="",-1709.17345=0,-1736.58985=0),"-",-1736.58985/-1709.17345*100)</f>
        <v>101.60407359475423</v>
      </c>
    </row>
    <row r="40" spans="1:4" ht="26.25">
      <c r="A40" s="17" t="s">
        <v>80</v>
      </c>
      <c r="B40" s="34">
        <f>IF(-495171.68057="","-",-495171.68057)/1000</f>
        <v>-495.17168057000004</v>
      </c>
      <c r="C40" s="34">
        <f>IF(-516064.37618="","-",-516064.37618)/1000</f>
        <v>-516.0643761800001</v>
      </c>
      <c r="D40" s="40">
        <f>IF(-495171.68057="","-",-516064.37618/-495171.68057*100)</f>
        <v>104.21928321626754</v>
      </c>
    </row>
    <row r="41" spans="1:4" ht="15">
      <c r="A41" s="16" t="s">
        <v>81</v>
      </c>
      <c r="B41" s="35">
        <f>IF(OR(-12751.09917="",-12751.09917=0),"-",-12751.09917)/1000</f>
        <v>-12.75109917</v>
      </c>
      <c r="C41" s="35">
        <f>IF(OR(335.36094="",335.36094=0),"-",335.36094)/1000</f>
        <v>0.33536094000000005</v>
      </c>
      <c r="D41" s="39" t="s">
        <v>41</v>
      </c>
    </row>
    <row r="42" spans="1:4" ht="15">
      <c r="A42" s="16" t="s">
        <v>82</v>
      </c>
      <c r="B42" s="35">
        <f>IF(OR(-12604.23554="",-12604.23554=0),"-",-12604.23554)/1000</f>
        <v>-12.60423554</v>
      </c>
      <c r="C42" s="35">
        <f>IF(OR(-12024.70828="",-12024.70828=0),"-",-12024.70828)/1000</f>
        <v>-12.02470828</v>
      </c>
      <c r="D42" s="39">
        <f>IF(OR(-12604.23554="",-12024.70828="",-12604.23554=0,-12024.70828=0),"-",-12024.70828/-12604.23554*100)</f>
        <v>95.40212289622129</v>
      </c>
    </row>
    <row r="43" spans="1:4" ht="15">
      <c r="A43" s="16" t="s">
        <v>83</v>
      </c>
      <c r="B43" s="35">
        <f>IF(OR(-26456.21401="",-26456.21401=0),"-",-26456.21401)/1000</f>
        <v>-26.45621401</v>
      </c>
      <c r="C43" s="35">
        <f>IF(OR(-27618.86539="",-27618.86539=0),"-",-27618.86539)/1000</f>
        <v>-27.61886539</v>
      </c>
      <c r="D43" s="39">
        <f>IF(OR(-26456.21401="",-27618.86539="",-26456.21401=0,-27618.86539=0),"-",-27618.86539/-26456.21401*100)</f>
        <v>104.39462494354082</v>
      </c>
    </row>
    <row r="44" spans="1:4" ht="15">
      <c r="A44" s="16" t="s">
        <v>84</v>
      </c>
      <c r="B44" s="35">
        <f>IF(OR(-110985.50969="",-110985.50969=0),"-",-110985.50969)/1000</f>
        <v>-110.98550969</v>
      </c>
      <c r="C44" s="35">
        <f>IF(OR(-136091.33552="",-136091.33552=0),"-",-136091.33552)/1000</f>
        <v>-136.09133552</v>
      </c>
      <c r="D44" s="39">
        <f>IF(OR(-110985.50969="",-136091.33552="",-110985.50969=0,-136091.33552=0),"-",-136091.33552/-110985.50969*100)</f>
        <v>122.62081410458403</v>
      </c>
    </row>
    <row r="45" spans="1:4" ht="27.75" customHeight="1">
      <c r="A45" s="16" t="s">
        <v>85</v>
      </c>
      <c r="B45" s="35">
        <f>IF(OR(-72819.07279="",-72819.07279=0),"-",-72819.07279)/1000</f>
        <v>-72.81907279</v>
      </c>
      <c r="C45" s="35">
        <f>IF(OR(-75840.98919="",-75840.98919=0),"-",-75840.98919)/1000</f>
        <v>-75.84098918999999</v>
      </c>
      <c r="D45" s="39">
        <f>IF(OR(-72819.07279="",-75840.98919="",-72819.07279=0,-75840.98919=0),"-",-75840.98919/-72819.07279*100)</f>
        <v>104.1498968391355</v>
      </c>
    </row>
    <row r="46" spans="1:4" ht="15">
      <c r="A46" s="16" t="s">
        <v>86</v>
      </c>
      <c r="B46" s="35">
        <f>IF(OR(-51128.72192="",-51128.72192=0),"-",-51128.72192)/1000</f>
        <v>-51.128721920000004</v>
      </c>
      <c r="C46" s="35">
        <f>IF(OR(-51415.42287="",-51415.42287=0),"-",-51415.42287)/1000</f>
        <v>-51.41542287</v>
      </c>
      <c r="D46" s="39">
        <f>IF(OR(-51128.72192="",-51415.42287="",-51128.72192=0,-51415.42287=0),"-",-51415.42287/-51128.72192*100)</f>
        <v>100.56074343193752</v>
      </c>
    </row>
    <row r="47" spans="1:4" ht="15">
      <c r="A47" s="16" t="s">
        <v>87</v>
      </c>
      <c r="B47" s="35">
        <f>IF(OR(-44649.78337="",-44649.78337=0),"-",-44649.78337)/1000</f>
        <v>-44.649783369999994</v>
      </c>
      <c r="C47" s="35">
        <f>IF(OR(-42220.2791="",-42220.2791=0),"-",-42220.2791)/1000</f>
        <v>-42.2202791</v>
      </c>
      <c r="D47" s="39">
        <f>IF(OR(-44649.78337="",-42220.2791="",-44649.78337=0,-42220.2791=0),"-",-42220.2791/-44649.78337*100)</f>
        <v>94.55875463075064</v>
      </c>
    </row>
    <row r="48" spans="1:4" ht="15">
      <c r="A48" s="16" t="s">
        <v>88</v>
      </c>
      <c r="B48" s="35">
        <f>IF(OR(-82933.56702="",-82933.56702=0),"-",-82933.56702)/1000</f>
        <v>-82.93356702</v>
      </c>
      <c r="C48" s="35">
        <f>IF(OR(-82283.11798="",-82283.11798=0),"-",-82283.11798)/1000</f>
        <v>-82.28311798</v>
      </c>
      <c r="D48" s="39">
        <f>IF(OR(-82933.56702="",-82283.11798="",-82933.56702=0,-82283.11798=0),"-",-82283.11798/-82933.56702*100)</f>
        <v>99.2156987051538</v>
      </c>
    </row>
    <row r="49" spans="1:4" ht="15">
      <c r="A49" s="16" t="s">
        <v>89</v>
      </c>
      <c r="B49" s="35">
        <f>IF(OR(-80843.47706="",-80843.47706=0),"-",-80843.47706)/1000</f>
        <v>-80.84347706</v>
      </c>
      <c r="C49" s="35">
        <f>IF(OR(-88905.01879="",-88905.01879=0),"-",-88905.01879)/1000</f>
        <v>-88.90501879</v>
      </c>
      <c r="D49" s="39">
        <f>IF(OR(-80843.47706="",-88905.01879="",-80843.47706=0,-88905.01879=0),"-",-88905.01879/-80843.47706*100)</f>
        <v>109.97178996150416</v>
      </c>
    </row>
    <row r="50" spans="1:4" ht="14.25" customHeight="1">
      <c r="A50" s="17" t="s">
        <v>90</v>
      </c>
      <c r="B50" s="34">
        <f>IF(-670435.83557="","-",-670435.83557)/1000</f>
        <v>-670.43583557</v>
      </c>
      <c r="C50" s="34">
        <f>IF(-681374.91264="","-",-681374.91264)/1000</f>
        <v>-681.37491264</v>
      </c>
      <c r="D50" s="40">
        <f>IF(-670435.83557="","-",-681374.91264/-670435.83557*100)</f>
        <v>101.63163668909489</v>
      </c>
    </row>
    <row r="51" spans="1:4" ht="15">
      <c r="A51" s="16" t="s">
        <v>91</v>
      </c>
      <c r="B51" s="35">
        <f>IF(OR(-31036.14098="",-31036.14098=0),"-",-31036.14098)/1000</f>
        <v>-31.03614098</v>
      </c>
      <c r="C51" s="35">
        <f>IF(OR(-37022.7163="",-37022.7163=0),"-",-37022.7163)/1000</f>
        <v>-37.0227163</v>
      </c>
      <c r="D51" s="39">
        <f>IF(OR(-31036.14098="",-37022.7163="",-31036.14098=0,-37022.7163=0),"-",-37022.7163/-31036.14098*100)</f>
        <v>119.28904538698227</v>
      </c>
    </row>
    <row r="52" spans="1:4" ht="15">
      <c r="A52" s="16" t="s">
        <v>92</v>
      </c>
      <c r="B52" s="35">
        <f>IF(OR(-41603.60949="",-41603.60949=0),"-",-41603.60949)/1000</f>
        <v>-41.603609490000004</v>
      </c>
      <c r="C52" s="35">
        <f>IF(OR(-47186.9539="",-47186.9539=0),"-",-47186.9539)/1000</f>
        <v>-47.1869539</v>
      </c>
      <c r="D52" s="39">
        <f>IF(OR(-41603.60949="",-47186.9539="",-41603.60949=0,-47186.9539=0),"-",-47186.9539/-41603.60949*100)</f>
        <v>113.42033654878438</v>
      </c>
    </row>
    <row r="53" spans="1:4" ht="15">
      <c r="A53" s="16" t="s">
        <v>93</v>
      </c>
      <c r="B53" s="35">
        <f>IF(OR(-51306.31128="",-51306.31128=0),"-",-51306.31128)/1000</f>
        <v>-51.30631128</v>
      </c>
      <c r="C53" s="35">
        <f>IF(OR(-49975.33864="",-49975.33864=0),"-",-49975.33864)/1000</f>
        <v>-49.975338640000004</v>
      </c>
      <c r="D53" s="39">
        <f>IF(OR(-51306.31128="",-49975.33864="",-51306.31128=0,-49975.33864=0),"-",-49975.33864/-51306.31128*100)</f>
        <v>97.40583057562581</v>
      </c>
    </row>
    <row r="54" spans="1:4" ht="26.25">
      <c r="A54" s="16" t="s">
        <v>94</v>
      </c>
      <c r="B54" s="35">
        <f>IF(OR(-72981.43949="",-72981.43949=0),"-",-72981.43949)/1000</f>
        <v>-72.98143949</v>
      </c>
      <c r="C54" s="35">
        <f>IF(OR(-73868.47025="",-73868.47025=0),"-",-73868.47025)/1000</f>
        <v>-73.86847025</v>
      </c>
      <c r="D54" s="39">
        <f>IF(OR(-72981.43949="",-73868.47025="",-72981.43949=0,-73868.47025=0),"-",-73868.47025/-72981.43949*100)</f>
        <v>101.21541965491315</v>
      </c>
    </row>
    <row r="55" spans="1:4" ht="27.75" customHeight="1">
      <c r="A55" s="16" t="s">
        <v>95</v>
      </c>
      <c r="B55" s="35">
        <f>IF(OR(-154585.71331="",-154585.71331=0),"-",-154585.71331)/1000</f>
        <v>-154.58571331</v>
      </c>
      <c r="C55" s="35">
        <f>IF(OR(-174312.98129="",-174312.98129=0),"-",-174312.98129)/1000</f>
        <v>-174.31298128999998</v>
      </c>
      <c r="D55" s="39">
        <f>IF(OR(-154585.71331="",-174312.98129="",-154585.71331=0,-174312.98129=0),"-",-174312.98129/-154585.71331*100)</f>
        <v>112.76137849843842</v>
      </c>
    </row>
    <row r="56" spans="1:4" ht="15">
      <c r="A56" s="16" t="s">
        <v>96</v>
      </c>
      <c r="B56" s="35">
        <f>IF(OR(-65269.19888="",-65269.19888=0),"-",-65269.19888)/1000</f>
        <v>-65.26919888</v>
      </c>
      <c r="C56" s="35">
        <f>IF(OR(-64519.51555="",-64519.51555=0),"-",-64519.51555)/1000</f>
        <v>-64.51951555</v>
      </c>
      <c r="D56" s="39">
        <f>IF(OR(-65269.19888="",-64519.51555="",-65269.19888=0,-64519.51555=0),"-",-64519.51555/-65269.19888*100)</f>
        <v>98.85139799037778</v>
      </c>
    </row>
    <row r="57" spans="1:4" ht="15">
      <c r="A57" s="16" t="s">
        <v>97</v>
      </c>
      <c r="B57" s="35">
        <f>IF(OR(-98161.80623="",-98161.80623=0),"-",-98161.80623)/1000</f>
        <v>-98.16180623</v>
      </c>
      <c r="C57" s="35">
        <f>IF(OR(-87731.30338="",-87731.30338=0),"-",-87731.30338)/1000</f>
        <v>-87.73130338</v>
      </c>
      <c r="D57" s="39">
        <f>IF(OR(-98161.80623="",-87731.30338="",-98161.80623=0,-87731.30338=0),"-",-87731.30338/-98161.80623*100)</f>
        <v>89.37417387618092</v>
      </c>
    </row>
    <row r="58" spans="1:4" ht="15">
      <c r="A58" s="16" t="s">
        <v>98</v>
      </c>
      <c r="B58" s="35">
        <f>IF(OR(-62893.92289="",-62893.92289=0),"-",-62893.92289)/1000</f>
        <v>-62.89392289</v>
      </c>
      <c r="C58" s="35">
        <f>IF(OR(-51834.84753="",-51834.84753=0),"-",-51834.84753)/1000</f>
        <v>-51.83484753</v>
      </c>
      <c r="D58" s="39">
        <f>IF(OR(-62893.92289="",-51834.84753="",-62893.92289=0,-51834.84753=0),"-",-51834.84753/-62893.92289*100)</f>
        <v>82.41630534107077</v>
      </c>
    </row>
    <row r="59" spans="1:4" ht="15">
      <c r="A59" s="16" t="s">
        <v>99</v>
      </c>
      <c r="B59" s="35">
        <f>IF(OR(-92597.69302="",-92597.69302=0),"-",-92597.69302)/1000</f>
        <v>-92.59769302000001</v>
      </c>
      <c r="C59" s="35">
        <f>IF(OR(-94922.7858="",-94922.7858=0),"-",-94922.7858)/1000</f>
        <v>-94.9227858</v>
      </c>
      <c r="D59" s="39">
        <f>IF(OR(-92597.69302="",-94922.7858="",-92597.69302=0,-94922.7858=0),"-",-94922.7858/-92597.69302*100)</f>
        <v>102.51096188702866</v>
      </c>
    </row>
    <row r="60" spans="1:4" ht="15">
      <c r="A60" s="17" t="s">
        <v>100</v>
      </c>
      <c r="B60" s="34">
        <f>IF(-507542.65162="","-",-507542.65162)/1000</f>
        <v>-507.54265162</v>
      </c>
      <c r="C60" s="34">
        <f>IF(-539377.25941="","-",-539377.25941)/1000</f>
        <v>-539.3772594100001</v>
      </c>
      <c r="D60" s="40">
        <f>IF(-507542.65162="","-",-539377.25941/-507542.65162*100)</f>
        <v>106.27230198060967</v>
      </c>
    </row>
    <row r="61" spans="1:4" ht="15">
      <c r="A61" s="16" t="s">
        <v>101</v>
      </c>
      <c r="B61" s="35">
        <f>IF(OR(-6912.82932="",-6912.82932=0),"-",-6912.82932)/1000</f>
        <v>-6.91282932</v>
      </c>
      <c r="C61" s="35">
        <f>IF(OR(-9639.70849="",-9639.70849=0),"-",-9639.70849)/1000</f>
        <v>-9.63970849</v>
      </c>
      <c r="D61" s="39">
        <f>IF(OR(-6912.82932="",-9639.70849="",-6912.82932=0,-9639.70849=0),"-",-9639.70849/-6912.82932*100)</f>
        <v>139.44664396834844</v>
      </c>
    </row>
    <row r="62" spans="1:4" ht="15">
      <c r="A62" s="16" t="s">
        <v>102</v>
      </c>
      <c r="B62" s="35">
        <f>IF(OR(-105972.56605="",-105972.56605=0),"-",-105972.56605)/1000</f>
        <v>-105.97256605</v>
      </c>
      <c r="C62" s="35">
        <f>IF(OR(-114501.94971="",-114501.94971=0),"-",-114501.94971)/1000</f>
        <v>-114.50194971</v>
      </c>
      <c r="D62" s="39">
        <f>IF(OR(-105972.56605="",-114501.94971="",-105972.56605=0,-114501.94971=0),"-",-114501.94971/-105972.56605*100)</f>
        <v>108.04867144198025</v>
      </c>
    </row>
    <row r="63" spans="1:4" ht="15">
      <c r="A63" s="16" t="s">
        <v>103</v>
      </c>
      <c r="B63" s="35">
        <f>IF(OR(-5720.48542="",-5720.48542=0),"-",-5720.48542)/1000</f>
        <v>-5.72048542</v>
      </c>
      <c r="C63" s="35">
        <f>IF(OR(-4737.69671="",-4737.69671=0),"-",-4737.69671)/1000</f>
        <v>-4.73769671</v>
      </c>
      <c r="D63" s="39">
        <f>IF(OR(-5720.48542="",-4737.69671="",-5720.48542=0,-4737.69671=0),"-",-4737.69671/-5720.48542*100)</f>
        <v>82.81983716689554</v>
      </c>
    </row>
    <row r="64" spans="1:4" ht="27" customHeight="1">
      <c r="A64" s="16" t="s">
        <v>104</v>
      </c>
      <c r="B64" s="35">
        <f>IF(OR(-96338.52455="",-96338.52455=0),"-",-96338.52455)/1000</f>
        <v>-96.33852455</v>
      </c>
      <c r="C64" s="35">
        <f>IF(OR(-89505.75844="",-89505.75844=0),"-",-89505.75844)/1000</f>
        <v>-89.50575844000001</v>
      </c>
      <c r="D64" s="39">
        <f>IF(OR(-96338.52455="",-89505.75844="",-96338.52455=0,-89505.75844=0),"-",-89505.75844/-96338.52455*100)</f>
        <v>92.90754540624735</v>
      </c>
    </row>
    <row r="65" spans="1:4" ht="27" customHeight="1">
      <c r="A65" s="16" t="s">
        <v>105</v>
      </c>
      <c r="B65" s="35">
        <f>IF(OR(-29359.38951="",-29359.38951=0),"-",-29359.38951)/1000</f>
        <v>-29.35938951</v>
      </c>
      <c r="C65" s="35">
        <f>IF(OR(-35756.921="",-35756.921=0),"-",-35756.921)/1000</f>
        <v>-35.756921000000006</v>
      </c>
      <c r="D65" s="39">
        <f>IF(OR(-29359.38951="",-35756.921="",-29359.38951=0,-35756.921=0),"-",-35756.921/-29359.38951*100)</f>
        <v>121.79041048459457</v>
      </c>
    </row>
    <row r="66" spans="1:4" ht="27" customHeight="1">
      <c r="A66" s="16" t="s">
        <v>106</v>
      </c>
      <c r="B66" s="35">
        <f>IF(OR(-82078.48265="",-82078.48265=0),"-",-82078.48265)/1000</f>
        <v>-82.07848265000001</v>
      </c>
      <c r="C66" s="35">
        <f>IF(OR(-88117.70552="",-88117.70552=0),"-",-88117.70552)/1000</f>
        <v>-88.11770552</v>
      </c>
      <c r="D66" s="39">
        <f>IF(OR(-82078.48265="",-88117.70552="",-82078.48265=0,-88117.70552=0),"-",-88117.70552/-82078.48265*100)</f>
        <v>107.35786368731075</v>
      </c>
    </row>
    <row r="67" spans="1:4" ht="39">
      <c r="A67" s="16" t="s">
        <v>107</v>
      </c>
      <c r="B67" s="35">
        <f>IF(OR(-28373.1537="",-28373.1537=0),"-",-28373.1537)/1000</f>
        <v>-28.3731537</v>
      </c>
      <c r="C67" s="35">
        <f>IF(OR(-19051.83519="",-19051.83519=0),"-",-19051.83519)/1000</f>
        <v>-19.051835190000002</v>
      </c>
      <c r="D67" s="39">
        <f>IF(OR(-28373.1537="",-19051.83519="",-28373.1537=0,-19051.83519=0),"-",-19051.83519/-28373.1537*100)</f>
        <v>67.14740064302404</v>
      </c>
    </row>
    <row r="68" spans="1:4" ht="15">
      <c r="A68" s="16" t="s">
        <v>108</v>
      </c>
      <c r="B68" s="35">
        <f>IF(OR(-153661.22511="",-153661.22511=0),"-",-153661.22511)/1000</f>
        <v>-153.66122511</v>
      </c>
      <c r="C68" s="35">
        <f>IF(OR(-177511.42669="",-177511.42669=0),"-",-177511.42669)/1000</f>
        <v>-177.51142668999998</v>
      </c>
      <c r="D68" s="39">
        <f>IF(OR(-153661.22511="",-177511.42669="",-153661.22511=0,-177511.42669=0),"-",-177511.42669/-153661.22511*100)</f>
        <v>115.52128818635057</v>
      </c>
    </row>
    <row r="69" spans="1:4" ht="15">
      <c r="A69" s="16" t="s">
        <v>109</v>
      </c>
      <c r="B69" s="35">
        <f>IF(OR(874.00469="",874.00469=0),"-",874.00469)/1000</f>
        <v>0.87400469</v>
      </c>
      <c r="C69" s="35">
        <f>IF(OR(-554.25766="",-554.25766=0),"-",-554.25766)/1000</f>
        <v>-0.55425766</v>
      </c>
      <c r="D69" s="39" t="s">
        <v>41</v>
      </c>
    </row>
    <row r="70" spans="1:4" ht="15">
      <c r="A70" s="17" t="s">
        <v>110</v>
      </c>
      <c r="B70" s="34">
        <f>IF(55720.89409="","-",55720.89409)/1000</f>
        <v>55.72089409</v>
      </c>
      <c r="C70" s="34">
        <f>IF(73554.70947="","-",73554.70947)/1000</f>
        <v>73.55470947</v>
      </c>
      <c r="D70" s="40">
        <f>IF(55720.89409="","-",73554.70947/55720.89409*100)</f>
        <v>132.00561597449413</v>
      </c>
    </row>
    <row r="71" spans="1:4" ht="27.75" customHeight="1">
      <c r="A71" s="16" t="s">
        <v>111</v>
      </c>
      <c r="B71" s="35">
        <f>IF(OR(-31771.80089="",-31771.80089=0),"-",-31771.80089)/1000</f>
        <v>-31.771800889999998</v>
      </c>
      <c r="C71" s="35">
        <f>IF(OR(-27902.53813="",-27902.53813=0),"-",-27902.53813)/1000</f>
        <v>-27.90253813</v>
      </c>
      <c r="D71" s="39">
        <f>IF(OR(-31771.80089="",-27902.53813="",-31771.80089=0,-27902.53813=0),"-",-27902.53813/-31771.80089*100)</f>
        <v>87.82170776722378</v>
      </c>
    </row>
    <row r="72" spans="1:4" ht="15">
      <c r="A72" s="16" t="s">
        <v>112</v>
      </c>
      <c r="B72" s="35">
        <f>IF(OR(55875.4385="",55875.4385=0),"-",55875.4385)/1000</f>
        <v>55.875438499999994</v>
      </c>
      <c r="C72" s="35">
        <f>IF(OR(79470.67952="",79470.67952=0),"-",79470.67952)/1000</f>
        <v>79.47067952</v>
      </c>
      <c r="D72" s="39">
        <f>IF(OR(55875.4385="",79470.67952="",55875.4385=0,79470.67952=0),"-",79470.67952/55875.4385*100)</f>
        <v>142.22828787285493</v>
      </c>
    </row>
    <row r="73" spans="1:4" ht="15">
      <c r="A73" s="16" t="s">
        <v>113</v>
      </c>
      <c r="B73" s="35">
        <f>IF(OR(11594.99795="",11594.99795=0),"-",11594.99795)/1000</f>
        <v>11.594997950000002</v>
      </c>
      <c r="C73" s="35">
        <f>IF(OR(9886.99896="",9886.99896=0),"-",9886.99896)/1000</f>
        <v>9.886998960000001</v>
      </c>
      <c r="D73" s="39">
        <f>IF(OR(11594.99795="",9886.99896="",11594.99795=0,9886.99896=0),"-",9886.99896/11594.99795*100)</f>
        <v>85.26951882729742</v>
      </c>
    </row>
    <row r="74" spans="1:4" ht="15">
      <c r="A74" s="16" t="s">
        <v>114</v>
      </c>
      <c r="B74" s="35">
        <f>IF(OR(151639.74526="",151639.74526=0),"-",151639.74526)/1000</f>
        <v>151.63974525999998</v>
      </c>
      <c r="C74" s="35">
        <f>IF(OR(143693.81129="",143693.81129=0),"-",143693.81129)/1000</f>
        <v>143.69381129</v>
      </c>
      <c r="D74" s="39">
        <f>IF(OR(151639.74526="",143693.81129="",151639.74526=0,143693.81129=0),"-",143693.81129/151639.74526*100)</f>
        <v>94.75999253600963</v>
      </c>
    </row>
    <row r="75" spans="1:4" ht="15">
      <c r="A75" s="16" t="s">
        <v>115</v>
      </c>
      <c r="B75" s="35">
        <f>IF(OR(6860.29279="",6860.29279=0),"-",6860.29279)/1000</f>
        <v>6.860292790000001</v>
      </c>
      <c r="C75" s="35">
        <f>IF(OR(3915.87391="",3915.87391=0),"-",3915.87391)/1000</f>
        <v>3.9158739099999997</v>
      </c>
      <c r="D75" s="39">
        <f>IF(OR(6860.29279="",3915.87391="",6860.29279=0,3915.87391=0),"-",3915.87391/6860.29279*100)</f>
        <v>57.08027382895416</v>
      </c>
    </row>
    <row r="76" spans="1:4" ht="15">
      <c r="A76" s="16" t="s">
        <v>116</v>
      </c>
      <c r="B76" s="35">
        <f>IF(OR(-28446.60199="",-28446.60199=0),"-",-28446.60199)/1000</f>
        <v>-28.446601989999998</v>
      </c>
      <c r="C76" s="35">
        <f>IF(OR(-14466.50158="",-14466.50158=0),"-",-14466.50158)/1000</f>
        <v>-14.466501580000001</v>
      </c>
      <c r="D76" s="39">
        <f>IF(OR(-28446.60199="",-14466.50158="",-28446.60199=0,-14466.50158=0),"-",-14466.50158/-28446.60199*100)</f>
        <v>50.854937208618075</v>
      </c>
    </row>
    <row r="77" spans="1:4" ht="26.25">
      <c r="A77" s="16" t="s">
        <v>117</v>
      </c>
      <c r="B77" s="35">
        <f>IF(OR(-6155.76365="",-6155.76365=0),"-",-6155.76365)/1000</f>
        <v>-6.15576365</v>
      </c>
      <c r="C77" s="35">
        <f>IF(OR(-5930.20550999999="",-5930.20550999999=0),"-",-5930.20550999999)/1000</f>
        <v>-5.93020550999999</v>
      </c>
      <c r="D77" s="39">
        <f>IF(OR(-6155.76365="",-5930.20550999999="",-6155.76365=0,-5930.20550999999=0),"-",-5930.20550999999/-6155.76365*100)</f>
        <v>96.33582195768659</v>
      </c>
    </row>
    <row r="78" spans="1:4" ht="15">
      <c r="A78" s="19" t="s">
        <v>118</v>
      </c>
      <c r="B78" s="36">
        <f>IF(OR(-103875.41388="",-103875.41388=0),"-",-103875.41388)/1000</f>
        <v>-103.87541388</v>
      </c>
      <c r="C78" s="36">
        <f>IF(OR(-115113.40899="",-115113.40899=0),"-",-115113.40899)/1000</f>
        <v>-115.11340899</v>
      </c>
      <c r="D78" s="61">
        <f>IF(OR(-103875.41388="",-115113.40899="",-103875.41388=0,-115113.40899=0),"-",-115113.40899/-103875.41388*100)</f>
        <v>110.81872474942192</v>
      </c>
    </row>
    <row r="79" spans="1:4" ht="15">
      <c r="A79" s="10" t="s">
        <v>35</v>
      </c>
      <c r="B79" s="38"/>
      <c r="C79" s="38"/>
      <c r="D79" s="37"/>
    </row>
  </sheetData>
  <sheetProtection/>
  <mergeCells count="2">
    <mergeCell ref="A1:D1"/>
    <mergeCell ref="A2:D2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2017-02-14T08:53:30Z</cp:lastPrinted>
  <dcterms:created xsi:type="dcterms:W3CDTF">2016-09-01T07:59:47Z</dcterms:created>
  <dcterms:modified xsi:type="dcterms:W3CDTF">2017-05-05T07:21:35Z</dcterms:modified>
  <cp:category/>
  <cp:version/>
  <cp:contentType/>
  <cp:contentStatus/>
</cp:coreProperties>
</file>