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172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<sst xmlns="http://schemas.openxmlformats.org/spreadsheetml/2006/main" count="668" uniqueCount="263">
  <si>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</si>
  <si>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</si>
  <si>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</si>
  <si>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</si>
  <si>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</si>
  <si>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</si>
  <si>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</si>
  <si>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</si>
  <si>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</si>
  <si>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</si>
  <si>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</si>
  <si>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</si>
  <si>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</si>
  <si>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</si>
  <si>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</si>
  <si>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</si>
  <si>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</si>
  <si>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</si>
  <si>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</si>
  <si>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</si>
  <si>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</si>
  <si>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</si>
  <si>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</si>
  <si>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</si>
  <si>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</si>
  <si>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</si>
  <si>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</si>
  <si>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</si>
  <si>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</si>
  <si>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</si>
  <si>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</si>
  <si>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</si>
  <si>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</si>
  <si>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</si>
  <si>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</si>
  <si>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</si>
  <si>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de 3,2 ori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</si>
  <si>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</si>
  <si>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</si>
  <si>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</si>
  <si>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</si>
  <si>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</si>
  <si>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</si>
  <si>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</si>
  <si>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</si>
  <si>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</si>
  <si>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</si>
  <si>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</si>
  <si>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</si>
  <si>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</si>
  <si>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</si>
  <si>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</si>
  <si>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</si>
  <si>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</si>
  <si>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</si>
  <si>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</si>
  <si>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</si>
  <si>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</si>
  <si>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</si>
  <si>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</si>
  <si>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</si>
  <si>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</si>
  <si>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</si>
  <si>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</si>
  <si>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</si>
  <si>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</si>
  <si>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</si>
  <si>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</si>
  <si>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</si>
  <si>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</si>
  <si>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</si>
  <si>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</si>
  <si>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</si>
  <si>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</si>
  <si>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</si>
  <si>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</si>
  <si>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</si>
  <si>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</si>
  <si>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</si>
  <si>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</si>
  <si>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</si>
  <si>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</si>
  <si>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</si>
  <si>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</si>
  <si>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</si>
  <si>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</si>
  <si>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</si>
  <si>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</si>
  <si>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</si>
  <si>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</si>
  <si>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</si>
  <si>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</si>
  <si>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</si>
  <si>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</si>
  <si>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</si>
  <si>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</si>
  <si>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</si>
  <si>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</si>
  <si>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</si>
  <si>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</si>
  <si>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</si>
  <si>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</si>
  <si>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</si>
  <si>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</si>
  <si>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</si>
  <si>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</si>
  <si>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</si>
  <si>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</si>
  <si>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</si>
  <si>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</si>
  <si>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</si>
  <si>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</si>
  <si>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</si>
  <si>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</si>
  <si>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</si>
  <si>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</si>
  <si>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</si>
  <si>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</si>
  <si>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</si>
  <si>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</si>
  <si>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</si>
  <si>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</si>
  <si>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</si>
  <si>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</si>
  <si>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</si>
  <si>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</si>
  <si>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</si>
  <si>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</si>
  <si>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</si>
  <si>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</si>
  <si>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</si>
  <si>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</si>
  <si>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</si>
  <si>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</si>
  <si>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</si>
  <si>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</si>
  <si>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</si>
  <si>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</si>
  <si>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</si>
  <si>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</si>
  <si>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</si>
  <si>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</si>
  <si>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</si>
  <si>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</si>
  <si>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</si>
  <si>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</si>
  <si>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</si>
  <si>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</si>
  <si>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</si>
  <si>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</si>
  <si>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</si>
  <si>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</si>
  <si>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</si>
  <si>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</si>
  <si>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</si>
  <si>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</si>
  <si>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</si>
  <si>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</si>
  <si>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</si>
  <si>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</si>
  <si>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</si>
  <si>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</si>
  <si>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</si>
  <si>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</si>
  <si>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</si>
  <si>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</si>
  <si>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</si>
  <si>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</si>
  <si>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</si>
  <si>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</si>
  <si>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</si>
  <si>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</si>
  <si>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</si>
  <si>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</si>
  <si>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</si>
  <si>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</si>
  <si>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</si>
  <si>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</si>
  <si>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</si>
  <si>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</si>
  <si>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</si>
  <si>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</si>
  <si>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</si>
  <si>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</si>
  <si>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</si>
  <si>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</si>
  <si>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3,3 ori</t>
  </si>
  <si>
    <t>de 2,1 ori</t>
  </si>
  <si>
    <t>de 2,8 ori</t>
  </si>
  <si>
    <t>2017¹</t>
  </si>
  <si>
    <t>Algeria</t>
  </si>
  <si>
    <t>Mongolia</t>
  </si>
  <si>
    <t>de 7,0 ori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</si>
  <si>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</si>
  <si>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</si>
  <si>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</si>
  <si>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</si>
  <si>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</si>
  <si>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</si>
  <si>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</si>
  <si>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</si>
  <si>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</si>
  <si>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</si>
  <si>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</si>
  <si>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</si>
  <si>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</si>
  <si>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</si>
  <si>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</si>
  <si>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</si>
  <si>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</si>
  <si>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</si>
  <si>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</si>
  <si>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</si>
  <si>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de 4,9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</si>
  <si>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</si>
  <si>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</si>
  <si>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</si>
  <si>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</si>
  <si>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</si>
  <si>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</si>
  <si>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</si>
  <si>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</si>
  <si>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</si>
  <si>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</si>
  <si>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</si>
  <si>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</si>
  <si>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Ianuarie-aprilie 2017</t>
  </si>
  <si>
    <t>în % faţă de ianuarie-aprilie 2016¹</t>
  </si>
  <si>
    <t>ianuarie-aprilie</t>
  </si>
  <si>
    <t>Ianuarie-aprilie</t>
  </si>
  <si>
    <t>Ianuarie-aprilie 2017 în % faţă de              ianuarie-aprilie 2016</t>
  </si>
  <si>
    <t>Panama</t>
  </si>
  <si>
    <t>ins.Virgine Britanice</t>
  </si>
  <si>
    <t>ins.Seychelles</t>
  </si>
  <si>
    <t>de 9,1 ori</t>
  </si>
  <si>
    <t>de 3,6 ori</t>
  </si>
  <si>
    <t>de 13,8 ori</t>
  </si>
  <si>
    <t>de 11,6 ori</t>
  </si>
  <si>
    <t>de 7,6 ori</t>
  </si>
  <si>
    <t>Guatemala</t>
  </si>
  <si>
    <t>Qatar</t>
  </si>
  <si>
    <t>Afganistan</t>
  </si>
  <si>
    <t>Rep. Dominicanăă</t>
  </si>
  <si>
    <t>de 8,6 ori</t>
  </si>
  <si>
    <t>de 28,6 ori</t>
  </si>
  <si>
    <t>de 2,9 ori</t>
  </si>
  <si>
    <t>de 8,8 ori</t>
  </si>
  <si>
    <t>ins. Faroe</t>
  </si>
  <si>
    <t>Rep. Dominicană</t>
  </si>
  <si>
    <t>ins. Virgine Britanice</t>
  </si>
  <si>
    <t>de 4,8 ori</t>
  </si>
  <si>
    <t>de 5,5 ori</t>
  </si>
  <si>
    <t>de 8,0 ori</t>
  </si>
  <si>
    <t>de 4,7 ori</t>
  </si>
  <si>
    <t>de 4,5 ori</t>
  </si>
  <si>
    <t>de 23, ori</t>
  </si>
  <si>
    <t>de 59,7 ori</t>
  </si>
  <si>
    <t>de 3,8 ori</t>
  </si>
  <si>
    <t>de 55,5 ori</t>
  </si>
  <si>
    <t>de 5,0 ori</t>
  </si>
  <si>
    <t>de 56,0 ori</t>
  </si>
  <si>
    <t>de 69,2 ori</t>
  </si>
  <si>
    <t xml:space="preserve">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</si>
</sst>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9" fillId="0" borderId="0" xfId="0" applyFont="1" applyBorder="1" applyAlignment="1">
      <alignment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14" fillId="0" borderId="0" xfId="0" applyNumberFormat="1" applyFont="1" applyFill="1" applyAlignment="1" applyProtection="1">
      <alignment horizontal="right"/>
      <protection/>
    </xf>
    <xf numFmtId="164" fontId="14" fillId="0" borderId="0" xfId="0" applyNumberFormat="1" applyFont="1" applyFill="1" applyAlignment="1" applyProtection="1">
      <alignment horizontal="right"/>
      <protection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 wrapText="1" indent="1"/>
      <protection/>
    </xf>
    <xf numFmtId="0" fontId="9" fillId="0" borderId="0" xfId="0" applyFont="1" applyBorder="1" applyAlignment="1">
      <alignment vertical="top" wrapText="1"/>
    </xf>
    <xf numFmtId="4" fontId="14" fillId="0" borderId="0" xfId="0" applyNumberFormat="1" applyFont="1" applyFill="1" applyAlignment="1" applyProtection="1">
      <alignment horizontal="right" vertical="top" indent="1"/>
      <protection/>
    </xf>
    <xf numFmtId="4" fontId="11" fillId="0" borderId="0" xfId="0" applyNumberFormat="1" applyFont="1" applyFill="1" applyAlignment="1" applyProtection="1">
      <alignment horizontal="right" vertical="top" indent="1"/>
      <protection/>
    </xf>
    <xf numFmtId="4" fontId="11" fillId="0" borderId="13" xfId="0" applyNumberFormat="1" applyFont="1" applyFill="1" applyBorder="1" applyAlignment="1" applyProtection="1">
      <alignment horizontal="right" vertical="top" indent="1"/>
      <protection/>
    </xf>
    <xf numFmtId="2" fontId="14" fillId="0" borderId="0" xfId="0" applyNumberFormat="1" applyFont="1" applyFill="1" applyBorder="1" applyAlignment="1" applyProtection="1">
      <alignment horizontal="right" vertical="top" wrapText="1" indent="1"/>
      <protection/>
    </xf>
    <xf numFmtId="0" fontId="9" fillId="0" borderId="0" xfId="0" applyFont="1" applyBorder="1" applyAlignment="1">
      <alignment vertical="top" wrapText="1"/>
    </xf>
    <xf numFmtId="4" fontId="15" fillId="0" borderId="14" xfId="0" applyNumberFormat="1" applyFont="1" applyFill="1" applyBorder="1" applyAlignment="1" applyProtection="1">
      <alignment horizontal="right" vertical="top" indent="1"/>
      <protection/>
    </xf>
    <xf numFmtId="4" fontId="5" fillId="0" borderId="0" xfId="0" applyNumberFormat="1" applyFont="1" applyAlignment="1">
      <alignment horizontal="right" vertical="top" wrapText="1" indent="1"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right" vertical="top" indent="1"/>
      <protection/>
    </xf>
    <xf numFmtId="2" fontId="5" fillId="0" borderId="0" xfId="0" applyNumberFormat="1" applyFont="1" applyAlignment="1">
      <alignment horizontal="right" vertical="top" wrapText="1" indent="1"/>
    </xf>
    <xf numFmtId="2" fontId="14" fillId="0" borderId="0" xfId="0" applyNumberFormat="1" applyFont="1" applyFill="1" applyAlignment="1" applyProtection="1">
      <alignment horizontal="right" vertical="top" indent="1"/>
      <protection/>
    </xf>
    <xf numFmtId="2" fontId="11" fillId="0" borderId="0" xfId="0" applyNumberFormat="1" applyFont="1" applyFill="1" applyAlignment="1" applyProtection="1">
      <alignment horizontal="right" vertical="top" indent="1"/>
      <protection/>
    </xf>
    <xf numFmtId="2" fontId="11" fillId="0" borderId="0" xfId="0" applyNumberFormat="1" applyFont="1" applyFill="1" applyBorder="1" applyAlignment="1" applyProtection="1">
      <alignment horizontal="right" vertical="top" indent="1"/>
      <protection/>
    </xf>
    <xf numFmtId="2" fontId="11" fillId="0" borderId="13" xfId="0" applyNumberFormat="1" applyFont="1" applyFill="1" applyBorder="1" applyAlignment="1" applyProtection="1">
      <alignment horizontal="right" vertical="top" indent="1"/>
      <protection/>
    </xf>
    <xf numFmtId="4" fontId="14" fillId="0" borderId="0" xfId="0" applyNumberFormat="1" applyFont="1" applyFill="1" applyBorder="1" applyAlignment="1" applyProtection="1">
      <alignment horizontal="right" vertical="top" wrapText="1"/>
      <protection/>
    </xf>
    <xf numFmtId="2" fontId="14" fillId="0" borderId="0" xfId="0" applyNumberFormat="1" applyFont="1" applyFill="1" applyBorder="1" applyAlignment="1" applyProtection="1">
      <alignment horizontal="righ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38" fontId="11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Font="1" applyBorder="1" applyAlignment="1">
      <alignment horizontal="left" vertical="top" wrapText="1"/>
    </xf>
    <xf numFmtId="38" fontId="11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8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3.00390625" style="0" customWidth="1"/>
    <col min="2" max="2" width="10.875" style="0" customWidth="1"/>
    <col min="3" max="3" width="10.1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50" t="s">
        <v>29</v>
      </c>
      <c r="B1" s="50"/>
      <c r="C1" s="50"/>
      <c r="D1" s="50"/>
      <c r="E1" s="50"/>
      <c r="F1" s="50"/>
      <c r="G1" s="50"/>
    </row>
    <row r="3" spans="1:7" ht="53.25" customHeight="1">
      <c r="A3" s="51"/>
      <c r="B3" s="54" t="s">
        <v>226</v>
      </c>
      <c r="C3" s="55"/>
      <c r="D3" s="54" t="s">
        <v>0</v>
      </c>
      <c r="E3" s="55"/>
      <c r="F3" s="56" t="s">
        <v>1</v>
      </c>
      <c r="G3" s="57"/>
    </row>
    <row r="4" spans="1:7" ht="23.25" customHeight="1">
      <c r="A4" s="52"/>
      <c r="B4" s="58" t="s">
        <v>198</v>
      </c>
      <c r="C4" s="60" t="s">
        <v>227</v>
      </c>
      <c r="D4" s="62" t="s">
        <v>228</v>
      </c>
      <c r="E4" s="62"/>
      <c r="F4" s="62" t="s">
        <v>228</v>
      </c>
      <c r="G4" s="54"/>
    </row>
    <row r="5" spans="1:7" ht="25.5" customHeight="1">
      <c r="A5" s="53"/>
      <c r="B5" s="59"/>
      <c r="C5" s="61"/>
      <c r="D5" s="15">
        <v>2016</v>
      </c>
      <c r="E5" s="15">
        <v>2017</v>
      </c>
      <c r="F5" s="15" t="s">
        <v>2</v>
      </c>
      <c r="G5" s="16" t="s">
        <v>189</v>
      </c>
    </row>
    <row r="6" spans="1:7" ht="15.75" customHeight="1">
      <c r="A6" s="65" t="s">
        <v>32</v>
      </c>
      <c r="B6" s="31">
        <f>IF(682424.61111="","-",682424.61111)</f>
        <v>682424.61111</v>
      </c>
      <c r="C6" s="31">
        <f>IF(594976.01485="","-",682424.61111/594976.01485*100)</f>
        <v>114.69783555595039</v>
      </c>
      <c r="D6" s="31">
        <v>100</v>
      </c>
      <c r="E6" s="31">
        <v>100</v>
      </c>
      <c r="F6" s="29">
        <f>IF(639082.69397="","-",(594976.01485-639082.69397)/639082.69397*100)</f>
        <v>-6.901560554864665</v>
      </c>
      <c r="G6" s="29">
        <f>IF(594976.01485="","-",(682424.61111-594976.01485)/594976.01485*100)</f>
        <v>14.697835555950398</v>
      </c>
    </row>
    <row r="7" spans="1:7" ht="13.5" customHeight="1">
      <c r="A7" s="66" t="s">
        <v>3</v>
      </c>
      <c r="B7" s="32"/>
      <c r="C7" s="33"/>
      <c r="D7" s="34"/>
      <c r="E7" s="34"/>
      <c r="F7" s="30"/>
      <c r="G7" s="30"/>
    </row>
    <row r="8" spans="1:7" ht="15">
      <c r="A8" s="67" t="s">
        <v>4</v>
      </c>
      <c r="B8" s="35">
        <f>IF(429722.55002="","-",429722.55002)</f>
        <v>429722.55002</v>
      </c>
      <c r="C8" s="35">
        <f>IF(371405.66672="","-",429722.55002/371405.66672*100)</f>
        <v>115.70166761724848</v>
      </c>
      <c r="D8" s="35">
        <f>IF(371405.66672="","-",371405.66672/594976.01485*100)</f>
        <v>62.423636827382936</v>
      </c>
      <c r="E8" s="35">
        <f>IF(429722.55002="","-",429722.55002/682424.61111*100)</f>
        <v>62.969966648921606</v>
      </c>
      <c r="F8" s="24">
        <f>IF(639082.69397="","-",(371405.66672-414412.5567)/639082.69397*100)</f>
        <v>-6.729471848602254</v>
      </c>
      <c r="G8" s="24">
        <f>IF(594976.01485="","-",(429722.55002-371405.66672)/594976.01485*100)</f>
        <v>9.801551969233982</v>
      </c>
    </row>
    <row r="9" spans="1:7" s="13" customFormat="1" ht="15">
      <c r="A9" s="68" t="s">
        <v>5</v>
      </c>
      <c r="B9" s="36">
        <f>IF(166216.51562="","-",166216.51562)</f>
        <v>166216.51562</v>
      </c>
      <c r="C9" s="36">
        <f>IF(OR(138777.50602="",166216.51562=""),"-",166216.51562/138777.50602*100)</f>
        <v>119.77194315341393</v>
      </c>
      <c r="D9" s="36">
        <f>IF(138777.50602="","-",138777.50602/594976.01485*100)</f>
        <v>23.324890845387664</v>
      </c>
      <c r="E9" s="36">
        <f>IF(166216.51562="","-",166216.51562/682424.61111*100)</f>
        <v>24.356758668131846</v>
      </c>
      <c r="F9" s="25">
        <f>IF(OR(639082.69397="",146611.24361="",138777.50602=""),"-",(138777.50602-146611.24361)/639082.69397*100)</f>
        <v>-1.225778395177094</v>
      </c>
      <c r="G9" s="25">
        <f>IF(OR(594976.01485="",166216.51562="",138777.50602=""),"-",(166216.51562-138777.50602)/594976.01485*100)</f>
        <v>4.611784158545898</v>
      </c>
    </row>
    <row r="10" spans="1:7" s="13" customFormat="1" ht="15">
      <c r="A10" s="68" t="s">
        <v>6</v>
      </c>
      <c r="B10" s="36">
        <f>IF(61276.75972="","-",61276.75972)</f>
        <v>61276.75972</v>
      </c>
      <c r="C10" s="36">
        <f>IF(OR(60951.02122="",61276.75972=""),"-",61276.75972/60951.02122*100)</f>
        <v>100.53442664861063</v>
      </c>
      <c r="D10" s="36">
        <f>IF(60951.02122="","-",60951.02122/594976.01485*100)</f>
        <v>10.244282071667447</v>
      </c>
      <c r="E10" s="36">
        <f>IF(61276.75972="","-",61276.75972/682424.61111*100)</f>
        <v>8.97927166201261</v>
      </c>
      <c r="F10" s="25">
        <f>IF(OR(639082.69397="",70506.03726="",60951.02122=""),"-",(60951.02122-70506.03726)/639082.69397*100)</f>
        <v>-1.4951141894711562</v>
      </c>
      <c r="G10" s="25">
        <f>IF(OR(594976.01485="",61276.75972="",60951.02122=""),"-",(61276.75972-60951.02122)/594976.01485*100)</f>
        <v>0.054748173349831876</v>
      </c>
    </row>
    <row r="11" spans="1:7" s="13" customFormat="1" ht="15">
      <c r="A11" s="68" t="s">
        <v>7</v>
      </c>
      <c r="B11" s="36">
        <f>IF(46518.99388="","-",46518.99388)</f>
        <v>46518.99388</v>
      </c>
      <c r="C11" s="36">
        <f>IF(OR(38965.45881="",46518.99388=""),"-",46518.99388/38965.45881*100)</f>
        <v>119.38520756763549</v>
      </c>
      <c r="D11" s="36">
        <f>IF(38965.45881="","-",38965.45881/594976.01485*100)</f>
        <v>6.549080607866792</v>
      </c>
      <c r="E11" s="36">
        <f>IF(46518.99388="","-",46518.99388/682424.61111*100)</f>
        <v>6.816722773865728</v>
      </c>
      <c r="F11" s="25">
        <f>IF(OR(639082.69397="",41093.98488="",38965.45881=""),"-",(38965.45881-41093.98488)/639082.69397*100)</f>
        <v>-0.33305956961180444</v>
      </c>
      <c r="G11" s="25">
        <f>IF(OR(594976.01485="",46518.99388="",38965.45881=""),"-",(46518.99388-38965.45881)/594976.01485*100)</f>
        <v>1.269552869606741</v>
      </c>
    </row>
    <row r="12" spans="1:7" s="13" customFormat="1" ht="15" customHeight="1">
      <c r="A12" s="68" t="s">
        <v>214</v>
      </c>
      <c r="B12" s="36">
        <f>IF(37080.34108="","-",37080.34108)</f>
        <v>37080.34108</v>
      </c>
      <c r="C12" s="36">
        <f>IF(OR(38639.83151="",37080.34108=""),"-",37080.34108/38639.83151*100)</f>
        <v>95.96403408333597</v>
      </c>
      <c r="D12" s="36">
        <f>IF(38639.83151="","-",38639.83151/594976.01485*100)</f>
        <v>6.494351124346</v>
      </c>
      <c r="E12" s="36">
        <f>IF(37080.34108="","-",37080.34108/682424.61111*100)</f>
        <v>5.433617204937384</v>
      </c>
      <c r="F12" s="25">
        <f>IF(OR(639082.69397="",52684.84186="",38639.83151=""),"-",(38639.83151-52684.84186)/639082.69397*100)</f>
        <v>-2.1976827854235874</v>
      </c>
      <c r="G12" s="25">
        <f>IF(OR(594976.01485="",37080.34108="",38639.83151=""),"-",(37080.34108-38639.83151)/594976.01485*100)</f>
        <v>-0.26210979788709127</v>
      </c>
    </row>
    <row r="13" spans="1:7" s="13" customFormat="1" ht="15">
      <c r="A13" s="68" t="s">
        <v>8</v>
      </c>
      <c r="B13" s="36">
        <f>IF(22501.14699="","-",22501.14699)</f>
        <v>22501.14699</v>
      </c>
      <c r="C13" s="36">
        <f>IF(OR(20495.95838="",22501.14699=""),"-",22501.14699/20495.95838*100)</f>
        <v>109.78333665995667</v>
      </c>
      <c r="D13" s="36">
        <f>IF(20495.95838="","-",20495.95838/594976.01485*100)</f>
        <v>3.4448377528575254</v>
      </c>
      <c r="E13" s="36">
        <f>IF(22501.14699="","-",22501.14699/682424.61111*100)</f>
        <v>3.2972355661969286</v>
      </c>
      <c r="F13" s="25">
        <f>IF(OR(639082.69397="",18064.00451="",20495.95838=""),"-",(20495.95838-18064.00451)/639082.69397*100)</f>
        <v>0.3805382140600043</v>
      </c>
      <c r="G13" s="25">
        <f>IF(OR(594976.01485="",22501.14699="",20495.95838=""),"-",(22501.14699-20495.95838)/594976.01485*100)</f>
        <v>0.33702007475133783</v>
      </c>
    </row>
    <row r="14" spans="1:7" s="13" customFormat="1" ht="15">
      <c r="A14" s="68" t="s">
        <v>9</v>
      </c>
      <c r="B14" s="36">
        <f>IF(22436.4284="","-",22436.4284)</f>
        <v>22436.4284</v>
      </c>
      <c r="C14" s="36" t="s">
        <v>220</v>
      </c>
      <c r="D14" s="36">
        <f>IF(14380.54289="","-",14380.54289/594976.01485*100)</f>
        <v>2.416995396633845</v>
      </c>
      <c r="E14" s="36">
        <f>IF(22436.4284="","-",22436.4284/682424.61111*100)</f>
        <v>3.2877519413471847</v>
      </c>
      <c r="F14" s="25">
        <f>IF(OR(639082.69397="",7948.12581="",14380.54289=""),"-",(14380.54289-7948.12581)/639082.69397*100)</f>
        <v>1.006507786972237</v>
      </c>
      <c r="G14" s="25">
        <f>IF(OR(594976.01485="",22436.4284="",14380.54289=""),"-",(22436.4284-14380.54289)/594976.01485*100)</f>
        <v>1.3539849185401158</v>
      </c>
    </row>
    <row r="15" spans="1:7" s="13" customFormat="1" ht="15">
      <c r="A15" s="68" t="s">
        <v>204</v>
      </c>
      <c r="B15" s="36">
        <f>IF(12810.60727="","-",12810.60727)</f>
        <v>12810.60727</v>
      </c>
      <c r="C15" s="36">
        <f>IF(OR(15749.13137="",12810.60727=""),"-",12810.60727/15749.13137*100)</f>
        <v>81.3416750996344</v>
      </c>
      <c r="D15" s="36">
        <f>IF(15749.13137="","-",15749.13137/594976.01485*100)</f>
        <v>2.647019539765906</v>
      </c>
      <c r="E15" s="36">
        <f>IF(12810.60727="","-",12810.60727/682424.61111*100)</f>
        <v>1.8772194117036407</v>
      </c>
      <c r="F15" s="25">
        <f>IF(OR(639082.69397="",18255.64514="",15749.13137=""),"-",(15749.13137-18255.64514)/639082.69397*100)</f>
        <v>-0.3922049202161095</v>
      </c>
      <c r="G15" s="25">
        <f>IF(OR(594976.01485="",12810.60727="",15749.13137=""),"-",(12810.60727-15749.13137)/594976.01485*100)</f>
        <v>-0.49388950590568476</v>
      </c>
    </row>
    <row r="16" spans="1:7" s="13" customFormat="1" ht="15">
      <c r="A16" s="68" t="s">
        <v>11</v>
      </c>
      <c r="B16" s="36">
        <f>IF(9771.38746="","-",9771.38746)</f>
        <v>9771.38746</v>
      </c>
      <c r="C16" s="36">
        <f>IF(OR(7132.78693="",9771.38746=""),"-",9771.38746/7132.78693*100)</f>
        <v>136.99256063436061</v>
      </c>
      <c r="D16" s="36">
        <f>IF(7132.78693="","-",7132.78693/594976.01485*100)</f>
        <v>1.1988360458191334</v>
      </c>
      <c r="E16" s="36">
        <f>IF(9771.38746="","-",9771.38746/682424.61111*100)</f>
        <v>1.4318632858369977</v>
      </c>
      <c r="F16" s="25">
        <f>IF(OR(639082.69397="",5419.64633="",7132.78693=""),"-",(7132.78693-5419.64633)/639082.69397*100)</f>
        <v>0.2680624301305864</v>
      </c>
      <c r="G16" s="25">
        <f>IF(OR(594976.01485="",9771.38746="",7132.78693=""),"-",(9771.38746-7132.78693)/594976.01485*100)</f>
        <v>0.4434801511562142</v>
      </c>
    </row>
    <row r="17" spans="1:7" s="13" customFormat="1" ht="15">
      <c r="A17" s="68" t="s">
        <v>125</v>
      </c>
      <c r="B17" s="36">
        <f>IF(9194.09635="","-",9194.09635)</f>
        <v>9194.09635</v>
      </c>
      <c r="C17" s="36" t="s">
        <v>234</v>
      </c>
      <c r="D17" s="36">
        <f>IF(1012.44253="","-",1012.44253/594976.01485*100)</f>
        <v>0.17016526796550746</v>
      </c>
      <c r="E17" s="36">
        <f>IF(9194.09635="","-",9194.09635/682424.61111*100)</f>
        <v>1.3472691635557092</v>
      </c>
      <c r="F17" s="25">
        <f>IF(OR(639082.69397="",2754.94641="",1012.44253=""),"-",(1012.44253-2754.94641)/639082.69397*100)</f>
        <v>-0.2726570280248892</v>
      </c>
      <c r="G17" s="25">
        <f>IF(OR(594976.01485="",9194.09635="",1012.44253=""),"-",(9194.09635-1012.44253)/594976.01485*100)</f>
        <v>1.3751233017456483</v>
      </c>
    </row>
    <row r="18" spans="1:7" s="13" customFormat="1" ht="15">
      <c r="A18" s="68" t="s">
        <v>12</v>
      </c>
      <c r="B18" s="36">
        <f>IF(8975.66868="","-",8975.66868)</f>
        <v>8975.66868</v>
      </c>
      <c r="C18" s="36" t="s">
        <v>27</v>
      </c>
      <c r="D18" s="36">
        <f>IF(4568.52992="","-",4568.52992/594976.01485*100)</f>
        <v>0.7678511076033504</v>
      </c>
      <c r="E18" s="36">
        <f>IF(8975.66868="","-",8975.66868/682424.61111*100)</f>
        <v>1.3152615737877034</v>
      </c>
      <c r="F18" s="25">
        <f>IF(OR(639082.69397="",9259.6941="",4568.52992=""),"-",(4568.52992-9259.6941)/639082.69397*100)</f>
        <v>-0.7340465051335304</v>
      </c>
      <c r="G18" s="25">
        <f>IF(OR(594976.01485="",8975.66868="",4568.52992=""),"-",(8975.66868-4568.52992)/594976.01485*100)</f>
        <v>0.7407254494302747</v>
      </c>
    </row>
    <row r="19" spans="1:7" s="13" customFormat="1" ht="15">
      <c r="A19" s="68" t="s">
        <v>10</v>
      </c>
      <c r="B19" s="36">
        <f>IF(8704.72309="","-",8704.72309)</f>
        <v>8704.72309</v>
      </c>
      <c r="C19" s="36">
        <f>IF(OR(9867.5934="",8704.72309=""),"-",8704.72309/9867.5934*100)</f>
        <v>88.2152591532602</v>
      </c>
      <c r="D19" s="36">
        <f>IF(9867.5934="","-",9867.5934/594976.01485*100)</f>
        <v>1.6584859143418964</v>
      </c>
      <c r="E19" s="36">
        <f>IF(8704.72309="","-",8704.72309/682424.61111*100)</f>
        <v>1.275558200610805</v>
      </c>
      <c r="F19" s="25">
        <f>IF(OR(639082.69397="",9807.21497="",9867.5934=""),"-",(9867.5934-9807.21497)/639082.69397*100)</f>
        <v>0.009447670946137863</v>
      </c>
      <c r="G19" s="25">
        <f>IF(OR(594976.01485="",8704.72309="",9867.5934=""),"-",(8704.72309-9867.5934)/594976.01485*100)</f>
        <v>-0.19544826698487547</v>
      </c>
    </row>
    <row r="20" spans="1:7" s="13" customFormat="1" ht="15">
      <c r="A20" s="68" t="s">
        <v>13</v>
      </c>
      <c r="B20" s="36">
        <f>IF(7996.86307="","-",7996.86307)</f>
        <v>7996.86307</v>
      </c>
      <c r="C20" s="36">
        <f>IF(OR(6450.8919="",7996.86307=""),"-",7996.86307/6450.8919*100)</f>
        <v>123.96523138141566</v>
      </c>
      <c r="D20" s="36">
        <f>IF(6450.8919="","-",6450.8919/594976.01485*100)</f>
        <v>1.0842272190798043</v>
      </c>
      <c r="E20" s="36">
        <f>IF(7996.86307="","-",7996.86307/682424.61111*100)</f>
        <v>1.1718309890659828</v>
      </c>
      <c r="F20" s="25">
        <f>IF(OR(639082.69397="",9904.54465="",6450.8919=""),"-",(6450.8919-9904.54465)/639082.69397*100)</f>
        <v>-0.5404078036514821</v>
      </c>
      <c r="G20" s="25">
        <f>IF(OR(594976.01485="",7996.86307="",6450.8919=""),"-",(7996.86307-6450.8919)/594976.01485*100)</f>
        <v>0.25983756175276357</v>
      </c>
    </row>
    <row r="21" spans="1:7" s="13" customFormat="1" ht="15">
      <c r="A21" s="68" t="s">
        <v>126</v>
      </c>
      <c r="B21" s="36">
        <f>IF(4185.77989="","-",4185.77989)</f>
        <v>4185.77989</v>
      </c>
      <c r="C21" s="36">
        <f>IF(OR(2834.98952="",4185.77989=""),"-",4185.77989/2834.98952*100)</f>
        <v>147.6471027660095</v>
      </c>
      <c r="D21" s="36">
        <f>IF(2834.98952="","-",2834.98952/594976.01485*100)</f>
        <v>0.4764880346840085</v>
      </c>
      <c r="E21" s="36">
        <f>IF(4185.77989="","-",4185.77989/682424.61111*100)</f>
        <v>0.6133688354515242</v>
      </c>
      <c r="F21" s="25">
        <f>IF(OR(639082.69397="",3483.06731="",2834.98952=""),"-",(2834.98952-3483.06731)/639082.69397*100)</f>
        <v>-0.10140750111290325</v>
      </c>
      <c r="G21" s="25">
        <f>IF(OR(594976.01485="",4185.77989="",2834.98952=""),"-",(4185.77989-2834.98952)/594976.01485*100)</f>
        <v>0.22703274355362857</v>
      </c>
    </row>
    <row r="22" spans="1:7" s="13" customFormat="1" ht="15">
      <c r="A22" s="68" t="s">
        <v>128</v>
      </c>
      <c r="B22" s="36">
        <f>IF(3121.41512="","-",3121.41512)</f>
        <v>3121.41512</v>
      </c>
      <c r="C22" s="36">
        <f>IF(OR(2797.61691="",3121.41512=""),"-",3121.41512/2797.61691*100)</f>
        <v>111.57407252017218</v>
      </c>
      <c r="D22" s="36">
        <f>IF(2797.61691="","-",2797.61691/594976.01485*100)</f>
        <v>0.4702066705504607</v>
      </c>
      <c r="E22" s="36">
        <f>IF(3121.41512="","-",3121.41512/682424.61111*100)</f>
        <v>0.45740072517649266</v>
      </c>
      <c r="F22" s="25">
        <f>IF(OR(639082.69397="",3560.63272="",2797.61691=""),"-",(2797.61691-3560.63272)/639082.69397*100)</f>
        <v>-0.11939234424580077</v>
      </c>
      <c r="G22" s="25">
        <f>IF(OR(594976.01485="",3121.41512="",2797.61691=""),"-",(3121.41512-2797.61691)/594976.01485*100)</f>
        <v>0.05442206104419739</v>
      </c>
    </row>
    <row r="23" spans="1:7" s="13" customFormat="1" ht="15">
      <c r="A23" s="68" t="s">
        <v>129</v>
      </c>
      <c r="B23" s="36">
        <f>IF(2283.13173="","-",2283.13173)</f>
        <v>2283.13173</v>
      </c>
      <c r="C23" s="36">
        <f>IF(OR(2260.5581="",2283.13173=""),"-",2283.13173/2260.5581*100)</f>
        <v>100.99858658797575</v>
      </c>
      <c r="D23" s="36">
        <f>IF(2260.5581="","-",2260.5581/594976.01485*100)</f>
        <v>0.3799410469630295</v>
      </c>
      <c r="E23" s="36">
        <f>IF(2283.13173="","-",2283.13173/682424.61111*100)</f>
        <v>0.3345617512660284</v>
      </c>
      <c r="F23" s="25">
        <f>IF(OR(639082.69397="",2552.87775="",2260.5581=""),"-",(2260.5581-2552.87775)/639082.69397*100)</f>
        <v>-0.04574050475128685</v>
      </c>
      <c r="G23" s="25">
        <f>IF(OR(594976.01485="",2283.13173="",2260.5581=""),"-",(2283.13173-2260.5581)/594976.01485*100)</f>
        <v>0.0037940403371875295</v>
      </c>
    </row>
    <row r="24" spans="1:7" s="13" customFormat="1" ht="15">
      <c r="A24" s="68" t="s">
        <v>130</v>
      </c>
      <c r="B24" s="36">
        <f>IF(1491.3651="","-",1491.3651)</f>
        <v>1491.3651</v>
      </c>
      <c r="C24" s="36">
        <f>IF(OR(1621.25653="",1491.3651=""),"-",1491.3651/1621.25653*100)</f>
        <v>91.98822471358064</v>
      </c>
      <c r="D24" s="36">
        <f>IF(1621.25653="","-",1621.25653/594976.01485*100)</f>
        <v>0.27249107351138124</v>
      </c>
      <c r="E24" s="36">
        <f>IF(1491.3651="","-",1491.3651/682424.61111*100)</f>
        <v>0.21853917278484652</v>
      </c>
      <c r="F24" s="25">
        <f>IF(OR(639082.69397="",3966.52557="",1621.25653=""),"-",(1621.25653-3966.52557)/639082.69397*100)</f>
        <v>-0.3669742682955661</v>
      </c>
      <c r="G24" s="25">
        <f>IF(OR(594976.01485="",1491.3651="",1621.25653=""),"-",(1491.3651-1621.25653)/594976.01485*100)</f>
        <v>-0.02183137248528366</v>
      </c>
    </row>
    <row r="25" spans="1:7" s="13" customFormat="1" ht="15">
      <c r="A25" s="68" t="s">
        <v>127</v>
      </c>
      <c r="B25" s="36">
        <f>IF(1483.65459="","-",1483.65459)</f>
        <v>1483.65459</v>
      </c>
      <c r="C25" s="36">
        <f>IF(OR(1473.21865="",1483.65459=""),"-",1483.65459/1473.21865*100)</f>
        <v>100.70837685906298</v>
      </c>
      <c r="D25" s="36">
        <f>IF(1473.21865="","-",1473.21865/594976.01485*100)</f>
        <v>0.24760975454975517</v>
      </c>
      <c r="E25" s="36">
        <f>IF(1483.65459="","-",1483.65459/682424.61111*100)</f>
        <v>0.21740930292457605</v>
      </c>
      <c r="F25" s="25">
        <f>IF(OR(639082.69397="",1956.09887="",1473.21865=""),"-",(1473.21865-1956.09887)/639082.69397*100)</f>
        <v>-0.07555833142661621</v>
      </c>
      <c r="G25" s="25">
        <f>IF(OR(594976.01485="",1483.65459="",1473.21865=""),"-",(1483.65459-1473.21865)/594976.01485*100)</f>
        <v>0.0017540102020131162</v>
      </c>
    </row>
    <row r="26" spans="1:7" s="13" customFormat="1" ht="15">
      <c r="A26" s="68" t="s">
        <v>132</v>
      </c>
      <c r="B26" s="36">
        <f>IF(1120.71236="","-",1120.71236)</f>
        <v>1120.71236</v>
      </c>
      <c r="C26" s="36">
        <f>IF(OR(868.70665="",1120.71236=""),"-",1120.71236/868.70665*100)</f>
        <v>129.00929905394415</v>
      </c>
      <c r="D26" s="36">
        <f>IF(868.70665="","-",868.70665/594976.01485*100)</f>
        <v>0.14600700336113726</v>
      </c>
      <c r="E26" s="36">
        <f>IF(1120.71236="","-",1120.71236/682424.61111*100)</f>
        <v>0.1642250794819814</v>
      </c>
      <c r="F26" s="25">
        <f>IF(OR(639082.69397="",2629.66549="",868.70665=""),"-",(868.70665-2629.66549)/639082.69397*100)</f>
        <v>-0.2755447544762749</v>
      </c>
      <c r="G26" s="25">
        <f>IF(OR(594976.01485="",1120.71236="",868.70665=""),"-",(1120.71236-868.70665)/594976.01485*100)</f>
        <v>0.04235560824473461</v>
      </c>
    </row>
    <row r="27" spans="1:7" s="13" customFormat="1" ht="15">
      <c r="A27" s="68" t="s">
        <v>131</v>
      </c>
      <c r="B27" s="36">
        <f>IF(943.78821="","-",943.78821)</f>
        <v>943.78821</v>
      </c>
      <c r="C27" s="36">
        <f>IF(OR(1233.66247="",943.78821=""),"-",943.78821/1233.66247*100)</f>
        <v>76.50295222160727</v>
      </c>
      <c r="D27" s="36">
        <f>IF(1233.66247="","-",1233.66247/594976.01485*100)</f>
        <v>0.20734658863702593</v>
      </c>
      <c r="E27" s="36">
        <f>IF(943.78821="","-",943.78821/682424.61111*100)</f>
        <v>0.1382992633376569</v>
      </c>
      <c r="F27" s="25">
        <f>IF(OR(639082.69397="",1445.26095="",1233.66247=""),"-",(1233.66247-1445.26095)/639082.69397*100)</f>
        <v>-0.03310971835046014</v>
      </c>
      <c r="G27" s="25">
        <f>IF(OR(594976.01485="",943.78821="",1233.66247=""),"-",(943.78821-1233.66247)/594976.01485*100)</f>
        <v>-0.04872032699890943</v>
      </c>
    </row>
    <row r="28" spans="1:7" s="13" customFormat="1" ht="15">
      <c r="A28" s="68" t="s">
        <v>133</v>
      </c>
      <c r="B28" s="36">
        <f>IF(652.92746="","-",652.92746)</f>
        <v>652.92746</v>
      </c>
      <c r="C28" s="36">
        <f>IF(OR(579.1557="",652.92746=""),"-",652.92746/579.1557*100)</f>
        <v>112.73781126560611</v>
      </c>
      <c r="D28" s="36">
        <f>IF(579.1557="","-",579.1557/594976.01485*100)</f>
        <v>0.09734101636786342</v>
      </c>
      <c r="E28" s="36">
        <f>IF(652.92746="","-",652.92746/682424.61111*100)</f>
        <v>0.09567759564503082</v>
      </c>
      <c r="F28" s="25">
        <f>IF(OR(639082.69397="",811.12429="",579.1557=""),"-",(579.1557-811.12429)/639082.69397*100)</f>
        <v>-0.03629711650600401</v>
      </c>
      <c r="G28" s="25">
        <f>IF(OR(594976.01485="",652.92746="",579.1557=""),"-",(652.92746-579.1557)/594976.01485*100)</f>
        <v>0.0123991149489612</v>
      </c>
    </row>
    <row r="29" spans="1:7" s="13" customFormat="1" ht="15">
      <c r="A29" s="68" t="s">
        <v>135</v>
      </c>
      <c r="B29" s="36">
        <f>IF(623.85881="","-",623.85881)</f>
        <v>623.85881</v>
      </c>
      <c r="C29" s="36" t="s">
        <v>212</v>
      </c>
      <c r="D29" s="36">
        <f>IF(199.95116="","-",199.95116/594976.01485*100)</f>
        <v>0.03360659169603834</v>
      </c>
      <c r="E29" s="36">
        <f>IF(623.85881="","-",623.85881/682424.61111*100)</f>
        <v>0.09141798227136919</v>
      </c>
      <c r="F29" s="25">
        <f>IF(OR(639082.69397="",998.43661="",199.95116=""),"-",(199.95116-998.43661)/639082.69397*100)</f>
        <v>-0.12494243038248862</v>
      </c>
      <c r="G29" s="25">
        <f>IF(OR(594976.01485="",623.85881="",199.95116=""),"-",(623.85881-199.95116)/594976.01485*100)</f>
        <v>0.07124785527814458</v>
      </c>
    </row>
    <row r="30" spans="1:7" s="13" customFormat="1" ht="15">
      <c r="A30" s="68" t="s">
        <v>138</v>
      </c>
      <c r="B30" s="36">
        <f>IF(139.86943="","-",139.86943)</f>
        <v>139.86943</v>
      </c>
      <c r="C30" s="36">
        <f>IF(OR(90.67116="",139.86943=""),"-",139.86943/90.67116*100)</f>
        <v>154.26010872696457</v>
      </c>
      <c r="D30" s="36">
        <f>IF(90.67116="","-",90.67116/594976.01485*100)</f>
        <v>0.015239464740920554</v>
      </c>
      <c r="E30" s="36">
        <f>IF(139.86943="","-",139.86943/682424.61111*100)</f>
        <v>0.020495953358495512</v>
      </c>
      <c r="F30" s="25">
        <f>IF(OR(639082.69397="",40.84512="",90.67116=""),"-",(90.67116-40.84512)/639082.69397*100)</f>
        <v>0.007796493391251015</v>
      </c>
      <c r="G30" s="25">
        <f>IF(OR(594976.01485="",139.86943="",90.67116=""),"-",(139.86943-90.67116)/594976.01485*100)</f>
        <v>0.00826895013783092</v>
      </c>
    </row>
    <row r="31" spans="1:7" s="13" customFormat="1" ht="15">
      <c r="A31" s="68" t="s">
        <v>205</v>
      </c>
      <c r="B31" s="36">
        <f>IF(54.57181="","-",54.57181)</f>
        <v>54.57181</v>
      </c>
      <c r="C31" s="36">
        <f>IF(OR(82.22747="",54.57181=""),"-",54.57181/82.22747*100)</f>
        <v>66.36688444871282</v>
      </c>
      <c r="D31" s="36">
        <f>IF(82.22747="","-",82.22747/594976.01485*100)</f>
        <v>0.01382029996969381</v>
      </c>
      <c r="E31" s="36">
        <f>IF(54.57181="","-",54.57181/682424.61111*100)</f>
        <v>0.007996752917693873</v>
      </c>
      <c r="F31" s="25">
        <f>IF(OR(639082.69397="",82.43051="",82.22747=""),"-",(82.22747-82.43051)/639082.69397*100)</f>
        <v>-3.177053641348214E-05</v>
      </c>
      <c r="G31" s="25">
        <f>IF(OR(594976.01485="",54.57181="",82.22747=""),"-",(54.57181-82.22747)/594976.01485*100)</f>
        <v>-0.004648197458341626</v>
      </c>
    </row>
    <row r="32" spans="1:7" s="13" customFormat="1" ht="15">
      <c r="A32" s="68" t="s">
        <v>137</v>
      </c>
      <c r="B32" s="36">
        <f>IF(53.10608="","-",53.10608)</f>
        <v>53.10608</v>
      </c>
      <c r="C32" s="36">
        <f>IF(OR(45.27747="",53.10608=""),"-",53.10608/45.27747*100)</f>
        <v>117.29029912669591</v>
      </c>
      <c r="D32" s="36">
        <f>IF(45.27747="","-",45.27747/594976.01485*100)</f>
        <v>0.0076099655901952536</v>
      </c>
      <c r="E32" s="36">
        <f>IF(53.10608="","-",53.10608/682424.61111*100)</f>
        <v>0.007781970218456823</v>
      </c>
      <c r="F32" s="25">
        <f>IF(OR(639082.69397="",148.31139="",45.27747=""),"-",(45.27747-148.31139)/639082.69397*100)</f>
        <v>-0.016122157738296797</v>
      </c>
      <c r="G32" s="25">
        <f>IF(OR(594976.01485="",53.10608="",45.27747=""),"-",(53.10608-45.27747)/594976.01485*100)</f>
        <v>0.0013157858139833882</v>
      </c>
    </row>
    <row r="33" spans="1:7" s="13" customFormat="1" ht="15">
      <c r="A33" s="68" t="s">
        <v>136</v>
      </c>
      <c r="B33" s="36">
        <f>IF(45.11105="","-",45.11105)</f>
        <v>45.11105</v>
      </c>
      <c r="C33" s="36">
        <f>IF(OR(188.35495="",45.11105=""),"-",45.11105/188.35495*100)</f>
        <v>23.950020957771486</v>
      </c>
      <c r="D33" s="36">
        <f>IF(188.35495="","-",188.35495/594976.01485*100)</f>
        <v>0.031657570271548904</v>
      </c>
      <c r="E33" s="36">
        <f>IF(45.11105="","-",45.11105/682424.61111*100)</f>
        <v>0.00661040784074661</v>
      </c>
      <c r="F33" s="25">
        <f>IF(OR(639082.69397="",71.75006="",188.35495=""),"-",(188.35495-71.75006)/639082.69397*100)</f>
        <v>0.01824566540452646</v>
      </c>
      <c r="G33" s="25">
        <f>IF(OR(594976.01485="",45.11105="",188.35495=""),"-",(45.11105-188.35495)/594976.01485*100)</f>
        <v>-0.024075575556791705</v>
      </c>
    </row>
    <row r="34" spans="1:7" s="13" customFormat="1" ht="15">
      <c r="A34" s="68" t="s">
        <v>134</v>
      </c>
      <c r="B34" s="36">
        <f>IF(21.23394="","-",21.23394)</f>
        <v>21.23394</v>
      </c>
      <c r="C34" s="36">
        <f>IF(OR(23.08995="",21.23394=""),"-",21.23394/23.08995*100)</f>
        <v>91.96182754834895</v>
      </c>
      <c r="D34" s="36">
        <f>IF(23.08995="","-",23.08995/594976.01485*100)</f>
        <v>0.0038808203059784237</v>
      </c>
      <c r="E34" s="36">
        <f>IF(21.23394="","-",21.23394/682424.61111*100)</f>
        <v>0.0031115437008436527</v>
      </c>
      <c r="F34" s="25">
        <f>IF(OR(639082.69397="",62.28984="",23.08995=""),"-",(23.08995-62.28984)/639082.69397*100)</f>
        <v>-0.006133774293978945</v>
      </c>
      <c r="G34" s="25">
        <f>IF(OR(594976.01485="",21.23394="",23.08995=""),"-",(21.23394-23.08995)/594976.01485*100)</f>
        <v>-0.00031194702873323755</v>
      </c>
    </row>
    <row r="35" spans="1:7" s="13" customFormat="1" ht="15">
      <c r="A35" s="68" t="s">
        <v>140</v>
      </c>
      <c r="B35" s="36">
        <f>IF(15.78333="","-",15.78333)</f>
        <v>15.78333</v>
      </c>
      <c r="C35" s="36">
        <f>IF(OR(25.92071="",15.78333=""),"-",15.78333/25.92071*100)</f>
        <v>60.89080893231705</v>
      </c>
      <c r="D35" s="36">
        <f>IF(25.92071="","-",25.92071/594976.01485*100)</f>
        <v>0.004356597468308852</v>
      </c>
      <c r="E35" s="36">
        <f>IF(15.78333="","-",15.78333/682424.61111*100)</f>
        <v>0.0023128312993178205</v>
      </c>
      <c r="F35" s="25">
        <f>IF(OR(639082.69397="",293.31069="",25.92071=""),"-",(25.92071-293.31069)/639082.69397*100)</f>
        <v>-0.04183965275901399</v>
      </c>
      <c r="G35" s="25">
        <f>IF(OR(594976.01485="",15.78333="",25.92071=""),"-",(15.78333-25.92071)/594976.01485*100)</f>
        <v>-0.001703830027930747</v>
      </c>
    </row>
    <row r="36" spans="1:7" s="13" customFormat="1" ht="15">
      <c r="A36" s="68" t="s">
        <v>139</v>
      </c>
      <c r="B36" s="36">
        <f>IF(2.7095="","-",2.7095)</f>
        <v>2.7095</v>
      </c>
      <c r="C36" s="36">
        <f>IF(OR(89.31444="",2.7095=""),"-",2.7095/89.31444*100)</f>
        <v>3.0336639853533196</v>
      </c>
      <c r="D36" s="36">
        <f>IF(89.31444="","-",89.31444/594976.01485*100)</f>
        <v>0.01501143538072155</v>
      </c>
      <c r="E36" s="36">
        <f>IF(2.7095="","-",2.7095/682424.61111*100)</f>
        <v>0.00039704019402126393</v>
      </c>
      <c r="F36" s="25" t="str">
        <f>IF(OR(639082.69397="",""="",89.31444=""),"-",(89.31444-"")/639082.69397*100)</f>
        <v>-</v>
      </c>
      <c r="G36" s="25">
        <f>IF(OR(594976.01485="",2.7095="",89.31444=""),"-",(2.7095-89.31444)/594976.01485*100)</f>
        <v>-0.014556038871892012</v>
      </c>
    </row>
    <row r="37" spans="1:7" s="13" customFormat="1" ht="15">
      <c r="A37" s="69" t="s">
        <v>14</v>
      </c>
      <c r="B37" s="35">
        <f>IF(143274.7681="","-",143274.7681)</f>
        <v>143274.7681</v>
      </c>
      <c r="C37" s="35">
        <f>IF(123620.22527="","-",143274.7681/123620.22527*100)</f>
        <v>115.89913202881836</v>
      </c>
      <c r="D37" s="35">
        <f>IF(123620.22527="","-",123620.22527/594976.01485*100)</f>
        <v>20.777346008001015</v>
      </c>
      <c r="E37" s="35">
        <f>IF(143274.7681="","-",143274.7681/682424.61111*100)</f>
        <v>20.99495911599025</v>
      </c>
      <c r="F37" s="24">
        <f>IF(639082.69397="","-",(123620.22527-137986.01906)/639082.69397*100)</f>
        <v>-2.247877141025252</v>
      </c>
      <c r="G37" s="24">
        <f>IF(594976.01485="","-",(143274.7681-123620.22527)/594976.01485*100)</f>
        <v>3.303417673896504</v>
      </c>
    </row>
    <row r="38" spans="1:7" s="13" customFormat="1" ht="15">
      <c r="A38" s="68" t="s">
        <v>215</v>
      </c>
      <c r="B38" s="36">
        <f>IF(81313.25399="","-",81313.25399)</f>
        <v>81313.25399</v>
      </c>
      <c r="C38" s="36">
        <f>IF(OR(62025.42033="",81313.25399=""),"-",81313.25399/62025.42033*100)</f>
        <v>131.09665933319116</v>
      </c>
      <c r="D38" s="36">
        <f>IF(62025.42033="","-",62025.42033/594976.01485*100)</f>
        <v>10.424860629993175</v>
      </c>
      <c r="E38" s="36">
        <f>IF(81313.25399="","-",81313.25399/682424.61111*100)</f>
        <v>11.91534605672261</v>
      </c>
      <c r="F38" s="25">
        <f>IF(OR(639082.69397="",71691.67487="",62025.42033=""),"-",(62025.42033-71691.67487)/639082.69397*100)</f>
        <v>-1.5125201529011765</v>
      </c>
      <c r="G38" s="25">
        <f>IF(OR(594976.01485="",81313.25399="",62025.42033=""),"-",(81313.25399-62025.42033)/594976.01485*100)</f>
        <v>3.2417833960689446</v>
      </c>
    </row>
    <row r="39" spans="1:7" s="13" customFormat="1" ht="15">
      <c r="A39" s="68" t="s">
        <v>15</v>
      </c>
      <c r="B39" s="36">
        <f>IF(39904.07583="","-",39904.07583)</f>
        <v>39904.07583</v>
      </c>
      <c r="C39" s="36">
        <f>IF(OR(38770.05867="",39904.07583=""),"-",39904.07583/38770.05867*100)</f>
        <v>102.92498180013716</v>
      </c>
      <c r="D39" s="36">
        <f>IF(38770.05867="","-",38770.05867/594976.01485*100)</f>
        <v>6.516238924316026</v>
      </c>
      <c r="E39" s="36">
        <f>IF(39904.07583="","-",39904.07583/682424.61111*100)</f>
        <v>5.847396940314607</v>
      </c>
      <c r="F39" s="25">
        <f>IF(OR(639082.69397="",33344.72755="",38770.05867=""),"-",(38770.05867-33344.72755)/639082.69397*100)</f>
        <v>0.848924743415861</v>
      </c>
      <c r="G39" s="25">
        <f>IF(OR(594976.01485="",39904.07583="",38770.05867=""),"-",(39904.07583-38770.05867)/594976.01485*100)</f>
        <v>0.19059880258969789</v>
      </c>
    </row>
    <row r="40" spans="1:7" s="13" customFormat="1" ht="15">
      <c r="A40" s="68" t="s">
        <v>16</v>
      </c>
      <c r="B40" s="36">
        <f>IF(15623.80142="","-",15623.80142)</f>
        <v>15623.80142</v>
      </c>
      <c r="C40" s="36">
        <f>IF(OR(15822.20164="",15623.80142=""),"-",15623.80142/15822.20164*100)</f>
        <v>98.74606439410792</v>
      </c>
      <c r="D40" s="36">
        <f>IF(15822.20164="","-",15822.20164/594976.01485*100)</f>
        <v>2.659300752483098</v>
      </c>
      <c r="E40" s="36">
        <f>IF(15623.80142="","-",15623.80142/682424.61111*100)</f>
        <v>2.289454566210186</v>
      </c>
      <c r="F40" s="25">
        <f>IF(OR(639082.69397="",11602.37062="",15822.20164=""),"-",(15822.20164-11602.37062)/639082.69397*100)</f>
        <v>0.6602949915270414</v>
      </c>
      <c r="G40" s="25">
        <f>IF(OR(594976.01485="",15623.80142="",15822.20164=""),"-",(15623.80142-15822.20164)/594976.01485*100)</f>
        <v>-0.0333459190031414</v>
      </c>
    </row>
    <row r="41" spans="1:7" s="13" customFormat="1" ht="15">
      <c r="A41" s="68" t="s">
        <v>17</v>
      </c>
      <c r="B41" s="36">
        <f>IF(2985.30313="","-",2985.30313)</f>
        <v>2985.30313</v>
      </c>
      <c r="C41" s="36">
        <f>IF(OR(3156.03108="",2985.30313=""),"-",2985.30313/3156.03108*100)</f>
        <v>94.590422411176</v>
      </c>
      <c r="D41" s="36">
        <f>IF(3156.03108="","-",3156.03108/594976.01485*100)</f>
        <v>0.530446774530175</v>
      </c>
      <c r="E41" s="36">
        <f>IF(2985.30313="","-",2985.30313/682424.61111*100)</f>
        <v>0.4374553732967286</v>
      </c>
      <c r="F41" s="25">
        <f>IF(OR(639082.69397="",16343.96031="",3156.03108=""),"-",(3156.03108-16343.96031)/639082.69397*100)</f>
        <v>-2.0635716401701014</v>
      </c>
      <c r="G41" s="25">
        <f>IF(OR(594976.01485="",2985.30313="",3156.03108=""),"-",(2985.30313-3156.03108)/594976.01485*100)</f>
        <v>-0.028694929835624182</v>
      </c>
    </row>
    <row r="42" spans="1:7" s="13" customFormat="1" ht="15">
      <c r="A42" s="68" t="s">
        <v>19</v>
      </c>
      <c r="B42" s="36">
        <f>IF(1619.1836="","-",1619.1836)</f>
        <v>1619.1836</v>
      </c>
      <c r="C42" s="36">
        <f>IF(OR(1245.7789="",1619.1836=""),"-",1619.1836/1245.7789*100)</f>
        <v>129.9735932274981</v>
      </c>
      <c r="D42" s="36">
        <f>IF(1245.7789="","-",1245.7789/594976.01485*100)</f>
        <v>0.20938304551891465</v>
      </c>
      <c r="E42" s="36">
        <f>IF(1619.1836="","-",1619.1836/682424.61111*100)</f>
        <v>0.23726922705297973</v>
      </c>
      <c r="F42" s="25">
        <f>IF(OR(639082.69397="",2516.75085="",1245.7789=""),"-",(1245.7789-2516.75085)/639082.69397*100)</f>
        <v>-0.19887441202713307</v>
      </c>
      <c r="G42" s="25">
        <f>IF(OR(594976.01485="",1619.1836="",1245.7789=""),"-",(1619.1836-1245.7789)/594976.01485*100)</f>
        <v>0.06275962235118662</v>
      </c>
    </row>
    <row r="43" spans="1:7" s="13" customFormat="1" ht="15">
      <c r="A43" s="68" t="s">
        <v>18</v>
      </c>
      <c r="B43" s="36">
        <f>IF(1143.54761="","-",1143.54761)</f>
        <v>1143.54761</v>
      </c>
      <c r="C43" s="36">
        <f>IF(OR(1377.25059="",1143.54761=""),"-",1143.54761/1377.25059*100)</f>
        <v>83.0311940545257</v>
      </c>
      <c r="D43" s="36">
        <f>IF(1377.25059="","-",1377.25059/594976.01485*100)</f>
        <v>0.23148001862683829</v>
      </c>
      <c r="E43" s="36">
        <f>IF(1143.54761="","-",1143.54761/682424.61111*100)</f>
        <v>0.1675712732780781</v>
      </c>
      <c r="F43" s="25">
        <f>IF(OR(639082.69397="",1058.33351="",1377.25059=""),"-",(1377.25059-1058.33351)/639082.69397*100)</f>
        <v>0.0499023182772918</v>
      </c>
      <c r="G43" s="25">
        <f>IF(OR(594976.01485="",1143.54761="",1377.25059=""),"-",(1143.54761-1377.25059)/594976.01485*100)</f>
        <v>-0.03927939516333597</v>
      </c>
    </row>
    <row r="44" spans="1:7" s="13" customFormat="1" ht="15">
      <c r="A44" s="68" t="s">
        <v>20</v>
      </c>
      <c r="B44" s="36">
        <f>IF(193.92242="","-",193.92242)</f>
        <v>193.92242</v>
      </c>
      <c r="C44" s="36">
        <f>IF(OR(402.0322="",193.92242=""),"-",193.92242/402.0322*100)</f>
        <v>48.23554431709699</v>
      </c>
      <c r="D44" s="36">
        <f>IF(402.0322="","-",402.0322/594976.01485*100)</f>
        <v>0.06757116084777917</v>
      </c>
      <c r="E44" s="36">
        <f>IF(193.92242="","-",193.92242/682424.61111*100)</f>
        <v>0.028416680295948706</v>
      </c>
      <c r="F44" s="25">
        <f>IF(OR(639082.69397="",435.50546="",402.0322=""),"-",(402.0322-435.50546)/639082.69397*100)</f>
        <v>-0.005237704027324412</v>
      </c>
      <c r="G44" s="25">
        <f>IF(OR(594976.01485="",193.92242="",402.0322=""),"-",(193.92242-402.0322)/594976.01485*100)</f>
        <v>-0.034977843611471764</v>
      </c>
    </row>
    <row r="45" spans="1:7" s="13" customFormat="1" ht="15">
      <c r="A45" s="68" t="s">
        <v>22</v>
      </c>
      <c r="B45" s="36">
        <f>IF(193.05226="","-",193.05226)</f>
        <v>193.05226</v>
      </c>
      <c r="C45" s="36">
        <f>IF(OR(216.58857="",193.05226=""),"-",193.05226/216.58857*100)</f>
        <v>89.13317078551282</v>
      </c>
      <c r="D45" s="36">
        <f>IF(216.58857="","-",216.58857/594976.01485*100)</f>
        <v>0.03640290778017402</v>
      </c>
      <c r="E45" s="36">
        <f>IF(193.05226="","-",193.05226/682424.61111*100)</f>
        <v>0.02828917024050322</v>
      </c>
      <c r="F45" s="25">
        <f>IF(OR(639082.69397="",317.52343="",216.58857=""),"-",(216.58857-317.52343)/639082.69397*100)</f>
        <v>-0.015793708850569833</v>
      </c>
      <c r="G45" s="25">
        <f>IF(OR(594976.01485="",193.05226="",216.58857=""),"-",(193.05226-216.58857)/594976.01485*100)</f>
        <v>-0.003955841817578777</v>
      </c>
    </row>
    <row r="46" spans="1:7" s="13" customFormat="1" ht="15">
      <c r="A46" s="68" t="s">
        <v>23</v>
      </c>
      <c r="B46" s="36">
        <f>IF(182.31475="","-",182.31475)</f>
        <v>182.31475</v>
      </c>
      <c r="C46" s="36">
        <f>IF(OR(236.04437="",182.31475=""),"-",182.31475/236.04437*100)</f>
        <v>77.23749140892451</v>
      </c>
      <c r="D46" s="36">
        <f>IF(236.04437="","-",236.04437/594976.01485*100)</f>
        <v>0.03967292195123351</v>
      </c>
      <c r="E46" s="36">
        <f>IF(182.31475="","-",182.31475/682424.61111*100)</f>
        <v>0.026715734900512354</v>
      </c>
      <c r="F46" s="25">
        <f>IF(OR(639082.69397="",190.93961="",236.04437=""),"-",(236.04437-190.93961)/639082.69397*100)</f>
        <v>0.0070577345350736915</v>
      </c>
      <c r="G46" s="25">
        <f>IF(OR(594976.01485="",182.31475="",236.04437=""),"-",(182.31475-236.04437)/594976.01485*100)</f>
        <v>-0.009030552267480195</v>
      </c>
    </row>
    <row r="47" spans="1:7" s="13" customFormat="1" ht="15">
      <c r="A47" s="68" t="s">
        <v>21</v>
      </c>
      <c r="B47" s="36">
        <f>IF(116.31309="","-",116.31309)</f>
        <v>116.31309</v>
      </c>
      <c r="C47" s="36">
        <f>IF(OR(368.81892="",116.31309=""),"-",116.31309/368.81892*100)</f>
        <v>31.536638630144033</v>
      </c>
      <c r="D47" s="36">
        <f>IF(368.81892="","-",368.81892/594976.01485*100)</f>
        <v>0.06198887195360023</v>
      </c>
      <c r="E47" s="36">
        <f>IF(116.31309="","-",116.31309/682424.61111*100)</f>
        <v>0.01704409367810029</v>
      </c>
      <c r="F47" s="25">
        <f>IF(OR(639082.69397="",484.23285="",368.81892=""),"-",(368.81892-484.23285)/639082.69397*100)</f>
        <v>-0.01805931080421617</v>
      </c>
      <c r="G47" s="25">
        <f>IF(OR(594976.01485="",116.31309="",368.81892=""),"-",(116.31309-368.81892)/594976.01485*100)</f>
        <v>-0.04243966541469062</v>
      </c>
    </row>
    <row r="48" spans="1:7" s="13" customFormat="1" ht="15">
      <c r="A48" s="69" t="s">
        <v>24</v>
      </c>
      <c r="B48" s="35">
        <f>IF(109427.29299="","-",109427.29299)</f>
        <v>109427.29299</v>
      </c>
      <c r="C48" s="35">
        <f>IF(99950.12286="","-",109427.29299/99950.12286*100)</f>
        <v>109.48189943025348</v>
      </c>
      <c r="D48" s="35">
        <f>IF(99950.12286="","-",99950.12286/594976.01485*100)</f>
        <v>16.799017164616043</v>
      </c>
      <c r="E48" s="35">
        <f>IF(109427.29299="","-",109427.29299/682424.61111*100)</f>
        <v>16.035074235088132</v>
      </c>
      <c r="F48" s="24">
        <f>IF(639082.69397="","-",(99950.12286-86684.11821)/639082.69397*100)</f>
        <v>2.075788434762832</v>
      </c>
      <c r="G48" s="24">
        <f>IF(594976.01485="","-",(109427.29299-99950.12286)/594976.01485*100)</f>
        <v>1.5928659128199136</v>
      </c>
    </row>
    <row r="49" spans="1:7" s="13" customFormat="1" ht="15">
      <c r="A49" s="68" t="s">
        <v>141</v>
      </c>
      <c r="B49" s="36">
        <f>IF(34076.61162="","-",34076.61162)</f>
        <v>34076.61162</v>
      </c>
      <c r="C49" s="36" t="s">
        <v>220</v>
      </c>
      <c r="D49" s="36">
        <f>IF(21065.72691="","-",21065.72691/594976.01485*100)</f>
        <v>3.5406010299946127</v>
      </c>
      <c r="E49" s="36">
        <f>IF(34076.61162="","-",34076.61162/682424.61111*100)</f>
        <v>4.9934617048134555</v>
      </c>
      <c r="F49" s="25">
        <f>IF(OR(639082.69397="",24012.96652="",21065.72691=""),"-",(21065.72691-24012.96652)/639082.69397*100)</f>
        <v>-0.46116717567356796</v>
      </c>
      <c r="G49" s="25">
        <f>IF(OR(594976.01485="",34076.61162="",21065.72691=""),"-",(34076.61162-21065.72691)/594976.01485*100)</f>
        <v>2.1867914647416815</v>
      </c>
    </row>
    <row r="50" spans="1:7" s="13" customFormat="1" ht="15">
      <c r="A50" s="68" t="s">
        <v>206</v>
      </c>
      <c r="B50" s="36">
        <f>IF(11500="","-",11500)</f>
        <v>11500</v>
      </c>
      <c r="C50" s="36" t="str">
        <f>IF(OR(""="",11500=""),"-",11500/""*100)</f>
        <v>-</v>
      </c>
      <c r="D50" s="36" t="str">
        <f>IF(""="","-",""/594976.01485*100)</f>
        <v>-</v>
      </c>
      <c r="E50" s="36">
        <f>IF(11500="","-",11500/682424.61111*100)</f>
        <v>1.6851678284718712</v>
      </c>
      <c r="F50" s="25" t="str">
        <f>IF(OR(639082.69397="",""="",""=""),"-",(""-"")/639082.69397*100)</f>
        <v>-</v>
      </c>
      <c r="G50" s="25" t="str">
        <f>IF(OR(594976.01485="",11500="",""=""),"-",(11500-"")/594976.01485*100)</f>
        <v>-</v>
      </c>
    </row>
    <row r="51" spans="1:7" s="13" customFormat="1" ht="15">
      <c r="A51" s="68" t="s">
        <v>210</v>
      </c>
      <c r="B51" s="36">
        <f>IF(9045.55388="","-",9045.55388)</f>
        <v>9045.55388</v>
      </c>
      <c r="C51" s="36">
        <f>IF(OR(12378.81501="",9045.55388=""),"-",9045.55388/12378.81501*100)</f>
        <v>73.07285772259068</v>
      </c>
      <c r="D51" s="36">
        <f>IF(12378.81501="","-",12378.81501/594976.01485*100)</f>
        <v>2.0805569806239728</v>
      </c>
      <c r="E51" s="36">
        <f>IF(9045.55388="","-",9045.55388/682424.61111*100)</f>
        <v>1.325502294720427</v>
      </c>
      <c r="F51" s="25">
        <f>IF(OR(639082.69397="",14580.57043="",12378.81501=""),"-",(12378.81501-14580.57043)/639082.69397*100)</f>
        <v>-0.3445180789238137</v>
      </c>
      <c r="G51" s="25">
        <f>IF(OR(594976.01485="",9045.55388="",12378.81501=""),"-",(9045.55388-12378.81501)/594976.01485*100)</f>
        <v>-0.5602345383351885</v>
      </c>
    </row>
    <row r="52" spans="1:7" s="13" customFormat="1" ht="15">
      <c r="A52" s="68" t="s">
        <v>143</v>
      </c>
      <c r="B52" s="36">
        <f>IF(5552.71744="","-",5552.71744)</f>
        <v>5552.71744</v>
      </c>
      <c r="C52" s="36">
        <f>IF(OR(3882.45287="",5552.71744=""),"-",5552.71744/3882.45287*100)</f>
        <v>143.0208588726539</v>
      </c>
      <c r="D52" s="36">
        <f>IF(3882.45287="","-",3882.45287/594976.01485*100)</f>
        <v>0.6525393920255439</v>
      </c>
      <c r="E52" s="36">
        <f>IF(5552.71744="","-",5552.71744/682424.61111*100)</f>
        <v>0.8136748513463207</v>
      </c>
      <c r="F52" s="25">
        <f>IF(OR(639082.69397="",6436.45549="",3882.45287=""),"-",(3882.45287-6436.45549)/639082.69397*100)</f>
        <v>-0.39963570350097616</v>
      </c>
      <c r="G52" s="25">
        <f>IF(OR(594976.01485="",5552.71744="",3882.45287=""),"-",(5552.71744-3882.45287)/594976.01485*100)</f>
        <v>0.2807280509317829</v>
      </c>
    </row>
    <row r="53" spans="1:7" s="13" customFormat="1" ht="15">
      <c r="A53" s="68" t="s">
        <v>142</v>
      </c>
      <c r="B53" s="36">
        <f>IF(5193.79759="","-",5193.79759)</f>
        <v>5193.79759</v>
      </c>
      <c r="C53" s="36">
        <f>IF(OR(19170.83037="",5193.79759=""),"-",5193.79759/19170.83037*100)</f>
        <v>27.09218896499996</v>
      </c>
      <c r="D53" s="36">
        <f>IF(19170.83037="","-",19170.83037/594976.01485*100)</f>
        <v>3.2221181848537497</v>
      </c>
      <c r="E53" s="36">
        <f>IF(5193.79759="","-",5193.79759/682424.61111*100)</f>
        <v>0.761080052718499</v>
      </c>
      <c r="F53" s="25">
        <f>IF(OR(639082.69397="",3675.77698="",19170.83037=""),"-",(19170.83037-3675.77698)/639082.69397*100)</f>
        <v>2.4245772160945687</v>
      </c>
      <c r="G53" s="25">
        <f>IF(OR(594976.01485="",5193.79759="",19170.83037=""),"-",(5193.79759-19170.83037)/594976.01485*100)</f>
        <v>-2.3491758375375453</v>
      </c>
    </row>
    <row r="54" spans="1:7" s="13" customFormat="1" ht="15">
      <c r="A54" s="68" t="s">
        <v>25</v>
      </c>
      <c r="B54" s="36">
        <f>IF(4934.10923="","-",4934.10923)</f>
        <v>4934.10923</v>
      </c>
      <c r="C54" s="36">
        <f>IF(OR(6002.32327="",4934.10923=""),"-",4934.10923/6002.32327*100)</f>
        <v>82.20332374733958</v>
      </c>
      <c r="D54" s="36">
        <f>IF(6002.32327="","-",6002.32327/594976.01485*100)</f>
        <v>1.0088344941960814</v>
      </c>
      <c r="E54" s="36">
        <f>IF(4934.10923="","-",4934.10923/682424.61111*100)</f>
        <v>0.7230262727445319</v>
      </c>
      <c r="F54" s="25">
        <f>IF(OR(639082.69397="",9468.25428="",6002.32327=""),"-",(6002.32327-9468.25428)/639082.69397*100)</f>
        <v>-0.5423290354601118</v>
      </c>
      <c r="G54" s="25">
        <f>IF(OR(594976.01485="",4934.10923="",6002.32327=""),"-",(4934.10923-6002.32327)/594976.01485*100)</f>
        <v>-0.17953900885724078</v>
      </c>
    </row>
    <row r="55" spans="1:7" s="13" customFormat="1" ht="15">
      <c r="A55" s="68" t="s">
        <v>145</v>
      </c>
      <c r="B55" s="36">
        <f>IF(4446.77025="","-",4446.77025)</f>
        <v>4446.77025</v>
      </c>
      <c r="C55" s="36">
        <f>IF(OR(4574.33012="",4446.77025=""),"-",4446.77025/4574.33012*100)</f>
        <v>97.2113978079046</v>
      </c>
      <c r="D55" s="36">
        <f>IF(4574.33012="","-",4574.33012/594976.01485*100)</f>
        <v>0.7688259704306296</v>
      </c>
      <c r="E55" s="36">
        <f>IF(4446.77025="","-",4446.77025/682424.61111*100)</f>
        <v>0.6516134057309408</v>
      </c>
      <c r="F55" s="25">
        <f>IF(OR(639082.69397="",4180.78621="",4574.33012=""),"-",(4574.33012-4180.78621)/639082.69397*100)</f>
        <v>0.06157949725649639</v>
      </c>
      <c r="G55" s="25">
        <f>IF(OR(594976.01485="",4446.77025="",4574.33012=""),"-",(4446.77025-4574.33012)/594976.01485*100)</f>
        <v>-0.021439497864827253</v>
      </c>
    </row>
    <row r="56" spans="1:7" s="13" customFormat="1" ht="15">
      <c r="A56" s="68" t="s">
        <v>148</v>
      </c>
      <c r="B56" s="36">
        <f>IF(3571.8349="","-",3571.8349)</f>
        <v>3571.8349</v>
      </c>
      <c r="C56" s="36">
        <f>IF(OR(3259.28604="",3571.8349=""),"-",3571.8349/3259.28604*100)</f>
        <v>109.58948850037106</v>
      </c>
      <c r="D56" s="36">
        <f>IF(3259.28604="","-",3259.28604/594976.01485*100)</f>
        <v>0.5478012488993698</v>
      </c>
      <c r="E56" s="36">
        <f>IF(3571.8349="","-",3571.8349/682424.61111*100)</f>
        <v>0.5234035880080907</v>
      </c>
      <c r="F56" s="25">
        <f>IF(OR(639082.69397="",1326.35165="",3259.28604=""),"-",(3259.28604-1326.35165)/639082.69397*100)</f>
        <v>0.3024545036562571</v>
      </c>
      <c r="G56" s="25">
        <f>IF(OR(594976.01485="",3571.8349="",3259.28604=""),"-",(3571.8349-3259.28604)/594976.01485*100)</f>
        <v>0.05253133776809421</v>
      </c>
    </row>
    <row r="57" spans="1:7" s="13" customFormat="1" ht="15">
      <c r="A57" s="68" t="s">
        <v>144</v>
      </c>
      <c r="B57" s="36">
        <f>IF(3457.68543="","-",3457.68543)</f>
        <v>3457.68543</v>
      </c>
      <c r="C57" s="36">
        <f>IF(OR(4412.01041="",3457.68543=""),"-",3457.68543/4412.01041*100)</f>
        <v>78.36983843381276</v>
      </c>
      <c r="D57" s="36">
        <f>IF(4412.01041="","-",4412.01041/594976.01485*100)</f>
        <v>0.7415442471428559</v>
      </c>
      <c r="E57" s="36">
        <f>IF(3457.68543="","-",3457.68543/682424.61111*100)</f>
        <v>0.5066765432706024</v>
      </c>
      <c r="F57" s="25">
        <f>IF(OR(639082.69397="",2028.27029="",4412.01041=""),"-",(4412.01041-2028.27029)/639082.69397*100)</f>
        <v>0.3729940025745554</v>
      </c>
      <c r="G57" s="25">
        <f>IF(OR(594976.01485="",3457.68543="",4412.01041=""),"-",(3457.68543-4412.01041)/594976.01485*100)</f>
        <v>-0.16039721874176655</v>
      </c>
    </row>
    <row r="58" spans="1:7" s="13" customFormat="1" ht="15">
      <c r="A58" s="68" t="s">
        <v>153</v>
      </c>
      <c r="B58" s="36">
        <f>IF(2033.24728="","-",2033.24728)</f>
        <v>2033.24728</v>
      </c>
      <c r="C58" s="36" t="s">
        <v>235</v>
      </c>
      <c r="D58" s="36">
        <f>IF(570.50316="","-",570.50316/594976.01485*100)</f>
        <v>0.09588674934128733</v>
      </c>
      <c r="E58" s="36">
        <f>IF(2033.24728="","-",2033.24728/682424.61111*100)</f>
        <v>0.2979446003116469</v>
      </c>
      <c r="F58" s="25">
        <f>IF(OR(639082.69397="",637.53614="",570.50316=""),"-",(570.50316-637.53614)/639082.69397*100)</f>
        <v>-0.010488936820302436</v>
      </c>
      <c r="G58" s="25">
        <f>IF(OR(594976.01485="",2033.24728="",570.50316=""),"-",(2033.24728-570.50316)/594976.01485*100)</f>
        <v>0.24584925837199903</v>
      </c>
    </row>
    <row r="59" spans="1:7" s="13" customFormat="1" ht="15">
      <c r="A59" s="68" t="s">
        <v>146</v>
      </c>
      <c r="B59" s="36">
        <f>IF(1866.23692="","-",1866.23692)</f>
        <v>1866.23692</v>
      </c>
      <c r="C59" s="36">
        <f>IF(OR(1632.46825="",1866.23692=""),"-",1866.23692/1632.46825*100)</f>
        <v>114.31995201131784</v>
      </c>
      <c r="D59" s="36">
        <f>IF(1632.46825="","-",1632.46825/594976.01485*100)</f>
        <v>0.2743754721627834</v>
      </c>
      <c r="E59" s="36">
        <f>IF(1866.23692="","-",1866.23692/682424.61111*100)</f>
        <v>0.2734715145991681</v>
      </c>
      <c r="F59" s="25">
        <f>IF(OR(639082.69397="",513.25902="",1632.46825=""),"-",(1632.46825-513.25902)/639082.69397*100)</f>
        <v>0.17512745072901914</v>
      </c>
      <c r="G59" s="25">
        <f>IF(OR(594976.01485="",1866.23692="",1632.46825=""),"-",(1866.23692-1632.46825)/594976.01485*100)</f>
        <v>0.03929043594453733</v>
      </c>
    </row>
    <row r="60" spans="1:7" s="13" customFormat="1" ht="15">
      <c r="A60" s="68" t="s">
        <v>155</v>
      </c>
      <c r="B60" s="36">
        <f>IF(1590.6665="","-",1590.6665)</f>
        <v>1590.6665</v>
      </c>
      <c r="C60" s="36" t="s">
        <v>219</v>
      </c>
      <c r="D60" s="36">
        <f>IF(940.25198="","-",940.25198/594976.01485*100)</f>
        <v>0.15803191330948824</v>
      </c>
      <c r="E60" s="36">
        <f>IF(1590.6665="","-",1590.6665/682424.61111*100)</f>
        <v>0.23309043579373495</v>
      </c>
      <c r="F60" s="25">
        <f>IF(OR(639082.69397="",1074.76839="",940.25198=""),"-",(940.25198-1074.76839)/639082.69397*100)</f>
        <v>-0.021048357476929968</v>
      </c>
      <c r="G60" s="25">
        <f>IF(OR(594976.01485="",1590.6665="",940.25198=""),"-",(1590.6665-940.25198)/594976.01485*100)</f>
        <v>0.10931777143385799</v>
      </c>
    </row>
    <row r="61" spans="1:7" s="13" customFormat="1" ht="15">
      <c r="A61" s="68" t="s">
        <v>151</v>
      </c>
      <c r="B61" s="36">
        <f>IF(1350.66663="","-",1350.66663)</f>
        <v>1350.66663</v>
      </c>
      <c r="C61" s="36">
        <f>IF(OR(946.46211="",1350.66663=""),"-",1350.66663/946.46211*100)</f>
        <v>142.7068887099981</v>
      </c>
      <c r="D61" s="36">
        <f>IF(946.46211="","-",946.46211/594976.01485*100)</f>
        <v>0.15907567471246947</v>
      </c>
      <c r="E61" s="36">
        <f>IF(1350.66663="","-",1350.66663/682424.61111*100)</f>
        <v>0.1979217349449148</v>
      </c>
      <c r="F61" s="25">
        <f>IF(OR(639082.69397="",446.68921="",946.46211=""),"-",(946.46211-446.68921)/639082.69397*100)</f>
        <v>0.07820160125059818</v>
      </c>
      <c r="G61" s="25">
        <f>IF(OR(594976.01485="",1350.66663="",946.46211=""),"-",(1350.66663-946.46211)/594976.01485*100)</f>
        <v>0.06793627136413294</v>
      </c>
    </row>
    <row r="62" spans="1:7" s="13" customFormat="1" ht="15">
      <c r="A62" s="68" t="s">
        <v>154</v>
      </c>
      <c r="B62" s="36">
        <f>IF(1143.40781="","-",1143.40781)</f>
        <v>1143.40781</v>
      </c>
      <c r="C62" s="36" t="s">
        <v>236</v>
      </c>
      <c r="D62" s="36">
        <f>IF(82.91739="","-",82.91739/594976.01485*100)</f>
        <v>0.013936257585258184</v>
      </c>
      <c r="E62" s="36">
        <f>IF(1143.40781="","-",1143.40781/682424.61111*100)</f>
        <v>0.1675507874987372</v>
      </c>
      <c r="F62" s="25">
        <f>IF(OR(639082.69397="",434.53305="",82.91739=""),"-",(82.91739-434.53305)/639082.69397*100)</f>
        <v>-0.05501880481471864</v>
      </c>
      <c r="G62" s="25">
        <f>IF(OR(594976.01485="",1143.40781="",82.91739=""),"-",(1143.40781-82.91739)/594976.01485*100)</f>
        <v>0.17824086913274328</v>
      </c>
    </row>
    <row r="63" spans="1:7" s="13" customFormat="1" ht="15">
      <c r="A63" s="68" t="s">
        <v>162</v>
      </c>
      <c r="B63" s="36">
        <f>IF(1132.21191="","-",1132.21191)</f>
        <v>1132.21191</v>
      </c>
      <c r="C63" s="36" t="s">
        <v>235</v>
      </c>
      <c r="D63" s="36">
        <f>IF(310.68948="","-",310.68948/594976.01485*100)</f>
        <v>0.05221882432997374</v>
      </c>
      <c r="E63" s="36">
        <f>IF(1132.21191="","-",1132.21191/682424.61111*100)</f>
        <v>0.16591018136910346</v>
      </c>
      <c r="F63" s="25">
        <f>IF(OR(639082.69397="",191.82482="",310.68948=""),"-",(310.68948-191.82482)/639082.69397*100)</f>
        <v>0.018599261272685907</v>
      </c>
      <c r="G63" s="25">
        <f>IF(OR(594976.01485="",1132.21191="",310.68948=""),"-",(1132.21191-310.68948)/594976.01485*100)</f>
        <v>0.1380765626673396</v>
      </c>
    </row>
    <row r="64" spans="1:7" s="13" customFormat="1" ht="15">
      <c r="A64" s="68" t="s">
        <v>121</v>
      </c>
      <c r="B64" s="36">
        <f>IF(1121.38438="","-",1121.38438)</f>
        <v>1121.38438</v>
      </c>
      <c r="C64" s="36" t="s">
        <v>186</v>
      </c>
      <c r="D64" s="36">
        <f>IF(344.49262="","-",344.49262/594976.01485*100)</f>
        <v>0.05790025335506178</v>
      </c>
      <c r="E64" s="36">
        <f>IF(1121.38438="","-",1121.38438/682424.61111*100)</f>
        <v>0.16432355482842398</v>
      </c>
      <c r="F64" s="25">
        <f>IF(OR(639082.69397="",243.58674="",344.49262=""),"-",(344.49262-243.58674)/639082.69397*100)</f>
        <v>0.015789174226134926</v>
      </c>
      <c r="G64" s="25">
        <f>IF(OR(594976.01485="",1121.38438="",344.49262=""),"-",(1121.38438-344.49262)/594976.01485*100)</f>
        <v>0.13057530734173595</v>
      </c>
    </row>
    <row r="65" spans="1:7" s="13" customFormat="1" ht="15">
      <c r="A65" s="68" t="s">
        <v>147</v>
      </c>
      <c r="B65" s="36">
        <f>IF(1041.08835="","-",1041.08835)</f>
        <v>1041.08835</v>
      </c>
      <c r="C65" s="36">
        <f>IF(OR(1306.21402="",1041.08835=""),"-",1041.08835/1306.21402*100)</f>
        <v>79.70273891257116</v>
      </c>
      <c r="D65" s="36">
        <f>IF(1306.21402="","-",1306.21402/594976.01485*100)</f>
        <v>0.21954061800782185</v>
      </c>
      <c r="E65" s="36">
        <f>IF(1041.08835="","-",1041.08835/682424.61111*100)</f>
        <v>0.15255726904494465</v>
      </c>
      <c r="F65" s="25">
        <f>IF(OR(639082.69397="",592.35136="",1306.21402=""),"-",(1306.21402-592.35136)/639082.69397*100)</f>
        <v>0.11170114082818682</v>
      </c>
      <c r="G65" s="25">
        <f>IF(OR(594976.01485="",1041.08835="",1306.21402=""),"-",(1041.08835-1306.21402)/594976.01485*100)</f>
        <v>-0.04456073243000241</v>
      </c>
    </row>
    <row r="66" spans="1:7" s="13" customFormat="1" ht="15">
      <c r="A66" s="68" t="s">
        <v>152</v>
      </c>
      <c r="B66" s="36">
        <f>IF(682.35507="","-",682.35507)</f>
        <v>682.35507</v>
      </c>
      <c r="C66" s="36">
        <f>IF(OR(1803.6378="",682.35507=""),"-",682.35507/1803.6378*100)</f>
        <v>37.83215621229495</v>
      </c>
      <c r="D66" s="36">
        <f>IF(1803.6378="","-",1803.6378/594976.01485*100)</f>
        <v>0.30314462347775767</v>
      </c>
      <c r="E66" s="36">
        <f>IF(682.35507="","-",682.35507/682424.61111*100)</f>
        <v>0.09998980970075406</v>
      </c>
      <c r="F66" s="25">
        <f>IF(OR(639082.69397="",3146.66696="",1803.6378=""),"-",(1803.6378-3146.66696)/639082.69397*100)</f>
        <v>-0.2101495115846534</v>
      </c>
      <c r="G66" s="25">
        <f>IF(OR(594976.01485="",682.35507="",1803.6378=""),"-",(682.35507-1803.6378)/594976.01485*100)</f>
        <v>-0.188458475974479</v>
      </c>
    </row>
    <row r="67" spans="1:7" s="13" customFormat="1" ht="15">
      <c r="A67" s="68" t="s">
        <v>150</v>
      </c>
      <c r="B67" s="36">
        <f>IF(430.83928="","-",430.83928)</f>
        <v>430.83928</v>
      </c>
      <c r="C67" s="36">
        <f>IF(OR(1435.7833="",430.83928=""),"-",430.83928/1435.7833*100)</f>
        <v>30.007263630939292</v>
      </c>
      <c r="D67" s="36">
        <f>IF(1435.7833="","-",1435.7833/594976.01485*100)</f>
        <v>0.2413178454533124</v>
      </c>
      <c r="E67" s="36">
        <f>IF(430.83928="","-",430.83928/682424.61111*100)</f>
        <v>0.06313360816504213</v>
      </c>
      <c r="F67" s="25" t="str">
        <f>IF(OR(639082.69397="",""="",1435.7833=""),"-",(1435.7833-"")/639082.69397*100)</f>
        <v>-</v>
      </c>
      <c r="G67" s="25">
        <f>IF(OR(594976.01485="",430.83928="",1435.7833=""),"-",(430.83928-1435.7833)/594976.01485*100)</f>
        <v>-0.16890496337963432</v>
      </c>
    </row>
    <row r="68" spans="1:7" s="13" customFormat="1" ht="15">
      <c r="A68" s="68" t="s">
        <v>211</v>
      </c>
      <c r="B68" s="36">
        <f>IF(407.74851="","-",407.74851)</f>
        <v>407.74851</v>
      </c>
      <c r="C68" s="36" t="s">
        <v>220</v>
      </c>
      <c r="D68" s="36">
        <f>IF(252.50503="","-",252.50503/594976.01485*100)</f>
        <v>0.0424395309554889</v>
      </c>
      <c r="E68" s="36">
        <f>IF(407.74851="","-",407.74851/682424.61111*100)</f>
        <v>0.0597499714051601</v>
      </c>
      <c r="F68" s="25">
        <f>IF(OR(639082.69397="",302.53481="",252.50503=""),"-",(252.50503-302.53481)/639082.69397*100)</f>
        <v>-0.007828373459655676</v>
      </c>
      <c r="G68" s="25">
        <f>IF(OR(594976.01485="",407.74851="",252.50503=""),"-",(407.74851-252.50503)/594976.01485*100)</f>
        <v>0.02609239299152901</v>
      </c>
    </row>
    <row r="69" spans="1:7" s="13" customFormat="1" ht="15">
      <c r="A69" s="68" t="s">
        <v>163</v>
      </c>
      <c r="B69" s="36">
        <f>IF(340.15253="","-",340.15253)</f>
        <v>340.15253</v>
      </c>
      <c r="C69" s="36" t="s">
        <v>197</v>
      </c>
      <c r="D69" s="36">
        <f>IF(156.38736="","-",156.38736/594976.01485*100)</f>
        <v>0.026284649481110086</v>
      </c>
      <c r="E69" s="36">
        <f>IF(340.15253="","-",340.15253/682424.61111*100)</f>
        <v>0.049844704376462004</v>
      </c>
      <c r="F69" s="25">
        <f>IF(OR(639082.69397="",215.84427="",156.38736=""),"-",(156.38736-215.84427)/639082.69397*100)</f>
        <v>-0.009303476773976145</v>
      </c>
      <c r="G69" s="25">
        <f>IF(OR(594976.01485="",340.15253="",156.38736=""),"-",(340.15253-156.38736)/594976.01485*100)</f>
        <v>0.030886147577953917</v>
      </c>
    </row>
    <row r="70" spans="1:7" s="13" customFormat="1" ht="15">
      <c r="A70" s="68" t="s">
        <v>207</v>
      </c>
      <c r="B70" s="36">
        <f>IF(337.4945="","-",337.4945)</f>
        <v>337.4945</v>
      </c>
      <c r="C70" s="36" t="s">
        <v>202</v>
      </c>
      <c r="D70" s="36">
        <f>IF(129.61272="","-",129.61272/594976.01485*100)</f>
        <v>0.021784528580143986</v>
      </c>
      <c r="E70" s="36">
        <f>IF(337.4945="","-",337.4945/682424.61111*100)</f>
        <v>0.04945520640749565</v>
      </c>
      <c r="F70" s="25" t="str">
        <f>IF(OR(639082.69397="",""="",129.61272=""),"-",(129.61272-"")/639082.69397*100)</f>
        <v>-</v>
      </c>
      <c r="G70" s="25">
        <f>IF(OR(594976.01485="",337.4945="",129.61272=""),"-",(337.4945-129.61272)/594976.01485*100)</f>
        <v>0.03493952273898122</v>
      </c>
    </row>
    <row r="71" spans="1:7" s="13" customFormat="1" ht="15">
      <c r="A71" s="68" t="s">
        <v>231</v>
      </c>
      <c r="B71" s="36">
        <f>IF(319.0262="","-",319.0262)</f>
        <v>319.0262</v>
      </c>
      <c r="C71" s="36" t="s">
        <v>237</v>
      </c>
      <c r="D71" s="36">
        <f>IF(27.55442="","-",27.55442/594976.01485*100)</f>
        <v>0.004631181646363807</v>
      </c>
      <c r="E71" s="36">
        <f>IF(319.0262="","-",319.0262/682424.61111*100)</f>
        <v>0.04674892945040286</v>
      </c>
      <c r="F71" s="25">
        <f>IF(OR(639082.69397="",176.68615="",27.55442=""),"-",(27.55442-176.68615)/639082.69397*100)</f>
        <v>-0.023335279050288378</v>
      </c>
      <c r="G71" s="25">
        <f>IF(OR(594976.01485="",319.0262="",27.55442=""),"-",(319.0262-27.55442)/594976.01485*100)</f>
        <v>0.048988828578826527</v>
      </c>
    </row>
    <row r="72" spans="1:7" s="13" customFormat="1" ht="15">
      <c r="A72" s="68" t="s">
        <v>174</v>
      </c>
      <c r="B72" s="36">
        <f>IF(247.37577="","-",247.37577)</f>
        <v>247.37577</v>
      </c>
      <c r="C72" s="36" t="str">
        <f>IF(OR(""="",247.37577=""),"-",247.37577/""*100)</f>
        <v>-</v>
      </c>
      <c r="D72" s="36" t="str">
        <f>IF(""="","-",""/594976.01485*100)</f>
        <v>-</v>
      </c>
      <c r="E72" s="36">
        <f>IF(247.37577="","-",247.37577/682424.61111*100)</f>
        <v>0.036249538186735396</v>
      </c>
      <c r="F72" s="25" t="str">
        <f>IF(OR(639082.69397="",14.5143="",""=""),"-",(""-14.5143)/639082.69397*100)</f>
        <v>-</v>
      </c>
      <c r="G72" s="25" t="str">
        <f>IF(OR(594976.01485="",247.37577="",""=""),"-",(247.37577-"")/594976.01485*100)</f>
        <v>-</v>
      </c>
    </row>
    <row r="73" spans="1:7" s="13" customFormat="1" ht="15">
      <c r="A73" s="68" t="s">
        <v>157</v>
      </c>
      <c r="B73" s="36">
        <f>IF(219.5364="","-",219.5364)</f>
        <v>219.5364</v>
      </c>
      <c r="C73" s="36">
        <f>IF(OR(300.55977="",219.5364=""),"-",219.5364/300.55977*100)</f>
        <v>73.04250998062713</v>
      </c>
      <c r="D73" s="36">
        <f>IF(300.55977="","-",300.55977/594976.01485*100)</f>
        <v>0.0505162834296395</v>
      </c>
      <c r="E73" s="36">
        <f>IF(219.5364="","-",219.5364/682424.61111*100)</f>
        <v>0.032170058996394094</v>
      </c>
      <c r="F73" s="25">
        <f>IF(OR(639082.69397="",402.50034="",300.55977=""),"-",(300.55977-402.50034)/639082.69397*100)</f>
        <v>-0.015951076591785365</v>
      </c>
      <c r="G73" s="25">
        <f>IF(OR(594976.01485="",219.5364="",300.55977=""),"-",(219.5364-300.55977)/594976.01485*100)</f>
        <v>-0.013617922063703172</v>
      </c>
    </row>
    <row r="74" spans="1:7" s="13" customFormat="1" ht="15">
      <c r="A74" s="68" t="s">
        <v>164</v>
      </c>
      <c r="B74" s="36">
        <f>IF(206.52815="","-",206.52815)</f>
        <v>206.52815</v>
      </c>
      <c r="C74" s="36">
        <f>IF(OR(222.88794="",206.52815=""),"-",206.52815/222.88794*100)</f>
        <v>92.66008290982455</v>
      </c>
      <c r="D74" s="36">
        <f>IF(222.88794="","-",222.88794/594976.01485*100)</f>
        <v>0.037461668107107216</v>
      </c>
      <c r="E74" s="36">
        <f>IF(206.52815="","-",206.52815/682424.61111*100)</f>
        <v>0.03026387774380982</v>
      </c>
      <c r="F74" s="25">
        <f>IF(OR(639082.69397="",288.30858="",222.88794=""),"-",(222.88794-288.30858)/639082.69397*100)</f>
        <v>-0.010236647090786503</v>
      </c>
      <c r="G74" s="25">
        <f>IF(OR(594976.01485="",206.52815="",222.88794=""),"-",(206.52815-222.88794)/594976.01485*100)</f>
        <v>-0.0027496553796583644</v>
      </c>
    </row>
    <row r="75" spans="1:7" s="13" customFormat="1" ht="15">
      <c r="A75" s="68" t="s">
        <v>190</v>
      </c>
      <c r="B75" s="36">
        <f>IF(186.33116="","-",186.33116)</f>
        <v>186.33116</v>
      </c>
      <c r="C75" s="36" t="str">
        <f>IF(OR(""="",186.33116=""),"-",186.33116/""*100)</f>
        <v>-</v>
      </c>
      <c r="D75" s="36" t="str">
        <f>IF(""="","-",""/594976.01485*100)</f>
        <v>-</v>
      </c>
      <c r="E75" s="36">
        <f>IF(186.33116="","-",186.33116/682424.61111*100)</f>
        <v>0.027304284893377807</v>
      </c>
      <c r="F75" s="25" t="str">
        <f>IF(OR(639082.69397="",161.962="",""=""),"-",(""-161.962)/639082.69397*100)</f>
        <v>-</v>
      </c>
      <c r="G75" s="25" t="str">
        <f>IF(OR(594976.01485="",186.33116="",""=""),"-",(186.33116-"")/594976.01485*100)</f>
        <v>-</v>
      </c>
    </row>
    <row r="76" spans="1:7" ht="15">
      <c r="A76" s="68" t="s">
        <v>159</v>
      </c>
      <c r="B76" s="36">
        <f>IF(180.4545="","-",180.4545)</f>
        <v>180.4545</v>
      </c>
      <c r="C76" s="36">
        <f>IF(OR(247.85852="",180.4545=""),"-",180.4545/247.85852*100)</f>
        <v>72.80544562276899</v>
      </c>
      <c r="D76" s="36">
        <f>IF(247.85852="","-",247.85852/594976.01485*100)</f>
        <v>0.04165857342375185</v>
      </c>
      <c r="E76" s="36">
        <f>IF(180.4545="","-",180.4545/682424.61111*100)</f>
        <v>0.026443140687215417</v>
      </c>
      <c r="F76" s="25">
        <f>IF(OR(639082.69397="",169.484="",247.85852=""),"-",(247.85852-169.484)/639082.69397*100)</f>
        <v>0.01226359604781898</v>
      </c>
      <c r="G76" s="25">
        <f>IF(OR(594976.01485="",180.4545="",247.85852=""),"-",(180.4545-247.85852)/594976.01485*100)</f>
        <v>-0.011328863402500906</v>
      </c>
    </row>
    <row r="77" spans="1:7" ht="15">
      <c r="A77" s="68" t="s">
        <v>171</v>
      </c>
      <c r="B77" s="36">
        <f>IF(178.6822="","-",178.6822)</f>
        <v>178.6822</v>
      </c>
      <c r="C77" s="36" t="s">
        <v>187</v>
      </c>
      <c r="D77" s="36">
        <f>IF(86.25611="","-",86.25611/594976.01485*100)</f>
        <v>0.0144974096177215</v>
      </c>
      <c r="E77" s="36">
        <f>IF(178.6822="","-",178.6822/682424.61111*100)</f>
        <v>0.026183434344397963</v>
      </c>
      <c r="F77" s="25" t="str">
        <f>IF(OR(639082.69397="",""="",86.25611=""),"-",(86.25611-"")/639082.69397*100)</f>
        <v>-</v>
      </c>
      <c r="G77" s="25">
        <f>IF(OR(594976.01485="",178.6822="",86.25611=""),"-",(178.6822-86.25611)/594976.01485*100)</f>
        <v>0.015534422849516316</v>
      </c>
    </row>
    <row r="78" spans="1:7" ht="15">
      <c r="A78" s="68" t="s">
        <v>156</v>
      </c>
      <c r="B78" s="36">
        <f>IF(178.53634="","-",178.53634)</f>
        <v>178.53634</v>
      </c>
      <c r="C78" s="36" t="s">
        <v>213</v>
      </c>
      <c r="D78" s="36">
        <f>IF(36.52277="","-",36.52277/594976.01485*100)</f>
        <v>0.006138528123559366</v>
      </c>
      <c r="E78" s="36">
        <f>IF(178.53634="","-",178.53634/682424.61111*100)</f>
        <v>0.026162060554879622</v>
      </c>
      <c r="F78" s="25">
        <f>IF(OR(639082.69397="",36.13261="",36.52277=""),"-",(36.52277-36.13261)/639082.69397*100)</f>
        <v>6.105000239895662E-05</v>
      </c>
      <c r="G78" s="25">
        <f>IF(OR(594976.01485="",178.53634="",36.52277=""),"-",(178.53634-36.52277)/594976.01485*100)</f>
        <v>0.023868789069724627</v>
      </c>
    </row>
    <row r="79" spans="1:7" ht="15">
      <c r="A79" s="68" t="s">
        <v>232</v>
      </c>
      <c r="B79" s="36">
        <f>IF(173.78085="","-",173.78085)</f>
        <v>173.78085</v>
      </c>
      <c r="C79" s="36" t="s">
        <v>238</v>
      </c>
      <c r="D79" s="36">
        <f>IF(22.87527="","-",22.87527/594976.01485*100)</f>
        <v>0.003844738179196536</v>
      </c>
      <c r="E79" s="36">
        <f>IF(173.78085="","-",173.78085/682424.61111*100)</f>
        <v>0.025465208489086604</v>
      </c>
      <c r="F79" s="25">
        <f>IF(OR(639082.69397="",358.28012="",22.87527=""),"-",(22.87527-358.28012)/639082.69397*100)</f>
        <v>-0.05248223010334632</v>
      </c>
      <c r="G79" s="25">
        <f>IF(OR(594976.01485="",173.78085="",22.87527=""),"-",(173.78085-22.87527)/594976.01485*100)</f>
        <v>0.025363304777595942</v>
      </c>
    </row>
    <row r="80" spans="1:7" ht="15">
      <c r="A80" s="68" t="s">
        <v>166</v>
      </c>
      <c r="B80" s="36">
        <f>IF(123.63674="","-",123.63674)</f>
        <v>123.63674</v>
      </c>
      <c r="C80" s="36">
        <f>IF(OR(153.70082="",123.63674=""),"-",123.63674/153.70082*100)</f>
        <v>80.4398701321177</v>
      </c>
      <c r="D80" s="36">
        <f>IF(153.70082="","-",153.70082/594976.01485*100)</f>
        <v>0.02583311195136995</v>
      </c>
      <c r="E80" s="36">
        <f>IF(123.63674="","-",123.63674/682424.61111*100)</f>
        <v>0.018117274492620985</v>
      </c>
      <c r="F80" s="25">
        <f>IF(OR(639082.69397="",137.80756="",153.70082=""),"-",(153.70082-137.80756)/639082.69397*100)</f>
        <v>0.002486886305944323</v>
      </c>
      <c r="G80" s="25">
        <f>IF(OR(594976.01485="",123.63674="",153.70082=""),"-",(123.63674-153.70082)/594976.01485*100)</f>
        <v>-0.005052990246603382</v>
      </c>
    </row>
    <row r="81" spans="1:7" ht="15">
      <c r="A81" s="68" t="s">
        <v>208</v>
      </c>
      <c r="B81" s="36">
        <f>IF(116.25016="","-",116.25016)</f>
        <v>116.25016</v>
      </c>
      <c r="C81" s="36" t="str">
        <f>IF(OR(""="",116.25016=""),"-",116.25016/""*100)</f>
        <v>-</v>
      </c>
      <c r="D81" s="36" t="str">
        <f>IF(""="","-",""/594976.01485*100)</f>
        <v>-</v>
      </c>
      <c r="E81" s="36">
        <f>IF(116.25016="","-",116.25016/682424.61111*100)</f>
        <v>0.017034872146670224</v>
      </c>
      <c r="F81" s="25" t="str">
        <f>IF(OR(639082.69397="",27.7076="",""=""),"-",(""-27.7076)/639082.69397*100)</f>
        <v>-</v>
      </c>
      <c r="G81" s="25" t="str">
        <f>IF(OR(594976.01485="",116.25016="",""=""),"-",(116.25016-"")/594976.01485*100)</f>
        <v>-</v>
      </c>
    </row>
    <row r="82" spans="1:7" ht="15">
      <c r="A82" s="68" t="s">
        <v>116</v>
      </c>
      <c r="B82" s="36">
        <f>IF(107.62575="","-",107.62575)</f>
        <v>107.62575</v>
      </c>
      <c r="C82" s="36">
        <f>IF(OR(233.87779="",107.62575=""),"-",107.62575/233.87779*100)</f>
        <v>46.01794381587067</v>
      </c>
      <c r="D82" s="36">
        <f>IF(233.87779="","-",233.87779/594976.01485*100)</f>
        <v>0.039308776179652075</v>
      </c>
      <c r="E82" s="36">
        <f>IF(107.62575="","-",107.62575/682424.61111*100)</f>
        <v>0.015771082731752737</v>
      </c>
      <c r="F82" s="25">
        <f>IF(OR(639082.69397="",35.40846="",233.87779=""),"-",(233.87779-35.40846)/639082.69397*100)</f>
        <v>0.031055344147578594</v>
      </c>
      <c r="G82" s="25">
        <f>IF(OR(594976.01485="",107.62575="",233.87779=""),"-",(107.62575-233.87779)/594976.01485*100)</f>
        <v>-0.02121968564259343</v>
      </c>
    </row>
    <row r="83" spans="1:7" ht="15">
      <c r="A83" s="68" t="s">
        <v>191</v>
      </c>
      <c r="B83" s="36">
        <f>IF(91.07321="","-",91.07321)</f>
        <v>91.07321</v>
      </c>
      <c r="C83" s="36" t="s">
        <v>220</v>
      </c>
      <c r="D83" s="36">
        <f>IF(55.7389="","-",55.7389/594976.01485*100)</f>
        <v>0.009368259998523198</v>
      </c>
      <c r="E83" s="36">
        <f>IF(91.07321="","-",91.07321/682424.61111*100)</f>
        <v>0.013345534219796756</v>
      </c>
      <c r="F83" s="25">
        <f>IF(OR(639082.69397="",127.1372="",55.7389=""),"-",(55.7389-127.1372)/639082.69397*100)</f>
        <v>-0.011171997094221363</v>
      </c>
      <c r="G83" s="25">
        <f>IF(OR(594976.01485="",91.07321="",55.7389=""),"-",(91.07321-55.7389)/594976.01485*100)</f>
        <v>0.005938778894962375</v>
      </c>
    </row>
    <row r="84" spans="1:7" ht="15">
      <c r="A84" s="68" t="s">
        <v>184</v>
      </c>
      <c r="B84" s="36">
        <f>IF(86.95309="","-",86.95309)</f>
        <v>86.95309</v>
      </c>
      <c r="C84" s="36">
        <f>IF(OR(68.31299="",86.95309=""),"-",86.95309/68.31299*100)</f>
        <v>127.28631845861233</v>
      </c>
      <c r="D84" s="36">
        <f>IF(68.31299="","-",68.31299/594976.01485*100)</f>
        <v>0.01148163762823657</v>
      </c>
      <c r="E84" s="36">
        <f>IF(86.95309="","-",86.95309/682424.61111*100)</f>
        <v>0.012741786943845146</v>
      </c>
      <c r="F84" s="25">
        <f>IF(OR(639082.69397="",10.00988="",68.31299=""),"-",(68.31299-10.00988)/639082.69397*100)</f>
        <v>0.00912293675765485</v>
      </c>
      <c r="G84" s="25">
        <f>IF(OR(594976.01485="",86.95309="",68.31299=""),"-",(86.95309-68.31299)/594976.01485*100)</f>
        <v>0.0031329162075044953</v>
      </c>
    </row>
    <row r="85" spans="1:7" ht="15">
      <c r="A85" s="68" t="s">
        <v>209</v>
      </c>
      <c r="B85" s="36">
        <f>IF(79.79155="","-",79.79155)</f>
        <v>79.79155</v>
      </c>
      <c r="C85" s="36">
        <f>IF(OR(184.73742="",79.79155=""),"-",79.79155/184.73742*100)</f>
        <v>43.19187200947161</v>
      </c>
      <c r="D85" s="36">
        <f>IF(184.73742="","-",184.73742/594976.01485*100)</f>
        <v>0.031049557526545722</v>
      </c>
      <c r="E85" s="36">
        <f>IF(79.79155="","-",79.79155/682424.61111*100)</f>
        <v>0.011692361134252585</v>
      </c>
      <c r="F85" s="25">
        <f>IF(OR(639082.69397="",138.666="",184.73742=""),"-",(184.73742-138.666)/639082.69397*100)</f>
        <v>0.007208991955924046</v>
      </c>
      <c r="G85" s="25">
        <f>IF(OR(594976.01485="",79.79155="",184.73742=""),"-",(79.79155-184.73742)/594976.01485*100)</f>
        <v>-0.017638672380172835</v>
      </c>
    </row>
    <row r="86" spans="1:7" ht="15">
      <c r="A86" s="68" t="s">
        <v>175</v>
      </c>
      <c r="B86" s="36">
        <f>IF(62.86075="","-",62.86075)</f>
        <v>62.86075</v>
      </c>
      <c r="C86" s="36">
        <f>IF(OR(60.2053="",62.86075=""),"-",62.86075/60.2053*100)</f>
        <v>104.4106581978663</v>
      </c>
      <c r="D86" s="36">
        <f>IF(60.2053="","-",60.2053/594976.01485*100)</f>
        <v>0.010118945721732735</v>
      </c>
      <c r="E86" s="36">
        <f>IF(62.86075="","-",62.86075/682424.61111*100)</f>
        <v>0.009211383789009842</v>
      </c>
      <c r="F86" s="25">
        <f>IF(OR(639082.69397="",93.6086="",60.2053=""),"-",(60.2053-93.6086)/639082.69397*100)</f>
        <v>-0.005226757087177207</v>
      </c>
      <c r="G86" s="25">
        <f>IF(OR(594976.01485="",62.86075="",60.2053=""),"-",(62.86075-60.2053)/594976.01485*100)</f>
        <v>0.0004463121090132465</v>
      </c>
    </row>
    <row r="87" spans="1:7" ht="15">
      <c r="A87" s="70" t="s">
        <v>233</v>
      </c>
      <c r="B87" s="36">
        <f>IF(45.4372="","-",45.4372)</f>
        <v>45.4372</v>
      </c>
      <c r="C87" s="36" t="str">
        <f>IF(OR(""="",45.4372=""),"-",45.4372/""*100)</f>
        <v>-</v>
      </c>
      <c r="D87" s="36" t="str">
        <f>IF(""="","-",""/594976.01485*100)</f>
        <v>-</v>
      </c>
      <c r="E87" s="36">
        <f>IF(45.4372="","-",45.4372/682424.61111*100)</f>
        <v>0.0066582006657254006</v>
      </c>
      <c r="F87" s="25" t="str">
        <f>IF(OR(639082.69397="",""="",""=""),"-",(""-"")/639082.69397*100)</f>
        <v>-</v>
      </c>
      <c r="G87" s="25" t="str">
        <f>IF(OR(594976.01485="",45.4372="",""=""),"-",(45.4372-"")/594976.01485*100)</f>
        <v>-</v>
      </c>
    </row>
    <row r="88" spans="1:7" ht="15">
      <c r="A88" s="49" t="s">
        <v>28</v>
      </c>
      <c r="B88" s="49"/>
      <c r="C88" s="49"/>
      <c r="D88" s="49"/>
      <c r="E88" s="49"/>
      <c r="F88" s="49"/>
      <c r="G88" s="49"/>
    </row>
  </sheetData>
  <sheetProtection/>
  <mergeCells count="10">
    <mergeCell ref="A88:G88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1496062992125984" bottom="0.31496062992125984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9.00390625" style="0" customWidth="1"/>
    <col min="2" max="2" width="12.625" style="0" customWidth="1"/>
    <col min="3" max="3" width="10.875" style="0" customWidth="1"/>
    <col min="4" max="5" width="8.25390625" style="0" customWidth="1"/>
    <col min="6" max="6" width="9.625" style="0" customWidth="1"/>
    <col min="7" max="7" width="10.25390625" style="0" customWidth="1"/>
  </cols>
  <sheetData>
    <row r="1" spans="1:7" ht="15.75">
      <c r="A1" s="50" t="s">
        <v>31</v>
      </c>
      <c r="B1" s="50"/>
      <c r="C1" s="50"/>
      <c r="D1" s="50"/>
      <c r="E1" s="50"/>
      <c r="F1" s="50"/>
      <c r="G1" s="50"/>
    </row>
    <row r="2" ht="15">
      <c r="A2" s="2"/>
    </row>
    <row r="3" spans="1:7" ht="56.25" customHeight="1">
      <c r="A3" s="51"/>
      <c r="B3" s="54" t="s">
        <v>226</v>
      </c>
      <c r="C3" s="55"/>
      <c r="D3" s="54" t="s">
        <v>0</v>
      </c>
      <c r="E3" s="55"/>
      <c r="F3" s="56" t="s">
        <v>225</v>
      </c>
      <c r="G3" s="57"/>
    </row>
    <row r="4" spans="1:7" ht="27" customHeight="1">
      <c r="A4" s="52"/>
      <c r="B4" s="58" t="s">
        <v>222</v>
      </c>
      <c r="C4" s="60" t="s">
        <v>227</v>
      </c>
      <c r="D4" s="62" t="s">
        <v>228</v>
      </c>
      <c r="E4" s="62"/>
      <c r="F4" s="62" t="s">
        <v>228</v>
      </c>
      <c r="G4" s="54"/>
    </row>
    <row r="5" spans="1:7" ht="22.5" customHeight="1">
      <c r="A5" s="53"/>
      <c r="B5" s="59"/>
      <c r="C5" s="61"/>
      <c r="D5" s="15">
        <v>2016</v>
      </c>
      <c r="E5" s="15">
        <v>2017</v>
      </c>
      <c r="F5" s="15" t="s">
        <v>2</v>
      </c>
      <c r="G5" s="16" t="s">
        <v>189</v>
      </c>
    </row>
    <row r="6" spans="1:7" s="3" customFormat="1" ht="13.5">
      <c r="A6" s="65" t="s">
        <v>30</v>
      </c>
      <c r="B6" s="31">
        <f>IF(1392193.04092="","-",1392193.04092)</f>
        <v>1392193.04092</v>
      </c>
      <c r="C6" s="31">
        <f>IF(1216006.77752="","-",1392193.04092/1216006.77752*100)</f>
        <v>114.48892116862419</v>
      </c>
      <c r="D6" s="31">
        <v>100</v>
      </c>
      <c r="E6" s="31">
        <v>100</v>
      </c>
      <c r="F6" s="29">
        <f>IF(1305605.99556="","-",(1216006.77752-1305605.99556)/1305605.99556*100)</f>
        <v>-6.862653690677109</v>
      </c>
      <c r="G6" s="29">
        <f>IF(1216006.77752="","-",(1392193.04092-1216006.77752)/1216006.77752*100)</f>
        <v>14.488921168624183</v>
      </c>
    </row>
    <row r="7" spans="1:7" ht="12.75" customHeight="1">
      <c r="A7" s="66" t="s">
        <v>3</v>
      </c>
      <c r="B7" s="37"/>
      <c r="C7" s="38"/>
      <c r="D7" s="34"/>
      <c r="E7" s="34"/>
      <c r="F7" s="30"/>
      <c r="G7" s="30"/>
    </row>
    <row r="8" spans="1:7" ht="15">
      <c r="A8" s="67" t="s">
        <v>4</v>
      </c>
      <c r="B8" s="35">
        <f>IF(672741.74303="","-",672741.74303)</f>
        <v>672741.74303</v>
      </c>
      <c r="C8" s="35">
        <f>IF(581667.09474="","-",672741.74303/581667.09474*100)</f>
        <v>115.65752113426832</v>
      </c>
      <c r="D8" s="35">
        <f>IF(581667.09474="","-",581667.09474/1216006.77752*100)</f>
        <v>47.83419841839106</v>
      </c>
      <c r="E8" s="35">
        <f>IF(672741.74303="","-",672741.74303/1392193.04092*100)</f>
        <v>48.32244690617283</v>
      </c>
      <c r="F8" s="24">
        <f>IF(1305605.99556="","-",(581667.09474-607156.86493)/1305605.99556*100)</f>
        <v>-1.9523325012816755</v>
      </c>
      <c r="G8" s="24">
        <f>IF(1216006.77752="","-",(672741.74303-581667.09474)/1216006.77752*100)</f>
        <v>7.489649726767424</v>
      </c>
    </row>
    <row r="9" spans="1:7" s="13" customFormat="1" ht="15">
      <c r="A9" s="68" t="s">
        <v>5</v>
      </c>
      <c r="B9" s="36">
        <f>IF(187912.95767="","-",187912.95767)</f>
        <v>187912.95767</v>
      </c>
      <c r="C9" s="36">
        <f>IF(OR(147692.11339="",187912.95767=""),"-",187912.95767/147692.11339*100)</f>
        <v>127.23289914187339</v>
      </c>
      <c r="D9" s="36">
        <f>IF(147692.11339="","-",147692.11339/1216006.77752*100)</f>
        <v>12.145665313742125</v>
      </c>
      <c r="E9" s="36">
        <f>IF(187912.95767="","-",187912.95767/1392193.04092*100)</f>
        <v>13.49762225113709</v>
      </c>
      <c r="F9" s="25">
        <f>IF(OR(1305605.99556="",165647.72216="",147692.11339=""),"-",(147692.11339-165647.72216)/1305605.99556*100)</f>
        <v>-1.3752700915178073</v>
      </c>
      <c r="G9" s="25">
        <f>IF(OR(1216006.77752="",187912.95767="",147692.11339=""),"-",(187912.95767-147692.11339)/1216006.77752*100)</f>
        <v>3.3076167850008935</v>
      </c>
    </row>
    <row r="10" spans="1:7" s="13" customFormat="1" ht="15">
      <c r="A10" s="68" t="s">
        <v>7</v>
      </c>
      <c r="B10" s="36">
        <f>IF(111028.28542="","-",111028.28542)</f>
        <v>111028.28542</v>
      </c>
      <c r="C10" s="36">
        <f>IF(OR(96287.49868="",111028.28542=""),"-",111028.28542/96287.49868*100)</f>
        <v>115.3091387169473</v>
      </c>
      <c r="D10" s="36">
        <f>IF(96287.49868="","-",96287.49868/1216006.77752*100)</f>
        <v>7.918335691876218</v>
      </c>
      <c r="E10" s="36">
        <f>IF(111028.28542="","-",111028.28542/1392193.04092*100)</f>
        <v>7.975063957124036</v>
      </c>
      <c r="F10" s="25">
        <f>IF(OR(1305605.99556="",107750.22318="",96287.49868=""),"-",(96287.49868-107750.22318)/1305605.99556*100)</f>
        <v>-0.8779619991775092</v>
      </c>
      <c r="G10" s="25">
        <f>IF(OR(1216006.77752="",111028.28542="",96287.49868=""),"-",(111028.28542-96287.49868)/1216006.77752*100)</f>
        <v>1.2122289951428786</v>
      </c>
    </row>
    <row r="11" spans="1:7" s="13" customFormat="1" ht="15">
      <c r="A11" s="68" t="s">
        <v>6</v>
      </c>
      <c r="B11" s="36">
        <f>IF(92539.48915="","-",92539.48915)</f>
        <v>92539.48915</v>
      </c>
      <c r="C11" s="36">
        <f>IF(OR(81266.8389="",92539.48915=""),"-",92539.48915/81266.8389*100)</f>
        <v>113.87115630752065</v>
      </c>
      <c r="D11" s="36">
        <f>IF(81266.8389="","-",81266.8389/1216006.77752*100)</f>
        <v>6.683090950014329</v>
      </c>
      <c r="E11" s="36">
        <f>IF(92539.48915="","-",92539.48915/1392193.04092*100)</f>
        <v>6.647030004463125</v>
      </c>
      <c r="F11" s="25">
        <f>IF(OR(1305605.99556="",81710.44392="",81266.8389=""),"-",(81266.8389-81710.44392)/1305605.99556*100)</f>
        <v>-0.0339769441553255</v>
      </c>
      <c r="G11" s="25">
        <f>IF(OR(1216006.77752="",92539.48915="",81266.8389=""),"-",(92539.48915-81266.8389)/1216006.77752*100)</f>
        <v>0.9270219918502541</v>
      </c>
    </row>
    <row r="12" spans="1:7" s="13" customFormat="1" ht="15">
      <c r="A12" s="68" t="s">
        <v>8</v>
      </c>
      <c r="B12" s="36">
        <f>IF(42275.64972="","-",42275.64972)</f>
        <v>42275.64972</v>
      </c>
      <c r="C12" s="36">
        <f>IF(OR(35012.06554="",42275.64972=""),"-",42275.64972/35012.06554*100)</f>
        <v>120.74594591313563</v>
      </c>
      <c r="D12" s="36">
        <f>IF(35012.06554="","-",35012.06554/1216006.77752*100)</f>
        <v>2.879265657663997</v>
      </c>
      <c r="E12" s="36">
        <f>IF(42275.64972="","-",42275.64972/1392193.04092*100)</f>
        <v>3.036622686467609</v>
      </c>
      <c r="F12" s="25">
        <f>IF(OR(1305605.99556="",33029.53341="",35012.06554=""),"-",(35012.06554-33029.53341)/1305605.99556*100)</f>
        <v>0.15184765823242563</v>
      </c>
      <c r="G12" s="25">
        <f>IF(OR(1216006.77752="",42275.64972="",35012.06554=""),"-",(42275.64972-35012.06554)/1216006.77752*100)</f>
        <v>0.5973308960344617</v>
      </c>
    </row>
    <row r="13" spans="1:7" s="13" customFormat="1" ht="15">
      <c r="A13" s="68" t="s">
        <v>204</v>
      </c>
      <c r="B13" s="36">
        <f>IF(42264.63913="","-",42264.63913)</f>
        <v>42264.63913</v>
      </c>
      <c r="C13" s="36">
        <f>IF(OR(37624.18285="",42264.63913=""),"-",42264.63913/37624.18285*100)</f>
        <v>112.33370648473766</v>
      </c>
      <c r="D13" s="36">
        <f>IF(37624.18285="","-",37624.18285/1216006.77752*100)</f>
        <v>3.09407673917189</v>
      </c>
      <c r="E13" s="36">
        <f>IF(42264.63913="","-",42264.63913/1392193.04092*100)</f>
        <v>3.0358318054851323</v>
      </c>
      <c r="F13" s="25">
        <f>IF(OR(1305605.99556="",32221.14543="",37624.18285=""),"-",(37624.18285-32221.14543)/1305605.99556*100)</f>
        <v>0.4138336863015499</v>
      </c>
      <c r="G13" s="25">
        <f>IF(OR(1216006.77752="",42264.63913="",37624.18285=""),"-",(42264.63913-37624.18285)/1216006.77752*100)</f>
        <v>0.38161434342200307</v>
      </c>
    </row>
    <row r="14" spans="1:7" s="13" customFormat="1" ht="15">
      <c r="A14" s="68" t="s">
        <v>127</v>
      </c>
      <c r="B14" s="36">
        <f>IF(29765.5813="","-",29765.5813)</f>
        <v>29765.5813</v>
      </c>
      <c r="C14" s="36">
        <f>IF(OR(23704.5761="",29765.5813=""),"-",29765.5813/23704.5761*100)</f>
        <v>125.56892464320424</v>
      </c>
      <c r="D14" s="36">
        <f>IF(23704.5761="","-",23704.5761/1216006.77752*100)</f>
        <v>1.9493786168153264</v>
      </c>
      <c r="E14" s="36">
        <f>IF(29765.5813="","-",29765.5813/1392193.04092*100)</f>
        <v>2.1380354896997673</v>
      </c>
      <c r="F14" s="25">
        <f>IF(OR(1305605.99556="",22731.6509="",23704.5761=""),"-",(23704.5761-22731.6509)/1305605.99556*100)</f>
        <v>0.07451905117689744</v>
      </c>
      <c r="G14" s="25">
        <f>IF(OR(1216006.77752="",29765.5813="",23704.5761=""),"-",(29765.5813-23704.5761)/1216006.77752*100)</f>
        <v>0.498435149544248</v>
      </c>
    </row>
    <row r="15" spans="1:7" s="13" customFormat="1" ht="15">
      <c r="A15" s="68" t="s">
        <v>11</v>
      </c>
      <c r="B15" s="36">
        <f>IF(21468.54102="","-",21468.54102)</f>
        <v>21468.54102</v>
      </c>
      <c r="C15" s="36">
        <f>IF(OR(24455.53459="",21468.54102=""),"-",21468.54102/24455.53459*100)</f>
        <v>87.78602218239222</v>
      </c>
      <c r="D15" s="36">
        <f>IF(24455.53459="","-",24455.53459/1216006.77752*100)</f>
        <v>2.011134727380068</v>
      </c>
      <c r="E15" s="36">
        <f>IF(21468.54102="","-",21468.54102/1392193.04092*100)</f>
        <v>1.5420663937389738</v>
      </c>
      <c r="F15" s="25">
        <f>IF(OR(1305605.99556="",28494.18061="",24455.53459=""),"-",(24455.53459-28494.18061)/1305605.99556*100)</f>
        <v>-0.3093311484271904</v>
      </c>
      <c r="G15" s="25">
        <f>IF(OR(1216006.77752="",21468.54102="",24455.53459=""),"-",(21468.54102-24455.53459)/1216006.77752*100)</f>
        <v>-0.24563954948440825</v>
      </c>
    </row>
    <row r="16" spans="1:7" s="13" customFormat="1" ht="15">
      <c r="A16" s="68" t="s">
        <v>125</v>
      </c>
      <c r="B16" s="36">
        <f>IF(19255.68088="","-",19255.68088)</f>
        <v>19255.68088</v>
      </c>
      <c r="C16" s="36">
        <f>IF(OR(17190.76742="",19255.68088=""),"-",19255.68088/17190.76742*100)</f>
        <v>112.01175846051903</v>
      </c>
      <c r="D16" s="36">
        <f>IF(17190.76742="","-",17190.76742/1216006.77752*100)</f>
        <v>1.4137065465259926</v>
      </c>
      <c r="E16" s="36">
        <f>IF(19255.68088="","-",19255.68088/1392193.04092*100)</f>
        <v>1.3831185987882333</v>
      </c>
      <c r="F16" s="25">
        <f>IF(OR(1305605.99556="",13877.90549="",17190.76742=""),"-",(17190.76742-13877.90549)/1305605.99556*100)</f>
        <v>0.25374132328329646</v>
      </c>
      <c r="G16" s="25">
        <f>IF(OR(1216006.77752="",19255.68088="",17190.76742=""),"-",(19255.68088-17190.76742)/1216006.77752*100)</f>
        <v>0.16981101570924736</v>
      </c>
    </row>
    <row r="17" spans="1:7" s="13" customFormat="1" ht="15">
      <c r="A17" s="68" t="s">
        <v>10</v>
      </c>
      <c r="B17" s="36">
        <f>IF(18902.35735="","-",18902.35735)</f>
        <v>18902.35735</v>
      </c>
      <c r="C17" s="36">
        <f>IF(OR(16668.67856="",18902.35735=""),"-",18902.35735/16668.67856*100)</f>
        <v>113.40045512282046</v>
      </c>
      <c r="D17" s="36">
        <f>IF(16668.67856="","-",16668.67856/1216006.77752*100)</f>
        <v>1.3707718466828895</v>
      </c>
      <c r="E17" s="36">
        <f>IF(18902.35735="","-",18902.35735/1392193.04092*100)</f>
        <v>1.3577396808066784</v>
      </c>
      <c r="F17" s="25">
        <f>IF(OR(1305605.99556="",13819.16665="",16668.67856=""),"-",(16668.67856-13819.16665)/1305605.99556*100)</f>
        <v>0.21825205457775107</v>
      </c>
      <c r="G17" s="25">
        <f>IF(OR(1216006.77752="",18902.35735="",16668.67856=""),"-",(18902.35735-16668.67856)/1216006.77752*100)</f>
        <v>0.18368966615099808</v>
      </c>
    </row>
    <row r="18" spans="1:7" s="13" customFormat="1" ht="26.25">
      <c r="A18" s="68" t="s">
        <v>214</v>
      </c>
      <c r="B18" s="36">
        <f>IF(18779.80131="","-",18779.80131)</f>
        <v>18779.80131</v>
      </c>
      <c r="C18" s="36">
        <f>IF(OR(20256.10692="",18779.80131=""),"-",18779.80131/20256.10692*100)</f>
        <v>92.71179987432649</v>
      </c>
      <c r="D18" s="36">
        <f>IF(20256.10692="","-",20256.10692/1216006.77752*100)</f>
        <v>1.6657889819752125</v>
      </c>
      <c r="E18" s="36">
        <f>IF(18779.80131="","-",18779.80131/1392193.04092*100)</f>
        <v>1.3489365883907725</v>
      </c>
      <c r="F18" s="25">
        <f>IF(OR(1305605.99556="",17798.88163="",20256.10692=""),"-",(20256.10692-17798.88163)/1305605.99556*100)</f>
        <v>0.18820572962718715</v>
      </c>
      <c r="G18" s="25">
        <f>IF(OR(1216006.77752="",18779.80131="",20256.10692=""),"-",(18779.80131-20256.10692)/1216006.77752*100)</f>
        <v>-0.12140603467777286</v>
      </c>
    </row>
    <row r="19" spans="1:7" s="13" customFormat="1" ht="15">
      <c r="A19" s="68" t="s">
        <v>9</v>
      </c>
      <c r="B19" s="36">
        <f>IF(18315.41616="","-",18315.41616)</f>
        <v>18315.41616</v>
      </c>
      <c r="C19" s="36">
        <f>IF(OR(17342.4899="",18315.41616=""),"-",18315.41616/17342.4899*100)</f>
        <v>105.6100725190562</v>
      </c>
      <c r="D19" s="36">
        <f>IF(17342.4899="","-",17342.4899/1216006.77752*100)</f>
        <v>1.4261836546149318</v>
      </c>
      <c r="E19" s="36">
        <f>IF(18315.41616="","-",18315.41616/1392193.04092*100)</f>
        <v>1.3155802120585707</v>
      </c>
      <c r="F19" s="25">
        <f>IF(OR(1305605.99556="",21896.61182="",17342.4899=""),"-",(17342.4899-21896.61182)/1305605.99556*100)</f>
        <v>-0.3488128834799541</v>
      </c>
      <c r="G19" s="25">
        <f>IF(OR(1216006.77752="",18315.41616="",17342.4899=""),"-",(18315.41616-17342.4899)/1216006.77752*100)</f>
        <v>0.08000993727882394</v>
      </c>
    </row>
    <row r="20" spans="1:7" s="13" customFormat="1" ht="15">
      <c r="A20" s="68" t="s">
        <v>13</v>
      </c>
      <c r="B20" s="36">
        <f>IF(13860.32465="","-",13860.32465)</f>
        <v>13860.32465</v>
      </c>
      <c r="C20" s="36">
        <f>IF(OR(12532.8367="",13860.32465=""),"-",13860.32465/12532.8367*100)</f>
        <v>110.5920788866578</v>
      </c>
      <c r="D20" s="36">
        <f>IF(12532.8367="","-",12532.8367/1216006.77752*100)</f>
        <v>1.0306551683503151</v>
      </c>
      <c r="E20" s="36">
        <f>IF(13860.32465="","-",13860.32465/1392193.04092*100)</f>
        <v>0.9955749125739568</v>
      </c>
      <c r="F20" s="25">
        <f>IF(OR(1305605.99556="",14899.94058="",12532.8367=""),"-",(12532.8367-14899.94058)/1305605.99556*100)</f>
        <v>-0.18130307979971427</v>
      </c>
      <c r="G20" s="25">
        <f>IF(OR(1216006.77752="",13860.32465="",12532.8367=""),"-",(13860.32465-12532.8367)/1216006.77752*100)</f>
        <v>0.10916780848108118</v>
      </c>
    </row>
    <row r="21" spans="1:7" s="13" customFormat="1" ht="15">
      <c r="A21" s="68" t="s">
        <v>126</v>
      </c>
      <c r="B21" s="36">
        <f>IF(11085.96244="","-",11085.96244)</f>
        <v>11085.96244</v>
      </c>
      <c r="C21" s="36">
        <f>IF(OR(9473.89141999999="",11085.96244=""),"-",11085.96244/9473.89141999999*100)</f>
        <v>117.01593303673319</v>
      </c>
      <c r="D21" s="36">
        <f>IF(9473.89141999999="","-",9473.89141999999/1216006.77752*100)</f>
        <v>0.7790985704308027</v>
      </c>
      <c r="E21" s="36">
        <f>IF(11085.96244="","-",11085.96244/1392193.04092*100)</f>
        <v>0.7962949184600209</v>
      </c>
      <c r="F21" s="25">
        <f>IF(OR(1305605.99556="",10880.81434="",9473.89141999999=""),"-",(9473.89141999999-10880.81434)/1305605.99556*100)</f>
        <v>-0.10776014546383522</v>
      </c>
      <c r="G21" s="25">
        <f>IF(OR(1216006.77752="",11085.96244="",9473.89141999999=""),"-",(11085.96244-9473.89141999999)/1216006.77752*100)</f>
        <v>0.13257089103465086</v>
      </c>
    </row>
    <row r="22" spans="1:7" s="13" customFormat="1" ht="15">
      <c r="A22" s="68" t="s">
        <v>129</v>
      </c>
      <c r="B22" s="36">
        <f>IF(6516.56869="","-",6516.56869)</f>
        <v>6516.56869</v>
      </c>
      <c r="C22" s="36">
        <f>IF(OR(4749.08268="",6516.56869=""),"-",6516.56869/4749.08268*100)</f>
        <v>137.21741921747295</v>
      </c>
      <c r="D22" s="36">
        <f>IF(4749.08268="","-",4749.08268/1216006.77752*100)</f>
        <v>0.3905473857378966</v>
      </c>
      <c r="E22" s="36">
        <f>IF(6516.56869="","-",6516.56869/1392193.04092*100)</f>
        <v>0.46807938974423186</v>
      </c>
      <c r="F22" s="25">
        <f>IF(OR(1305605.99556="",4675.04625="",4749.08268=""),"-",(4749.08268-4675.04625)/1305605.99556*100)</f>
        <v>0.005670656404135494</v>
      </c>
      <c r="G22" s="25">
        <f>IF(OR(1216006.77752="",6516.56869="",4749.08268=""),"-",(6516.56869-4749.08268)/1216006.77752*100)</f>
        <v>0.14535165779295414</v>
      </c>
    </row>
    <row r="23" spans="1:7" s="13" customFormat="1" ht="15">
      <c r="A23" s="68" t="s">
        <v>12</v>
      </c>
      <c r="B23" s="36">
        <f>IF(6472.07507="","-",6472.07507)</f>
        <v>6472.07507</v>
      </c>
      <c r="C23" s="36">
        <f>IF(OR(6226.32847="",6472.07507=""),"-",6472.07507/6226.32847*100)</f>
        <v>103.94689424408088</v>
      </c>
      <c r="D23" s="36">
        <f>IF(6226.32847="","-",6226.32847/1216006.77752*100)</f>
        <v>0.5120307374189446</v>
      </c>
      <c r="E23" s="36">
        <f>IF(6472.07507="","-",6472.07507/1392193.04092*100)</f>
        <v>0.4648834522059579</v>
      </c>
      <c r="F23" s="25">
        <f>IF(OR(1305605.99556="",7318.81515="",6226.32847=""),"-",(6226.32847-7318.81515)/1305605.99556*100)</f>
        <v>-0.08367659797176491</v>
      </c>
      <c r="G23" s="25">
        <f>IF(OR(1216006.77752="",6472.07507="",6226.32847=""),"-",(6472.07507-6226.32847)/1216006.77752*100)</f>
        <v>0.020209311703113235</v>
      </c>
    </row>
    <row r="24" spans="1:7" s="13" customFormat="1" ht="15">
      <c r="A24" s="68" t="s">
        <v>135</v>
      </c>
      <c r="B24" s="36">
        <f>IF(5857.43105="","-",5857.43105)</f>
        <v>5857.43105</v>
      </c>
      <c r="C24" s="36">
        <f>IF(OR(5679.69672="",5857.43105=""),"-",5857.43105/5679.69672*100)</f>
        <v>103.12929261476482</v>
      </c>
      <c r="D24" s="36">
        <f>IF(5679.69672="","-",5679.69672/1216006.77752*100)</f>
        <v>0.46707771905544204</v>
      </c>
      <c r="E24" s="36">
        <f>IF(5857.43105="","-",5857.43105/1392193.04092*100)</f>
        <v>0.4207341135773274</v>
      </c>
      <c r="F24" s="25">
        <f>IF(OR(1305605.99556="",5161.89378="",5679.69672=""),"-",(5679.69672-5161.89378)/1305605.99556*100)</f>
        <v>0.039659969528395414</v>
      </c>
      <c r="G24" s="25">
        <f>IF(OR(1216006.77752="",5857.43105="",5679.69672=""),"-",(5857.43105-5679.69672)/1216006.77752*100)</f>
        <v>0.014616228567613965</v>
      </c>
    </row>
    <row r="25" spans="1:7" s="13" customFormat="1" ht="15">
      <c r="A25" s="68" t="s">
        <v>137</v>
      </c>
      <c r="B25" s="36">
        <f>IF(4938.32146="","-",4938.32146)</f>
        <v>4938.32146</v>
      </c>
      <c r="C25" s="36">
        <f>IF(OR(3799.39052="",4938.32146=""),"-",4938.32146/3799.39052*100)</f>
        <v>129.97667478519688</v>
      </c>
      <c r="D25" s="36">
        <f>IF(3799.39052="","-",3799.39052/1216006.77752*100)</f>
        <v>0.31244813682278266</v>
      </c>
      <c r="E25" s="36">
        <f>IF(4938.32146="","-",4938.32146/1392193.04092*100)</f>
        <v>0.35471528120386375</v>
      </c>
      <c r="F25" s="25">
        <f>IF(OR(1305605.99556="",5600.4265="",3799.39052=""),"-",(3799.39052-5600.4265)/1305605.99556*100)</f>
        <v>-0.13794636254159512</v>
      </c>
      <c r="G25" s="25">
        <f>IF(OR(1216006.77752="",4938.32146="",3799.39052=""),"-",(4938.32146-3799.39052)/1216006.77752*100)</f>
        <v>0.0936615618477725</v>
      </c>
    </row>
    <row r="26" spans="1:7" s="13" customFormat="1" ht="15">
      <c r="A26" s="68" t="s">
        <v>133</v>
      </c>
      <c r="B26" s="36">
        <f>IF(4525.68027="","-",4525.68027)</f>
        <v>4525.68027</v>
      </c>
      <c r="C26" s="36">
        <f>IF(OR(3611.24422="",4525.68027=""),"-",4525.68027/3611.24422*100)</f>
        <v>125.32191107252224</v>
      </c>
      <c r="D26" s="36">
        <f>IF(3611.24422="","-",3611.24422/1216006.77752*100)</f>
        <v>0.2969756654946444</v>
      </c>
      <c r="E26" s="36">
        <f>IF(4525.68027="","-",4525.68027/1392193.04092*100)</f>
        <v>0.32507562794663186</v>
      </c>
      <c r="F26" s="25">
        <f>IF(OR(1305605.99556="",4937.30218="",3611.24422=""),"-",(3611.24422-4937.30218)/1305605.99556*100)</f>
        <v>-0.10156647292594789</v>
      </c>
      <c r="G26" s="25">
        <f>IF(OR(1216006.77752="",4525.68027="",3611.24422=""),"-",(4525.68027-3611.24422)/1216006.77752*100)</f>
        <v>0.075199913923585</v>
      </c>
    </row>
    <row r="27" spans="1:7" s="13" customFormat="1" ht="15">
      <c r="A27" s="68" t="s">
        <v>128</v>
      </c>
      <c r="B27" s="36">
        <f>IF(3840.45316="","-",3840.45316)</f>
        <v>3840.45316</v>
      </c>
      <c r="C27" s="36">
        <f>IF(OR(5184.30652="",3840.45316=""),"-",3840.45316/5184.30652*100)</f>
        <v>74.07843547028541</v>
      </c>
      <c r="D27" s="36">
        <f>IF(5184.30652="","-",5184.30652/1216006.77752*100)</f>
        <v>0.4263386204617377</v>
      </c>
      <c r="E27" s="36">
        <f>IF(3840.45316="","-",3840.45316/1392193.04092*100)</f>
        <v>0.27585636812708975</v>
      </c>
      <c r="F27" s="25">
        <f>IF(OR(1305605.99556="",2264.79311="",5184.30652=""),"-",(5184.30652-2264.79311)/1305605.99556*100)</f>
        <v>0.2236136644537821</v>
      </c>
      <c r="G27" s="25">
        <f>IF(OR(1216006.77752="",3840.45316="",5184.30652=""),"-",(3840.45316-5184.30652)/1216006.77752*100)</f>
        <v>-0.11051364061808425</v>
      </c>
    </row>
    <row r="28" spans="1:7" s="13" customFormat="1" ht="15">
      <c r="A28" s="68" t="s">
        <v>136</v>
      </c>
      <c r="B28" s="36">
        <f>IF(3634.74751="","-",3634.74751)</f>
        <v>3634.74751</v>
      </c>
      <c r="C28" s="36">
        <f>IF(OR(4030.01567="",3634.74751=""),"-",3634.74751/4030.01567*100)</f>
        <v>90.19189520918167</v>
      </c>
      <c r="D28" s="36">
        <f>IF(4030.01567="","-",4030.01567/1216006.77752*100)</f>
        <v>0.33141391516082375</v>
      </c>
      <c r="E28" s="36">
        <f>IF(3634.74751="","-",3634.74751/1392193.04092*100)</f>
        <v>0.2610807124562307</v>
      </c>
      <c r="F28" s="25">
        <f>IF(OR(1305605.99556="",1528.20073="",4030.01567=""),"-",(4030.01567-1528.20073)/1305605.99556*100)</f>
        <v>0.19162097512633758</v>
      </c>
      <c r="G28" s="25">
        <f>IF(OR(1216006.77752="",3634.74751="",4030.01567=""),"-",(3634.74751-4030.01567)/1216006.77752*100)</f>
        <v>-0.03250542409032737</v>
      </c>
    </row>
    <row r="29" spans="1:7" s="13" customFormat="1" ht="15">
      <c r="A29" s="68" t="s">
        <v>134</v>
      </c>
      <c r="B29" s="36">
        <f>IF(2304.82916="","-",2304.82916)</f>
        <v>2304.82916</v>
      </c>
      <c r="C29" s="36">
        <f>IF(OR(2096.43393="",2304.82916=""),"-",2304.82916/2096.43393*100)</f>
        <v>109.94046256444628</v>
      </c>
      <c r="D29" s="36">
        <f>IF(2096.43393="","-",2096.43393/1216006.77752*100)</f>
        <v>0.17240314517618052</v>
      </c>
      <c r="E29" s="36">
        <f>IF(2304.82916="","-",2304.82916/1392193.04092*100)</f>
        <v>0.16555384865858144</v>
      </c>
      <c r="F29" s="25">
        <f>IF(OR(1305605.99556="",2962.51032="",2096.43393=""),"-",(2096.43393-2962.51032)/1305605.99556*100)</f>
        <v>-0.06633520318880909</v>
      </c>
      <c r="G29" s="25">
        <f>IF(OR(1216006.77752="",2304.82916="",2096.43393=""),"-",(2304.82916-2096.43393)/1216006.77752*100)</f>
        <v>0.01713767010616617</v>
      </c>
    </row>
    <row r="30" spans="1:7" s="13" customFormat="1" ht="15">
      <c r="A30" s="68" t="s">
        <v>130</v>
      </c>
      <c r="B30" s="36">
        <f>IF(2200.09581="","-",2200.09581)</f>
        <v>2200.09581</v>
      </c>
      <c r="C30" s="36">
        <f>IF(OR(2747.21848="",2200.09581=""),"-",2200.09581/2747.21848*100)</f>
        <v>80.08448640022252</v>
      </c>
      <c r="D30" s="36">
        <f>IF(2747.21848="","-",2747.21848/1216006.77752*100)</f>
        <v>0.22592131316922826</v>
      </c>
      <c r="E30" s="36">
        <f>IF(2200.09581="","-",2200.09581/1392193.04092*100)</f>
        <v>0.15803094436861392</v>
      </c>
      <c r="F30" s="25">
        <f>IF(OR(1305605.99556="",2211.07161="",2747.21848=""),"-",(2747.21848-2211.07161)/1305605.99556*100)</f>
        <v>0.04106498222459803</v>
      </c>
      <c r="G30" s="25">
        <f>IF(OR(1216006.77752="",2200.09581="",2747.21848=""),"-",(2200.09581-2747.21848)/1216006.77752*100)</f>
        <v>-0.04499338984901353</v>
      </c>
    </row>
    <row r="31" spans="1:7" s="13" customFormat="1" ht="15">
      <c r="A31" s="68" t="s">
        <v>131</v>
      </c>
      <c r="B31" s="36">
        <f>IF(1786.79404="","-",1786.79404)</f>
        <v>1786.79404</v>
      </c>
      <c r="C31" s="36">
        <f>IF(OR(1408.49946="",1786.79404=""),"-",1786.79404/1408.49946*100)</f>
        <v>126.85798544786095</v>
      </c>
      <c r="D31" s="36">
        <f>IF(1408.49946="","-",1408.49946/1216006.77752*100)</f>
        <v>0.11582990210569233</v>
      </c>
      <c r="E31" s="36">
        <f>IF(1786.79404="","-",1786.79404/1392193.04092*100)</f>
        <v>0.1283438422317667</v>
      </c>
      <c r="F31" s="25">
        <f>IF(OR(1305605.99556="",2977.24974="",1408.49946=""),"-",(1408.49946-2977.24974)/1305605.99556*100)</f>
        <v>-0.12015495374062928</v>
      </c>
      <c r="G31" s="25">
        <f>IF(OR(1216006.77752="",1786.79404="",1408.49946=""),"-",(1786.79404-1408.49946)/1216006.77752*100)</f>
        <v>0.031109578251818426</v>
      </c>
    </row>
    <row r="32" spans="1:7" s="13" customFormat="1" ht="15">
      <c r="A32" s="68" t="s">
        <v>138</v>
      </c>
      <c r="B32" s="36">
        <f>IF(1781.49959="","-",1781.49959)</f>
        <v>1781.49959</v>
      </c>
      <c r="C32" s="36">
        <f>IF(OR(1482.17968="",1781.49959=""),"-",1781.49959/1482.17968*100)</f>
        <v>120.19457654418795</v>
      </c>
      <c r="D32" s="36">
        <f>IF(1482.17968="","-",1482.17968/1216006.77752*100)</f>
        <v>0.12188909695247338</v>
      </c>
      <c r="E32" s="36">
        <f>IF(1781.49959="","-",1781.49959/1392193.04092*100)</f>
        <v>0.1279635465511834</v>
      </c>
      <c r="F32" s="25">
        <f>IF(OR(1305605.99556="",1600.37775="",1482.17968=""),"-",(1482.17968-1600.37775)/1305605.99556*100)</f>
        <v>-0.009053119425152661</v>
      </c>
      <c r="G32" s="25">
        <f>IF(OR(1216006.77752="",1781.49959="",1482.17968=""),"-",(1781.49959-1482.17968)/1216006.77752*100)</f>
        <v>0.024614986983086694</v>
      </c>
    </row>
    <row r="33" spans="1:7" s="13" customFormat="1" ht="15">
      <c r="A33" s="68" t="s">
        <v>139</v>
      </c>
      <c r="B33" s="36">
        <f>IF(660.77453="","-",660.77453)</f>
        <v>660.77453</v>
      </c>
      <c r="C33" s="36" t="s">
        <v>220</v>
      </c>
      <c r="D33" s="36">
        <f>IF(400.94433="","-",400.94433/1216006.77752*100)</f>
        <v>0.03297221178468354</v>
      </c>
      <c r="E33" s="36">
        <f>IF(660.77453="","-",660.77453/1392193.04092*100)</f>
        <v>0.04746285253396625</v>
      </c>
      <c r="F33" s="25">
        <f>IF(OR(1305605.99556="",503.23052="",400.94433=""),"-",(400.94433-503.23052)/1305605.99556*100)</f>
        <v>-0.00783438421298973</v>
      </c>
      <c r="G33" s="25">
        <f>IF(OR(1216006.77752="",660.77453="",400.94433=""),"-",(660.77453-400.94433)/1216006.77752*100)</f>
        <v>0.021367496037309426</v>
      </c>
    </row>
    <row r="34" spans="1:7" s="13" customFormat="1" ht="15">
      <c r="A34" s="68" t="s">
        <v>205</v>
      </c>
      <c r="B34" s="36">
        <f>IF(390.92988="","-",390.92988)</f>
        <v>390.92988</v>
      </c>
      <c r="C34" s="36">
        <f>IF(OR(429.47422="",390.92988=""),"-",390.92988/429.47422*100)</f>
        <v>91.02522614745072</v>
      </c>
      <c r="D34" s="36">
        <f>IF(429.47422="","-",429.47422/1216006.77752*100)</f>
        <v>0.03531840676709849</v>
      </c>
      <c r="E34" s="36">
        <f>IF(390.92988="","-",390.92988/1392193.04092*100)</f>
        <v>0.02808014898147046</v>
      </c>
      <c r="F34" s="25">
        <f>IF(OR(1305605.99556="",407.74346="",429.47422=""),"-",(429.47422-407.74346)/1305605.99556*100)</f>
        <v>0.0016644194400071844</v>
      </c>
      <c r="G34" s="25">
        <f>IF(OR(1216006.77752="",390.92988="",429.47422=""),"-",(390.92988-429.47422)/1216006.77752*100)</f>
        <v>-0.0031697471356705517</v>
      </c>
    </row>
    <row r="35" spans="1:7" s="13" customFormat="1" ht="15">
      <c r="A35" s="68" t="s">
        <v>132</v>
      </c>
      <c r="B35" s="36">
        <f>IF(304.1262="","-",304.1262)</f>
        <v>304.1262</v>
      </c>
      <c r="C35" s="36">
        <f>IF(OR(271.65956="",304.1262=""),"-",304.1262/271.65956*100)</f>
        <v>111.95122306757766</v>
      </c>
      <c r="D35" s="36">
        <f>IF(271.65956="","-",271.65956/1216006.77752*100)</f>
        <v>0.02234029982579862</v>
      </c>
      <c r="E35" s="36">
        <f>IF(304.1262="","-",304.1262/1392193.04092*100)</f>
        <v>0.02184511709662224</v>
      </c>
      <c r="F35" s="25">
        <f>IF(OR(1305605.99556="",216.9725="",271.65956=""),"-",(271.65956-216.9725)/1305605.99556*100)</f>
        <v>0.004188634257653179</v>
      </c>
      <c r="G35" s="25">
        <f>IF(OR(1216006.77752="",304.1262="",271.65956=""),"-",(304.1262-271.65956)/1216006.77752*100)</f>
        <v>0.0026699390661468576</v>
      </c>
    </row>
    <row r="36" spans="1:7" s="13" customFormat="1" ht="15">
      <c r="A36" s="68" t="s">
        <v>140</v>
      </c>
      <c r="B36" s="36">
        <f>IF(72.73041="","-",72.73041)</f>
        <v>72.73041</v>
      </c>
      <c r="C36" s="36" t="s">
        <v>219</v>
      </c>
      <c r="D36" s="36">
        <f>IF(43.03931="","-",43.03931/1216006.77752*100)</f>
        <v>0.003539397213539965</v>
      </c>
      <c r="E36" s="36">
        <f>IF(72.73041="","-",72.73041/1392193.04092*100)</f>
        <v>0.005224161295328536</v>
      </c>
      <c r="F36" s="25">
        <f>IF(OR(1305605.99556="",33.01121="",43.03931=""),"-",(43.03931-33.01121)/1305605.99556*100)</f>
        <v>0.0007680801125379907</v>
      </c>
      <c r="G36" s="25">
        <f>IF(OR(1216006.77752="",72.73041="",43.03931=""),"-",(72.73041-43.03931)/1216006.77752*100)</f>
        <v>0.0024416886935904984</v>
      </c>
    </row>
    <row r="37" spans="1:7" s="13" customFormat="1" ht="15">
      <c r="A37" s="69" t="s">
        <v>14</v>
      </c>
      <c r="B37" s="35">
        <f>IF(364651.3558="","-",364651.3558)</f>
        <v>364651.3558</v>
      </c>
      <c r="C37" s="35">
        <f>IF(334853.23633="","-",364651.3558/334853.23633*100)</f>
        <v>108.89885963074097</v>
      </c>
      <c r="D37" s="35">
        <f>IF(334853.23633="","-",334853.23633/1216006.77752*100)</f>
        <v>27.5371192431115</v>
      </c>
      <c r="E37" s="35">
        <f>IF(364651.3558="","-",364651.3558/1392193.04092*100)</f>
        <v>26.19258573215021</v>
      </c>
      <c r="F37" s="24">
        <f>IF(1305605.99556="","-",(334853.23633-368409.40413)/1305605.99556*100)</f>
        <v>-2.570160363395628</v>
      </c>
      <c r="G37" s="24">
        <f>IF(1216006.77752="","-",(364651.3558-334853.23633)/1216006.77752*100)</f>
        <v>2.450489587794254</v>
      </c>
    </row>
    <row r="38" spans="1:7" s="13" customFormat="1" ht="15">
      <c r="A38" s="68" t="s">
        <v>215</v>
      </c>
      <c r="B38" s="36">
        <f>IF(198188.86241="","-",198188.86241)</f>
        <v>198188.86241</v>
      </c>
      <c r="C38" s="36">
        <f>IF(OR(196570.01183="",198188.86241=""),"-",198188.86241/196570.01183*100)</f>
        <v>100.8235491084978</v>
      </c>
      <c r="D38" s="36">
        <f>IF(196570.01183="","-",196570.01183/1216006.77752*100)</f>
        <v>16.165206926798316</v>
      </c>
      <c r="E38" s="36">
        <f>IF(198188.86241="","-",198188.86241/1392193.04092*100)</f>
        <v>14.235731438438398</v>
      </c>
      <c r="F38" s="25">
        <f>IF(OR(1305605.99556="",227660.45216="",196570.01183=""),"-",(196570.01183-227660.45216)/1305605.99556*100)</f>
        <v>-2.3813034281191916</v>
      </c>
      <c r="G38" s="25">
        <f>IF(OR(1216006.77752="",198188.86241="",196570.01183=""),"-",(198188.86241-196570.01183)/1216006.77752*100)</f>
        <v>0.13312841753247323</v>
      </c>
    </row>
    <row r="39" spans="1:7" s="13" customFormat="1" ht="15">
      <c r="A39" s="68" t="s">
        <v>16</v>
      </c>
      <c r="B39" s="36">
        <f>IF(127452.98125="","-",127452.98125)</f>
        <v>127452.98125</v>
      </c>
      <c r="C39" s="36">
        <f>IF(OR(106250.96142="",127452.98125=""),"-",127452.98125/106250.96142*100)</f>
        <v>119.95466163001613</v>
      </c>
      <c r="D39" s="36">
        <f>IF(106250.96142="","-",106250.96142/1216006.77752*100)</f>
        <v>8.737694837252045</v>
      </c>
      <c r="E39" s="36">
        <f>IF(127452.98125="","-",127452.98125/1392193.04092*100)</f>
        <v>9.15483539306988</v>
      </c>
      <c r="F39" s="25">
        <f>IF(OR(1305605.99556="",107984.85139="",106250.96142=""),"-",(106250.96142-107984.85139)/1305605.99556*100)</f>
        <v>-0.13280346259870612</v>
      </c>
      <c r="G39" s="25">
        <f>IF(OR(1216006.77752="",127452.98125="",106250.96142=""),"-",(127452.98125-106250.96142)/1216006.77752*100)</f>
        <v>1.7435774390370349</v>
      </c>
    </row>
    <row r="40" spans="1:7" s="13" customFormat="1" ht="15">
      <c r="A40" s="68" t="s">
        <v>15</v>
      </c>
      <c r="B40" s="36">
        <f>IF(36758.7676="","-",36758.7676)</f>
        <v>36758.7676</v>
      </c>
      <c r="C40" s="36">
        <f>IF(OR(28771.15515="",36758.7676=""),"-",36758.7676/28771.15515*100)</f>
        <v>127.76257125706682</v>
      </c>
      <c r="D40" s="36">
        <f>IF(28771.15515="","-",28771.15515/1216006.77752*100)</f>
        <v>2.366035755876105</v>
      </c>
      <c r="E40" s="36">
        <f>IF(36758.7676="","-",36758.7676/1392193.04092*100)</f>
        <v>2.640349902604654</v>
      </c>
      <c r="F40" s="25">
        <f>IF(OR(1305605.99556="",20200.03412="",28771.15515=""),"-",(28771.15515-20200.03412)/1305605.99556*100)</f>
        <v>0.6564860347722037</v>
      </c>
      <c r="G40" s="25">
        <f>IF(OR(1216006.77752="",36758.7676="",28771.15515=""),"-",(36758.7676-28771.15515)/1216006.77752*100)</f>
        <v>0.6568723626927833</v>
      </c>
    </row>
    <row r="41" spans="1:7" s="13" customFormat="1" ht="15">
      <c r="A41" s="68" t="s">
        <v>19</v>
      </c>
      <c r="B41" s="36">
        <f>IF(1281.28596="","-",1281.28596)</f>
        <v>1281.28596</v>
      </c>
      <c r="C41" s="36">
        <f>IF(OR(1064.56138="",1281.28596=""),"-",1281.28596/1064.56138*100)</f>
        <v>120.35811030454626</v>
      </c>
      <c r="D41" s="36">
        <f>IF(1064.56138="","-",1064.56138/1216006.77752*100)</f>
        <v>0.0875456781722165</v>
      </c>
      <c r="E41" s="36">
        <f>IF(1281.28596="","-",1281.28596/1392193.04092*100)</f>
        <v>0.09203364205536399</v>
      </c>
      <c r="F41" s="25">
        <f>IF(OR(1305605.99556="",7155.57245="",1064.56138=""),"-",(1064.56138-7155.57245)/1305605.99556*100)</f>
        <v>-0.46652750452386255</v>
      </c>
      <c r="G41" s="25">
        <f>IF(OR(1216006.77752="",1281.28596="",1064.56138=""),"-",(1281.28596-1064.56138)/1216006.77752*100)</f>
        <v>0.017822645729162912</v>
      </c>
    </row>
    <row r="42" spans="1:7" s="13" customFormat="1" ht="15">
      <c r="A42" s="68" t="s">
        <v>17</v>
      </c>
      <c r="B42" s="36">
        <f>IF(675.45566="","-",675.45566)</f>
        <v>675.45566</v>
      </c>
      <c r="C42" s="36">
        <f>IF(OR(1611.82032="",675.45566=""),"-",675.45566/1611.82032*100)</f>
        <v>41.90638693523854</v>
      </c>
      <c r="D42" s="36">
        <f>IF(1611.82032="","-",1611.82032/1216006.77752*100)</f>
        <v>0.13255027437324376</v>
      </c>
      <c r="E42" s="36">
        <f>IF(675.45566="","-",675.45566/1392193.04092*100)</f>
        <v>0.04851738517193276</v>
      </c>
      <c r="F42" s="25">
        <f>IF(OR(1305605.99556="",3778.70989="",1611.82032=""),"-",(1611.82032-3778.70989)/1305605.99556*100)</f>
        <v>-0.16596810809455415</v>
      </c>
      <c r="G42" s="25">
        <f>IF(OR(1216006.77752="",675.45566="",1611.82032=""),"-",(675.45566-1611.82032)/1216006.77752*100)</f>
        <v>-0.0770032435106719</v>
      </c>
    </row>
    <row r="43" spans="1:7" s="13" customFormat="1" ht="15">
      <c r="A43" s="68" t="s">
        <v>22</v>
      </c>
      <c r="B43" s="36">
        <f>IF(216.80375="","-",216.80375)</f>
        <v>216.80375</v>
      </c>
      <c r="C43" s="36" t="s">
        <v>243</v>
      </c>
      <c r="D43" s="36">
        <f>IF(25.30773="","-",25.30773/1216006.77752*100)</f>
        <v>0.0020812161961477026</v>
      </c>
      <c r="E43" s="36">
        <f>IF(216.80375="","-",216.80375/1392193.04092*100)</f>
        <v>0.01557282241956403</v>
      </c>
      <c r="F43" s="25">
        <f>IF(OR(1305605.99556="",89.84544="",25.30773=""),"-",(25.30773-89.84544)/1305605.99556*100)</f>
        <v>-0.004943122980399498</v>
      </c>
      <c r="G43" s="25">
        <f>IF(OR(1216006.77752="",216.80375="",25.30773=""),"-",(216.80375-25.30773)/1216006.77752*100)</f>
        <v>0.015747940187516792</v>
      </c>
    </row>
    <row r="44" spans="1:7" s="13" customFormat="1" ht="15">
      <c r="A44" s="68" t="s">
        <v>18</v>
      </c>
      <c r="B44" s="36">
        <f>IF(48.80301="","-",48.80301)</f>
        <v>48.80301</v>
      </c>
      <c r="C44" s="36">
        <f>IF(OR(493.4583="",48.80301=""),"-",48.80301/493.4583*100)</f>
        <v>9.889996783922776</v>
      </c>
      <c r="D44" s="36">
        <f>IF(493.4583="","-",493.4583/1216006.77752*100)</f>
        <v>0.04058022612393573</v>
      </c>
      <c r="E44" s="36">
        <f>IF(48.80301="","-",48.80301/1392193.04092*100)</f>
        <v>0.0035054772266171945</v>
      </c>
      <c r="F44" s="25" t="str">
        <f>IF(OR(1305605.99556="",""="",493.4583=""),"-",(493.4583-"")/1305605.99556*100)</f>
        <v>-</v>
      </c>
      <c r="G44" s="25">
        <f>IF(OR(1216006.77752="",48.80301="",493.4583=""),"-",(48.80301-493.4583)/1216006.77752*100)</f>
        <v>-0.03656684306536989</v>
      </c>
    </row>
    <row r="45" spans="1:7" s="13" customFormat="1" ht="15">
      <c r="A45" s="68" t="s">
        <v>20</v>
      </c>
      <c r="B45" s="36">
        <f>IF(21.36642="","-",21.36642)</f>
        <v>21.36642</v>
      </c>
      <c r="C45" s="36">
        <f>IF(OR(65.23106="",21.36642=""),"-",21.36642/65.23106*100)</f>
        <v>32.7549789931361</v>
      </c>
      <c r="D45" s="36">
        <f>IF(65.23106="","-",65.23106/1216006.77752*100)</f>
        <v>0.005364366482647103</v>
      </c>
      <c r="E45" s="36">
        <f>IF(21.36642="","-",21.36642/1392193.04092*100)</f>
        <v>0.0015347311308121806</v>
      </c>
      <c r="F45" s="25">
        <f>IF(OR(1305605.99556="",96.92801="",65.23106=""),"-",(65.23106-96.92801)/1305605.99556*100)</f>
        <v>-0.002427757693193233</v>
      </c>
      <c r="G45" s="25">
        <f>IF(OR(1216006.77752="",21.36642="",65.23106=""),"-",(21.36642-65.23106)/1216006.77752*100)</f>
        <v>-0.00360726936814121</v>
      </c>
    </row>
    <row r="46" spans="1:7" s="13" customFormat="1" ht="15">
      <c r="A46" s="68" t="s">
        <v>21</v>
      </c>
      <c r="B46" s="36">
        <f>IF(4.47522="","-",4.47522)</f>
        <v>4.47522</v>
      </c>
      <c r="C46" s="36" t="s">
        <v>192</v>
      </c>
      <c r="D46" s="36">
        <f>IF(0.63973="","-",0.63973/1216006.77752*100)</f>
        <v>5.26090817770527E-05</v>
      </c>
      <c r="E46" s="36">
        <f>IF(4.47522="","-",4.47522/1392193.04092*100)</f>
        <v>0.0003214511111937932</v>
      </c>
      <c r="F46" s="25">
        <f>IF(OR(1305605.99556="",1356.28112="",0.63973=""),"-",(0.63973-1356.28112)/1305605.99556*100)</f>
        <v>-0.10383235023507524</v>
      </c>
      <c r="G46" s="25">
        <f>IF(OR(1216006.77752="",4.47522="",0.63973=""),"-",(4.47522-0.63973)/1216006.77752*100)</f>
        <v>0.0003154168275132757</v>
      </c>
    </row>
    <row r="47" spans="1:7" s="13" customFormat="1" ht="15">
      <c r="A47" s="68" t="s">
        <v>23</v>
      </c>
      <c r="B47" s="36">
        <f>IF(2.55452="","-",2.55452)</f>
        <v>2.55452</v>
      </c>
      <c r="C47" s="36" t="s">
        <v>244</v>
      </c>
      <c r="D47" s="36">
        <f>IF(0.08941="","-",0.08941/1216006.77752*100)</f>
        <v>7.352755071180468E-06</v>
      </c>
      <c r="E47" s="36">
        <f>IF(2.55452="","-",2.55452/1392193.04092*100)</f>
        <v>0.0001834889217885978</v>
      </c>
      <c r="F47" s="25">
        <f>IF(OR(1305605.99556="",86.72955="",0.08941=""),"-",(0.08941-86.72955)/1305605.99556*100)</f>
        <v>-0.006636009661003307</v>
      </c>
      <c r="G47" s="25">
        <f>IF(OR(1216006.77752="",2.55452="",0.08941=""),"-",(2.55452-0.08941)/1216006.77752*100)</f>
        <v>0.00020272173194852571</v>
      </c>
    </row>
    <row r="48" spans="1:7" s="13" customFormat="1" ht="15">
      <c r="A48" s="69" t="s">
        <v>24</v>
      </c>
      <c r="B48" s="35">
        <f>IF(354799.94209="","-",354799.94209)</f>
        <v>354799.94209</v>
      </c>
      <c r="C48" s="35">
        <f>IF(299486.44645="","-",354799.94209/299486.44645*100)</f>
        <v>118.4694487165164</v>
      </c>
      <c r="D48" s="35">
        <f>IF(299486.44645="","-",299486.44645/1216006.77752*100)</f>
        <v>24.62868233849743</v>
      </c>
      <c r="E48" s="35">
        <f>IF(354799.94209="","-",354799.94209/1392193.04092*100)</f>
        <v>25.484967361676965</v>
      </c>
      <c r="F48" s="24">
        <f>IF(1305605.99556="","-",(299486.44645-330039.7265)/1305605.99556*100)</f>
        <v>-2.340160825999815</v>
      </c>
      <c r="G48" s="24">
        <f>IF(1216006.77752="","-",(354799.94209-299486.44645)/1216006.77752*100)</f>
        <v>4.54878185406251</v>
      </c>
    </row>
    <row r="49" spans="1:7" s="13" customFormat="1" ht="15">
      <c r="A49" s="68" t="s">
        <v>144</v>
      </c>
      <c r="B49" s="36">
        <f>IF(132595.19271="","-",132595.19271)</f>
        <v>132595.19271</v>
      </c>
      <c r="C49" s="36">
        <f>IF(OR(106595.09461="",132595.19271=""),"-",132595.19271/106595.09461*100)</f>
        <v>124.39145834536447</v>
      </c>
      <c r="D49" s="36">
        <f>IF(106595.09461="","-",106595.09461/1216006.77752*100)</f>
        <v>8.765995106326354</v>
      </c>
      <c r="E49" s="36">
        <f>IF(132595.19271="","-",132595.19271/1392193.04092*100)</f>
        <v>9.524195913404178</v>
      </c>
      <c r="F49" s="25">
        <f>IF(OR(1305605.99556="",119022.2453="",106595.09461=""),"-",(106595.09461-119022.2453)/1305605.99556*100)</f>
        <v>-0.9518300875042893</v>
      </c>
      <c r="G49" s="25">
        <f>IF(OR(1216006.77752="",132595.19271="",106595.09461=""),"-",(132595.19271-106595.09461)/1216006.77752*100)</f>
        <v>2.138154044916281</v>
      </c>
    </row>
    <row r="50" spans="1:7" s="13" customFormat="1" ht="15">
      <c r="A50" s="68" t="s">
        <v>141</v>
      </c>
      <c r="B50" s="36">
        <f>IF(95412.5188="","-",95412.5188)</f>
        <v>95412.5188</v>
      </c>
      <c r="C50" s="36">
        <f>IF(OR(85765.14381="",95412.5188=""),"-",95412.5188/85765.14381*100)</f>
        <v>111.24859652934572</v>
      </c>
      <c r="D50" s="36">
        <f>IF(85765.14381="","-",85765.14381/1216006.77752*100)</f>
        <v>7.053015278822275</v>
      </c>
      <c r="E50" s="36">
        <f>IF(95412.5188="","-",95412.5188/1392193.04092*100)</f>
        <v>6.853397193894084</v>
      </c>
      <c r="F50" s="25">
        <f>IF(OR(1305605.99556="",83514.50893="",85765.14381=""),"-",(85765.14381-83514.50893)/1305605.99556*100)</f>
        <v>0.17238239466223165</v>
      </c>
      <c r="G50" s="25">
        <f>IF(OR(1216006.77752="",95412.5188="",85765.14381=""),"-",(95412.5188-85765.14381)/1216006.77752*100)</f>
        <v>0.7933652318678246</v>
      </c>
    </row>
    <row r="51" spans="1:7" s="13" customFormat="1" ht="15">
      <c r="A51" s="68" t="s">
        <v>25</v>
      </c>
      <c r="B51" s="36">
        <f>IF(28295.39277="","-",28295.39277)</f>
        <v>28295.39277</v>
      </c>
      <c r="C51" s="36" t="s">
        <v>219</v>
      </c>
      <c r="D51" s="36">
        <f>IF(17005.62572="","-",17005.62572/1216006.77752*100)</f>
        <v>1.3984811626364726</v>
      </c>
      <c r="E51" s="36">
        <f>IF(28295.39277="","-",28295.39277/1392193.04092*100)</f>
        <v>2.032433142411171</v>
      </c>
      <c r="F51" s="25">
        <f>IF(OR(1305605.99556="",18208.9564="",17005.62572=""),"-",(17005.62572-18208.9564)/1305605.99556*100)</f>
        <v>-0.09216644869066085</v>
      </c>
      <c r="G51" s="25">
        <f>IF(OR(1216006.77752="",28295.39277="",17005.62572=""),"-",(28295.39277-17005.62572)/1216006.77752*100)</f>
        <v>0.9284296155836443</v>
      </c>
    </row>
    <row r="52" spans="1:7" s="13" customFormat="1" ht="15">
      <c r="A52" s="68" t="s">
        <v>156</v>
      </c>
      <c r="B52" s="36">
        <f>IF(9205.5192="","-",9205.5192)</f>
        <v>9205.5192</v>
      </c>
      <c r="C52" s="36">
        <f>IF(OR(8103.62737="",9205.5192=""),"-",9205.5192/8103.62737*100)</f>
        <v>113.5975135539827</v>
      </c>
      <c r="D52" s="36">
        <f>IF(8103.62737="","-",8103.62737/1216006.77752*100)</f>
        <v>0.6664130101747494</v>
      </c>
      <c r="E52" s="36">
        <f>IF(9205.5192="","-",9205.5192/1392193.04092*100)</f>
        <v>0.6612243366707778</v>
      </c>
      <c r="F52" s="25">
        <f>IF(OR(1305605.99556="",9803.38775="",8103.62737=""),"-",(8103.62737-9803.38775)/1305605.99556*100)</f>
        <v>-0.13018938223173057</v>
      </c>
      <c r="G52" s="25">
        <f>IF(OR(1216006.77752="",9205.5192="",8103.62737=""),"-",(9205.5192-8103.62737)/1216006.77752*100)</f>
        <v>0.09061559938401555</v>
      </c>
    </row>
    <row r="53" spans="1:7" s="13" customFormat="1" ht="15">
      <c r="A53" s="68" t="s">
        <v>163</v>
      </c>
      <c r="B53" s="36">
        <f>IF(8830.14138="","-",8830.14138)</f>
        <v>8830.14138</v>
      </c>
      <c r="C53" s="36">
        <f>IF(OR(9226.87132="",8830.14138=""),"-",8830.14138/9226.87132*100)</f>
        <v>95.70027665672484</v>
      </c>
      <c r="D53" s="36">
        <f>IF(9226.87132="","-",9226.87132/1216006.77752*100)</f>
        <v>0.7587845306929831</v>
      </c>
      <c r="E53" s="36">
        <f>IF(8830.14138="","-",8830.14138/1392193.04092*100)</f>
        <v>0.6342612784621301</v>
      </c>
      <c r="F53" s="25">
        <f>IF(OR(1305605.99556="",24482.53099="",9226.87132=""),"-",(9226.87132-24482.53099)/1305605.99556*100)</f>
        <v>-1.168473469169123</v>
      </c>
      <c r="G53" s="25">
        <f>IF(OR(1216006.77752="",8830.14138="",9226.87132=""),"-",(8830.14138-9226.87132)/1216006.77752*100)</f>
        <v>-0.03262563559136709</v>
      </c>
    </row>
    <row r="54" spans="1:7" s="13" customFormat="1" ht="15">
      <c r="A54" s="68" t="s">
        <v>210</v>
      </c>
      <c r="B54" s="36">
        <f>IF(8517.53869="","-",8517.53869)</f>
        <v>8517.53869</v>
      </c>
      <c r="C54" s="36">
        <f>IF(OR(8253.33425="",8517.53869=""),"-",8517.53869/8253.33425*100)</f>
        <v>103.20118429712208</v>
      </c>
      <c r="D54" s="36">
        <f>IF(8253.33425="","-",8253.33425/1216006.77752*100)</f>
        <v>0.6787243626086003</v>
      </c>
      <c r="E54" s="36">
        <f>IF(8517.53869="","-",8517.53869/1392193.04092*100)</f>
        <v>0.6118073025542041</v>
      </c>
      <c r="F54" s="25">
        <f>IF(OR(1305605.99556="",10026.39523="",8253.33425=""),"-",(8253.33425-10026.39523)/1305605.99556*100)</f>
        <v>-0.13580367936649215</v>
      </c>
      <c r="G54" s="25">
        <f>IF(OR(1216006.77752="",8517.53869="",8253.33425=""),"-",(8517.53869-8253.33425)/1216006.77752*100)</f>
        <v>0.021727217716568534</v>
      </c>
    </row>
    <row r="55" spans="1:7" s="13" customFormat="1" ht="15">
      <c r="A55" s="68" t="s">
        <v>159</v>
      </c>
      <c r="B55" s="36">
        <f>IF(8294.06674="","-",8294.06674)</f>
        <v>8294.06674</v>
      </c>
      <c r="C55" s="36" t="s">
        <v>26</v>
      </c>
      <c r="D55" s="36">
        <f>IF(3570.34952="","-",3570.34952/1216006.77752*100)</f>
        <v>0.2936126332520608</v>
      </c>
      <c r="E55" s="36">
        <f>IF(8294.06674="","-",8294.06674/1392193.04092*100)</f>
        <v>0.5957555092014429</v>
      </c>
      <c r="F55" s="25">
        <f>IF(OR(1305605.99556="",3137.53065="",3570.34952=""),"-",(3570.34952-3137.53065)/1305605.99556*100)</f>
        <v>0.03315080288171897</v>
      </c>
      <c r="G55" s="25">
        <f>IF(OR(1216006.77752="",8294.06674="",3570.34952=""),"-",(8294.06674-3570.34952)/1216006.77752*100)</f>
        <v>0.388461422035315</v>
      </c>
    </row>
    <row r="56" spans="1:7" s="13" customFormat="1" ht="15">
      <c r="A56" s="68" t="s">
        <v>116</v>
      </c>
      <c r="B56" s="36">
        <f>IF(7213.03499="","-",7213.03499)</f>
        <v>7213.03499</v>
      </c>
      <c r="C56" s="36">
        <f>IF(OR(6445.21507="",7213.03499=""),"-",7213.03499/6445.21507*100)</f>
        <v>111.9130224773089</v>
      </c>
      <c r="D56" s="36">
        <f>IF(6445.21507="","-",6445.21507/1216006.77752*100)</f>
        <v>0.5300311798545049</v>
      </c>
      <c r="E56" s="36">
        <f>IF(7213.03499="","-",7213.03499/1392193.04092*100)</f>
        <v>0.5181059506829186</v>
      </c>
      <c r="F56" s="25">
        <f>IF(OR(1305605.99556="",9230.69548="",6445.21507=""),"-",(6445.21507-9230.69548)/1305605.99556*100)</f>
        <v>-0.21334770363131283</v>
      </c>
      <c r="G56" s="25">
        <f>IF(OR(1216006.77752="",7213.03499="",6445.21507=""),"-",(7213.03499-6445.21507)/1216006.77752*100)</f>
        <v>0.06314273359281267</v>
      </c>
    </row>
    <row r="57" spans="1:7" s="13" customFormat="1" ht="15">
      <c r="A57" s="68" t="s">
        <v>157</v>
      </c>
      <c r="B57" s="36">
        <f>IF(4797.32413="","-",4797.32413)</f>
        <v>4797.32413</v>
      </c>
      <c r="C57" s="36">
        <f>IF(OR(3465.93517="",4797.32413=""),"-",4797.32413/3465.93517*100)</f>
        <v>138.41355636204815</v>
      </c>
      <c r="D57" s="36">
        <f>IF(3465.93517="","-",3465.93517/1216006.77752*100)</f>
        <v>0.2850259746963454</v>
      </c>
      <c r="E57" s="36">
        <f>IF(4797.32413="","-",4797.32413/1392193.04092*100)</f>
        <v>0.34458756716883127</v>
      </c>
      <c r="F57" s="25">
        <f>IF(OR(1305605.99556="",3698.59046="",3465.93517=""),"-",(3465.93517-3698.59046)/1305605.99556*100)</f>
        <v>-0.017819716728568583</v>
      </c>
      <c r="G57" s="25">
        <f>IF(OR(1216006.77752="",4797.32413="",3465.93517=""),"-",(4797.32413-3465.93517)/1216006.77752*100)</f>
        <v>0.10948861343645776</v>
      </c>
    </row>
    <row r="58" spans="1:7" s="13" customFormat="1" ht="15">
      <c r="A58" s="68" t="s">
        <v>168</v>
      </c>
      <c r="B58" s="36">
        <f>IF(4703.29795="","-",4703.29795)</f>
        <v>4703.29795</v>
      </c>
      <c r="C58" s="36">
        <f>IF(OR(3862.44079="",4703.29795=""),"-",4703.29795/3862.44079*100)</f>
        <v>121.77009838382533</v>
      </c>
      <c r="D58" s="36">
        <f>IF(3862.44079="","-",3862.44079/1216006.77752*100)</f>
        <v>0.3176331630221093</v>
      </c>
      <c r="E58" s="36">
        <f>IF(4703.29795="","-",4703.29795/1392193.04092*100)</f>
        <v>0.33783374946996786</v>
      </c>
      <c r="F58" s="25">
        <f>IF(OR(1305605.99556="",2858.17884="",3862.44079=""),"-",(3862.44079-2858.17884)/1305605.99556*100)</f>
        <v>0.07691922014874422</v>
      </c>
      <c r="G58" s="25">
        <f>IF(OR(1216006.77752="",4703.29795="",3862.44079=""),"-",(4703.29795-3862.44079)/1216006.77752*100)</f>
        <v>0.06914905208956948</v>
      </c>
    </row>
    <row r="59" spans="1:7" s="13" customFormat="1" ht="15">
      <c r="A59" s="68" t="s">
        <v>153</v>
      </c>
      <c r="B59" s="36">
        <f>IF(4369.45162="","-",4369.45162)</f>
        <v>4369.45162</v>
      </c>
      <c r="C59" s="36">
        <f>IF(OR(4867.45096="",4369.45162=""),"-",4369.45162/4867.45096*100)</f>
        <v>89.76878567257306</v>
      </c>
      <c r="D59" s="36">
        <f>IF(4867.45096="","-",4867.45096/1216006.77752*100)</f>
        <v>0.40028156503592704</v>
      </c>
      <c r="E59" s="36">
        <f>IF(4369.45162="","-",4369.45162/1392193.04092*100)</f>
        <v>0.31385386161049506</v>
      </c>
      <c r="F59" s="25">
        <f>IF(OR(1305605.99556="",4146.7688="",4867.45096=""),"-",(4867.45096-4146.7688)/1305605.99556*100)</f>
        <v>0.05519905411363293</v>
      </c>
      <c r="G59" s="25">
        <f>IF(OR(1216006.77752="",4369.45162="",4867.45096=""),"-",(4369.45162-4867.45096)/1216006.77752*100)</f>
        <v>-0.04095366483200457</v>
      </c>
    </row>
    <row r="60" spans="1:7" s="13" customFormat="1" ht="15">
      <c r="A60" s="68" t="s">
        <v>151</v>
      </c>
      <c r="B60" s="36">
        <f>IF(3822.32471="","-",3822.32471)</f>
        <v>3822.32471</v>
      </c>
      <c r="C60" s="36" t="s">
        <v>187</v>
      </c>
      <c r="D60" s="36">
        <f>IF(1833.97832="","-",1833.97832/1216006.77752*100)</f>
        <v>0.15081974491460728</v>
      </c>
      <c r="E60" s="36">
        <f>IF(3822.32471="","-",3822.32471/1392193.04092*100)</f>
        <v>0.2745542175296395</v>
      </c>
      <c r="F60" s="25">
        <f>IF(OR(1305605.99556="",531.8903="",1833.97832=""),"-",(1833.97832-531.8903)/1305605.99556*100)</f>
        <v>0.09973054845244554</v>
      </c>
      <c r="G60" s="25">
        <f>IF(OR(1216006.77752="",3822.32471="",1833.97832=""),"-",(3822.32471-1833.97832)/1216006.77752*100)</f>
        <v>0.16351441675803463</v>
      </c>
    </row>
    <row r="61" spans="1:7" s="13" customFormat="1" ht="15">
      <c r="A61" s="68" t="s">
        <v>147</v>
      </c>
      <c r="B61" s="36">
        <f>IF(3062.26796="","-",3062.26796)</f>
        <v>3062.26796</v>
      </c>
      <c r="C61" s="36">
        <f>IF(OR(6130.68877="",3062.26796=""),"-",3062.26796/6130.68877*100)</f>
        <v>49.9498192598676</v>
      </c>
      <c r="D61" s="36">
        <f>IF(6130.68877="","-",6130.68877/1216006.77752*100)</f>
        <v>0.5041656743479102</v>
      </c>
      <c r="E61" s="36">
        <f>IF(3062.26796="","-",3062.26796/1392193.04092*100)</f>
        <v>0.21996001057269818</v>
      </c>
      <c r="F61" s="25">
        <f>IF(OR(1305605.99556="",6206.88691="",6130.68877=""),"-",(6130.68877-6206.88691)/1305605.99556*100)</f>
        <v>-0.0058362277945359425</v>
      </c>
      <c r="G61" s="25">
        <f>IF(OR(1216006.77752="",3062.26796="",6130.68877=""),"-",(3062.26796-6130.68877)/1216006.77752*100)</f>
        <v>-0.25233583124083636</v>
      </c>
    </row>
    <row r="62" spans="1:7" s="13" customFormat="1" ht="15">
      <c r="A62" s="68" t="s">
        <v>158</v>
      </c>
      <c r="B62" s="36">
        <f>IF(2555.97572="","-",2555.97572)</f>
        <v>2555.97572</v>
      </c>
      <c r="C62" s="36">
        <f>IF(OR(1763.48232="",2555.97572=""),"-",2555.97572/1763.48232*100)</f>
        <v>144.93911796064958</v>
      </c>
      <c r="D62" s="36">
        <f>IF(1763.48232="","-",1763.48232/1216006.77752*100)</f>
        <v>0.14502240880569398</v>
      </c>
      <c r="E62" s="36">
        <f>IF(2555.97572="","-",2555.97572/1392193.04092*100)</f>
        <v>0.18359348487411917</v>
      </c>
      <c r="F62" s="25">
        <f>IF(OR(1305605.99556="",1546.37267="",1763.48232=""),"-",(1763.48232-1546.37267)/1305605.99556*100)</f>
        <v>0.016629032858176906</v>
      </c>
      <c r="G62" s="25">
        <f>IF(OR(1216006.77752="",2555.97572="",1763.48232=""),"-",(2555.97572-1763.48232)/1216006.77752*100)</f>
        <v>0.06517179136256628</v>
      </c>
    </row>
    <row r="63" spans="1:7" s="13" customFormat="1" ht="15">
      <c r="A63" s="68" t="s">
        <v>146</v>
      </c>
      <c r="B63" s="36">
        <f>IF(2552.27638="","-",2552.27638)</f>
        <v>2552.27638</v>
      </c>
      <c r="C63" s="36">
        <f>IF(OR(1756.64096="",2552.27638=""),"-",2552.27638/1756.64096*100)</f>
        <v>145.2930017070762</v>
      </c>
      <c r="D63" s="36">
        <f>IF(1756.64096="","-",1756.64096/1216006.77752*100)</f>
        <v>0.14445980009935494</v>
      </c>
      <c r="E63" s="36">
        <f>IF(2552.27638="","-",2552.27638/1392193.04092*100)</f>
        <v>0.18332776453999397</v>
      </c>
      <c r="F63" s="25">
        <f>IF(OR(1305605.99556="",2717.66456="",1756.64096=""),"-",(1756.64096-2717.66456)/1305605.99556*100)</f>
        <v>-0.0736074744806758</v>
      </c>
      <c r="G63" s="25">
        <f>IF(OR(1216006.77752="",2552.27638="",1756.64096=""),"-",(2552.27638-1756.64096)/1216006.77752*100)</f>
        <v>0.06543017972503971</v>
      </c>
    </row>
    <row r="64" spans="1:7" s="13" customFormat="1" ht="15">
      <c r="A64" s="68" t="s">
        <v>169</v>
      </c>
      <c r="B64" s="36">
        <f>IF(2423.7299="","-",2423.7299)</f>
        <v>2423.7299</v>
      </c>
      <c r="C64" s="36">
        <f>IF(OR(2042.59286="",2423.7299=""),"-",2423.7299/2042.59286*100)</f>
        <v>118.65947186361944</v>
      </c>
      <c r="D64" s="36">
        <f>IF(2042.59286="","-",2042.59286/1216006.77752*100)</f>
        <v>0.1679754502820939</v>
      </c>
      <c r="E64" s="36">
        <f>IF(2423.7299="","-",2423.7299/1392193.04092*100)</f>
        <v>0.1740943840947755</v>
      </c>
      <c r="F64" s="25">
        <f>IF(OR(1305605.99556="",907.3609="",2042.59286=""),"-",(2042.59286-907.3609)/1305605.99556*100)</f>
        <v>0.08695057803507382</v>
      </c>
      <c r="G64" s="25">
        <f>IF(OR(1216006.77752="",2423.7299="",2042.59286=""),"-",(2423.7299-2042.59286)/1216006.77752*100)</f>
        <v>0.03134333188317539</v>
      </c>
    </row>
    <row r="65" spans="1:7" s="13" customFormat="1" ht="15">
      <c r="A65" s="68" t="s">
        <v>149</v>
      </c>
      <c r="B65" s="36">
        <f>IF(2283.55713="","-",2283.55713)</f>
        <v>2283.55713</v>
      </c>
      <c r="C65" s="36" t="s">
        <v>218</v>
      </c>
      <c r="D65" s="36">
        <f>IF(1242.53212="","-",1242.53212/1216006.77752*100)</f>
        <v>0.10218134824331304</v>
      </c>
      <c r="E65" s="36">
        <f>IF(2283.55713="","-",2283.55713/1392193.04092*100)</f>
        <v>0.16402589747833832</v>
      </c>
      <c r="F65" s="25">
        <f>IF(OR(1305605.99556="",1034.48495="",1242.53212=""),"-",(1242.53212-1034.48495)/1305605.99556*100)</f>
        <v>0.01593491227119898</v>
      </c>
      <c r="G65" s="25">
        <f>IF(OR(1216006.77752="",2283.55713="",1242.53212=""),"-",(2283.55713-1242.53212)/1216006.77752*100)</f>
        <v>0.08561013221679005</v>
      </c>
    </row>
    <row r="66" spans="1:7" s="13" customFormat="1" ht="15">
      <c r="A66" s="68" t="s">
        <v>165</v>
      </c>
      <c r="B66" s="36">
        <f>IF(2225.17324="","-",2225.17324)</f>
        <v>2225.17324</v>
      </c>
      <c r="C66" s="36">
        <f>IF(OR(1801.72255="",2225.17324=""),"-",2225.17324/1801.72255*100)</f>
        <v>123.50254704865631</v>
      </c>
      <c r="D66" s="36">
        <f>IF(1801.72255="","-",1801.72255/1216006.77752*100)</f>
        <v>0.148167147034702</v>
      </c>
      <c r="E66" s="36">
        <f>IF(2225.17324="","-",2225.17324/1392193.04092*100)</f>
        <v>0.15983223407937333</v>
      </c>
      <c r="F66" s="25">
        <f>IF(OR(1305605.99556="",1884.47567="",1801.72255=""),"-",(1801.72255-1884.47567)/1305605.99556*100)</f>
        <v>-0.006338291971806215</v>
      </c>
      <c r="G66" s="25">
        <f>IF(OR(1216006.77752="",2225.17324="",1801.72255=""),"-",(2225.17324-1801.72255)/1216006.77752*100)</f>
        <v>0.0348230534424826</v>
      </c>
    </row>
    <row r="67" spans="1:7" s="13" customFormat="1" ht="15">
      <c r="A67" s="68" t="s">
        <v>171</v>
      </c>
      <c r="B67" s="36">
        <f>IF(1809.3058="","-",1809.3058)</f>
        <v>1809.3058</v>
      </c>
      <c r="C67" s="36">
        <f>IF(OR(1674.6185="",1809.3058=""),"-",1809.3058/1674.6185*100)</f>
        <v>108.04286468828572</v>
      </c>
      <c r="D67" s="36">
        <f>IF(1674.6185="","-",1674.6185/1216006.77752*100)</f>
        <v>0.13771456960259065</v>
      </c>
      <c r="E67" s="36">
        <f>IF(1809.3058="","-",1809.3058/1392193.04092*100)</f>
        <v>0.1299608421260575</v>
      </c>
      <c r="F67" s="25">
        <f>IF(OR(1305605.99556="",1613.13907="",1674.6185=""),"-",(1674.6185-1613.13907)/1305605.99556*100)</f>
        <v>0.004708880796279613</v>
      </c>
      <c r="G67" s="25">
        <f>IF(OR(1216006.77752="",1809.3058="",1674.6185=""),"-",(1809.3058-1674.6185)/1216006.77752*100)</f>
        <v>0.011076196489191427</v>
      </c>
    </row>
    <row r="68" spans="1:7" s="13" customFormat="1" ht="15">
      <c r="A68" s="68" t="s">
        <v>155</v>
      </c>
      <c r="B68" s="36">
        <f>IF(1746.01317="","-",1746.01317)</f>
        <v>1746.01317</v>
      </c>
      <c r="C68" s="36" t="s">
        <v>221</v>
      </c>
      <c r="D68" s="36">
        <f>IF(912.0314="","-",912.0314/1216006.77752*100)</f>
        <v>0.07500216420339809</v>
      </c>
      <c r="E68" s="36">
        <f>IF(1746.01317="","-",1746.01317/1392193.04092*100)</f>
        <v>0.12541458825610746</v>
      </c>
      <c r="F68" s="25">
        <f>IF(OR(1305605.99556="",870.56374="",912.0314=""),"-",(912.0314-870.56374)/1305605.99556*100)</f>
        <v>0.003176123588664559</v>
      </c>
      <c r="G68" s="25">
        <f>IF(OR(1216006.77752="",1746.01317="",912.0314=""),"-",(1746.01317-912.0314)/1216006.77752*100)</f>
        <v>0.06858364487909141</v>
      </c>
    </row>
    <row r="69" spans="1:7" s="13" customFormat="1" ht="15">
      <c r="A69" s="68" t="s">
        <v>152</v>
      </c>
      <c r="B69" s="36">
        <f>IF(1707.21493="","-",1707.21493)</f>
        <v>1707.21493</v>
      </c>
      <c r="C69" s="36">
        <f>IF(OR(1444.95082="",1707.21493=""),"-",1707.21493/1444.95082*100)</f>
        <v>118.15038313899156</v>
      </c>
      <c r="D69" s="36">
        <f>IF(1444.95082="","-",1444.95082/1216006.77752*100)</f>
        <v>0.11882753013489965</v>
      </c>
      <c r="E69" s="36">
        <f>IF(1707.21493="","-",1707.21493/1392193.04092*100)</f>
        <v>0.1226277448472106</v>
      </c>
      <c r="F69" s="25">
        <f>IF(OR(1305605.99556="",1814.93332="",1444.95082=""),"-",(1444.95082-1814.93332)/1305605.99556*100)</f>
        <v>-0.02833799027104707</v>
      </c>
      <c r="G69" s="25">
        <f>IF(OR(1216006.77752="",1707.21493="",1444.95082=""),"-",(1707.21493-1444.95082)/1216006.77752*100)</f>
        <v>0.02156765199408492</v>
      </c>
    </row>
    <row r="70" spans="1:7" s="13" customFormat="1" ht="15">
      <c r="A70" s="68" t="s">
        <v>172</v>
      </c>
      <c r="B70" s="36">
        <f>IF(1577.14983="","-",1577.14983)</f>
        <v>1577.14983</v>
      </c>
      <c r="C70" s="36">
        <f>IF(OR(1474.60268="",1577.14983=""),"-",1577.14983/1474.60268*100)</f>
        <v>106.95422240789637</v>
      </c>
      <c r="D70" s="36">
        <f>IF(1474.60268="","-",1474.60268/1216006.77752*100)</f>
        <v>0.12126599187279173</v>
      </c>
      <c r="E70" s="36">
        <f>IF(1577.14983="","-",1577.14983/1392193.04092*100)</f>
        <v>0.11328528326486789</v>
      </c>
      <c r="F70" s="25">
        <f>IF(OR(1305605.99556="",1492.07072="",1474.60268=""),"-",(1474.60268-1492.07072)/1305605.99556*100)</f>
        <v>-0.0013379258412877914</v>
      </c>
      <c r="G70" s="25">
        <f>IF(OR(1216006.77752="",1577.14983="",1474.60268=""),"-",(1577.14983-1474.60268)/1216006.77752*100)</f>
        <v>0.00843310677997545</v>
      </c>
    </row>
    <row r="71" spans="1:7" s="13" customFormat="1" ht="15">
      <c r="A71" s="68" t="s">
        <v>174</v>
      </c>
      <c r="B71" s="36">
        <f>IF(1206.8604="","-",1206.8604)</f>
        <v>1206.8604</v>
      </c>
      <c r="C71" s="36">
        <f>IF(OR(896.76273="",1206.8604=""),"-",1206.8604/896.76273*100)</f>
        <v>134.57967861799966</v>
      </c>
      <c r="D71" s="36">
        <f>IF(896.76273="","-",896.76273/1216006.77752*100)</f>
        <v>0.0737465239979101</v>
      </c>
      <c r="E71" s="36">
        <f>IF(1206.8604="","-",1206.8604/1392193.04092*100)</f>
        <v>0.08668771962848434</v>
      </c>
      <c r="F71" s="25">
        <f>IF(OR(1305605.99556="",381.59593="",896.76273=""),"-",(896.76273-381.59593)/1305605.99556*100)</f>
        <v>0.0394580602227577</v>
      </c>
      <c r="G71" s="25">
        <f>IF(OR(1216006.77752="",1206.8604="",896.76273=""),"-",(1206.8604-896.76273)/1216006.77752*100)</f>
        <v>0.0255013109904233</v>
      </c>
    </row>
    <row r="72" spans="1:7" s="13" customFormat="1" ht="15">
      <c r="A72" s="68" t="s">
        <v>176</v>
      </c>
      <c r="B72" s="36">
        <f>IF(1057.21879="","-",1057.21879)</f>
        <v>1057.21879</v>
      </c>
      <c r="C72" s="36" t="s">
        <v>124</v>
      </c>
      <c r="D72" s="36">
        <f>IF(438.94554="","-",438.94554/1216006.77752*100)</f>
        <v>0.036097293873247394</v>
      </c>
      <c r="E72" s="36">
        <f>IF(1057.21879="","-",1057.21879/1392193.04092*100)</f>
        <v>0.07593909457422371</v>
      </c>
      <c r="F72" s="25">
        <f>IF(OR(1305605.99556="",325.99949="",438.94554=""),"-",(438.94554-325.99949)/1305605.99556*100)</f>
        <v>0.008650852583711921</v>
      </c>
      <c r="G72" s="25">
        <f>IF(OR(1216006.77752="",1057.21879="",438.94554=""),"-",(1057.21879-438.94554)/1216006.77752*100)</f>
        <v>0.050844556250002566</v>
      </c>
    </row>
    <row r="73" spans="1:7" s="13" customFormat="1" ht="15">
      <c r="A73" s="68" t="s">
        <v>173</v>
      </c>
      <c r="B73" s="36">
        <f>IF(1032.59454="","-",1032.59454)</f>
        <v>1032.59454</v>
      </c>
      <c r="C73" s="36">
        <f>IF(OR(1209.39798="",1032.59454=""),"-",1032.59454/1209.39798*100)</f>
        <v>85.38087189462645</v>
      </c>
      <c r="D73" s="36">
        <f>IF(1209.39798="","-",1209.39798/1216006.77752*100)</f>
        <v>0.09945651639101236</v>
      </c>
      <c r="E73" s="36">
        <f>IF(1032.59454="","-",1032.59454/1392193.04092*100)</f>
        <v>0.07417035638374063</v>
      </c>
      <c r="F73" s="25">
        <f>IF(OR(1305605.99556="",920.68028="",1209.39798=""),"-",(1209.39798-920.68028)/1305605.99556*100)</f>
        <v>0.02211369287379561</v>
      </c>
      <c r="G73" s="25">
        <f>IF(OR(1216006.77752="",1032.59454="",1209.39798=""),"-",(1032.59454-1209.39798)/1216006.77752*100)</f>
        <v>-0.014539675540343931</v>
      </c>
    </row>
    <row r="74" spans="1:7" s="13" customFormat="1" ht="15">
      <c r="A74" s="68" t="s">
        <v>170</v>
      </c>
      <c r="B74" s="36">
        <f>IF(1014.79637="","-",1014.79637)</f>
        <v>1014.79637</v>
      </c>
      <c r="C74" s="36">
        <f>IF(OR(1691.42055="",1014.79637=""),"-",1014.79637/1691.42055*100)</f>
        <v>59.99669153836401</v>
      </c>
      <c r="D74" s="36">
        <f>IF(1691.42055="","-",1691.42055/1216006.77752*100)</f>
        <v>0.13909630943419482</v>
      </c>
      <c r="E74" s="36">
        <f>IF(1014.79637="","-",1014.79637/1392193.04092*100)</f>
        <v>0.07289192950780693</v>
      </c>
      <c r="F74" s="25">
        <f>IF(OR(1305605.99556="",2347.97342="",1691.42055=""),"-",(1691.42055-2347.97342)/1305605.99556*100)</f>
        <v>-0.050287213158698114</v>
      </c>
      <c r="G74" s="25">
        <f>IF(OR(1216006.77752="",1014.79637="",1691.42055=""),"-",(1014.79637-1691.42055)/1216006.77752*100)</f>
        <v>-0.05564312572171263</v>
      </c>
    </row>
    <row r="75" spans="1:7" s="13" customFormat="1" ht="15">
      <c r="A75" s="68" t="s">
        <v>161</v>
      </c>
      <c r="B75" s="36">
        <f>IF(786.29099="","-",786.29099)</f>
        <v>786.29099</v>
      </c>
      <c r="C75" s="36">
        <f>IF(OR(943.66847="",786.29099=""),"-",786.29099/943.66847*100)</f>
        <v>83.3227997964158</v>
      </c>
      <c r="D75" s="36">
        <f>IF(943.66847="","-",943.66847/1216006.77752*100)</f>
        <v>0.07760388243267659</v>
      </c>
      <c r="E75" s="36">
        <f>IF(786.29099="","-",786.29099/1392193.04092*100)</f>
        <v>0.05647858931117749</v>
      </c>
      <c r="F75" s="25">
        <f>IF(OR(1305605.99556="",1138.95304="",943.66847=""),"-",(943.66847-1138.95304)/1305605.99556*100)</f>
        <v>-0.014957389186638867</v>
      </c>
      <c r="G75" s="25">
        <f>IF(OR(1216006.77752="",786.29099="",943.66847=""),"-",(786.29099-943.66847)/1216006.77752*100)</f>
        <v>-0.012942154839051591</v>
      </c>
    </row>
    <row r="76" spans="1:7" s="13" customFormat="1" ht="15">
      <c r="A76" s="68" t="s">
        <v>143</v>
      </c>
      <c r="B76" s="36">
        <f>IF(777.0824="","-",777.0824)</f>
        <v>777.0824</v>
      </c>
      <c r="C76" s="36" t="s">
        <v>245</v>
      </c>
      <c r="D76" s="36">
        <f>IF(265.0379="","-",265.0379/1216006.77752*100)</f>
        <v>0.02179575845296971</v>
      </c>
      <c r="E76" s="36">
        <f>IF(777.0824="","-",777.0824/1392193.04092*100)</f>
        <v>0.05581714440164722</v>
      </c>
      <c r="F76" s="25">
        <f>IF(OR(1305605.99556="",824.17176="",265.0379=""),"-",(265.0379-824.17176)/1305605.99556*100)</f>
        <v>-0.04282561981956712</v>
      </c>
      <c r="G76" s="25">
        <f>IF(OR(1216006.77752="",777.0824="",265.0379=""),"-",(777.0824-265.0379)/1216006.77752*100)</f>
        <v>0.0421086879996093</v>
      </c>
    </row>
    <row r="77" spans="1:7" s="13" customFormat="1" ht="15">
      <c r="A77" s="68" t="s">
        <v>160</v>
      </c>
      <c r="B77" s="36">
        <f>IF(754.99633="","-",754.99633)</f>
        <v>754.99633</v>
      </c>
      <c r="C77" s="36">
        <f>IF(OR(719.86109="",754.99633=""),"-",754.99633/719.86109*100)</f>
        <v>104.88083610686611</v>
      </c>
      <c r="D77" s="36">
        <f>IF(719.86109="","-",719.86109/1216006.77752*100)</f>
        <v>0.05919877284468181</v>
      </c>
      <c r="E77" s="36">
        <f>IF(754.99633="","-",754.99633/1392193.04092*100)</f>
        <v>0.05423072144514365</v>
      </c>
      <c r="F77" s="25">
        <f>IF(OR(1305605.99556="",341.18285="",719.86109=""),"-",(719.86109-341.18285)/1305605.99556*100)</f>
        <v>0.029004021219861013</v>
      </c>
      <c r="G77" s="25">
        <f>IF(OR(1216006.77752="",754.99633="",719.86109=""),"-",(754.99633-719.86109)/1216006.77752*100)</f>
        <v>0.0028893950798248797</v>
      </c>
    </row>
    <row r="78" spans="1:7" s="13" customFormat="1" ht="15">
      <c r="A78" s="68" t="s">
        <v>177</v>
      </c>
      <c r="B78" s="36">
        <f>IF(561.69655="","-",561.69655)</f>
        <v>561.69655</v>
      </c>
      <c r="C78" s="36">
        <f>IF(OR(604.7577="",561.69655=""),"-",561.69655/604.7577*100)</f>
        <v>92.87960285582143</v>
      </c>
      <c r="D78" s="36">
        <f>IF(604.7577="","-",604.7577/1216006.77752*100)</f>
        <v>0.0497330862935962</v>
      </c>
      <c r="E78" s="36">
        <f>IF(561.69655="","-",561.69655/1392193.04092*100)</f>
        <v>0.040346168490313326</v>
      </c>
      <c r="F78" s="25">
        <f>IF(OR(1305605.99556="",582.63495="",604.7577=""),"-",(604.7577-582.63495)/1305605.99556*100)</f>
        <v>0.0016944430460057067</v>
      </c>
      <c r="G78" s="25">
        <f>IF(OR(1216006.77752="",561.69655="",604.7577=""),"-",(561.69655-604.7577)/1216006.77752*100)</f>
        <v>-0.0035411932561610878</v>
      </c>
    </row>
    <row r="79" spans="1:7" s="13" customFormat="1" ht="15">
      <c r="A79" s="68" t="s">
        <v>162</v>
      </c>
      <c r="B79" s="36">
        <f>IF(546.75456="","-",546.75456)</f>
        <v>546.75456</v>
      </c>
      <c r="C79" s="36">
        <f>IF(OR(424.3329="",546.75456=""),"-",546.75456/424.3329*100)</f>
        <v>128.85038138687807</v>
      </c>
      <c r="D79" s="36">
        <f>IF(424.3329="","-",424.3329/1216006.77752*100)</f>
        <v>0.0348956032025916</v>
      </c>
      <c r="E79" s="36">
        <f>IF(546.75456="","-",546.75456/1392193.04092*100)</f>
        <v>0.03927289850829087</v>
      </c>
      <c r="F79" s="25">
        <f>IF(OR(1305605.99556="",172.62888="",424.3329=""),"-",(424.3329-172.62888)/1305605.99556*100)</f>
        <v>0.019278712020010233</v>
      </c>
      <c r="G79" s="25">
        <f>IF(OR(1216006.77752="",546.75456="",424.3329=""),"-",(546.75456-424.3329)/1216006.77752*100)</f>
        <v>0.010067514611199316</v>
      </c>
    </row>
    <row r="80" spans="1:7" s="13" customFormat="1" ht="15">
      <c r="A80" s="68" t="s">
        <v>123</v>
      </c>
      <c r="B80" s="36">
        <f>IF(536.11179="","-",536.11179)</f>
        <v>536.11179</v>
      </c>
      <c r="C80" s="36">
        <f>IF(OR(1216.43784="",536.11179=""),"-",536.11179/1216.43784*100)</f>
        <v>44.07227170769367</v>
      </c>
      <c r="D80" s="36">
        <f>IF(1216.43784="","-",1216.43784/1216006.77752*100)</f>
        <v>0.10003544901952596</v>
      </c>
      <c r="E80" s="36">
        <f>IF(536.11179="","-",536.11179/1392193.04092*100)</f>
        <v>0.038508437712468556</v>
      </c>
      <c r="F80" s="25">
        <f>IF(OR(1305605.99556="",1099.26426="",1216.43784=""),"-",(1216.43784-1099.26426)/1305605.99556*100)</f>
        <v>0.008974650882308647</v>
      </c>
      <c r="G80" s="25">
        <f>IF(OR(1216006.77752="",536.11179="",1216.43784=""),"-",(536.11179-1216.43784)/1216006.77752*100)</f>
        <v>-0.0559475541236291</v>
      </c>
    </row>
    <row r="81" spans="1:7" s="13" customFormat="1" ht="15">
      <c r="A81" s="68" t="s">
        <v>182</v>
      </c>
      <c r="B81" s="36">
        <f>IF(528.55299="","-",528.55299)</f>
        <v>528.55299</v>
      </c>
      <c r="C81" s="36" t="s">
        <v>219</v>
      </c>
      <c r="D81" s="36">
        <f>IF(302.40973="","-",302.40973/1216006.77752*100)</f>
        <v>0.024869082606328335</v>
      </c>
      <c r="E81" s="36">
        <f>IF(528.55299="","-",528.55299/1392193.04092*100)</f>
        <v>0.037965495765638756</v>
      </c>
      <c r="F81" s="25">
        <f>IF(OR(1305605.99556="",714.82331="",302.40973=""),"-",(302.40973-714.82331)/1305605.99556*100)</f>
        <v>-0.03158790488114355</v>
      </c>
      <c r="G81" s="25">
        <f>IF(OR(1216006.77752="",528.55299="",302.40973=""),"-",(528.55299-302.40973)/1216006.77752*100)</f>
        <v>0.01859720391207117</v>
      </c>
    </row>
    <row r="82" spans="1:7" s="13" customFormat="1" ht="15">
      <c r="A82" s="68" t="s">
        <v>175</v>
      </c>
      <c r="B82" s="36">
        <f>IF(448.41099="","-",448.41099)</f>
        <v>448.41099</v>
      </c>
      <c r="C82" s="36">
        <f>IF(OR(373.65994="",448.41099=""),"-",448.41099/373.65994*100)</f>
        <v>120.00510142992584</v>
      </c>
      <c r="D82" s="36">
        <f>IF(373.65994="","-",373.65994/1216006.77752*100)</f>
        <v>0.030728442218230508</v>
      </c>
      <c r="E82" s="36">
        <f>IF(448.41099="","-",448.41099/1392193.04092*100)</f>
        <v>0.032208966488129945</v>
      </c>
      <c r="F82" s="25">
        <f>IF(OR(1305605.99556="",771.98206="",373.65994=""),"-",(373.65994-771.98206)/1305605.99556*100)</f>
        <v>-0.030508600707608722</v>
      </c>
      <c r="G82" s="25">
        <f>IF(OR(1216006.77752="",448.41099="",373.65994=""),"-",(448.41099-373.65994)/1216006.77752*100)</f>
        <v>0.006147256033593165</v>
      </c>
    </row>
    <row r="83" spans="1:7" s="13" customFormat="1" ht="15">
      <c r="A83" s="68" t="s">
        <v>154</v>
      </c>
      <c r="B83" s="36">
        <f>IF(446.07244="","-",446.07244)</f>
        <v>446.07244</v>
      </c>
      <c r="C83" s="36">
        <f>IF(OR(1209.89868="",446.07244=""),"-",446.07244/1209.89868*100)</f>
        <v>36.86857811928516</v>
      </c>
      <c r="D83" s="36">
        <f>IF(1209.89868="","-",1209.89868/1216006.77752*100)</f>
        <v>0.0994976921483565</v>
      </c>
      <c r="E83" s="36">
        <f>IF(446.07244="","-",446.07244/1392193.04092*100)</f>
        <v>0.0320409905012327</v>
      </c>
      <c r="F83" s="25">
        <f>IF(OR(1305605.99556="",402.62003="",1209.89868=""),"-",(1209.89868-402.62003)/1305605.99556*100)</f>
        <v>0.06183172049954797</v>
      </c>
      <c r="G83" s="25">
        <f>IF(OR(1216006.77752="",446.07244="",1209.89868=""),"-",(446.07244-1209.89868)/1216006.77752*100)</f>
        <v>-0.06281430779175384</v>
      </c>
    </row>
    <row r="84" spans="1:7" s="13" customFormat="1" ht="15">
      <c r="A84" s="68" t="s">
        <v>178</v>
      </c>
      <c r="B84" s="36">
        <f>IF(414.559="","-",414.559)</f>
        <v>414.559</v>
      </c>
      <c r="C84" s="36">
        <f>IF(OR(446.0156="",414.559=""),"-",414.559/446.0156*100)</f>
        <v>92.94719736260346</v>
      </c>
      <c r="D84" s="36">
        <f>IF(446.0156="","-",446.0156/1216006.77752*100)</f>
        <v>0.03667871004055027</v>
      </c>
      <c r="E84" s="36">
        <f>IF(414.559="","-",414.559/1392193.04092*100)</f>
        <v>0.029777407860482327</v>
      </c>
      <c r="F84" s="25">
        <f>IF(OR(1305605.99556="",548.16436="",446.0156=""),"-",(446.0156-548.16436)/1305605.99556*100)</f>
        <v>-0.007823858066474823</v>
      </c>
      <c r="G84" s="25">
        <f>IF(OR(1216006.77752="",414.559="",446.0156=""),"-",(414.559-446.0156)/1216006.77752*100)</f>
        <v>-0.002586877029102957</v>
      </c>
    </row>
    <row r="85" spans="1:7" s="13" customFormat="1" ht="15">
      <c r="A85" s="68" t="s">
        <v>183</v>
      </c>
      <c r="B85" s="36">
        <f>IF(403.20951="","-",403.20951)</f>
        <v>403.20951</v>
      </c>
      <c r="C85" s="36">
        <f>IF(OR(342.57974="",403.20951=""),"-",403.20951/342.57974*100)</f>
        <v>117.69800222278177</v>
      </c>
      <c r="D85" s="36">
        <f>IF(342.57974="","-",342.57974/1216006.77752*100)</f>
        <v>0.028172518963971438</v>
      </c>
      <c r="E85" s="36">
        <f>IF(403.20951="","-",403.20951/1392193.04092*100)</f>
        <v>0.028962183989480934</v>
      </c>
      <c r="F85" s="25">
        <f>IF(OR(1305605.99556="",159.80902="",342.57974=""),"-",(342.57974-159.80902)/1305605.99556*100)</f>
        <v>0.013998918557478444</v>
      </c>
      <c r="G85" s="25">
        <f>IF(OR(1216006.77752="",403.20951="",342.57974=""),"-",(403.20951-342.57974)/1216006.77752*100)</f>
        <v>0.004985973032457281</v>
      </c>
    </row>
    <row r="86" spans="1:7" s="13" customFormat="1" ht="15">
      <c r="A86" s="68" t="s">
        <v>180</v>
      </c>
      <c r="B86" s="36">
        <f>IF(340.55481="","-",340.55481)</f>
        <v>340.55481</v>
      </c>
      <c r="C86" s="36">
        <f>IF(OR(410.90492="",340.55481=""),"-",340.55481/410.90492*100)</f>
        <v>82.87922422539987</v>
      </c>
      <c r="D86" s="36">
        <f>IF(410.90492="","-",410.90492/1216006.77752*100)</f>
        <v>0.033791334686310306</v>
      </c>
      <c r="E86" s="36">
        <f>IF(340.55481="","-",340.55481/1392193.04092*100)</f>
        <v>0.02446175206959459</v>
      </c>
      <c r="F86" s="25">
        <f>IF(OR(1305605.99556="",677.81307="",410.90492=""),"-",(410.90492-677.81307)/1305605.99556*100)</f>
        <v>-0.020443238688216802</v>
      </c>
      <c r="G86" s="25">
        <f>IF(OR(1216006.77752="",340.55481="",410.90492=""),"-",(340.55481-410.90492)/1216006.77752*100)</f>
        <v>-0.0057853386428878655</v>
      </c>
    </row>
    <row r="87" spans="1:7" s="13" customFormat="1" ht="15">
      <c r="A87" s="68" t="s">
        <v>185</v>
      </c>
      <c r="B87" s="36">
        <f>IF(316.58058="","-",316.58058)</f>
        <v>316.58058</v>
      </c>
      <c r="C87" s="36" t="s">
        <v>218</v>
      </c>
      <c r="D87" s="36">
        <f>IF(171.73312="","-",171.73312/1216006.77752*100)</f>
        <v>0.01412271075908337</v>
      </c>
      <c r="E87" s="36">
        <f>IF(316.58058="","-",316.58058/1392193.04092*100)</f>
        <v>0.022739704243227268</v>
      </c>
      <c r="F87" s="25">
        <f>IF(OR(1305605.99556="",990.79059="",171.73312=""),"-",(171.73312-990.79059)/1305605.99556*100)</f>
        <v>-0.06273389313356287</v>
      </c>
      <c r="G87" s="25">
        <f>IF(OR(1216006.77752="",316.58058="",171.73312=""),"-",(316.58058-171.73312)/1216006.77752*100)</f>
        <v>0.011911731305923387</v>
      </c>
    </row>
    <row r="88" spans="1:7" s="13" customFormat="1" ht="15">
      <c r="A88" s="68" t="s">
        <v>184</v>
      </c>
      <c r="B88" s="36">
        <f>IF(306.31934="","-",306.31934)</f>
        <v>306.31934</v>
      </c>
      <c r="C88" s="36" t="s">
        <v>202</v>
      </c>
      <c r="D88" s="36">
        <f>IF(117.05952="","-",117.05952/1216006.77752*100)</f>
        <v>0.009626551608432518</v>
      </c>
      <c r="E88" s="36">
        <f>IF(306.31934="","-",306.31934/1392193.04092*100)</f>
        <v>0.022002648411284662</v>
      </c>
      <c r="F88" s="25">
        <f>IF(OR(1305605.99556="",365.02522="",117.05952=""),"-",(117.05952-365.02522)/1305605.99556*100)</f>
        <v>-0.01899238367802092</v>
      </c>
      <c r="G88" s="25">
        <f>IF(OR(1216006.77752="",306.31934="",117.05952=""),"-",(306.31934-117.05952)/1216006.77752*100)</f>
        <v>0.015564043186172717</v>
      </c>
    </row>
    <row r="89" spans="1:7" s="13" customFormat="1" ht="15">
      <c r="A89" s="68" t="s">
        <v>181</v>
      </c>
      <c r="B89" s="36">
        <f>IF(294.05703="","-",294.05703)</f>
        <v>294.05703</v>
      </c>
      <c r="C89" s="36">
        <f>IF(OR(299.15059="",294.05703=""),"-",294.05703/299.15059*100)</f>
        <v>98.29732577161221</v>
      </c>
      <c r="D89" s="36">
        <f>IF(299.15059="","-",299.15059/1216006.77752*100)</f>
        <v>0.024601062718589976</v>
      </c>
      <c r="E89" s="36">
        <f>IF(294.05703="","-",294.05703/1392193.04092*100)</f>
        <v>0.02112185748362015</v>
      </c>
      <c r="F89" s="25">
        <f>IF(OR(1305605.99556="",388.60106="",299.15059=""),"-",(299.15059-388.60106)/1305605.99556*100)</f>
        <v>-0.00685126066395191</v>
      </c>
      <c r="G89" s="25">
        <f>IF(OR(1216006.77752="",294.05703="",299.15059=""),"-",(294.05703-299.15059)/1216006.77752*100)</f>
        <v>-0.0004188759548189484</v>
      </c>
    </row>
    <row r="90" spans="1:7" s="13" customFormat="1" ht="15">
      <c r="A90" s="68" t="s">
        <v>145</v>
      </c>
      <c r="B90" s="36">
        <f>IF(280.99133="","-",280.99133)</f>
        <v>280.99133</v>
      </c>
      <c r="C90" s="36">
        <f>IF(OR(547.7896="",280.99133=""),"-",280.99133/547.7896*100)</f>
        <v>51.29548461672147</v>
      </c>
      <c r="D90" s="36">
        <f>IF(547.7896="","-",547.7896/1216006.77752*100)</f>
        <v>0.04504823576042859</v>
      </c>
      <c r="E90" s="36">
        <f>IF(280.99133="","-",280.99133/1392193.04092*100)</f>
        <v>0.02018335975981557</v>
      </c>
      <c r="F90" s="25">
        <f>IF(OR(1305605.99556="",205.28261="",547.7896=""),"-",(547.7896-205.28261)/1305605.99556*100)</f>
        <v>0.02623356442638669</v>
      </c>
      <c r="G90" s="25">
        <f>IF(OR(1216006.77752="",280.99133="",547.7896=""),"-",(280.99133-547.7896)/1216006.77752*100)</f>
        <v>-0.021940524915833527</v>
      </c>
    </row>
    <row r="91" spans="1:7" s="13" customFormat="1" ht="15">
      <c r="A91" s="68" t="s">
        <v>122</v>
      </c>
      <c r="B91" s="36">
        <f>IF(278.53481="","-",278.53481)</f>
        <v>278.53481</v>
      </c>
      <c r="C91" s="36">
        <f>IF(OR(1279.46979="",278.53481=""),"-",278.53481/1279.46979*100)</f>
        <v>21.769549556930137</v>
      </c>
      <c r="D91" s="36">
        <f>IF(1279.46979="","-",1279.46979/1216006.77752*100)</f>
        <v>0.10521896864830232</v>
      </c>
      <c r="E91" s="36">
        <f>IF(278.53481="","-",278.53481/1392193.04092*100)</f>
        <v>0.02000691009171662</v>
      </c>
      <c r="F91" s="25">
        <f>IF(OR(1305605.99556="",1467.47928="",1279.46979=""),"-",(1279.46979-1467.47928)/1305605.99556*100)</f>
        <v>-0.014400170544510938</v>
      </c>
      <c r="G91" s="25">
        <f>IF(OR(1216006.77752="",278.53481="",1279.46979=""),"-",(278.53481-1279.46979)/1216006.77752*100)</f>
        <v>-0.08231327312511935</v>
      </c>
    </row>
    <row r="92" spans="1:7" s="13" customFormat="1" ht="15">
      <c r="A92" s="68" t="s">
        <v>167</v>
      </c>
      <c r="B92" s="36">
        <f>IF(251.74894="","-",251.74894)</f>
        <v>251.74894</v>
      </c>
      <c r="C92" s="36">
        <f>IF(OR(397.00093="",251.74894=""),"-",251.74894/397.00093*100)</f>
        <v>63.41268268565518</v>
      </c>
      <c r="D92" s="36">
        <f>IF(397.00093="","-",397.00093/1216006.77752*100)</f>
        <v>0.032647920828999685</v>
      </c>
      <c r="E92" s="36">
        <f>IF(251.74894="","-",251.74894/1392193.04092*100)</f>
        <v>0.018082904640410877</v>
      </c>
      <c r="F92" s="25">
        <f>IF(OR(1305605.99556="",223.63537="",397.00093=""),"-",(397.00093-223.63537)/1305605.99556*100)</f>
        <v>0.013278551154756311</v>
      </c>
      <c r="G92" s="25">
        <f>IF(OR(1216006.77752="",251.74894="",397.00093=""),"-",(251.74894-397.00093)/1216006.77752*100)</f>
        <v>-0.011944998390242195</v>
      </c>
    </row>
    <row r="93" spans="1:7" s="13" customFormat="1" ht="15">
      <c r="A93" s="68" t="s">
        <v>121</v>
      </c>
      <c r="B93" s="36">
        <f>IF(239.87753="","-",239.87753)</f>
        <v>239.87753</v>
      </c>
      <c r="C93" s="36" t="s">
        <v>193</v>
      </c>
      <c r="D93" s="36">
        <f>IF(96.39997="","-",96.39997/1216006.77752*100)</f>
        <v>0.007927584926508724</v>
      </c>
      <c r="E93" s="36">
        <f>IF(239.87753="","-",239.87753/1392193.04092*100)</f>
        <v>0.017230191715473755</v>
      </c>
      <c r="F93" s="25">
        <f>IF(OR(1305605.99556="",43.46995="",96.39997=""),"-",(96.39997-43.46995)/1305605.99556*100)</f>
        <v>0.004054057669771751</v>
      </c>
      <c r="G93" s="25">
        <f>IF(OR(1216006.77752="",239.87753="",96.39997=""),"-",(239.87753-96.39997)/1216006.77752*100)</f>
        <v>0.01179907568382284</v>
      </c>
    </row>
    <row r="94" spans="1:7" ht="15">
      <c r="A94" s="68" t="s">
        <v>179</v>
      </c>
      <c r="B94" s="36">
        <f>IF(226.05721="","-",226.05721)</f>
        <v>226.05721</v>
      </c>
      <c r="C94" s="36">
        <f>IF(OR(302.64059="",226.05721=""),"-",226.05721/302.64059*100)</f>
        <v>74.6949409528973</v>
      </c>
      <c r="D94" s="36">
        <f>IF(302.64059="","-",302.64059/1216006.77752*100)</f>
        <v>0.024888067697881093</v>
      </c>
      <c r="E94" s="36">
        <f>IF(226.05721="","-",226.05721/1392193.04092*100)</f>
        <v>0.01623749030167649</v>
      </c>
      <c r="F94" s="25">
        <f>IF(OR(1305605.99556="",635.39245="",302.64059=""),"-",(302.64059-635.39245)/1305605.99556*100)</f>
        <v>-0.02548639184651387</v>
      </c>
      <c r="G94" s="25">
        <f>IF(OR(1216006.77752="",226.05721="",302.64059=""),"-",(226.05721-302.64059)/1216006.77752*100)</f>
        <v>-0.006297940226631705</v>
      </c>
    </row>
    <row r="95" spans="1:7" ht="15">
      <c r="A95" s="68" t="s">
        <v>195</v>
      </c>
      <c r="B95" s="36">
        <f>IF(209.5232="","-",209.5232)</f>
        <v>209.5232</v>
      </c>
      <c r="C95" s="36">
        <f>IF(OR(146.28782="",209.5232=""),"-",209.5232/146.28782*100)</f>
        <v>143.22668831895916</v>
      </c>
      <c r="D95" s="36">
        <f>IF(146.28782="","-",146.28782/1216006.77752*100)</f>
        <v>0.012030181303623037</v>
      </c>
      <c r="E95" s="36">
        <f>IF(209.5232="","-",209.5232/1392193.04092*100)</f>
        <v>0.015049866925174486</v>
      </c>
      <c r="F95" s="25">
        <f>IF(OR(1305605.99556="",97.27436="",146.28782=""),"-",(146.28782-97.27436)/1305605.99556*100)</f>
        <v>0.0037540774296902007</v>
      </c>
      <c r="G95" s="25">
        <f>IF(OR(1216006.77752="",209.5232="",146.28782=""),"-",(209.5232-146.28782)/1216006.77752*100)</f>
        <v>0.005200248976322827</v>
      </c>
    </row>
    <row r="96" spans="1:7" ht="15">
      <c r="A96" s="68" t="s">
        <v>211</v>
      </c>
      <c r="B96" s="36">
        <f>IF(201.41624="","-",201.41624)</f>
        <v>201.41624</v>
      </c>
      <c r="C96" s="36" t="s">
        <v>193</v>
      </c>
      <c r="D96" s="36">
        <f>IF(79.7438="","-",79.7438/1216006.77752*100)</f>
        <v>0.006557841738566168</v>
      </c>
      <c r="E96" s="36">
        <f>IF(201.41624="","-",201.41624/1392193.04092*100)</f>
        <v>0.014467551128318995</v>
      </c>
      <c r="F96" s="25">
        <f>IF(OR(1305605.99556="",55.57713="",79.7438=""),"-",(79.7438-55.57713)/1305605.99556*100)</f>
        <v>0.0018509925721989686</v>
      </c>
      <c r="G96" s="25">
        <f>IF(OR(1216006.77752="",201.41624="",79.7438=""),"-",(201.41624-79.7438)/1216006.77752*100)</f>
        <v>0.010005901467765366</v>
      </c>
    </row>
    <row r="97" spans="1:7" ht="15">
      <c r="A97" s="68" t="s">
        <v>194</v>
      </c>
      <c r="B97" s="36">
        <f>IF(120.97364="","-",120.97364)</f>
        <v>120.97364</v>
      </c>
      <c r="C97" s="36" t="s">
        <v>219</v>
      </c>
      <c r="D97" s="36">
        <f>IF(70.87964="","-",70.87964/1216006.77752*100)</f>
        <v>0.0058288852751755505</v>
      </c>
      <c r="E97" s="36">
        <f>IF(120.97364="","-",120.97364/1392193.04092*100)</f>
        <v>0.008689430017553977</v>
      </c>
      <c r="F97" s="25">
        <f>IF(OR(1305605.99556="",23.36516="",70.87964=""),"-",(70.87964-23.36516)/1305605.99556*100)</f>
        <v>0.0036392663760417324</v>
      </c>
      <c r="G97" s="25">
        <f>IF(OR(1216006.77752="",120.97364="",70.87964=""),"-",(120.97364-70.87964)/1216006.77752*100)</f>
        <v>0.004119549407624589</v>
      </c>
    </row>
    <row r="98" spans="1:7" ht="15">
      <c r="A98" s="68" t="s">
        <v>196</v>
      </c>
      <c r="B98" s="36">
        <f>IF(95.93479="","-",95.93479)</f>
        <v>95.93479</v>
      </c>
      <c r="C98" s="36" t="s">
        <v>197</v>
      </c>
      <c r="D98" s="36">
        <f>IF(42.7889="","-",42.7889/1216006.77752*100)</f>
        <v>0.003518804400684867</v>
      </c>
      <c r="E98" s="36">
        <f>IF(95.93479="","-",95.93479/1392193.04092*100)</f>
        <v>0.0068909114742165085</v>
      </c>
      <c r="F98" s="25">
        <f>IF(OR(1305605.99556="",42.46509="",42.7889=""),"-",(42.7889-42.46509)/1305605.99556*100)</f>
        <v>2.4801509881326276E-05</v>
      </c>
      <c r="G98" s="25">
        <f>IF(OR(1216006.77752="",95.93479="",42.7889=""),"-",(95.93479-42.7889)/1216006.77752*100)</f>
        <v>0.0043705258048305495</v>
      </c>
    </row>
    <row r="99" spans="1:7" ht="15">
      <c r="A99" s="68" t="s">
        <v>216</v>
      </c>
      <c r="B99" s="36">
        <f>IF(81.32838="","-",81.32838)</f>
        <v>81.32838</v>
      </c>
      <c r="C99" s="36">
        <f>IF(OR(76.97478="",81.32838=""),"-",81.32838/76.97478*100)</f>
        <v>105.65587845785333</v>
      </c>
      <c r="D99" s="36">
        <f>IF(76.97478="","-",76.97478/1216006.77752*100)</f>
        <v>0.006330127547231863</v>
      </c>
      <c r="E99" s="36">
        <f>IF(81.32838="","-",81.32838/1392193.04092*100)</f>
        <v>0.0058417459080427475</v>
      </c>
      <c r="F99" s="25">
        <f>IF(OR(1305605.99556="",27.74844="",76.97478=""),"-",(76.97478-27.74844)/1305605.99556*100)</f>
        <v>0.003770382501873075</v>
      </c>
      <c r="G99" s="25">
        <f>IF(OR(1216006.77752="",81.32838="",76.97478=""),"-",(81.32838-76.97478)/1216006.77752*100)</f>
        <v>0.0003580243202985269</v>
      </c>
    </row>
    <row r="100" spans="1:7" ht="15">
      <c r="A100" s="68" t="s">
        <v>239</v>
      </c>
      <c r="B100" s="36">
        <f>IF(61.87727="","-",61.87727)</f>
        <v>61.87727</v>
      </c>
      <c r="C100" s="36" t="s">
        <v>36</v>
      </c>
      <c r="D100" s="36">
        <f>IF(19.11524="","-",19.11524/1216006.77752*100)</f>
        <v>0.0015719682121332261</v>
      </c>
      <c r="E100" s="36">
        <f>IF(61.87727="","-",61.87727/1392193.04092*100)</f>
        <v>0.004444589807682833</v>
      </c>
      <c r="F100" s="25">
        <f>IF(OR(1305605.99556="",10.48453="",19.11524=""),"-",(19.11524-10.48453)/1305605.99556*100)</f>
        <v>0.0006610501199711572</v>
      </c>
      <c r="G100" s="25">
        <f>IF(OR(1216006.77752="",61.87727="",19.11524=""),"-",(61.87727-19.11524)/1216006.77752*100)</f>
        <v>0.0035165947090534766</v>
      </c>
    </row>
    <row r="101" spans="1:7" ht="15">
      <c r="A101" s="68" t="s">
        <v>240</v>
      </c>
      <c r="B101" s="36">
        <f>IF(59.28131="","-",59.28131)</f>
        <v>59.28131</v>
      </c>
      <c r="C101" s="36">
        <f>IF(OR(102.16515="",59.28131=""),"-",59.28131/102.16515*100)</f>
        <v>58.02498210006054</v>
      </c>
      <c r="D101" s="36">
        <f>IF(102.16515="","-",102.16515/1216006.77752*100)</f>
        <v>0.008401692481382544</v>
      </c>
      <c r="E101" s="36">
        <f>IF(59.28131="","-",59.28131/1392193.04092*100)</f>
        <v>0.004258124287191183</v>
      </c>
      <c r="F101" s="25">
        <f>IF(OR(1305605.99556="",93.53451="",102.16515=""),"-",(102.16515-93.53451)/1305605.99556*100)</f>
        <v>0.0006610447584761702</v>
      </c>
      <c r="G101" s="25">
        <f>IF(OR(1216006.77752="",59.28131="",102.16515=""),"-",(59.28131-102.16515)/1216006.77752*100)</f>
        <v>-0.0035266119229581906</v>
      </c>
    </row>
    <row r="102" spans="1:7" ht="15">
      <c r="A102" s="68" t="s">
        <v>242</v>
      </c>
      <c r="B102" s="36">
        <f>IF(57.26004="","-",57.26004)</f>
        <v>57.26004</v>
      </c>
      <c r="C102" s="36" t="s">
        <v>246</v>
      </c>
      <c r="D102" s="36">
        <f>IF(6.47542="","-",6.47542/1216006.77752*100)</f>
        <v>0.0005325151240691582</v>
      </c>
      <c r="E102" s="36">
        <f>IF(57.26004="","-",57.26004/1392193.04092*100)</f>
        <v>0.004112938243259782</v>
      </c>
      <c r="F102" s="25">
        <f>IF(OR(1305605.99556="",5.00715="",6.47542=""),"-",(6.47542-5.00715)/1305605.99556*100)</f>
        <v>0.0001124588892049496</v>
      </c>
      <c r="G102" s="25">
        <f>IF(OR(1216006.77752="",57.26004="",6.47542=""),"-",(57.26004-6.47542)/1216006.77752*100)</f>
        <v>0.004176343498970731</v>
      </c>
    </row>
    <row r="103" spans="1:7" ht="15">
      <c r="A103" s="70" t="s">
        <v>241</v>
      </c>
      <c r="B103" s="36">
        <f>IF(54.8964="","-",54.8964)</f>
        <v>54.8964</v>
      </c>
      <c r="C103" s="36" t="str">
        <f>IF(OR(""="",54.8964=""),"-",54.8964/""*100)</f>
        <v>-</v>
      </c>
      <c r="D103" s="36" t="str">
        <f>IF(""="","-",""/1216006.77752*100)</f>
        <v>-</v>
      </c>
      <c r="E103" s="36">
        <f>IF(54.8964="","-",54.8964/1392193.04092*100)</f>
        <v>0.003943160063759759</v>
      </c>
      <c r="F103" s="25" t="str">
        <f>IF(OR(1305605.99556="",""="",""=""),"-",(""-"")/1305605.99556*100)</f>
        <v>-</v>
      </c>
      <c r="G103" s="25" t="str">
        <f>IF(OR(1216006.77752="",54.8964="",""=""),"-",(54.8964-"")/1216006.77752*100)</f>
        <v>-</v>
      </c>
    </row>
    <row r="104" spans="1:7" ht="15">
      <c r="A104" s="49" t="s">
        <v>28</v>
      </c>
      <c r="B104" s="49"/>
      <c r="C104" s="49"/>
      <c r="D104" s="49"/>
      <c r="E104" s="49"/>
      <c r="F104" s="49"/>
      <c r="G104" s="49"/>
    </row>
  </sheetData>
  <sheetProtection/>
  <mergeCells count="10">
    <mergeCell ref="A104:G104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4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4.875" style="0" customWidth="1"/>
    <col min="2" max="3" width="14.125" style="0" customWidth="1"/>
    <col min="4" max="4" width="16.75390625" style="0" customWidth="1"/>
  </cols>
  <sheetData>
    <row r="1" spans="1:4" ht="15.75">
      <c r="A1" s="50" t="s">
        <v>35</v>
      </c>
      <c r="B1" s="50"/>
      <c r="C1" s="50"/>
      <c r="D1" s="50"/>
    </row>
    <row r="2" ht="15">
      <c r="A2" s="4"/>
    </row>
    <row r="3" spans="1:5" ht="21.75" customHeight="1">
      <c r="A3" s="60"/>
      <c r="B3" s="63" t="s">
        <v>229</v>
      </c>
      <c r="C3" s="55"/>
      <c r="D3" s="56" t="s">
        <v>230</v>
      </c>
      <c r="E3" s="1"/>
    </row>
    <row r="4" spans="1:5" ht="23.25" customHeight="1">
      <c r="A4" s="61"/>
      <c r="B4" s="17">
        <v>2016</v>
      </c>
      <c r="C4" s="16">
        <v>2017</v>
      </c>
      <c r="D4" s="64"/>
      <c r="E4" s="1"/>
    </row>
    <row r="5" spans="1:4" ht="17.25" customHeight="1">
      <c r="A5" s="65" t="s">
        <v>203</v>
      </c>
      <c r="B5" s="31">
        <f>IF(-621030.76267="","-",-621030.76267)</f>
        <v>-621030.76267</v>
      </c>
      <c r="C5" s="31">
        <f>IF(-709768.42981="","-",-709768.42981)</f>
        <v>-709768.42981</v>
      </c>
      <c r="D5" s="39">
        <f>IF(-621030.76267="","-",-709768.42981/-621030.76267*100)</f>
        <v>114.2887715833093</v>
      </c>
    </row>
    <row r="6" spans="1:4" ht="15">
      <c r="A6" s="66" t="s">
        <v>33</v>
      </c>
      <c r="B6" s="34"/>
      <c r="C6" s="38"/>
      <c r="D6" s="40"/>
    </row>
    <row r="7" spans="1:4" ht="15">
      <c r="A7" s="71" t="s">
        <v>4</v>
      </c>
      <c r="B7" s="35">
        <f>IF(-210261.42802="","-",-210261.42802)</f>
        <v>-210261.42802</v>
      </c>
      <c r="C7" s="35">
        <f>IF(-243019.19301="","-",-243019.19301)</f>
        <v>-243019.19301</v>
      </c>
      <c r="D7" s="41">
        <f>IF(-210261.42802="","-",-243019.19301/-210261.42802*100)</f>
        <v>115.57954081187162</v>
      </c>
    </row>
    <row r="8" spans="1:4" ht="15">
      <c r="A8" s="68" t="s">
        <v>7</v>
      </c>
      <c r="B8" s="36">
        <f>IF(-57322.03987="","-",-57322.03987)</f>
        <v>-57322.03987</v>
      </c>
      <c r="C8" s="36">
        <f>IF(-64509.29154="","-",-64509.29154)</f>
        <v>-64509.29154</v>
      </c>
      <c r="D8" s="42">
        <f>IF(OR(-57322.03987="",-64509.29154="",-57322.03987=0),"-",-64509.29154/-57322.03987*100)</f>
        <v>112.53837387207413</v>
      </c>
    </row>
    <row r="9" spans="1:4" ht="15">
      <c r="A9" s="68" t="s">
        <v>6</v>
      </c>
      <c r="B9" s="36">
        <f>IF(-20315.81768="","-",-20315.81768)</f>
        <v>-20315.81768</v>
      </c>
      <c r="C9" s="36">
        <f>IF(-31262.72943="","-",-31262.72943)</f>
        <v>-31262.72943</v>
      </c>
      <c r="D9" s="42">
        <f>IF(OR(-20315.81768="",-31262.72943="",-20315.81768=0),"-",-31262.72943/-20315.81768*100)</f>
        <v>153.88368768822303</v>
      </c>
    </row>
    <row r="10" spans="1:4" ht="15">
      <c r="A10" s="68" t="s">
        <v>204</v>
      </c>
      <c r="B10" s="36">
        <f>IF(-21875.05148="","-",-21875.05148)</f>
        <v>-21875.05148</v>
      </c>
      <c r="C10" s="36">
        <f>IF(-29454.03186="","-",-29454.03186)</f>
        <v>-29454.03186</v>
      </c>
      <c r="D10" s="42">
        <f>IF(OR(-21875.05148="",-29454.03186="",-21875.05148=0),"-",-29454.03186/-21875.05148*100)</f>
        <v>134.64668591490783</v>
      </c>
    </row>
    <row r="11" spans="1:4" ht="15">
      <c r="A11" s="68" t="s">
        <v>127</v>
      </c>
      <c r="B11" s="36">
        <f>IF(-22231.35745="","-",-22231.35745)</f>
        <v>-22231.35745</v>
      </c>
      <c r="C11" s="36">
        <f>IF(-28281.92671="","-",-28281.92671)</f>
        <v>-28281.92671</v>
      </c>
      <c r="D11" s="42">
        <f>IF(OR(-22231.35745="",-28281.92671="",-22231.35745=0),"-",-28281.92671/-22231.35745*100)</f>
        <v>127.21637342032841</v>
      </c>
    </row>
    <row r="12" spans="1:4" ht="15">
      <c r="A12" s="68" t="s">
        <v>5</v>
      </c>
      <c r="B12" s="36">
        <f>IF(-8914.60737="","-",-8914.60737)</f>
        <v>-8914.60737</v>
      </c>
      <c r="C12" s="36">
        <f>IF(-21696.44205="","-",-21696.44205)</f>
        <v>-21696.44205</v>
      </c>
      <c r="D12" s="42" t="s">
        <v>124</v>
      </c>
    </row>
    <row r="13" spans="1:4" ht="15">
      <c r="A13" s="68" t="s">
        <v>8</v>
      </c>
      <c r="B13" s="36">
        <f>IF(-14516.10716="","-",-14516.10716)</f>
        <v>-14516.10716</v>
      </c>
      <c r="C13" s="36">
        <f>IF(-19774.50273="","-",-19774.50273)</f>
        <v>-19774.50273</v>
      </c>
      <c r="D13" s="42">
        <f>IF(OR(-14516.10716="",-19774.50273="",-14516.10716=0),"-",-19774.50273/-14516.10716*100)</f>
        <v>136.22455739710867</v>
      </c>
    </row>
    <row r="14" spans="1:4" ht="15">
      <c r="A14" s="68" t="s">
        <v>11</v>
      </c>
      <c r="B14" s="36">
        <f>IF(-17322.74766="","-",-17322.74766)</f>
        <v>-17322.74766</v>
      </c>
      <c r="C14" s="36">
        <f>IF(-11697.15356="","-",-11697.15356)</f>
        <v>-11697.15356</v>
      </c>
      <c r="D14" s="42">
        <f>IF(OR(-17322.74766="",-11697.15356="",-17322.74766=0),"-",-11697.15356/-17322.74766*100)</f>
        <v>67.5248164412735</v>
      </c>
    </row>
    <row r="15" spans="1:4" ht="15">
      <c r="A15" s="68" t="s">
        <v>10</v>
      </c>
      <c r="B15" s="36">
        <f>IF(-6801.08516="","-",-6801.08516)</f>
        <v>-6801.08516</v>
      </c>
      <c r="C15" s="36">
        <f>IF(-10197.63426="","-",-10197.63426)</f>
        <v>-10197.63426</v>
      </c>
      <c r="D15" s="42">
        <f>IF(OR(-6801.08516="",-10197.63426="",-6801.08516=0),"-",-10197.63426/-6801.08516*100)</f>
        <v>149.94128172334194</v>
      </c>
    </row>
    <row r="16" spans="1:4" ht="15">
      <c r="A16" s="68" t="s">
        <v>125</v>
      </c>
      <c r="B16" s="36">
        <f>IF(-16178.32489="","-",-16178.32489)</f>
        <v>-16178.32489</v>
      </c>
      <c r="C16" s="36">
        <f>IF(-10061.58453="","-",-10061.58453)</f>
        <v>-10061.58453</v>
      </c>
      <c r="D16" s="42">
        <f>IF(OR(-16178.32489="",-10061.58453="",-16178.32489=0),"-",-10061.58453/-16178.32489*100)</f>
        <v>62.1917571714682</v>
      </c>
    </row>
    <row r="17" spans="1:4" ht="15">
      <c r="A17" s="68" t="s">
        <v>126</v>
      </c>
      <c r="B17" s="36">
        <f>IF(-6638.9019="","-",-6638.9019)</f>
        <v>-6638.9019</v>
      </c>
      <c r="C17" s="36">
        <f>IF(-6900.18255="","-",-6900.18255)</f>
        <v>-6900.18255</v>
      </c>
      <c r="D17" s="42">
        <f>IF(OR(-6638.9019="",-6900.18255="",-6638.9019=0),"-",-6900.18255/-6638.9019*100)</f>
        <v>103.9356004040367</v>
      </c>
    </row>
    <row r="18" spans="1:4" ht="15">
      <c r="A18" s="68" t="s">
        <v>13</v>
      </c>
      <c r="B18" s="36">
        <f>IF(-6081.9448="","-",-6081.9448)</f>
        <v>-6081.9448</v>
      </c>
      <c r="C18" s="36">
        <f>IF(-5863.46158="","-",-5863.46158)</f>
        <v>-5863.46158</v>
      </c>
      <c r="D18" s="42">
        <f>IF(OR(-6081.9448="",-5863.46158="",-6081.9448=0),"-",-5863.46158/-6081.9448*100)</f>
        <v>96.40767505814917</v>
      </c>
    </row>
    <row r="19" spans="1:4" ht="15">
      <c r="A19" s="68" t="s">
        <v>135</v>
      </c>
      <c r="B19" s="36">
        <f>IF(-5479.74556="","-",-5479.74556)</f>
        <v>-5479.74556</v>
      </c>
      <c r="C19" s="36">
        <f>IF(-5233.57224="","-",-5233.57224)</f>
        <v>-5233.57224</v>
      </c>
      <c r="D19" s="42">
        <f>IF(OR(-5479.74556="",-5233.57224="",-5479.74556=0),"-",-5233.57224/-5479.74556*100)</f>
        <v>95.50757754526107</v>
      </c>
    </row>
    <row r="20" spans="1:4" ht="15">
      <c r="A20" s="68" t="s">
        <v>137</v>
      </c>
      <c r="B20" s="36">
        <f>IF(-3754.11305="","-",-3754.11305)</f>
        <v>-3754.11305</v>
      </c>
      <c r="C20" s="36">
        <f>IF(-4885.21538="","-",-4885.21538)</f>
        <v>-4885.21538</v>
      </c>
      <c r="D20" s="42">
        <f>IF(OR(-3754.11305="",-4885.21538="",-3754.11305=0),"-",-4885.21538/-3754.11305*100)</f>
        <v>130.12968216287467</v>
      </c>
    </row>
    <row r="21" spans="1:4" ht="15">
      <c r="A21" s="68" t="s">
        <v>129</v>
      </c>
      <c r="B21" s="36">
        <f>IF(-2488.52458="","-",-2488.52458)</f>
        <v>-2488.52458</v>
      </c>
      <c r="C21" s="36">
        <f>IF(-4233.43696="","-",-4233.43696)</f>
        <v>-4233.43696</v>
      </c>
      <c r="D21" s="42" t="s">
        <v>219</v>
      </c>
    </row>
    <row r="22" spans="1:6" ht="15">
      <c r="A22" s="68" t="s">
        <v>133</v>
      </c>
      <c r="B22" s="36">
        <f>IF(-3032.08852="","-",-3032.08852)</f>
        <v>-3032.08852</v>
      </c>
      <c r="C22" s="36">
        <f>IF(-3872.75281="","-",-3872.75281)</f>
        <v>-3872.75281</v>
      </c>
      <c r="D22" s="42">
        <f>IF(OR(-3032.08852="",-3872.75281="",-3032.08852=0),"-",-3872.75281/-3032.08852*100)</f>
        <v>127.72558533350471</v>
      </c>
      <c r="F22" t="s">
        <v>262</v>
      </c>
    </row>
    <row r="23" spans="1:4" ht="15">
      <c r="A23" s="68" t="s">
        <v>136</v>
      </c>
      <c r="B23" s="36">
        <f>IF(-3841.66072="","-",-3841.66072)</f>
        <v>-3841.66072</v>
      </c>
      <c r="C23" s="36">
        <f>IF(-3589.63646="","-",-3589.63646)</f>
        <v>-3589.63646</v>
      </c>
      <c r="D23" s="42">
        <f>IF(OR(-3841.66072="",-3589.63646="",-3841.66072=0),"-",-3589.63646/-3841.66072*100)</f>
        <v>93.43970541989977</v>
      </c>
    </row>
    <row r="24" spans="1:4" ht="15">
      <c r="A24" s="68" t="s">
        <v>134</v>
      </c>
      <c r="B24" s="36">
        <f>IF(-2073.34398="","-",-2073.34398)</f>
        <v>-2073.34398</v>
      </c>
      <c r="C24" s="36">
        <f>IF(-2283.59522="","-",-2283.59522)</f>
        <v>-2283.59522</v>
      </c>
      <c r="D24" s="42">
        <f>IF(OR(-2073.34398="",-2283.59522="",-2073.34398=0),"-",-2283.59522/-2073.34398*100)</f>
        <v>110.14068297533532</v>
      </c>
    </row>
    <row r="25" spans="1:4" ht="15">
      <c r="A25" s="68" t="s">
        <v>138</v>
      </c>
      <c r="B25" s="36">
        <f>IF(-1391.50852="","-",-1391.50852)</f>
        <v>-1391.50852</v>
      </c>
      <c r="C25" s="36">
        <f>IF(-1641.63016="","-",-1641.63016)</f>
        <v>-1641.63016</v>
      </c>
      <c r="D25" s="42">
        <f>IF(OR(-1391.50852="",-1641.63016="",-1391.50852=0),"-",-1641.63016/-1391.50852*100)</f>
        <v>117.97485508748447</v>
      </c>
    </row>
    <row r="26" spans="1:4" ht="15">
      <c r="A26" s="68" t="s">
        <v>131</v>
      </c>
      <c r="B26" s="36">
        <f>IF(-174.83699="","-",-174.83699)</f>
        <v>-174.83699</v>
      </c>
      <c r="C26" s="36">
        <f>IF(-843.00583="","-",-843.00583)</f>
        <v>-843.00583</v>
      </c>
      <c r="D26" s="42" t="s">
        <v>250</v>
      </c>
    </row>
    <row r="27" spans="1:4" ht="15">
      <c r="A27" s="68" t="s">
        <v>128</v>
      </c>
      <c r="B27" s="36">
        <f>IF(-2386.68961="","-",-2386.68961)</f>
        <v>-2386.68961</v>
      </c>
      <c r="C27" s="36">
        <f>IF(-719.03804="","-",-719.03804)</f>
        <v>-719.03804</v>
      </c>
      <c r="D27" s="42">
        <f>IF(OR(-2386.68961="",-719.03804="",-2386.68961=0),"-",-719.03804/-2386.68961*100)</f>
        <v>30.127002564024234</v>
      </c>
    </row>
    <row r="28" spans="1:4" ht="15">
      <c r="A28" s="68" t="s">
        <v>130</v>
      </c>
      <c r="B28" s="36">
        <f>IF(-1125.96195="","-",-1125.96195)</f>
        <v>-1125.96195</v>
      </c>
      <c r="C28" s="36">
        <f>IF(-708.73071="","-",-708.73071)</f>
        <v>-708.73071</v>
      </c>
      <c r="D28" s="42">
        <f>IF(OR(-1125.96195="",-708.73071="",-1125.96195=0),"-",-708.73071/-1125.96195*100)</f>
        <v>62.94446362064012</v>
      </c>
    </row>
    <row r="29" spans="1:4" ht="15">
      <c r="A29" s="68" t="s">
        <v>139</v>
      </c>
      <c r="B29" s="36">
        <f>IF(-311.62989="","-",-311.62989)</f>
        <v>-311.62989</v>
      </c>
      <c r="C29" s="36">
        <f>IF(-658.06503="","-",-658.06503)</f>
        <v>-658.06503</v>
      </c>
      <c r="D29" s="42" t="s">
        <v>187</v>
      </c>
    </row>
    <row r="30" spans="1:4" ht="15">
      <c r="A30" s="68" t="s">
        <v>205</v>
      </c>
      <c r="B30" s="36">
        <f>IF(-347.24675="","-",-347.24675)</f>
        <v>-347.24675</v>
      </c>
      <c r="C30" s="36">
        <f>IF(-336.35807="","-",-336.35807)</f>
        <v>-336.35807</v>
      </c>
      <c r="D30" s="42">
        <f>IF(OR(-347.24675="",-336.35807="",-347.24675=0),"-",-336.35807/-347.24675*100)</f>
        <v>96.86428166714303</v>
      </c>
    </row>
    <row r="31" spans="1:4" ht="15">
      <c r="A31" s="68" t="s">
        <v>140</v>
      </c>
      <c r="B31" s="36">
        <f>IF(-17.1186="","-",-17.1186)</f>
        <v>-17.1186</v>
      </c>
      <c r="C31" s="36">
        <f>IF(-56.94708="","-",-56.94708)</f>
        <v>-56.94708</v>
      </c>
      <c r="D31" s="42" t="s">
        <v>186</v>
      </c>
    </row>
    <row r="32" spans="1:4" ht="15">
      <c r="A32" s="68" t="s">
        <v>132</v>
      </c>
      <c r="B32" s="36">
        <f>IF(597.04709="","-",597.04709)</f>
        <v>597.04709</v>
      </c>
      <c r="C32" s="36">
        <f>IF(816.58616="","-",816.58616)</f>
        <v>816.58616</v>
      </c>
      <c r="D32" s="42">
        <f>IF(OR(597.04709="",816.58616="",597.04709=0),"-",816.58616/597.04709*100)</f>
        <v>136.77081316986235</v>
      </c>
    </row>
    <row r="33" spans="1:4" ht="15">
      <c r="A33" s="68" t="s">
        <v>12</v>
      </c>
      <c r="B33" s="36">
        <f>IF(-1657.79855="","-",-1657.79855)</f>
        <v>-1657.79855</v>
      </c>
      <c r="C33" s="36">
        <f>IF(2503.59361="","-",2503.59361)</f>
        <v>2503.59361</v>
      </c>
      <c r="D33" s="42" t="s">
        <v>34</v>
      </c>
    </row>
    <row r="34" spans="1:4" ht="15">
      <c r="A34" s="68" t="s">
        <v>9</v>
      </c>
      <c r="B34" s="36">
        <f>IF(-2961.94701="","-",-2961.94701)</f>
        <v>-2961.94701</v>
      </c>
      <c r="C34" s="36">
        <f>IF(4121.01224="","-",4121.01224)</f>
        <v>4121.01224</v>
      </c>
      <c r="D34" s="42" t="s">
        <v>34</v>
      </c>
    </row>
    <row r="35" spans="1:4" ht="15">
      <c r="A35" s="68" t="s">
        <v>214</v>
      </c>
      <c r="B35" s="36">
        <f>IF(18383.72459="","-",18383.72459)</f>
        <v>18383.72459</v>
      </c>
      <c r="C35" s="36">
        <f>IF(18300.53977="","-",18300.53977)</f>
        <v>18300.53977</v>
      </c>
      <c r="D35" s="42">
        <f>IF(OR(18383.72459="",18300.53977="",18383.72459=0),"-",18300.53977/18383.72459*100)</f>
        <v>99.54750834308489</v>
      </c>
    </row>
    <row r="36" spans="1:4" ht="15">
      <c r="A36" s="71" t="s">
        <v>14</v>
      </c>
      <c r="B36" s="35">
        <f>IF(-211233.01106="","-",-211233.01106)</f>
        <v>-211233.01106</v>
      </c>
      <c r="C36" s="35">
        <f>IF(-221376.5877="","-",-221376.5877)</f>
        <v>-221376.5877</v>
      </c>
      <c r="D36" s="41">
        <f>IF(-211233.01106="","-",-221376.5877/-211233.01106*100)</f>
        <v>104.80207927212606</v>
      </c>
    </row>
    <row r="37" spans="1:4" ht="15">
      <c r="A37" s="68" t="s">
        <v>215</v>
      </c>
      <c r="B37" s="36">
        <f>IF(-134544.5915="","-",-134544.5915)</f>
        <v>-134544.5915</v>
      </c>
      <c r="C37" s="36">
        <f>IF(-116875.60842="","-",-116875.60842)</f>
        <v>-116875.60842</v>
      </c>
      <c r="D37" s="42">
        <f>IF(OR(-134544.5915="",-116875.60842="",-134544.5915=0),"-",-116875.60842/-134544.5915*100)</f>
        <v>86.86756347244177</v>
      </c>
    </row>
    <row r="38" spans="1:4" ht="15">
      <c r="A38" s="68" t="s">
        <v>16</v>
      </c>
      <c r="B38" s="36">
        <f>IF(-90428.75978="","-",-90428.75978)</f>
        <v>-90428.75978</v>
      </c>
      <c r="C38" s="36">
        <f>IF(-111829.17983="","-",-111829.17983)</f>
        <v>-111829.17983</v>
      </c>
      <c r="D38" s="42">
        <f>IF(OR(-90428.75978="",-111829.17983="",-90428.75978=0),"-",-111829.17983/-90428.75978*100)</f>
        <v>123.6655021058169</v>
      </c>
    </row>
    <row r="39" spans="1:4" ht="15">
      <c r="A39" s="68" t="s">
        <v>22</v>
      </c>
      <c r="B39" s="36">
        <f>IF(191.28084="","-",191.28084)</f>
        <v>191.28084</v>
      </c>
      <c r="C39" s="36">
        <f>IF(-23.75149="","-",-23.75149)</f>
        <v>-23.75149</v>
      </c>
      <c r="D39" s="42" t="s">
        <v>34</v>
      </c>
    </row>
    <row r="40" spans="1:4" ht="15">
      <c r="A40" s="68" t="s">
        <v>21</v>
      </c>
      <c r="B40" s="36">
        <f>IF(368.17919="","-",368.17919)</f>
        <v>368.17919</v>
      </c>
      <c r="C40" s="36">
        <f>IF(111.83787="","-",111.83787)</f>
        <v>111.83787</v>
      </c>
      <c r="D40" s="42">
        <f>IF(OR(368.17919="",111.83787="",368.17919=0),"-",111.83787/368.17919*100)</f>
        <v>30.375934609449274</v>
      </c>
    </row>
    <row r="41" spans="1:4" ht="15">
      <c r="A41" s="68" t="s">
        <v>20</v>
      </c>
      <c r="B41" s="36">
        <f>IF(336.80114="","-",336.80114)</f>
        <v>336.80114</v>
      </c>
      <c r="C41" s="36">
        <f>IF(172.556="","-",172.556)</f>
        <v>172.556</v>
      </c>
      <c r="D41" s="42">
        <f>IF(OR(336.80114="",172.556="",336.80114=0),"-",172.556/336.80114*100)</f>
        <v>51.23379332979693</v>
      </c>
    </row>
    <row r="42" spans="1:4" ht="15">
      <c r="A42" s="68" t="s">
        <v>23</v>
      </c>
      <c r="B42" s="36">
        <f>IF(235.95496="","-",235.95496)</f>
        <v>235.95496</v>
      </c>
      <c r="C42" s="36">
        <f>IF(179.76023="","-",179.76023)</f>
        <v>179.76023</v>
      </c>
      <c r="D42" s="42">
        <f>IF(OR(235.95496="",179.76023="",235.95496=0),"-",179.76023/235.95496*100)</f>
        <v>76.1841285302924</v>
      </c>
    </row>
    <row r="43" spans="1:4" ht="15">
      <c r="A43" s="68" t="s">
        <v>19</v>
      </c>
      <c r="B43" s="36">
        <f>IF(181.21752="","-",181.21752)</f>
        <v>181.21752</v>
      </c>
      <c r="C43" s="36">
        <f>IF(337.89764="","-",337.89764)</f>
        <v>337.89764</v>
      </c>
      <c r="D43" s="42" t="s">
        <v>221</v>
      </c>
    </row>
    <row r="44" spans="1:4" ht="15">
      <c r="A44" s="68" t="s">
        <v>18</v>
      </c>
      <c r="B44" s="36">
        <f>IF(883.79229="","-",883.79229)</f>
        <v>883.79229</v>
      </c>
      <c r="C44" s="36">
        <f>IF(1094.7446="","-",1094.7446)</f>
        <v>1094.7446</v>
      </c>
      <c r="D44" s="42">
        <f>IF(OR(883.79229="",1094.7446="",883.79229=0),"-",1094.7446/883.79229*100)</f>
        <v>123.86899188722273</v>
      </c>
    </row>
    <row r="45" spans="1:4" ht="15">
      <c r="A45" s="68" t="s">
        <v>17</v>
      </c>
      <c r="B45" s="36">
        <f>IF(1544.21076="","-",1544.21076)</f>
        <v>1544.21076</v>
      </c>
      <c r="C45" s="36">
        <f>IF(2309.84747="","-",2309.84747)</f>
        <v>2309.84747</v>
      </c>
      <c r="D45" s="42">
        <f>IF(OR(1544.21076="",2309.84747="",1544.21076=0),"-",2309.84747/1544.21076*100)</f>
        <v>149.58110186979917</v>
      </c>
    </row>
    <row r="46" spans="1:4" ht="15">
      <c r="A46" s="68" t="s">
        <v>15</v>
      </c>
      <c r="B46" s="36">
        <f>IF(9998.90352="","-",9998.90352)</f>
        <v>9998.90352</v>
      </c>
      <c r="C46" s="36">
        <f>IF(3145.30823="","-",3145.30823)</f>
        <v>3145.30823</v>
      </c>
      <c r="D46" s="42">
        <f>IF(OR(9998.90352="",3145.30823="",9998.90352=0),"-",3145.30823/9998.90352*100)</f>
        <v>31.456531445759968</v>
      </c>
    </row>
    <row r="47" spans="1:4" ht="15">
      <c r="A47" s="67" t="s">
        <v>24</v>
      </c>
      <c r="B47" s="35">
        <f>IF(-199536.32359="","-",-199536.32359)</f>
        <v>-199536.32359</v>
      </c>
      <c r="C47" s="35">
        <f>IF(-245372.6491="","-",-245372.6491)</f>
        <v>-245372.6491</v>
      </c>
      <c r="D47" s="41">
        <f>IF(-199536.32359="","-",-245372.6491/-199536.32359*100)</f>
        <v>122.97141928112438</v>
      </c>
    </row>
    <row r="48" spans="1:4" ht="15">
      <c r="A48" s="68" t="s">
        <v>144</v>
      </c>
      <c r="B48" s="36">
        <f>IF(-102183.0842="","-",-102183.0842)</f>
        <v>-102183.0842</v>
      </c>
      <c r="C48" s="36">
        <f>IF(-129137.50728="","-",-129137.50728)</f>
        <v>-129137.50728</v>
      </c>
      <c r="D48" s="42">
        <f>IF(OR(-102183.0842="",-129137.50728="",-102183.0842=0),"-",-129137.50728/-102183.0842*100)</f>
        <v>126.37855697058713</v>
      </c>
    </row>
    <row r="49" spans="1:4" ht="15">
      <c r="A49" s="68" t="s">
        <v>141</v>
      </c>
      <c r="B49" s="36">
        <f>IF(-64699.4169="","-",-64699.4169)</f>
        <v>-64699.4169</v>
      </c>
      <c r="C49" s="36">
        <f>IF(-61335.90718="","-",-61335.90718)</f>
        <v>-61335.90718</v>
      </c>
      <c r="D49" s="42">
        <f>IF(OR(-64699.4169="",-61335.90718="",-64699.4169=0),"-",-61335.90718/-64699.4169*100)</f>
        <v>94.80132916004689</v>
      </c>
    </row>
    <row r="50" spans="1:4" ht="15">
      <c r="A50" s="68" t="s">
        <v>25</v>
      </c>
      <c r="B50" s="36">
        <f>IF(-11003.30245="","-",-11003.30245)</f>
        <v>-11003.30245</v>
      </c>
      <c r="C50" s="36">
        <f>IF(-23361.28354="","-",-23361.28354)</f>
        <v>-23361.28354</v>
      </c>
      <c r="D50" s="42" t="s">
        <v>187</v>
      </c>
    </row>
    <row r="51" spans="1:4" ht="15">
      <c r="A51" s="68" t="s">
        <v>156</v>
      </c>
      <c r="B51" s="36">
        <f>IF(-8067.1046="","-",-8067.1046)</f>
        <v>-8067.1046</v>
      </c>
      <c r="C51" s="36">
        <f>IF(-9026.98286="","-",-9026.98286)</f>
        <v>-9026.98286</v>
      </c>
      <c r="D51" s="42">
        <f>IF(OR(-8067.1046="",-9026.98286="",-8067.1046=0),"-",-9026.98286/-8067.1046*100)</f>
        <v>111.89867130271251</v>
      </c>
    </row>
    <row r="52" spans="1:4" ht="15">
      <c r="A52" s="68" t="s">
        <v>163</v>
      </c>
      <c r="B52" s="36">
        <f>IF(-9070.48396="","-",-9070.48396)</f>
        <v>-9070.48396</v>
      </c>
      <c r="C52" s="36">
        <f>IF(-8489.98885="","-",-8489.98885)</f>
        <v>-8489.98885</v>
      </c>
      <c r="D52" s="42">
        <f>IF(OR(-9070.48396="",-8489.98885="",-9070.48396=0),"-",-8489.98885/-9070.48396*100)</f>
        <v>93.60017489077838</v>
      </c>
    </row>
    <row r="53" spans="1:4" ht="15">
      <c r="A53" s="68" t="s">
        <v>159</v>
      </c>
      <c r="B53" s="36">
        <f>IF(-3322.491="","-",-3322.491)</f>
        <v>-3322.491</v>
      </c>
      <c r="C53" s="36">
        <f>IF(-8113.61224="","-",-8113.61224)</f>
        <v>-8113.61224</v>
      </c>
      <c r="D53" s="42" t="s">
        <v>124</v>
      </c>
    </row>
    <row r="54" spans="1:4" ht="15">
      <c r="A54" s="68" t="s">
        <v>116</v>
      </c>
      <c r="B54" s="36">
        <f>IF(-6211.33728="","-",-6211.33728)</f>
        <v>-6211.33728</v>
      </c>
      <c r="C54" s="36">
        <f>IF(-7105.40924="","-",-7105.40924)</f>
        <v>-7105.40924</v>
      </c>
      <c r="D54" s="42">
        <f>IF(OR(-6211.33728="",-7105.40924="",-6211.33728=0),"-",-7105.40924/-6211.33728*100)</f>
        <v>114.39419435294296</v>
      </c>
    </row>
    <row r="55" spans="1:4" ht="15">
      <c r="A55" s="68" t="s">
        <v>168</v>
      </c>
      <c r="B55" s="36">
        <f>IF(-3862.44079="","-",-3862.44079)</f>
        <v>-3862.44079</v>
      </c>
      <c r="C55" s="36">
        <f>IF(-4703.29795="","-",-4703.29795)</f>
        <v>-4703.29795</v>
      </c>
      <c r="D55" s="42">
        <f>IF(OR(-3862.44079="",-4703.29795="",-3862.44079=0),"-",-4703.29795/-3862.44079*100)</f>
        <v>121.77009838382533</v>
      </c>
    </row>
    <row r="56" spans="1:4" ht="15">
      <c r="A56" s="68" t="s">
        <v>157</v>
      </c>
      <c r="B56" s="36">
        <f>IF(-3165.3754="","-",-3165.3754)</f>
        <v>-3165.3754</v>
      </c>
      <c r="C56" s="36">
        <f>IF(-4577.78773="","-",-4577.78773)</f>
        <v>-4577.78773</v>
      </c>
      <c r="D56" s="42">
        <f>IF(OR(-3165.3754="",-4577.78773="",-3165.3754=0),"-",-4577.78773/-3165.3754*100)</f>
        <v>144.62068953969884</v>
      </c>
    </row>
    <row r="57" spans="1:4" ht="15">
      <c r="A57" s="68" t="s">
        <v>158</v>
      </c>
      <c r="B57" s="36">
        <f>IF(-1763.48232="","-",-1763.48232)</f>
        <v>-1763.48232</v>
      </c>
      <c r="C57" s="36">
        <f>IF(-2555.97572="","-",-2555.97572)</f>
        <v>-2555.97572</v>
      </c>
      <c r="D57" s="42">
        <f>IF(OR(-1763.48232="",-2555.97572="",-1763.48232=0),"-",-2555.97572/-1763.48232*100)</f>
        <v>144.93911796064958</v>
      </c>
    </row>
    <row r="58" spans="1:4" ht="15">
      <c r="A58" s="68" t="s">
        <v>151</v>
      </c>
      <c r="B58" s="36">
        <f>IF(-887.51621="","-",-887.51621)</f>
        <v>-887.51621</v>
      </c>
      <c r="C58" s="36">
        <f>IF(-2471.65808="","-",-2471.65808)</f>
        <v>-2471.65808</v>
      </c>
      <c r="D58" s="42" t="s">
        <v>188</v>
      </c>
    </row>
    <row r="59" spans="1:4" ht="15">
      <c r="A59" s="68" t="s">
        <v>169</v>
      </c>
      <c r="B59" s="36">
        <f>IF(-2029.23966="","-",-2029.23966)</f>
        <v>-2029.23966</v>
      </c>
      <c r="C59" s="36">
        <f>IF(-2423.7299="","-",-2423.7299)</f>
        <v>-2423.7299</v>
      </c>
      <c r="D59" s="42">
        <f>IF(OR(-2029.23966="",-2423.7299="",-2029.23966=0),"-",-2423.7299/-2029.23966*100)</f>
        <v>119.44029814595677</v>
      </c>
    </row>
    <row r="60" spans="1:4" ht="15">
      <c r="A60" s="68" t="s">
        <v>153</v>
      </c>
      <c r="B60" s="36">
        <f>IF(-4296.9478="","-",-4296.9478)</f>
        <v>-4296.9478</v>
      </c>
      <c r="C60" s="36">
        <f>IF(-2336.20434="","-",-2336.20434)</f>
        <v>-2336.20434</v>
      </c>
      <c r="D60" s="42">
        <f>IF(OR(-4296.9478="",-2336.20434="",-4296.9478=0),"-",-2336.20434/-4296.9478*100)</f>
        <v>54.368925310193426</v>
      </c>
    </row>
    <row r="61" spans="1:7" ht="15">
      <c r="A61" s="68" t="s">
        <v>149</v>
      </c>
      <c r="B61" s="36">
        <f>IF(792.46031="","-",792.46031)</f>
        <v>792.46031</v>
      </c>
      <c r="C61" s="36">
        <f>IF(-2250.45915="","-",-2250.45915)</f>
        <v>-2250.45915</v>
      </c>
      <c r="D61" s="42" t="s">
        <v>34</v>
      </c>
      <c r="E61" s="1"/>
      <c r="F61" s="1"/>
      <c r="G61" s="1"/>
    </row>
    <row r="62" spans="1:4" ht="15">
      <c r="A62" s="68" t="s">
        <v>165</v>
      </c>
      <c r="B62" s="36">
        <f>IF(-1622.78588="","-",-1622.78588)</f>
        <v>-1622.78588</v>
      </c>
      <c r="C62" s="36">
        <f>IF(-2198.02562="","-",-2198.02562)</f>
        <v>-2198.02562</v>
      </c>
      <c r="D62" s="42">
        <f>IF(OR(-1622.78588="",-2198.02562="",-1622.78588=0),"-",-2198.02562/-1622.78588*100)</f>
        <v>135.4476673164053</v>
      </c>
    </row>
    <row r="63" spans="1:4" ht="15">
      <c r="A63" s="68" t="s">
        <v>147</v>
      </c>
      <c r="B63" s="36">
        <f>IF(-4824.47475="","-",-4824.47475)</f>
        <v>-4824.47475</v>
      </c>
      <c r="C63" s="36">
        <f>IF(-2021.17961="","-",-2021.17961)</f>
        <v>-2021.17961</v>
      </c>
      <c r="D63" s="42">
        <f>IF(OR(-4824.47475="",-2021.17961="",-4824.47475=0),"-",-2021.17961/-4824.47475*100)</f>
        <v>41.89429346686911</v>
      </c>
    </row>
    <row r="64" spans="1:4" ht="15">
      <c r="A64" s="68" t="s">
        <v>171</v>
      </c>
      <c r="B64" s="36">
        <f>IF(-1588.36239="","-",-1588.36239)</f>
        <v>-1588.36239</v>
      </c>
      <c r="C64" s="36">
        <f>IF(-1630.6236="","-",-1630.6236)</f>
        <v>-1630.6236</v>
      </c>
      <c r="D64" s="42">
        <f>IF(OR(-1588.36239="",-1630.6236="",-1588.36239=0),"-",-1630.6236/-1588.36239*100)</f>
        <v>102.6606780836708</v>
      </c>
    </row>
    <row r="65" spans="1:4" ht="15">
      <c r="A65" s="68" t="s">
        <v>172</v>
      </c>
      <c r="B65" s="36">
        <f>IF(-1474.35511="","-",-1474.35511)</f>
        <v>-1474.35511</v>
      </c>
      <c r="C65" s="36">
        <f>IF(-1576.42372="","-",-1576.42372)</f>
        <v>-1576.42372</v>
      </c>
      <c r="D65" s="42">
        <f>IF(OR(-1474.35511="",-1576.42372="",-1474.35511=0),"-",-1576.42372/-1474.35511*100)</f>
        <v>106.92293256269856</v>
      </c>
    </row>
    <row r="66" spans="1:4" ht="15">
      <c r="A66" s="68" t="s">
        <v>176</v>
      </c>
      <c r="B66" s="36">
        <f>IF(-438.94554="","-",-438.94554)</f>
        <v>-438.94554</v>
      </c>
      <c r="C66" s="36">
        <f>IF(-1057.21879="","-",-1057.21879)</f>
        <v>-1057.21879</v>
      </c>
      <c r="D66" s="42" t="s">
        <v>124</v>
      </c>
    </row>
    <row r="67" spans="1:4" ht="15">
      <c r="A67" s="68" t="s">
        <v>173</v>
      </c>
      <c r="B67" s="36">
        <f>IF(-1207.72298="","-",-1207.72298)</f>
        <v>-1207.72298</v>
      </c>
      <c r="C67" s="36">
        <f>IF(-1026.25254="","-",-1026.25254)</f>
        <v>-1026.25254</v>
      </c>
      <c r="D67" s="42">
        <f>IF(OR(-1207.72298="",-1026.25254="",-1207.72298=0),"-",-1026.25254/-1207.72298*100)</f>
        <v>84.9741668408098</v>
      </c>
    </row>
    <row r="68" spans="1:7" ht="15">
      <c r="A68" s="68" t="s">
        <v>152</v>
      </c>
      <c r="B68" s="36">
        <f>IF(358.68698="","-",358.68698)</f>
        <v>358.68698</v>
      </c>
      <c r="C68" s="36">
        <f>IF(-1024.85986="","-",-1024.85986)</f>
        <v>-1024.85986</v>
      </c>
      <c r="D68" s="42" t="s">
        <v>34</v>
      </c>
      <c r="E68" s="1"/>
      <c r="F68" s="1"/>
      <c r="G68" s="1"/>
    </row>
    <row r="69" spans="1:4" ht="15">
      <c r="A69" s="68" t="s">
        <v>170</v>
      </c>
      <c r="B69" s="36">
        <f>IF(-1691.42055="","-",-1691.42055)</f>
        <v>-1691.42055</v>
      </c>
      <c r="C69" s="36">
        <f>IF(-999.85614="","-",-999.85614)</f>
        <v>-999.85614</v>
      </c>
      <c r="D69" s="42">
        <f>IF(OR(-1691.42055="",-999.85614="",-1691.42055=0),"-",-999.85614/-1691.42055*100)</f>
        <v>59.11339672442788</v>
      </c>
    </row>
    <row r="70" spans="1:4" ht="15">
      <c r="A70" s="68" t="s">
        <v>174</v>
      </c>
      <c r="B70" s="36">
        <f>IF(-896.76273="","-",-896.76273)</f>
        <v>-896.76273</v>
      </c>
      <c r="C70" s="36">
        <f>IF(-959.48463="","-",-959.48463)</f>
        <v>-959.48463</v>
      </c>
      <c r="D70" s="42">
        <f>IF(OR(-896.76273="",-959.48463="",-896.76273=0),"-",-959.48463/-896.76273*100)</f>
        <v>106.99425811329158</v>
      </c>
    </row>
    <row r="71" spans="1:4" ht="15">
      <c r="A71" s="68" t="s">
        <v>161</v>
      </c>
      <c r="B71" s="36">
        <f>IF(-943.66847="","-",-943.66847)</f>
        <v>-943.66847</v>
      </c>
      <c r="C71" s="36">
        <f>IF(-786.29099="","-",-786.29099)</f>
        <v>-786.29099</v>
      </c>
      <c r="D71" s="42">
        <f>IF(OR(-943.66847="",-786.29099="",-943.66847=0),"-",-786.29099/-943.66847*100)</f>
        <v>83.3227997964158</v>
      </c>
    </row>
    <row r="72" spans="1:4" ht="15">
      <c r="A72" s="68" t="s">
        <v>160</v>
      </c>
      <c r="B72" s="36">
        <f>IF(-94.49654="","-",-94.49654)</f>
        <v>-94.49654</v>
      </c>
      <c r="C72" s="36">
        <f>IF(-754.17773="","-",-754.17773)</f>
        <v>-754.17773</v>
      </c>
      <c r="D72" s="42" t="s">
        <v>252</v>
      </c>
    </row>
    <row r="73" spans="1:4" ht="15">
      <c r="A73" s="68" t="s">
        <v>146</v>
      </c>
      <c r="B73" s="36">
        <f>IF(-124.17271="","-",-124.17271)</f>
        <v>-124.17271</v>
      </c>
      <c r="C73" s="36">
        <f>IF(-686.03946="","-",-686.03946)</f>
        <v>-686.03946</v>
      </c>
      <c r="D73" s="42" t="s">
        <v>251</v>
      </c>
    </row>
    <row r="74" spans="1:4" ht="15">
      <c r="A74" s="68" t="s">
        <v>177</v>
      </c>
      <c r="B74" s="36">
        <f>IF(-604.7577="","-",-604.7577)</f>
        <v>-604.7577</v>
      </c>
      <c r="C74" s="36">
        <f>IF(-561.69655="","-",-561.69655)</f>
        <v>-561.69655</v>
      </c>
      <c r="D74" s="42">
        <f>IF(OR(-604.7577="",-561.69655="",-604.7577=0),"-",-561.69655/-604.7577*100)</f>
        <v>92.87960285582143</v>
      </c>
    </row>
    <row r="75" spans="1:4" ht="15">
      <c r="A75" s="68" t="s">
        <v>123</v>
      </c>
      <c r="B75" s="36">
        <f>IF(-1191.81384="","-",-1191.81384)</f>
        <v>-1191.81384</v>
      </c>
      <c r="C75" s="36">
        <f>IF(-536.11179="","-",-536.11179)</f>
        <v>-536.11179</v>
      </c>
      <c r="D75" s="42">
        <f>IF(OR(-1191.81384="",-536.11179="",-1191.81384=0),"-",-536.11179/-1191.81384*100)</f>
        <v>44.98284648213181</v>
      </c>
    </row>
    <row r="76" spans="1:7" ht="15">
      <c r="A76" s="68" t="s">
        <v>182</v>
      </c>
      <c r="B76" s="36">
        <f>IF(-302.40973="","-",-302.40973)</f>
        <v>-302.40973</v>
      </c>
      <c r="C76" s="36">
        <f>IF(-528.41731="","-",-528.41731)</f>
        <v>-528.41731</v>
      </c>
      <c r="D76" s="42" t="s">
        <v>219</v>
      </c>
      <c r="E76" s="28"/>
      <c r="F76" s="28"/>
      <c r="G76" s="28"/>
    </row>
    <row r="77" spans="1:4" ht="15">
      <c r="A77" s="68" t="s">
        <v>178</v>
      </c>
      <c r="B77" s="36">
        <f>IF(-446.0156="","-",-446.0156)</f>
        <v>-446.0156</v>
      </c>
      <c r="C77" s="36">
        <f>IF(-412.009="","-",-412.009)</f>
        <v>-412.009</v>
      </c>
      <c r="D77" s="42">
        <f>IF(OR(-446.0156="",-412.009="",-446.0156=0),"-",-412.009/-446.0156*100)</f>
        <v>92.3754684813715</v>
      </c>
    </row>
    <row r="78" spans="1:4" ht="15">
      <c r="A78" s="68" t="s">
        <v>183</v>
      </c>
      <c r="B78" s="36">
        <f>IF(-341.33354="","-",-341.33354)</f>
        <v>-341.33354</v>
      </c>
      <c r="C78" s="36">
        <f>IF(-402.8623="","-",-402.8623)</f>
        <v>-402.8623</v>
      </c>
      <c r="D78" s="42">
        <f>IF(OR(-341.33354="",-402.8623="",-341.33354=0),"-",-402.8623/-341.33354*100)</f>
        <v>118.02599299207455</v>
      </c>
    </row>
    <row r="79" spans="1:4" ht="15">
      <c r="A79" s="68" t="s">
        <v>175</v>
      </c>
      <c r="B79" s="36">
        <f>IF(-313.45464="","-",-313.45464)</f>
        <v>-313.45464</v>
      </c>
      <c r="C79" s="36">
        <f>IF(-385.55024="","-",-385.55024)</f>
        <v>-385.55024</v>
      </c>
      <c r="D79" s="42">
        <f>IF(OR(-313.45464="",-385.55024="",-313.45464=0),"-",-385.55024/-313.45464*100)</f>
        <v>123.00032948945979</v>
      </c>
    </row>
    <row r="80" spans="1:4" ht="15">
      <c r="A80" s="68" t="s">
        <v>247</v>
      </c>
      <c r="B80" s="36">
        <f>IF(-410.90492="","-",-410.90492)</f>
        <v>-410.90492</v>
      </c>
      <c r="C80" s="36">
        <f>IF(-340.55481="","-",-340.55481)</f>
        <v>-340.55481</v>
      </c>
      <c r="D80" s="42">
        <f>IF(OR(-410.90492="",-340.55481="",-410.90492=0),"-",-340.55481/-410.90492*100)</f>
        <v>82.87922422539987</v>
      </c>
    </row>
    <row r="81" spans="1:4" ht="15">
      <c r="A81" s="68" t="s">
        <v>185</v>
      </c>
      <c r="B81" s="36">
        <f>IF(-150.43486="","-",-150.43486)</f>
        <v>-150.43486</v>
      </c>
      <c r="C81" s="36">
        <f>IF(-316.58058="","-",-316.58058)</f>
        <v>-316.58058</v>
      </c>
      <c r="D81" s="42" t="s">
        <v>187</v>
      </c>
    </row>
    <row r="82" spans="1:4" ht="15">
      <c r="A82" s="68" t="s">
        <v>181</v>
      </c>
      <c r="B82" s="36">
        <f>IF(-299.15059="","-",-299.15059)</f>
        <v>-299.15059</v>
      </c>
      <c r="C82" s="36">
        <f>IF(-281.95977="","-",-281.95977)</f>
        <v>-281.95977</v>
      </c>
      <c r="D82" s="42">
        <f>IF(OR(-299.15059="",-281.95977="",-299.15059=0),"-",-281.95977/-299.15059*100)</f>
        <v>94.25345609380211</v>
      </c>
    </row>
    <row r="83" spans="1:4" ht="15">
      <c r="A83" s="68" t="s">
        <v>167</v>
      </c>
      <c r="B83" s="36">
        <f>IF(-53.21855="","-",-53.21855)</f>
        <v>-53.21855</v>
      </c>
      <c r="C83" s="36">
        <f>IF(-249.19894="","-",-249.19894)</f>
        <v>-249.19894</v>
      </c>
      <c r="D83" s="42" t="s">
        <v>253</v>
      </c>
    </row>
    <row r="84" spans="1:4" ht="15">
      <c r="A84" s="68" t="s">
        <v>122</v>
      </c>
      <c r="B84" s="36">
        <f>IF(-1098.16862="","-",-1098.16862)</f>
        <v>-1098.16862</v>
      </c>
      <c r="C84" s="36">
        <f>IF(-244.06676="","-",-244.06676)</f>
        <v>-244.06676</v>
      </c>
      <c r="D84" s="42">
        <f>IF(OR(-1098.16862="",-244.06676="",-1098.16862=0),"-",-244.06676/-1098.16862*100)</f>
        <v>22.22488928885985</v>
      </c>
    </row>
    <row r="85" spans="1:4" ht="15">
      <c r="A85" s="68" t="s">
        <v>179</v>
      </c>
      <c r="B85" s="36">
        <f>IF(-302.64059="","-",-302.64059)</f>
        <v>-302.64059</v>
      </c>
      <c r="C85" s="36">
        <f>IF(-226.05721="","-",-226.05721)</f>
        <v>-226.05721</v>
      </c>
      <c r="D85" s="42">
        <f>IF(OR(-302.64059="",-226.05721="",-302.64059=0),"-",-226.05721/-302.64059*100)</f>
        <v>74.6949409528973</v>
      </c>
    </row>
    <row r="86" spans="1:4" ht="15">
      <c r="A86" s="68" t="s">
        <v>184</v>
      </c>
      <c r="B86" s="36">
        <f>IF(-48.74653="","-",-48.74653)</f>
        <v>-48.74653</v>
      </c>
      <c r="C86" s="36">
        <f>IF(-219.36625="","-",-219.36625)</f>
        <v>-219.36625</v>
      </c>
      <c r="D86" s="42" t="s">
        <v>254</v>
      </c>
    </row>
    <row r="87" spans="1:4" ht="15">
      <c r="A87" s="68" t="s">
        <v>195</v>
      </c>
      <c r="B87" s="36">
        <f>IF(-145.21336="","-",-145.21336)</f>
        <v>-145.21336</v>
      </c>
      <c r="C87" s="36">
        <f>IF(-209.5232="","-",-209.5232)</f>
        <v>-209.5232</v>
      </c>
      <c r="D87" s="42">
        <f>IF(OR(-145.21336="",-209.5232="",-145.21336=0),"-",-209.5232/-145.21336*100)</f>
        <v>144.28644857470417</v>
      </c>
    </row>
    <row r="88" spans="1:4" ht="15">
      <c r="A88" s="68" t="s">
        <v>155</v>
      </c>
      <c r="B88" s="36">
        <f>IF(28.22058="","-",28.22058)</f>
        <v>28.22058</v>
      </c>
      <c r="C88" s="36">
        <f>IF(-155.34667="","-",-155.34667)</f>
        <v>-155.34667</v>
      </c>
      <c r="D88" s="42" t="s">
        <v>34</v>
      </c>
    </row>
    <row r="89" spans="1:4" ht="15">
      <c r="A89" s="68" t="s">
        <v>194</v>
      </c>
      <c r="B89" s="36">
        <f>IF(-70.87964="","-",-70.87964)</f>
        <v>-70.87964</v>
      </c>
      <c r="C89" s="36">
        <f>IF(-120.97364="","-",-120.97364)</f>
        <v>-120.97364</v>
      </c>
      <c r="D89" s="42" t="s">
        <v>219</v>
      </c>
    </row>
    <row r="90" spans="1:4" ht="15">
      <c r="A90" s="68" t="s">
        <v>196</v>
      </c>
      <c r="B90" s="36">
        <f>IF(-32.41732="","-",-32.41732)</f>
        <v>-32.41732</v>
      </c>
      <c r="C90" s="36">
        <f>IF(-85.56364="","-",-85.56364)</f>
        <v>-85.56364</v>
      </c>
      <c r="D90" s="42" t="s">
        <v>202</v>
      </c>
    </row>
    <row r="91" spans="1:4" ht="15">
      <c r="A91" s="68" t="s">
        <v>216</v>
      </c>
      <c r="B91" s="36">
        <f>IF(-69.74728="","-",-69.74728)</f>
        <v>-69.74728</v>
      </c>
      <c r="C91" s="36">
        <f>IF(-81.32838="","-",-81.32838)</f>
        <v>-81.32838</v>
      </c>
      <c r="D91" s="42">
        <f>IF(OR(-69.74728="",-81.32838="",-69.74728=0),"-",-81.32838/-69.74728*100)</f>
        <v>116.60437510968168</v>
      </c>
    </row>
    <row r="92" spans="1:4" ht="15">
      <c r="A92" s="68" t="s">
        <v>239</v>
      </c>
      <c r="B92" s="36">
        <f>IF(-19.11524="","-",-19.11524)</f>
        <v>-19.11524</v>
      </c>
      <c r="C92" s="36">
        <f>IF(-61.87727="","-",-61.87727)</f>
        <v>-61.87727</v>
      </c>
      <c r="D92" s="42" t="s">
        <v>36</v>
      </c>
    </row>
    <row r="93" spans="1:4" ht="15">
      <c r="A93" s="68" t="s">
        <v>248</v>
      </c>
      <c r="B93" s="36">
        <f>IF(-6.47542="","-",-6.47542)</f>
        <v>-6.47542</v>
      </c>
      <c r="C93" s="36">
        <f>IF(-57.26004="","-",-57.26004)</f>
        <v>-57.26004</v>
      </c>
      <c r="D93" s="42" t="s">
        <v>246</v>
      </c>
    </row>
    <row r="94" spans="1:4" ht="15">
      <c r="A94" s="68" t="s">
        <v>241</v>
      </c>
      <c r="B94" s="36">
        <f>IF(6.13345="","-",6.13345)</f>
        <v>6.13345</v>
      </c>
      <c r="C94" s="36">
        <f>IF(-54.8964="","-",-54.8964)</f>
        <v>-54.8964</v>
      </c>
      <c r="D94" s="42" t="s">
        <v>34</v>
      </c>
    </row>
    <row r="95" spans="1:4" ht="15">
      <c r="A95" s="68" t="s">
        <v>240</v>
      </c>
      <c r="B95" s="36">
        <f>IF(-96.27096="","-",-96.27096)</f>
        <v>-96.27096</v>
      </c>
      <c r="C95" s="36">
        <f>IF(-28.74032="","-",-28.74032)</f>
        <v>-28.74032</v>
      </c>
      <c r="D95" s="42">
        <f>IF(OR(-96.27096="",-28.74032="",-96.27096=0),"-",-28.74032/-96.27096*100)</f>
        <v>29.853571627414954</v>
      </c>
    </row>
    <row r="96" spans="1:7" ht="15">
      <c r="A96" s="68" t="s">
        <v>209</v>
      </c>
      <c r="B96" s="36">
        <f>IF(179.4892="","-",179.4892)</f>
        <v>179.4892</v>
      </c>
      <c r="C96" s="36">
        <f>IF(79.3114="","-",79.3114)</f>
        <v>79.3114</v>
      </c>
      <c r="D96" s="42">
        <f>IF(OR(179.4892="",79.3114="",179.4892=0),"-",79.3114/179.4892*100)</f>
        <v>44.187282577447554</v>
      </c>
      <c r="E96" s="28"/>
      <c r="F96" s="28"/>
      <c r="G96" s="28"/>
    </row>
    <row r="97" spans="1:7" ht="15">
      <c r="A97" s="68" t="s">
        <v>191</v>
      </c>
      <c r="B97" s="36">
        <f>IF(55.7389="","-",55.7389)</f>
        <v>55.7389</v>
      </c>
      <c r="C97" s="36">
        <f>IF(91.07321="","-",91.07321)</f>
        <v>91.07321</v>
      </c>
      <c r="D97" s="42" t="s">
        <v>220</v>
      </c>
      <c r="E97" s="28"/>
      <c r="F97" s="28"/>
      <c r="G97" s="28"/>
    </row>
    <row r="98" spans="1:4" ht="15">
      <c r="A98" s="68" t="s">
        <v>166</v>
      </c>
      <c r="B98" s="36">
        <f>IF(-464.95972="","-",-464.95972)</f>
        <v>-464.95972</v>
      </c>
      <c r="C98" s="36">
        <f>IF(95.76216="","-",95.76216)</f>
        <v>95.76216</v>
      </c>
      <c r="D98" s="42" t="s">
        <v>34</v>
      </c>
    </row>
    <row r="99" spans="1:4" ht="15">
      <c r="A99" s="68" t="s">
        <v>249</v>
      </c>
      <c r="B99" s="36">
        <f>IF(22.87527="","-",22.87527)</f>
        <v>22.87527</v>
      </c>
      <c r="C99" s="36">
        <f>IF(173.47832="","-",173.47832)</f>
        <v>173.47832</v>
      </c>
      <c r="D99" s="42" t="s">
        <v>238</v>
      </c>
    </row>
    <row r="100" spans="1:7" ht="15">
      <c r="A100" s="68" t="s">
        <v>164</v>
      </c>
      <c r="B100" s="36">
        <f>IF(221.56348="","-",221.56348)</f>
        <v>221.56348</v>
      </c>
      <c r="C100" s="36">
        <f>IF(206.2495="","-",206.2495)</f>
        <v>206.2495</v>
      </c>
      <c r="D100" s="42">
        <f>IF(OR(221.56348="",206.2495="",221.56348=0),"-",206.2495/221.56348*100)</f>
        <v>93.08822013447343</v>
      </c>
      <c r="E100" s="10"/>
      <c r="F100" s="10"/>
      <c r="G100" s="10"/>
    </row>
    <row r="101" spans="1:7" ht="15">
      <c r="A101" s="68" t="s">
        <v>211</v>
      </c>
      <c r="B101" s="36">
        <f>IF(172.76123="","-",172.76123)</f>
        <v>172.76123</v>
      </c>
      <c r="C101" s="36">
        <f>IF(206.33227="","-",206.33227)</f>
        <v>206.33227</v>
      </c>
      <c r="D101" s="42">
        <f>IF(OR(172.76123="",206.33227="",172.76123=0),"-",206.33227/172.76123*100)</f>
        <v>119.43204502537981</v>
      </c>
      <c r="E101" s="23"/>
      <c r="F101" s="23"/>
      <c r="G101" s="23"/>
    </row>
    <row r="102" spans="1:4" ht="15">
      <c r="A102" s="68" t="s">
        <v>231</v>
      </c>
      <c r="B102" s="36">
        <f>IF(12.80779="","-",12.80779)</f>
        <v>12.80779</v>
      </c>
      <c r="C102" s="36">
        <f>IF(301.67073="","-",301.67073)</f>
        <v>301.67073</v>
      </c>
      <c r="D102" s="42" t="s">
        <v>255</v>
      </c>
    </row>
    <row r="103" spans="1:7" ht="15">
      <c r="A103" s="68" t="s">
        <v>207</v>
      </c>
      <c r="B103" s="36">
        <f>IF(127.25368="","-",127.25368)</f>
        <v>127.25368</v>
      </c>
      <c r="C103" s="36">
        <f>IF(323.78602="","-",323.78602)</f>
        <v>323.78602</v>
      </c>
      <c r="D103" s="42" t="s">
        <v>193</v>
      </c>
      <c r="E103" s="23"/>
      <c r="F103" s="23"/>
      <c r="G103" s="23"/>
    </row>
    <row r="104" spans="1:7" ht="15">
      <c r="A104" s="68" t="s">
        <v>150</v>
      </c>
      <c r="B104" s="36">
        <f>IF(1420.12048="","-",1420.12048)</f>
        <v>1420.12048</v>
      </c>
      <c r="C104" s="36">
        <f>IF(392.50778="","-",392.50778)</f>
        <v>392.50778</v>
      </c>
      <c r="D104" s="42">
        <f>IF(OR(1420.12048="",392.50778="",1420.12048=0),"-",392.50778/1420.12048*100)</f>
        <v>27.63904792077923</v>
      </c>
      <c r="E104" s="1"/>
      <c r="F104" s="1"/>
      <c r="G104" s="1"/>
    </row>
    <row r="105" spans="1:4" ht="15">
      <c r="A105" s="68" t="s">
        <v>210</v>
      </c>
      <c r="B105" s="36">
        <f>IF(4125.48076="","-",4125.48076)</f>
        <v>4125.48076</v>
      </c>
      <c r="C105" s="36">
        <f>IF(528.01519="","-",528.01519)</f>
        <v>528.01519</v>
      </c>
      <c r="D105" s="42">
        <f>IF(OR(4125.48076="",528.01519="",4125.48076=0),"-",528.01519/4125.48076*100)</f>
        <v>12.798876560510244</v>
      </c>
    </row>
    <row r="106" spans="1:4" ht="15">
      <c r="A106" s="68" t="s">
        <v>162</v>
      </c>
      <c r="B106" s="36">
        <f>IF(-113.64342="","-",-113.64342)</f>
        <v>-113.64342</v>
      </c>
      <c r="C106" s="36">
        <f>IF(585.45735="","-",585.45735)</f>
        <v>585.45735</v>
      </c>
      <c r="D106" s="42" t="s">
        <v>34</v>
      </c>
    </row>
    <row r="107" spans="1:4" ht="15">
      <c r="A107" s="68" t="s">
        <v>154</v>
      </c>
      <c r="B107" s="36">
        <f>IF(-1126.98129="","-",-1126.98129)</f>
        <v>-1126.98129</v>
      </c>
      <c r="C107" s="36">
        <f>IF(697.33537="","-",697.33537)</f>
        <v>697.33537</v>
      </c>
      <c r="D107" s="42" t="s">
        <v>34</v>
      </c>
    </row>
    <row r="108" spans="1:7" ht="15">
      <c r="A108" s="68" t="s">
        <v>121</v>
      </c>
      <c r="B108" s="36">
        <f>IF(248.09265="","-",248.09265)</f>
        <v>248.09265</v>
      </c>
      <c r="C108" s="36">
        <f>IF(881.50685="","-",881.50685)</f>
        <v>881.50685</v>
      </c>
      <c r="D108" s="42" t="s">
        <v>235</v>
      </c>
      <c r="E108" s="28"/>
      <c r="F108" s="28"/>
      <c r="G108" s="28"/>
    </row>
    <row r="109" spans="1:7" ht="15">
      <c r="A109" s="68" t="s">
        <v>148</v>
      </c>
      <c r="B109" s="36">
        <f>IF(3257.68675="","-",3257.68675)</f>
        <v>3257.68675</v>
      </c>
      <c r="C109" s="36">
        <f>IF(3568.64591="","-",3568.64591)</f>
        <v>3568.64591</v>
      </c>
      <c r="D109" s="42">
        <f>IF(OR(3257.68675="",3568.64591="",3257.68675=0),"-",3568.64591/3257.68675*100)</f>
        <v>109.54539781948036</v>
      </c>
      <c r="E109" s="14"/>
      <c r="F109" s="14"/>
      <c r="G109" s="14"/>
    </row>
    <row r="110" spans="1:4" ht="15">
      <c r="A110" s="68" t="s">
        <v>145</v>
      </c>
      <c r="B110" s="36">
        <f>IF(4026.54052="","-",4026.54052)</f>
        <v>4026.54052</v>
      </c>
      <c r="C110" s="36">
        <f>IF(4165.77892="","-",4165.77892)</f>
        <v>4165.77892</v>
      </c>
      <c r="D110" s="42">
        <f>IF(OR(4026.54052="",4165.77892="",4026.54052=0),"-",4165.77892/4026.54052*100)</f>
        <v>103.45801561684023</v>
      </c>
    </row>
    <row r="111" spans="1:7" ht="15">
      <c r="A111" s="68" t="s">
        <v>143</v>
      </c>
      <c r="B111" s="36">
        <f>IF(3617.41497="","-",3617.41497)</f>
        <v>3617.41497</v>
      </c>
      <c r="C111" s="36">
        <f>IF(4775.63504="","-",4775.63504)</f>
        <v>4775.63504</v>
      </c>
      <c r="D111" s="42">
        <f>IF(OR(3617.41497="",4775.63504="",3617.41497=0),"-",4775.63504/3617.41497*100)</f>
        <v>132.01789342957247</v>
      </c>
      <c r="E111" s="28"/>
      <c r="F111" s="28"/>
      <c r="G111" s="28"/>
    </row>
    <row r="112" spans="1:4" ht="15">
      <c r="A112" s="68" t="s">
        <v>142</v>
      </c>
      <c r="B112" s="48">
        <f>IF(19170.83037="","-",19170.83037)</f>
        <v>19170.83037</v>
      </c>
      <c r="C112" s="48">
        <f>IF(5193.79759="","-",5193.79759)</f>
        <v>5193.79759</v>
      </c>
      <c r="D112" s="43">
        <f>IF(OR(19170.83037="",5193.79759="",19170.83037=0),"-",5193.79759/19170.83037*100)</f>
        <v>27.09218896499996</v>
      </c>
    </row>
    <row r="113" spans="1:4" ht="15">
      <c r="A113" s="70" t="s">
        <v>206</v>
      </c>
      <c r="B113" s="47">
        <f>IF(-0.11843="","-",-0.11843)</f>
        <v>-0.11843</v>
      </c>
      <c r="C113" s="47">
        <f>IF(11210.0195999999="","-",11210.0195999999)</f>
        <v>11210.0195999999</v>
      </c>
      <c r="D113" s="44" t="s">
        <v>34</v>
      </c>
    </row>
    <row r="114" spans="1:4" ht="15">
      <c r="A114" s="5" t="s">
        <v>28</v>
      </c>
      <c r="B114" s="18"/>
      <c r="C114" s="18"/>
      <c r="D114" s="19"/>
    </row>
  </sheetData>
  <sheetProtection/>
  <mergeCells count="4"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4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9.125" style="0" customWidth="1"/>
    <col min="2" max="2" width="11.125" style="0" customWidth="1"/>
    <col min="3" max="3" width="10.375" style="0" customWidth="1"/>
    <col min="4" max="4" width="8.375" style="0" customWidth="1"/>
    <col min="5" max="5" width="8.625" style="0" customWidth="1"/>
    <col min="6" max="6" width="9.625" style="0" customWidth="1"/>
    <col min="7" max="7" width="9.875" style="0" customWidth="1"/>
  </cols>
  <sheetData>
    <row r="1" spans="1:7" ht="15.75">
      <c r="A1" s="50" t="s">
        <v>117</v>
      </c>
      <c r="B1" s="50"/>
      <c r="C1" s="50"/>
      <c r="D1" s="50"/>
      <c r="E1" s="50"/>
      <c r="F1" s="50"/>
      <c r="G1" s="50"/>
    </row>
    <row r="2" spans="1:7" ht="15.75">
      <c r="A2" s="50" t="s">
        <v>37</v>
      </c>
      <c r="B2" s="50"/>
      <c r="C2" s="50"/>
      <c r="D2" s="50"/>
      <c r="E2" s="50"/>
      <c r="F2" s="50"/>
      <c r="G2" s="50"/>
    </row>
    <row r="3" ht="15">
      <c r="A3" s="8"/>
    </row>
    <row r="4" spans="1:7" ht="63" customHeight="1">
      <c r="A4" s="51"/>
      <c r="B4" s="54" t="s">
        <v>226</v>
      </c>
      <c r="C4" s="55"/>
      <c r="D4" s="54" t="s">
        <v>0</v>
      </c>
      <c r="E4" s="55"/>
      <c r="F4" s="56" t="s">
        <v>223</v>
      </c>
      <c r="G4" s="57"/>
    </row>
    <row r="5" spans="1:7" ht="18.75" customHeight="1">
      <c r="A5" s="52"/>
      <c r="B5" s="58" t="s">
        <v>199</v>
      </c>
      <c r="C5" s="60" t="s">
        <v>227</v>
      </c>
      <c r="D5" s="62" t="s">
        <v>228</v>
      </c>
      <c r="E5" s="62"/>
      <c r="F5" s="62" t="s">
        <v>228</v>
      </c>
      <c r="G5" s="54"/>
    </row>
    <row r="6" spans="1:7" ht="25.5" customHeight="1">
      <c r="A6" s="53"/>
      <c r="B6" s="59"/>
      <c r="C6" s="61"/>
      <c r="D6" s="15">
        <v>2016</v>
      </c>
      <c r="E6" s="15">
        <v>2017</v>
      </c>
      <c r="F6" s="15" t="s">
        <v>2</v>
      </c>
      <c r="G6" s="16" t="s">
        <v>189</v>
      </c>
    </row>
    <row r="7" spans="1:7" ht="18.75" customHeight="1">
      <c r="A7" s="65" t="s">
        <v>200</v>
      </c>
      <c r="B7" s="31">
        <f>IF(682424.61111="","-",682424.61111)</f>
        <v>682424.61111</v>
      </c>
      <c r="C7" s="31">
        <f>IF(594976.01485="","-",682424.61111/594976.01485*100)</f>
        <v>114.69783555595039</v>
      </c>
      <c r="D7" s="31">
        <v>100</v>
      </c>
      <c r="E7" s="31">
        <v>100</v>
      </c>
      <c r="F7" s="29">
        <f>IF(639082.69397="","-",(594976.01485-639082.69397)/639082.69397*100)</f>
        <v>-6.901560554864665</v>
      </c>
      <c r="G7" s="29">
        <f>IF(594976.01485="","-",(682424.61111-594976.01485)/594976.01485*100)</f>
        <v>14.697835555950398</v>
      </c>
    </row>
    <row r="8" spans="1:7" ht="15">
      <c r="A8" s="66" t="s">
        <v>110</v>
      </c>
      <c r="B8" s="45"/>
      <c r="C8" s="46"/>
      <c r="D8" s="46"/>
      <c r="E8" s="46"/>
      <c r="F8" s="27"/>
      <c r="G8" s="27"/>
    </row>
    <row r="9" spans="1:7" ht="15">
      <c r="A9" s="67" t="s">
        <v>38</v>
      </c>
      <c r="B9" s="35">
        <f>IF(154584.87141="","-",154584.87141)</f>
        <v>154584.87141</v>
      </c>
      <c r="C9" s="35">
        <f>IF(123178.86278="","-",154584.87141/123178.86278*100)</f>
        <v>125.49626447363113</v>
      </c>
      <c r="D9" s="35">
        <f>IF(123178.86278="","-",123178.86278/594976.01485*100)</f>
        <v>20.703164447907156</v>
      </c>
      <c r="E9" s="35">
        <f>IF(154584.87141="","-",154584.87141/682424.61111*100)</f>
        <v>22.652300179877663</v>
      </c>
      <c r="F9" s="24">
        <f>IF(639082.69397="","-",(123178.86278-168377.19237)/639082.69397*100)</f>
        <v>-7.072375768654708</v>
      </c>
      <c r="G9" s="24">
        <f>IF(594976.01485="","-",(154584.87141-123178.86278)/594976.01485*100)</f>
        <v>5.278533562049185</v>
      </c>
    </row>
    <row r="10" spans="1:7" s="13" customFormat="1" ht="15">
      <c r="A10" s="72" t="s">
        <v>39</v>
      </c>
      <c r="B10" s="36">
        <f>IF(1988.05974="","-",1988.05974)</f>
        <v>1988.05974</v>
      </c>
      <c r="C10" s="36">
        <f>IF(OR(2524.81018="",1988.05974=""),"-",1988.05974/2524.81018*100)</f>
        <v>78.74095865693951</v>
      </c>
      <c r="D10" s="36">
        <f>IF(2524.81018="","-",2524.81018/594976.01485*100)</f>
        <v>0.42435495162549236</v>
      </c>
      <c r="E10" s="36">
        <f>IF(1988.05974="","-",1988.05974/682424.61111*100)</f>
        <v>0.2913229839067959</v>
      </c>
      <c r="F10" s="25">
        <f>IF(OR(639082.69397="",1603.75396="",2524.81018=""),"-",(2524.81018-1603.75396)/639082.69397*100)</f>
        <v>0.1441216025235126</v>
      </c>
      <c r="G10" s="25">
        <f>IF(OR(594976.01485="",1988.05974="",2524.81018=""),"-",(1988.05974-2524.81018)/594976.01485*100)</f>
        <v>-0.09021379460738778</v>
      </c>
    </row>
    <row r="11" spans="1:7" s="13" customFormat="1" ht="15">
      <c r="A11" s="72" t="s">
        <v>40</v>
      </c>
      <c r="B11" s="36">
        <f>IF(2539.88492="","-",2539.88492)</f>
        <v>2539.88492</v>
      </c>
      <c r="C11" s="36" t="s">
        <v>124</v>
      </c>
      <c r="D11" s="36">
        <f>IF(1067.21761="","-",1067.21761/594976.01485*100)</f>
        <v>0.17937153487927696</v>
      </c>
      <c r="E11" s="36">
        <f>IF(2539.88492="","-",2539.88492/682424.61111*100)</f>
        <v>0.3721854221917263</v>
      </c>
      <c r="F11" s="25">
        <f>IF(OR(639082.69397="",751.00161="",1067.21761=""),"-",(1067.21761-751.00161)/639082.69397*100)</f>
        <v>0.04947966874766347</v>
      </c>
      <c r="G11" s="25">
        <f>IF(OR(594976.01485="",2539.88492="",1067.21761=""),"-",(2539.88492-1067.21761)/594976.01485*100)</f>
        <v>0.247517088629409</v>
      </c>
    </row>
    <row r="12" spans="1:7" s="13" customFormat="1" ht="15">
      <c r="A12" s="72" t="s">
        <v>41</v>
      </c>
      <c r="B12" s="36">
        <f>IF(7164.07424="","-",7164.07424)</f>
        <v>7164.07424</v>
      </c>
      <c r="C12" s="36" t="s">
        <v>219</v>
      </c>
      <c r="D12" s="36">
        <f>IF(4133.41573="","-",4133.41573/594976.01485*100)</f>
        <v>0.6947197242971348</v>
      </c>
      <c r="E12" s="36">
        <f>IF(7164.07424="","-",7164.07424/682424.61111*100)</f>
        <v>1.0497971678288758</v>
      </c>
      <c r="F12" s="25">
        <f>IF(OR(639082.69397="",3378.29783="",4133.41573=""),"-",(4133.41573-3378.29783)/639082.69397*100)</f>
        <v>0.1181565245194148</v>
      </c>
      <c r="G12" s="25">
        <f>IF(OR(594976.01485="",7164.07424="",4133.41573=""),"-",(7164.07424-4133.41573)/594976.01485*100)</f>
        <v>0.5093749049302537</v>
      </c>
    </row>
    <row r="13" spans="1:7" s="13" customFormat="1" ht="15">
      <c r="A13" s="72" t="s">
        <v>43</v>
      </c>
      <c r="B13" s="36">
        <f>IF(48683.73183="","-",48683.73183)</f>
        <v>48683.73183</v>
      </c>
      <c r="C13" s="36">
        <f>IF(OR(31670.45542="",48683.73183=""),"-",48683.73183/31670.45542*100)</f>
        <v>153.71970874550814</v>
      </c>
      <c r="D13" s="36">
        <f>IF(31670.45542="","-",31670.45542/594976.01485*100)</f>
        <v>5.322980192400608</v>
      </c>
      <c r="E13" s="36">
        <f>IF(48683.73183="","-",48683.73183/682424.61111*100)</f>
        <v>7.1339355347711315</v>
      </c>
      <c r="F13" s="25">
        <f>IF(OR(639082.69397="",48968.9874="",31670.45542=""),"-",(31670.45542-48968.9874)/639082.69397*100)</f>
        <v>-2.70677521754517</v>
      </c>
      <c r="G13" s="25">
        <f>IF(OR(594976.01485="",48683.73183="",31670.45542=""),"-",(48683.73183-31670.45542)/594976.01485*100)</f>
        <v>2.8594894559386956</v>
      </c>
    </row>
    <row r="14" spans="1:7" s="13" customFormat="1" ht="15">
      <c r="A14" s="72" t="s">
        <v>44</v>
      </c>
      <c r="B14" s="36">
        <f>IF(70882.40439="","-",70882.40439)</f>
        <v>70882.40439</v>
      </c>
      <c r="C14" s="36">
        <f>IF(OR(62096.18255="",70882.40439=""),"-",70882.40439/62096.18255*100)</f>
        <v>114.14937517765334</v>
      </c>
      <c r="D14" s="36">
        <f>IF(62096.18255="","-",62096.18255/594976.01485*100)</f>
        <v>10.4367539195097</v>
      </c>
      <c r="E14" s="36">
        <f>IF(70882.40439="","-",70882.40439/682424.61111*100)</f>
        <v>10.386847607196636</v>
      </c>
      <c r="F14" s="25">
        <f>IF(OR(639082.69397="",86834.81255="",62096.18255=""),"-",(62096.18255-86834.81255)/639082.69397*100)</f>
        <v>-3.870959147136801</v>
      </c>
      <c r="G14" s="25">
        <f>IF(OR(594976.01485="",70882.40439="",62096.18255=""),"-",(70882.40439-62096.18255)/594976.01485*100)</f>
        <v>1.4767354684398666</v>
      </c>
    </row>
    <row r="15" spans="1:7" s="13" customFormat="1" ht="15">
      <c r="A15" s="72" t="s">
        <v>45</v>
      </c>
      <c r="B15" s="36">
        <f>IF(14288.7622="","-",14288.7622)</f>
        <v>14288.7622</v>
      </c>
      <c r="C15" s="36">
        <f>IF(OR(12746.35975="",14288.7622=""),"-",14288.7622/12746.35975*100)</f>
        <v>112.10072899440955</v>
      </c>
      <c r="D15" s="36">
        <f>IF(12746.35975="","-",12746.35975/594976.01485*100)</f>
        <v>2.1423316960455114</v>
      </c>
      <c r="E15" s="36">
        <f>IF(14288.7622="","-",14288.7622/682424.61111*100)</f>
        <v>2.0938228146195614</v>
      </c>
      <c r="F15" s="25">
        <f>IF(OR(639082.69397="",16171.48138="",12746.35975=""),"-",(12746.35975-16171.48138)/639082.69397*100)</f>
        <v>-0.5359434173882954</v>
      </c>
      <c r="G15" s="25">
        <f>IF(OR(594976.01485="",14288.7622="",12746.35975=""),"-",(14288.7622-12746.35975)/594976.01485*100)</f>
        <v>0.2592377526998052</v>
      </c>
    </row>
    <row r="16" spans="1:7" s="13" customFormat="1" ht="26.25">
      <c r="A16" s="72" t="s">
        <v>46</v>
      </c>
      <c r="B16" s="36">
        <f>IF(3020.31033="","-",3020.31033)</f>
        <v>3020.31033</v>
      </c>
      <c r="C16" s="36">
        <f>IF(OR(2474.96869="",3020.31033=""),"-",3020.31033/2474.96869*100)</f>
        <v>122.03428440139174</v>
      </c>
      <c r="D16" s="36">
        <f>IF(2474.96869="","-",2474.96869/594976.01485*100)</f>
        <v>0.41597789292799764</v>
      </c>
      <c r="E16" s="36">
        <f>IF(3020.31033="","-",3020.31033/682424.61111*100)</f>
        <v>0.4425852000101965</v>
      </c>
      <c r="F16" s="25">
        <f>IF(OR(639082.69397="",2464.34613="",2474.96869=""),"-",(2474.96869-2464.34613)/639082.69397*100)</f>
        <v>0.0016621573546316206</v>
      </c>
      <c r="G16" s="25">
        <f>IF(OR(594976.01485="",3020.31033="",2474.96869=""),"-",(3020.31033-2474.96869)/594976.01485*100)</f>
        <v>0.09165775197467183</v>
      </c>
    </row>
    <row r="17" spans="1:7" s="13" customFormat="1" ht="26.25">
      <c r="A17" s="72" t="s">
        <v>47</v>
      </c>
      <c r="B17" s="36">
        <f>IF(5133.41575="","-",5133.41575)</f>
        <v>5133.41575</v>
      </c>
      <c r="C17" s="36">
        <f>IF(OR(5488.11836="",5133.41575=""),"-",5133.41575/5488.11836*100)</f>
        <v>93.53689941191429</v>
      </c>
      <c r="D17" s="36">
        <f>IF(5488.11836="","-",5488.11836/594976.01485*100)</f>
        <v>0.9224100170464208</v>
      </c>
      <c r="E17" s="36">
        <f>IF(5133.41575="","-",5133.41575/682424.61111*100)</f>
        <v>0.7522319193105045</v>
      </c>
      <c r="F17" s="25">
        <f>IF(OR(639082.69397="",7454.57974="",5488.11836=""),"-",(5488.11836-7454.57974)/639082.69397*100)</f>
        <v>-0.30770061504627594</v>
      </c>
      <c r="G17" s="25">
        <f>IF(OR(594976.01485="",5133.41575="",5488.11836=""),"-",(5133.41575-5488.11836)/594976.01485*100)</f>
        <v>-0.05961628723628879</v>
      </c>
    </row>
    <row r="18" spans="1:7" s="13" customFormat="1" ht="15">
      <c r="A18" s="72" t="s">
        <v>48</v>
      </c>
      <c r="B18" s="36">
        <f>IF(877.98712="","-",877.98712)</f>
        <v>877.98712</v>
      </c>
      <c r="C18" s="36">
        <f>IF(OR(974.2248="",877.98712=""),"-",877.98712/974.2248*100)</f>
        <v>90.1216146417131</v>
      </c>
      <c r="D18" s="36">
        <f>IF(974.2248="","-",974.2248/594976.01485*100)</f>
        <v>0.16374186113126135</v>
      </c>
      <c r="E18" s="36">
        <f>IF(877.98712="","-",877.98712/682424.61111*100)</f>
        <v>0.1286570129075367</v>
      </c>
      <c r="F18" s="25">
        <f>IF(OR(639082.69397="",745.32042="",974.2248=""),"-",(974.2248-745.32042)/639082.69397*100)</f>
        <v>0.03581764647357909</v>
      </c>
      <c r="G18" s="25">
        <f>IF(OR(594976.01485="",877.98712="",974.2248=""),"-",(877.98712-974.2248)/594976.01485*100)</f>
        <v>-0.016175052035377013</v>
      </c>
    </row>
    <row r="19" spans="1:7" s="13" customFormat="1" ht="15">
      <c r="A19" s="69" t="s">
        <v>49</v>
      </c>
      <c r="B19" s="35">
        <f>IF(52142.32251="","-",52142.32251)</f>
        <v>52142.32251</v>
      </c>
      <c r="C19" s="35">
        <f>IF(51006.37234="","-",52142.32251/51006.37234*100)</f>
        <v>102.22707500629124</v>
      </c>
      <c r="D19" s="35">
        <f>IF(51006.37234="","-",51006.37234/594976.01485*100)</f>
        <v>8.572845134414244</v>
      </c>
      <c r="E19" s="35">
        <f>IF(52142.32251="","-",52142.32251/682424.61111*100)</f>
        <v>7.640744730057102</v>
      </c>
      <c r="F19" s="24">
        <f>IF(639082.69397="","-",(51006.37234-47568.8567)/639082.69397*100)</f>
        <v>0.5378827610940392</v>
      </c>
      <c r="G19" s="24">
        <f>IF(594976.01485="","-",(52142.32251-51006.37234)/594976.01485*100)</f>
        <v>0.19092369131659567</v>
      </c>
    </row>
    <row r="20" spans="1:7" s="13" customFormat="1" ht="15">
      <c r="A20" s="72" t="s">
        <v>50</v>
      </c>
      <c r="B20" s="36">
        <f>IF(48144.7565="","-",48144.7565)</f>
        <v>48144.7565</v>
      </c>
      <c r="C20" s="36">
        <f>IF(OR(47389.54354="",48144.7565=""),"-",48144.7565/47389.54354*100)</f>
        <v>101.59362784189419</v>
      </c>
      <c r="D20" s="36">
        <f>IF(47389.54354="","-",47389.54354/594976.01485*100)</f>
        <v>7.964950242901375</v>
      </c>
      <c r="E20" s="36">
        <f>IF(48144.7565="","-",48144.7565/682424.61111*100)</f>
        <v>7.054956066383654</v>
      </c>
      <c r="F20" s="25">
        <f>IF(OR(639082.69397="",43822.78701="",47389.54354=""),"-",(47389.54354-43822.78701)/639082.69397*100)</f>
        <v>0.5581056354136591</v>
      </c>
      <c r="G20" s="25">
        <f>IF(OR(594976.01485="",48144.7565="",47389.54354=""),"-",(48144.7565-47389.54354)/594976.01485*100)</f>
        <v>0.12693166466389438</v>
      </c>
    </row>
    <row r="21" spans="1:7" s="13" customFormat="1" ht="15">
      <c r="A21" s="72" t="s">
        <v>51</v>
      </c>
      <c r="B21" s="36">
        <f>IF(3997.56601="","-",3997.56601)</f>
        <v>3997.56601</v>
      </c>
      <c r="C21" s="36">
        <f>IF(OR(3616.8288="",3997.56601=""),"-",3997.56601/3616.8288*100)</f>
        <v>110.52682421683879</v>
      </c>
      <c r="D21" s="36">
        <f>IF(3616.8288="","-",3616.8288/594976.01485*100)</f>
        <v>0.6078948915128691</v>
      </c>
      <c r="E21" s="36">
        <f>IF(3997.56601="","-",3997.56601/682424.61111*100)</f>
        <v>0.585788663673449</v>
      </c>
      <c r="F21" s="25">
        <f>IF(OR(639082.69397="",3746.06969="",3616.8288=""),"-",(3616.8288-3746.06969)/639082.69397*100)</f>
        <v>-0.020222874319620818</v>
      </c>
      <c r="G21" s="25">
        <f>IF(OR(594976.01485="",3997.56601="",3616.8288=""),"-",(3997.56601-3616.8288)/594976.01485*100)</f>
        <v>0.06399202665270266</v>
      </c>
    </row>
    <row r="22" spans="1:7" s="13" customFormat="1" ht="26.25">
      <c r="A22" s="69" t="s">
        <v>52</v>
      </c>
      <c r="B22" s="35">
        <f>IF(81729.26626="","-",81729.26626)</f>
        <v>81729.26626</v>
      </c>
      <c r="C22" s="35">
        <f>IF(69256.61491="","-",81729.26626/69256.61491*100)</f>
        <v>118.00932859079005</v>
      </c>
      <c r="D22" s="35">
        <f>IF(69256.61491="","-",69256.61491/594976.01485*100)</f>
        <v>11.640236443390135</v>
      </c>
      <c r="E22" s="35">
        <f>IF(81729.26626="","-",81729.26626/682424.61111*100)</f>
        <v>11.976306969214225</v>
      </c>
      <c r="F22" s="24">
        <f>IF(639082.69397="","-",(69256.61491-88773.22406)/639082.69397*100)</f>
        <v>-3.053847230436214</v>
      </c>
      <c r="G22" s="24">
        <f>IF(594976.01485="","-",(81729.26626-69256.61491)/594976.01485*100)</f>
        <v>2.0963284298350233</v>
      </c>
    </row>
    <row r="23" spans="1:8" s="13" customFormat="1" ht="15">
      <c r="A23" s="72" t="s">
        <v>53</v>
      </c>
      <c r="B23" s="36">
        <f>IF(1336.85423="","-",1336.85423)</f>
        <v>1336.85423</v>
      </c>
      <c r="C23" s="36">
        <f>IF(OR(1426.81844="",1336.85423=""),"-",1336.85423/1426.81844*100)</f>
        <v>93.69476820050068</v>
      </c>
      <c r="D23" s="36">
        <f>IF(1426.81844="","-",1426.81844/594976.01485*100)</f>
        <v>0.23981108555438435</v>
      </c>
      <c r="E23" s="36">
        <f>IF(1336.85423="","-",1336.85423/682424.61111*100)</f>
        <v>0.19589771650022048</v>
      </c>
      <c r="F23" s="25">
        <f>IF(OR(639082.69397="",1231.31969="",1426.81844=""),"-",(1426.81844-1231.31969)/639082.69397*100)</f>
        <v>0.030590524801345526</v>
      </c>
      <c r="G23" s="25">
        <f>IF(OR(594976.01485="",1336.85423="",1426.81844=""),"-",(1336.85423-1426.81844)/594976.01485*100)</f>
        <v>-0.015120644825099557</v>
      </c>
      <c r="H23" s="11"/>
    </row>
    <row r="24" spans="1:8" s="13" customFormat="1" ht="15">
      <c r="A24" s="72" t="s">
        <v>54</v>
      </c>
      <c r="B24" s="36">
        <f>IF(70349.99899="","-",70349.99899)</f>
        <v>70349.99899</v>
      </c>
      <c r="C24" s="36">
        <f>IF(OR(59595.18456="",70349.99899=""),"-",70349.99899/59595.18456*100)</f>
        <v>118.0464487347499</v>
      </c>
      <c r="D24" s="36">
        <f>IF(59595.18456="","-",59595.18456/594976.01485*100)</f>
        <v>10.016401177957501</v>
      </c>
      <c r="E24" s="36">
        <f>IF(70349.99899="","-",70349.99899/682424.61111*100)</f>
        <v>10.308830872258836</v>
      </c>
      <c r="F24" s="25">
        <f>IF(OR(639082.69397="",72895.77997="",59595.18456=""),"-",(59595.18456-72895.77997)/639082.69397*100)</f>
        <v>-2.0812009987903632</v>
      </c>
      <c r="G24" s="25">
        <f>IF(OR(594976.01485="",70349.99899="",59595.18456=""),"-",(70349.99899-59595.18456)/594976.01485*100)</f>
        <v>1.807604703646986</v>
      </c>
      <c r="H24" s="12"/>
    </row>
    <row r="25" spans="1:8" s="13" customFormat="1" ht="15">
      <c r="A25" s="72" t="s">
        <v>56</v>
      </c>
      <c r="B25" s="36">
        <f>IF(107.47733="","-",107.47733)</f>
        <v>107.47733</v>
      </c>
      <c r="C25" s="36">
        <f>IF(OR(991.88959="",107.47733=""),"-",107.47733/991.88959*100)</f>
        <v>10.835614274366968</v>
      </c>
      <c r="D25" s="36">
        <f>IF(991.88959="","-",991.88959/594976.01485*100)</f>
        <v>0.16671085308372746</v>
      </c>
      <c r="E25" s="36">
        <f>IF(107.47733="","-",107.47733/682424.61111*100)</f>
        <v>0.015749333809222145</v>
      </c>
      <c r="F25" s="25">
        <f>IF(OR(639082.69397="",916.53107="",991.88959=""),"-",(991.88959-916.53107)/639082.69397*100)</f>
        <v>0.011791669640100987</v>
      </c>
      <c r="G25" s="25">
        <f>IF(OR(594976.01485="",107.47733="",991.88959=""),"-",(107.47733-991.88959)/594976.01485*100)</f>
        <v>-0.14864670809006816</v>
      </c>
      <c r="H25" s="12"/>
    </row>
    <row r="26" spans="1:8" s="13" customFormat="1" ht="15">
      <c r="A26" s="72" t="s">
        <v>57</v>
      </c>
      <c r="B26" s="36">
        <f>IF(788.07146="","-",788.07146)</f>
        <v>788.07146</v>
      </c>
      <c r="C26" s="36">
        <f>IF(OR(770.78039="",788.07146=""),"-",788.07146/770.78039*100)</f>
        <v>102.24331991632532</v>
      </c>
      <c r="D26" s="36">
        <f>IF(770.78039="","-",770.78039/594976.01485*100)</f>
        <v>0.12954814492720723</v>
      </c>
      <c r="E26" s="36">
        <f>IF(788.07146="","-",788.07146/682424.61111*100)</f>
        <v>0.11548110181990062</v>
      </c>
      <c r="F26" s="25">
        <f>IF(OR(639082.69397="",407.79259="",770.78039=""),"-",(770.78039-407.79259)/639082.69397*100)</f>
        <v>0.056798252154992554</v>
      </c>
      <c r="G26" s="25">
        <f>IF(OR(594976.01485="",788.07146="",770.78039=""),"-",(788.07146-770.78039)/594976.01485*100)</f>
        <v>0.002906179336382032</v>
      </c>
      <c r="H26" s="12"/>
    </row>
    <row r="27" spans="1:8" s="13" customFormat="1" ht="39">
      <c r="A27" s="72" t="s">
        <v>58</v>
      </c>
      <c r="B27" s="36">
        <f>IF(63.12148="","-",63.12148)</f>
        <v>63.12148</v>
      </c>
      <c r="C27" s="36">
        <f>IF(OR(383.16888="",63.12148=""),"-",63.12148/383.16888*100)</f>
        <v>16.47354033553038</v>
      </c>
      <c r="D27" s="36">
        <f>IF(383.16888="","-",383.16888/594976.01485*100)</f>
        <v>0.06440072716151442</v>
      </c>
      <c r="E27" s="36">
        <f>IF(63.12148="","-",63.12148/682424.61111*100)</f>
        <v>0.009249590207089622</v>
      </c>
      <c r="F27" s="25">
        <f>IF(OR(639082.69397="",1089.73246="",383.16888=""),"-",(383.16888-1089.73246)/639082.69397*100)</f>
        <v>-0.11055902259077097</v>
      </c>
      <c r="G27" s="25">
        <f>IF(OR(594976.01485="",63.12148="",383.16888=""),"-",(63.12148-383.16888)/594976.01485*100)</f>
        <v>-0.05379164739618747</v>
      </c>
      <c r="H27" s="12"/>
    </row>
    <row r="28" spans="1:8" s="13" customFormat="1" ht="39">
      <c r="A28" s="72" t="s">
        <v>59</v>
      </c>
      <c r="B28" s="36">
        <f>IF(2884.54669="","-",2884.54669)</f>
        <v>2884.54669</v>
      </c>
      <c r="C28" s="36" t="s">
        <v>219</v>
      </c>
      <c r="D28" s="36">
        <f>IF(1698.59723="","-",1698.59723/594976.01485*100)</f>
        <v>0.2854900344895811</v>
      </c>
      <c r="E28" s="36">
        <f>IF(2884.54669="","-",2884.54669/682424.61111*100)</f>
        <v>0.4226908940620021</v>
      </c>
      <c r="F28" s="25">
        <f>IF(OR(639082.69397="",2290.36789="",1698.59723=""),"-",(1698.59723-2290.36789)/639082.69397*100)</f>
        <v>-0.09259688387490257</v>
      </c>
      <c r="G28" s="25">
        <f>IF(OR(594976.01485="",2884.54669="",1698.59723=""),"-",(2884.54669-1698.59723)/594976.01485*100)</f>
        <v>0.19932727209163062</v>
      </c>
      <c r="H28" s="12"/>
    </row>
    <row r="29" spans="1:8" s="13" customFormat="1" ht="26.25">
      <c r="A29" s="72" t="s">
        <v>60</v>
      </c>
      <c r="B29" s="36">
        <f>IF(5158.03796="","-",5158.03796)</f>
        <v>5158.03796</v>
      </c>
      <c r="C29" s="36">
        <f>IF(OR(3599.48814="",5158.03796=""),"-",5158.03796/3599.48814*100)</f>
        <v>143.2992069811348</v>
      </c>
      <c r="D29" s="36">
        <f>IF(3599.48814="","-",3599.48814/594976.01485*100)</f>
        <v>0.6049803773867204</v>
      </c>
      <c r="E29" s="36">
        <f>IF(5158.03796="","-",5158.03796/682424.61111*100)</f>
        <v>0.7558399676720592</v>
      </c>
      <c r="F29" s="25">
        <f>IF(OR(639082.69397="",6757.69577="",3599.48814=""),"-",(3599.48814-6757.69577)/639082.69397*100)</f>
        <v>-0.4941782432537993</v>
      </c>
      <c r="G29" s="25">
        <f>IF(OR(594976.01485="",5158.03796="",3599.48814=""),"-",(5158.03796-3599.48814)/594976.01485*100)</f>
        <v>0.2619517057999266</v>
      </c>
      <c r="H29" s="12"/>
    </row>
    <row r="30" spans="1:8" s="13" customFormat="1" ht="26.25">
      <c r="A30" s="72" t="s">
        <v>61</v>
      </c>
      <c r="B30" s="36">
        <f>IF(1040.78078="","-",1040.78078)</f>
        <v>1040.78078</v>
      </c>
      <c r="C30" s="36">
        <f>IF(OR(790.67764="",1040.78078=""),"-",1040.78078/790.67764*100)</f>
        <v>131.6314927028922</v>
      </c>
      <c r="D30" s="36">
        <f>IF(790.67764="","-",790.67764/594976.01485*100)</f>
        <v>0.1328923553665165</v>
      </c>
      <c r="E30" s="36">
        <f>IF(1040.78078="","-",1040.78078/682424.61111*100)</f>
        <v>0.15251219886503134</v>
      </c>
      <c r="F30" s="25">
        <f>IF(OR(639082.69397="",2026.48587="",790.67764=""),"-",(790.67764-2026.48587)/639082.69397*100)</f>
        <v>-0.19337219450007698</v>
      </c>
      <c r="G30" s="25">
        <f>IF(OR(594976.01485="",1040.78078="",790.67764=""),"-",(1040.78078-790.67764)/594976.01485*100)</f>
        <v>0.0420358356904612</v>
      </c>
      <c r="H30" s="12"/>
    </row>
    <row r="31" spans="1:8" s="13" customFormat="1" ht="26.25">
      <c r="A31" s="69" t="s">
        <v>62</v>
      </c>
      <c r="B31" s="35">
        <f>IF(4593.18544="","-",4593.18544)</f>
        <v>4593.18544</v>
      </c>
      <c r="C31" s="35" t="s">
        <v>188</v>
      </c>
      <c r="D31" s="35">
        <f>IF(1631.89492="","-",1631.89492/594976.01485*100)</f>
        <v>0.2742791102951299</v>
      </c>
      <c r="E31" s="35">
        <f>IF(4593.18544="","-",4593.18544/682424.61111*100)</f>
        <v>0.6730685507559493</v>
      </c>
      <c r="F31" s="24">
        <f>IF(639082.69397="","-",(1631.89492-2858.7529)/639082.69397*100)</f>
        <v>-0.19197171063712007</v>
      </c>
      <c r="G31" s="24">
        <f>IF(594976.01485="","-",(4593.18544-1631.89492)/594976.01485*100)</f>
        <v>0.4977159492297474</v>
      </c>
      <c r="H31" s="12"/>
    </row>
    <row r="32" spans="1:8" s="13" customFormat="1" ht="15" customHeight="1">
      <c r="A32" s="72" t="s">
        <v>64</v>
      </c>
      <c r="B32" s="36">
        <f>IF(4591.00841="","-",4591.00841)</f>
        <v>4591.00841</v>
      </c>
      <c r="C32" s="36" t="s">
        <v>188</v>
      </c>
      <c r="D32" s="36">
        <f>IF(1629.52914="","-",1629.52914/594976.01485*100)</f>
        <v>0.2738814841823199</v>
      </c>
      <c r="E32" s="36">
        <f>IF(4591.00841="","-",4591.00841/682424.61111*100)</f>
        <v>0.672749536763113</v>
      </c>
      <c r="F32" s="25">
        <f>IF(OR(639082.69397="",2794.48827="",1629.52914=""),"-",(1629.52914-2794.48827)/639082.69397*100)</f>
        <v>-0.1822861330766509</v>
      </c>
      <c r="G32" s="25">
        <f>IF(OR(594976.01485="",4591.00841="",1629.52914=""),"-",(4591.00841-1629.52914)/594976.01485*100)</f>
        <v>0.49774767319765345</v>
      </c>
      <c r="H32" s="12"/>
    </row>
    <row r="33" spans="1:7" s="13" customFormat="1" ht="26.25">
      <c r="A33" s="69" t="s">
        <v>67</v>
      </c>
      <c r="B33" s="35">
        <f>IF(17983.6599="","-",17983.6599)</f>
        <v>17983.6599</v>
      </c>
      <c r="C33" s="35">
        <f>IF(20113.97607="","-",17983.6599/20113.97607*100)</f>
        <v>89.40877645182562</v>
      </c>
      <c r="D33" s="35">
        <f>IF(20113.97607="","-",20113.97607/594976.01485*100)</f>
        <v>3.3806364572647443</v>
      </c>
      <c r="E33" s="35">
        <f>IF(17983.6599="","-",17983.6599/682424.61111*100)</f>
        <v>2.635259574057362</v>
      </c>
      <c r="F33" s="24">
        <f>IF(639082.69397="","-",(20113.97607-27563.36589)/639082.69397*100)</f>
        <v>-1.16563785724257</v>
      </c>
      <c r="G33" s="24">
        <f>IF(594976.01485="","-",(17983.6599-20113.97607)/594976.01485*100)</f>
        <v>-0.3580507645399921</v>
      </c>
    </row>
    <row r="34" spans="1:7" s="13" customFormat="1" ht="26.25">
      <c r="A34" s="72" t="s">
        <v>69</v>
      </c>
      <c r="B34" s="36">
        <f>IF(17964.7882="","-",17964.7882)</f>
        <v>17964.7882</v>
      </c>
      <c r="C34" s="36">
        <f>IF(OR(20092.01368="",17964.7882=""),"-",17964.7882/20092.01368*100)</f>
        <v>89.41258196475606</v>
      </c>
      <c r="D34" s="36">
        <f>IF(20092.01368="","-",20092.01368/594976.01485*100)</f>
        <v>3.376945150480632</v>
      </c>
      <c r="E34" s="36">
        <f>IF(17964.7882="","-",17964.7882/682424.61111*100)</f>
        <v>2.6324941843435736</v>
      </c>
      <c r="F34" s="25">
        <f>IF(OR(639082.69397="",27562.82111="",20092.01368=""),"-",(20092.01368-27562.82111)/639082.69397*100)</f>
        <v>-1.1689891621992032</v>
      </c>
      <c r="G34" s="25">
        <f>IF(OR(594976.01485="",17964.7882="",20092.01368=""),"-",(17964.7882-20092.01368)/594976.01485*100)</f>
        <v>-0.3575312999022823</v>
      </c>
    </row>
    <row r="35" spans="1:7" s="13" customFormat="1" ht="26.25">
      <c r="A35" s="69" t="s">
        <v>71</v>
      </c>
      <c r="B35" s="35">
        <f>IF(36082.58401="","-",36082.58401)</f>
        <v>36082.58401</v>
      </c>
      <c r="C35" s="35">
        <f>IF(28648.49283="","-",36082.58401/28648.49283*100)</f>
        <v>125.94932733150695</v>
      </c>
      <c r="D35" s="35">
        <f>IF(28648.49283="","-",28648.49283/594976.01485*100)</f>
        <v>4.815066845547143</v>
      </c>
      <c r="E35" s="35">
        <f>IF(36082.58401="","-",36082.58401/682424.61111*100)</f>
        <v>5.287409542763962</v>
      </c>
      <c r="F35" s="24">
        <f>IF(639082.69397="","-",(28648.49283-35580.13535)/639082.69397*100)</f>
        <v>-1.0846237248172745</v>
      </c>
      <c r="G35" s="24">
        <f>IF(594976.01485="","-",(36082.58401-28648.49283)/594976.01485*100)</f>
        <v>1.2494774569818945</v>
      </c>
    </row>
    <row r="36" spans="1:7" s="13" customFormat="1" ht="15">
      <c r="A36" s="72" t="s">
        <v>72</v>
      </c>
      <c r="B36" s="36">
        <f>IF(7728.61926="","-",7728.61926)</f>
        <v>7728.61926</v>
      </c>
      <c r="C36" s="36" t="s">
        <v>220</v>
      </c>
      <c r="D36" s="36">
        <f>IF(4704.40717="","-",4704.40717/594976.01485*100)</f>
        <v>0.7906885408121928</v>
      </c>
      <c r="E36" s="36">
        <f>IF(7728.61926="","-",7728.61926/682424.61111*100)</f>
        <v>1.1325235248226158</v>
      </c>
      <c r="F36" s="25">
        <f>IF(OR(639082.69397="",852.73448="",4704.40717=""),"-",(4704.40717-852.73448)/639082.69397*100)</f>
        <v>0.6026876844486743</v>
      </c>
      <c r="G36" s="25">
        <f>IF(OR(594976.01485="",7728.61926="",4704.40717=""),"-",(7728.61926-4704.40717)/594976.01485*100)</f>
        <v>0.5082914293213041</v>
      </c>
    </row>
    <row r="37" spans="1:7" s="13" customFormat="1" ht="15">
      <c r="A37" s="72" t="s">
        <v>73</v>
      </c>
      <c r="B37" s="36">
        <f>IF(351.32377="","-",351.32377)</f>
        <v>351.32377</v>
      </c>
      <c r="C37" s="36" t="s">
        <v>218</v>
      </c>
      <c r="D37" s="36">
        <f>IF(197.11368="","-",197.11368/594976.01485*100)</f>
        <v>0.03312968507641346</v>
      </c>
      <c r="E37" s="36">
        <f>IF(351.32377="","-",351.32377/682424.61111*100)</f>
        <v>0.051481696920126184</v>
      </c>
      <c r="F37" s="25">
        <f>IF(OR(639082.69397="",63.70261="",197.11368=""),"-",(197.11368-63.70261)/639082.69397*100)</f>
        <v>0.020875400203883884</v>
      </c>
      <c r="G37" s="25">
        <f>IF(OR(594976.01485="",351.32377="",197.11368=""),"-",(351.32377-197.11368)/594976.01485*100)</f>
        <v>0.025918706998445656</v>
      </c>
    </row>
    <row r="38" spans="1:7" s="13" customFormat="1" ht="15">
      <c r="A38" s="72" t="s">
        <v>74</v>
      </c>
      <c r="B38" s="36">
        <f>IF(220.27122="","-",220.27122)</f>
        <v>220.27122</v>
      </c>
      <c r="C38" s="36">
        <f>IF(OR(425.05037="",220.27122=""),"-",220.27122/425.05037*100)</f>
        <v>51.82238048634095</v>
      </c>
      <c r="D38" s="36">
        <f>IF(425.05037="","-",425.05037/594976.01485*100)</f>
        <v>0.07143991680188315</v>
      </c>
      <c r="E38" s="36">
        <f>IF(220.27122="","-",220.27122/682424.61111*100)</f>
        <v>0.03227773682454346</v>
      </c>
      <c r="F38" s="25">
        <f>IF(OR(639082.69397="",412.687="",425.05037=""),"-",(425.05037-412.687)/639082.69397*100)</f>
        <v>0.0019345493340147213</v>
      </c>
      <c r="G38" s="25">
        <f>IF(OR(594976.01485="",220.27122="",425.05037=""),"-",(220.27122-425.05037)/594976.01485*100)</f>
        <v>-0.03441805129768585</v>
      </c>
    </row>
    <row r="39" spans="1:7" s="13" customFormat="1" ht="15">
      <c r="A39" s="72" t="s">
        <v>75</v>
      </c>
      <c r="B39" s="36">
        <f>IF(15172.94811="","-",15172.94811)</f>
        <v>15172.94811</v>
      </c>
      <c r="C39" s="36" t="s">
        <v>27</v>
      </c>
      <c r="D39" s="36">
        <f>IF(7745.81853="","-",7745.81853/594976.01485*100)</f>
        <v>1.3018707202764812</v>
      </c>
      <c r="E39" s="36">
        <f>IF(15172.94811="","-",15172.94811/682424.61111*100)</f>
        <v>2.223388175482181</v>
      </c>
      <c r="F39" s="25">
        <f>IF(OR(639082.69397="",18897.63706="",7745.81853=""),"-",(7745.81853-18897.63706)/639082.69397*100)</f>
        <v>-1.744972698403799</v>
      </c>
      <c r="G39" s="25">
        <f>IF(OR(594976.01485="",15172.94811="",7745.81853=""),"-",(15172.94811-7745.81853)/594976.01485*100)</f>
        <v>1.2483073930085167</v>
      </c>
    </row>
    <row r="40" spans="1:7" s="13" customFormat="1" ht="39">
      <c r="A40" s="72" t="s">
        <v>76</v>
      </c>
      <c r="B40" s="36">
        <f>IF(10009.79909="","-",10009.79909)</f>
        <v>10009.79909</v>
      </c>
      <c r="C40" s="36">
        <f>IF(OR(12475.88123="",10009.79909=""),"-",10009.79909/12475.88123*100)</f>
        <v>80.2332028132012</v>
      </c>
      <c r="D40" s="36">
        <f>IF(12475.88123="","-",12475.88123/594976.01485*100)</f>
        <v>2.0968712886930927</v>
      </c>
      <c r="E40" s="36">
        <f>IF(10009.79909="","-",10009.79909/682424.61111*100)</f>
        <v>1.466799251820436</v>
      </c>
      <c r="F40" s="25">
        <f>IF(OR(639082.69397="",12769.05326="",12475.88123=""),"-",(12475.88123-12769.05326)/639082.69397*100)</f>
        <v>-0.04587388029220548</v>
      </c>
      <c r="G40" s="25">
        <f>IF(OR(594976.01485="",10009.79909="",12475.88123=""),"-",(10009.79909-12475.88123)/594976.01485*100)</f>
        <v>-0.4144842949041781</v>
      </c>
    </row>
    <row r="41" spans="1:7" s="13" customFormat="1" ht="15">
      <c r="A41" s="72" t="s">
        <v>78</v>
      </c>
      <c r="B41" s="36">
        <f>IF(818.16832="","-",818.16832)</f>
        <v>818.16832</v>
      </c>
      <c r="C41" s="36">
        <f>IF(OR(890.42858="",818.16832=""),"-",818.16832/890.42858*100)</f>
        <v>91.88477755284988</v>
      </c>
      <c r="D41" s="36">
        <f>IF(890.42858="","-",890.42858/594976.01485*100)</f>
        <v>0.14965789507069235</v>
      </c>
      <c r="E41" s="36">
        <f>IF(818.16832="","-",818.16832/682424.61111*100)</f>
        <v>0.11989138531642426</v>
      </c>
      <c r="F41" s="25">
        <f>IF(OR(639082.69397="",1538.16191="",890.42858=""),"-",(890.42858-1538.16191)/639082.69397*100)</f>
        <v>-0.10135360198478573</v>
      </c>
      <c r="G41" s="25">
        <f>IF(OR(594976.01485="",818.16832="",890.42858=""),"-",(818.16832-890.42858)/594976.01485*100)</f>
        <v>-0.01214507109470919</v>
      </c>
    </row>
    <row r="42" spans="1:7" s="13" customFormat="1" ht="15">
      <c r="A42" s="72" t="s">
        <v>79</v>
      </c>
      <c r="B42" s="36">
        <f>IF(995.6026="","-",995.6026)</f>
        <v>995.6026</v>
      </c>
      <c r="C42" s="36">
        <f>IF(OR(897.12938="",995.6026=""),"-",995.6026/897.12938*100)</f>
        <v>110.97647922309713</v>
      </c>
      <c r="D42" s="36">
        <f>IF(897.12938="","-",897.12938/594976.01485*100)</f>
        <v>0.15078412534430924</v>
      </c>
      <c r="E42" s="36">
        <f>IF(995.6026="","-",995.6026/682424.61111*100)</f>
        <v>0.14589195404025646</v>
      </c>
      <c r="F42" s="25">
        <f>IF(OR(639082.69397="",445.4473="",897.12938=""),"-",(897.12938-445.4473)/639082.69397*100)</f>
        <v>0.07067662514754358</v>
      </c>
      <c r="G42" s="25">
        <f>IF(OR(594976.01485="",995.6026="",897.12938=""),"-",(995.6026-897.12938)/594976.01485*100)</f>
        <v>0.016550788190146833</v>
      </c>
    </row>
    <row r="43" spans="1:7" s="13" customFormat="1" ht="15">
      <c r="A43" s="72" t="s">
        <v>80</v>
      </c>
      <c r="B43" s="36">
        <f>IF(760.65164="","-",760.65164)</f>
        <v>760.65164</v>
      </c>
      <c r="C43" s="36">
        <f>IF(OR(1304.85437="",760.65164=""),"-",760.65164/1304.85437*100)</f>
        <v>58.29398724395581</v>
      </c>
      <c r="D43" s="36">
        <f>IF(1304.85437="","-",1304.85437/594976.01485*100)</f>
        <v>0.21931209619079653</v>
      </c>
      <c r="E43" s="36">
        <f>IF(760.65164="","-",760.65164/682424.61111*100)</f>
        <v>0.11146310194803197</v>
      </c>
      <c r="F43" s="25">
        <f>IF(OR(639082.69397="",580.45791="",1304.85437=""),"-",(1304.85437-580.45791)/639082.69397*100)</f>
        <v>0.11334940952633665</v>
      </c>
      <c r="G43" s="25">
        <f>IF(OR(594976.01485="",760.65164="",1304.85437=""),"-",(760.65164-1304.85437)/594976.01485*100)</f>
        <v>-0.0914663308128815</v>
      </c>
    </row>
    <row r="44" spans="1:7" s="13" customFormat="1" ht="26.25">
      <c r="A44" s="69" t="s">
        <v>81</v>
      </c>
      <c r="B44" s="35">
        <f>IF(52142.51561="","-",52142.51561)</f>
        <v>52142.51561</v>
      </c>
      <c r="C44" s="35">
        <f>IF(56327.03116="","-",52142.51561/56327.03116*100)</f>
        <v>92.57103478769608</v>
      </c>
      <c r="D44" s="35">
        <f>IF(56327.03116="","-",56327.03116/594976.01485*100)</f>
        <v>9.467109556374414</v>
      </c>
      <c r="E44" s="35">
        <f>IF(52142.51561="","-",52142.51561/682424.61111*100)</f>
        <v>7.640773026222987</v>
      </c>
      <c r="F44" s="24">
        <f>IF(639082.69397="","-",(56327.03116-38143.57662)/639082.69397*100)</f>
        <v>2.84524283188516</v>
      </c>
      <c r="G44" s="24">
        <f>IF(594976.01485="","-",(52142.51561-56327.03116)/594976.01485*100)</f>
        <v>-0.7033082755537563</v>
      </c>
    </row>
    <row r="45" spans="1:7" s="13" customFormat="1" ht="15">
      <c r="A45" s="72" t="s">
        <v>82</v>
      </c>
      <c r="B45" s="36">
        <f>IF(922.00199="","-",922.00199)</f>
        <v>922.00199</v>
      </c>
      <c r="C45" s="36">
        <f>IF(OR(656.36807="",922.00199=""),"-",922.00199/656.36807*100)</f>
        <v>140.47026845775724</v>
      </c>
      <c r="D45" s="36">
        <f>IF(656.36807="","-",656.36807/594976.01485*100)</f>
        <v>0.11031840840936716</v>
      </c>
      <c r="E45" s="36">
        <f>IF(922.00199="","-",922.00199/682424.61111*100)</f>
        <v>0.13510679055087338</v>
      </c>
      <c r="F45" s="25">
        <f>IF(OR(639082.69397="",379.2387="",656.36807=""),"-",(656.36807-379.2387)/639082.69397*100)</f>
        <v>0.04336361672985767</v>
      </c>
      <c r="G45" s="25">
        <f>IF(OR(594976.01485="",922.00199="",656.36807=""),"-",(922.00199-656.36807)/594976.01485*100)</f>
        <v>0.04464615604159593</v>
      </c>
    </row>
    <row r="46" spans="1:7" s="13" customFormat="1" ht="15">
      <c r="A46" s="72" t="s">
        <v>83</v>
      </c>
      <c r="B46" s="36">
        <f>IF(780.69017="","-",780.69017)</f>
        <v>780.69017</v>
      </c>
      <c r="C46" s="36">
        <f>IF(OR(5385.83492="",780.69017=""),"-",780.69017/5385.83492*100)</f>
        <v>14.495248770082986</v>
      </c>
      <c r="D46" s="36">
        <f>IF(5385.83492="","-",5385.83492/594976.01485*100)</f>
        <v>0.9052188299317963</v>
      </c>
      <c r="E46" s="36">
        <f>IF(780.69017="","-",780.69017/682424.61111*100)</f>
        <v>0.11439947465115094</v>
      </c>
      <c r="F46" s="25">
        <f>IF(OR(639082.69397="",1304.5724="",5385.83492=""),"-",(5385.83492-1304.5724)/639082.69397*100)</f>
        <v>0.6386125862127607</v>
      </c>
      <c r="G46" s="25">
        <f>IF(OR(594976.01485="",780.69017="",5385.83492=""),"-",(780.69017-5385.83492)/594976.01485*100)</f>
        <v>-0.7740051086195479</v>
      </c>
    </row>
    <row r="47" spans="1:7" s="13" customFormat="1" ht="15">
      <c r="A47" s="72" t="s">
        <v>84</v>
      </c>
      <c r="B47" s="36">
        <f>IF(2728.69481="","-",2728.69481)</f>
        <v>2728.69481</v>
      </c>
      <c r="C47" s="36">
        <f>IF(OR(2782.69117="",2728.69481=""),"-",2728.69481/2782.69117*100)</f>
        <v>98.05956332552707</v>
      </c>
      <c r="D47" s="36">
        <f>IF(2782.69117="","-",2782.69117/594976.01485*100)</f>
        <v>0.4676980416935877</v>
      </c>
      <c r="E47" s="36">
        <f>IF(2728.69481="","-",2728.69481/682424.61111*100)</f>
        <v>0.3998529310895796</v>
      </c>
      <c r="F47" s="25">
        <f>IF(OR(639082.69397="",2249.13304="",2782.69117=""),"-",(2782.69117-2249.13304)/639082.69397*100)</f>
        <v>0.08348812055690656</v>
      </c>
      <c r="G47" s="25">
        <f>IF(OR(594976.01485="",2728.69481="",2782.69117=""),"-",(2728.69481-2782.69117)/594976.01485*100)</f>
        <v>-0.00907538432681411</v>
      </c>
    </row>
    <row r="48" spans="1:7" s="13" customFormat="1" ht="26.25">
      <c r="A48" s="72" t="s">
        <v>85</v>
      </c>
      <c r="B48" s="36">
        <f>IF(2004.37178="","-",2004.37178)</f>
        <v>2004.37178</v>
      </c>
      <c r="C48" s="36">
        <f>IF(OR(2204.54648="",2004.37178=""),"-",2004.37178/2204.54648*100)</f>
        <v>90.9199147391077</v>
      </c>
      <c r="D48" s="36">
        <f>IF(2204.54648="","-",2204.54648/594976.01485*100)</f>
        <v>0.3705269498226395</v>
      </c>
      <c r="E48" s="36">
        <f>IF(2004.37178="","-",2004.37178/682424.61111*100)</f>
        <v>0.2937132904306869</v>
      </c>
      <c r="F48" s="25">
        <f>IF(OR(639082.69397="",2187.09925="",2204.54648=""),"-",(2204.54648-2187.09925)/639082.69397*100)</f>
        <v>0.0027300426321384278</v>
      </c>
      <c r="G48" s="25">
        <f>IF(OR(594976.01485="",2004.37178="",2204.54648=""),"-",(2004.37178-2204.54648)/594976.01485*100)</f>
        <v>-0.0336441629584793</v>
      </c>
    </row>
    <row r="49" spans="1:7" s="13" customFormat="1" ht="26.25">
      <c r="A49" s="72" t="s">
        <v>86</v>
      </c>
      <c r="B49" s="36">
        <f>IF(27539.54713="","-",27539.54713)</f>
        <v>27539.54713</v>
      </c>
      <c r="C49" s="36">
        <f>IF(OR(25556.93382="",27539.54713=""),"-",27539.54713/25556.93382*100)</f>
        <v>107.75763369723357</v>
      </c>
      <c r="D49" s="36">
        <f>IF(25556.93382="","-",25556.93382/594976.01485*100)</f>
        <v>4.295456149848861</v>
      </c>
      <c r="E49" s="36">
        <f>IF(27539.54713="","-",27539.54713/682424.61111*100)</f>
        <v>4.03554424644877</v>
      </c>
      <c r="F49" s="25">
        <f>IF(OR(639082.69397="",15219.1493699999="",25556.93382=""),"-",(25556.93382-15219.1493699999)/639082.69397*100)</f>
        <v>1.6175973074441252</v>
      </c>
      <c r="G49" s="25">
        <f>IF(OR(594976.01485="",27539.54713="",25556.93382=""),"-",(27539.54713-25556.93382)/594976.01485*100)</f>
        <v>0.3332257537305666</v>
      </c>
    </row>
    <row r="50" spans="1:7" s="13" customFormat="1" ht="15">
      <c r="A50" s="72" t="s">
        <v>87</v>
      </c>
      <c r="B50" s="36">
        <f>IF(8088.82269="","-",8088.82269)</f>
        <v>8088.82269</v>
      </c>
      <c r="C50" s="36">
        <f>IF(OR(9376.40094="",8088.82269=""),"-",8088.82269/9376.40094*100)</f>
        <v>86.2678840395236</v>
      </c>
      <c r="D50" s="36">
        <f>IF(9376.40094="","-",9376.40094/594976.01485*100)</f>
        <v>1.5759292317630471</v>
      </c>
      <c r="E50" s="36">
        <f>IF(8088.82269="","-",8088.82269/682424.61111*100)</f>
        <v>1.1853064145566348</v>
      </c>
      <c r="F50" s="25">
        <f>IF(OR(639082.69397="",9390.67138="",9376.40094=""),"-",(9376.40094-9390.67138)/639082.69397*100)</f>
        <v>-0.0022329567260461793</v>
      </c>
      <c r="G50" s="25">
        <f>IF(OR(594976.01485="",8088.82269="",9376.40094=""),"-",(8088.82269-9376.40094)/594976.01485*100)</f>
        <v>-0.21640842956074663</v>
      </c>
    </row>
    <row r="51" spans="1:7" s="13" customFormat="1" ht="15">
      <c r="A51" s="72" t="s">
        <v>88</v>
      </c>
      <c r="B51" s="36">
        <f>IF(699.27069="","-",699.27069)</f>
        <v>699.27069</v>
      </c>
      <c r="C51" s="36">
        <f>IF(OR(1097.50298="",699.27069=""),"-",699.27069/1097.50298*100)</f>
        <v>63.71469624620062</v>
      </c>
      <c r="D51" s="36">
        <f>IF(1097.50298="","-",1097.50298/594976.01485*100)</f>
        <v>0.18446171822181645</v>
      </c>
      <c r="E51" s="36">
        <f>IF(699.27069="","-",699.27069/682424.61111*100)</f>
        <v>0.10246856262446322</v>
      </c>
      <c r="F51" s="25">
        <f>IF(OR(639082.69397="",926.36216="",1097.50298=""),"-",(1097.50298-926.36216)/639082.69397*100)</f>
        <v>0.026779135409984</v>
      </c>
      <c r="G51" s="25">
        <f>IF(OR(594976.01485="",699.27069="",1097.50298=""),"-",(699.27069-1097.50298)/594976.01485*100)</f>
        <v>-0.0669324947662636</v>
      </c>
    </row>
    <row r="52" spans="1:7" s="13" customFormat="1" ht="15">
      <c r="A52" s="72" t="s">
        <v>89</v>
      </c>
      <c r="B52" s="36">
        <f>IF(1039.22823="","-",1039.22823)</f>
        <v>1039.22823</v>
      </c>
      <c r="C52" s="36" t="s">
        <v>218</v>
      </c>
      <c r="D52" s="36">
        <f>IF(583.42977="","-",583.42977/594976.01485*100)</f>
        <v>0.09805937641823916</v>
      </c>
      <c r="E52" s="36">
        <f>IF(1039.22823="","-",1039.22823/682424.61111*100)</f>
        <v>0.15228469388137097</v>
      </c>
      <c r="F52" s="25">
        <f>IF(OR(639082.69397="",1362.69394="",583.42977=""),"-",(583.42977-1362.69394)/639082.69397*100)</f>
        <v>-0.12193479456612864</v>
      </c>
      <c r="G52" s="25">
        <f>IF(OR(594976.01485="",1039.22823="",583.42977=""),"-",(1039.22823-583.42977)/594976.01485*100)</f>
        <v>0.0766078713466982</v>
      </c>
    </row>
    <row r="53" spans="1:7" s="13" customFormat="1" ht="15">
      <c r="A53" s="72" t="s">
        <v>90</v>
      </c>
      <c r="B53" s="36">
        <f>IF(8339.88812="","-",8339.88812)</f>
        <v>8339.88812</v>
      </c>
      <c r="C53" s="36">
        <f>IF(OR(8683.32301="",8339.88812=""),"-",8339.88812/8683.32301*100)</f>
        <v>96.04489099847501</v>
      </c>
      <c r="D53" s="36">
        <f>IF(8683.32301="","-",8683.32301/594976.01485*100)</f>
        <v>1.4594408502650582</v>
      </c>
      <c r="E53" s="36">
        <f>IF(8339.88812="","-",8339.88812/682424.61111*100)</f>
        <v>1.2220966219894571</v>
      </c>
      <c r="F53" s="25">
        <f>IF(OR(639082.69397="",5124.65638="",8683.32301=""),"-",(8683.32301-5124.65638)/639082.69397*100)</f>
        <v>0.5568397741915777</v>
      </c>
      <c r="G53" s="25">
        <f>IF(OR(594976.01485="",8339.88812="",8683.32301=""),"-",(8339.88812-8683.32301)/594976.01485*100)</f>
        <v>-0.05772247644076613</v>
      </c>
    </row>
    <row r="54" spans="1:7" s="13" customFormat="1" ht="26.25">
      <c r="A54" s="69" t="s">
        <v>91</v>
      </c>
      <c r="B54" s="35">
        <f>IF(126793.70396="","-",126793.70396)</f>
        <v>126793.70396</v>
      </c>
      <c r="C54" s="35">
        <f>IF(96047.12551="","-",126793.70396/96047.12551*100)</f>
        <v>132.01197150538232</v>
      </c>
      <c r="D54" s="35">
        <f>IF(96047.12551="","-",96047.12551/594976.01485*100)</f>
        <v>16.143024779614777</v>
      </c>
      <c r="E54" s="35">
        <f>IF(126793.70396="","-",126793.70396/682424.61111*100)</f>
        <v>18.579884414450305</v>
      </c>
      <c r="F54" s="24">
        <f>IF(639082.69397="","-",(96047.12551-98918.84139)/639082.69397*100)</f>
        <v>-0.4493496549188059</v>
      </c>
      <c r="G54" s="24">
        <f>IF(594976.01485="","-",(126793.70396-96047.12551)/594976.01485*100)</f>
        <v>5.167700492557091</v>
      </c>
    </row>
    <row r="55" spans="1:7" s="13" customFormat="1" ht="26.25">
      <c r="A55" s="72" t="s">
        <v>92</v>
      </c>
      <c r="B55" s="36">
        <f>IF(820.45906="","-",820.45906)</f>
        <v>820.45906</v>
      </c>
      <c r="C55" s="36">
        <f>IF(OR(608.05158="",820.45906=""),"-",820.45906/608.05158*100)</f>
        <v>134.9324772743786</v>
      </c>
      <c r="D55" s="36">
        <f>IF(608.05158="","-",608.05158/594976.01485*100)</f>
        <v>0.10219766256515338</v>
      </c>
      <c r="E55" s="36">
        <f>IF(820.45906="","-",820.45906/682424.61111*100)</f>
        <v>0.12022706195567588</v>
      </c>
      <c r="F55" s="25">
        <f>IF(OR(639082.69397="",1390.83342="",608.05158=""),"-",(608.05158-1390.83342)/639082.69397*100)</f>
        <v>-0.12248521942244074</v>
      </c>
      <c r="G55" s="25">
        <f>IF(OR(594976.01485="",820.45906="",608.05158=""),"-",(820.45906-608.05158)/594976.01485*100)</f>
        <v>0.03570017525051834</v>
      </c>
    </row>
    <row r="56" spans="1:7" s="13" customFormat="1" ht="26.25">
      <c r="A56" s="72" t="s">
        <v>93</v>
      </c>
      <c r="B56" s="36">
        <f>IF(2174.76105="","-",2174.76105)</f>
        <v>2174.76105</v>
      </c>
      <c r="C56" s="36">
        <f>IF(OR(2827.45486="",2174.76105=""),"-",2174.76105/2827.45486*100)</f>
        <v>76.91585392808005</v>
      </c>
      <c r="D56" s="36">
        <f>IF(2827.45486="","-",2827.45486/594976.01485*100)</f>
        <v>0.47522165422295753</v>
      </c>
      <c r="E56" s="36">
        <f>IF(2174.76105="","-",2174.76105/682424.61111*100)</f>
        <v>0.31868150922380056</v>
      </c>
      <c r="F56" s="25">
        <f>IF(OR(639082.69397="",3507.62266="",2827.45486=""),"-",(2827.45486-3507.62266)/639082.69397*100)</f>
        <v>-0.10642876210193994</v>
      </c>
      <c r="G56" s="25">
        <f>IF(OR(594976.01485="",2174.76105="",2827.45486=""),"-",(2174.76105-2827.45486)/594976.01485*100)</f>
        <v>-0.10970086082622188</v>
      </c>
    </row>
    <row r="57" spans="1:7" s="13" customFormat="1" ht="26.25">
      <c r="A57" s="72" t="s">
        <v>94</v>
      </c>
      <c r="B57" s="36">
        <f>IF(476.1293="","-",476.1293)</f>
        <v>476.1293</v>
      </c>
      <c r="C57" s="36">
        <f>IF(OR(378.75473="",476.1293=""),"-",476.1293/378.75473*100)</f>
        <v>125.70913635850832</v>
      </c>
      <c r="D57" s="36">
        <f>IF(378.75473="","-",378.75473/594976.01485*100)</f>
        <v>0.06365882330491729</v>
      </c>
      <c r="E57" s="36">
        <f>IF(476.1293="","-",476.1293/682424.61111*100)</f>
        <v>0.06977024161328975</v>
      </c>
      <c r="F57" s="25">
        <f>IF(OR(639082.69397="",807.62345="",378.75473=""),"-",(378.75473-807.62345)/639082.69397*100)</f>
        <v>-0.06710692122420892</v>
      </c>
      <c r="G57" s="25">
        <f>IF(OR(594976.01485="",476.1293="",378.75473=""),"-",(476.1293-378.75473)/594976.01485*100)</f>
        <v>0.016366133687683058</v>
      </c>
    </row>
    <row r="58" spans="1:7" s="13" customFormat="1" ht="39">
      <c r="A58" s="72" t="s">
        <v>95</v>
      </c>
      <c r="B58" s="36">
        <f>IF(9422.83872="","-",9422.83872)</f>
        <v>9422.83872</v>
      </c>
      <c r="C58" s="36">
        <f>IF(OR(10680.43273="",9422.83872=""),"-",9422.83872/10680.43273*100)</f>
        <v>88.22525227402467</v>
      </c>
      <c r="D58" s="36">
        <f>IF(10680.43273="","-",10680.43273/594976.01485*100)</f>
        <v>1.7951030736411542</v>
      </c>
      <c r="E58" s="36">
        <f>IF(9422.83872="","-",9422.83872/682424.61111*100)</f>
        <v>1.3807882316367883</v>
      </c>
      <c r="F58" s="25">
        <f>IF(OR(639082.69397="",10010.25886="",10680.43273=""),"-",(10680.43273-10010.25886)/639082.69397*100)</f>
        <v>0.10486496916961735</v>
      </c>
      <c r="G58" s="25">
        <f>IF(OR(594976.01485="",9422.83872="",10680.43273=""),"-",(9422.83872-10680.43273)/594976.01485*100)</f>
        <v>-0.2113688583424752</v>
      </c>
    </row>
    <row r="59" spans="1:7" s="13" customFormat="1" ht="26.25">
      <c r="A59" s="72" t="s">
        <v>96</v>
      </c>
      <c r="B59" s="36">
        <f>IF(279.68568="","-",279.68568)</f>
        <v>279.68568</v>
      </c>
      <c r="C59" s="36">
        <f>IF(OR(207.68368="",279.68568=""),"-",279.68568/207.68368*100)</f>
        <v>134.66906980847025</v>
      </c>
      <c r="D59" s="36">
        <f>IF(207.68368="","-",207.68368/594976.01485*100)</f>
        <v>0.034906227279155</v>
      </c>
      <c r="E59" s="36">
        <f>IF(279.68568="","-",279.68568/682424.61111*100)</f>
        <v>0.04098411391480684</v>
      </c>
      <c r="F59" s="25">
        <f>IF(OR(639082.69397="",260.93776="",207.68368=""),"-",(207.68368-260.93776)/639082.69397*100)</f>
        <v>-0.008332893458463747</v>
      </c>
      <c r="G59" s="25">
        <f>IF(OR(594976.01485="",279.68568="",207.68368=""),"-",(279.68568-207.68368)/594976.01485*100)</f>
        <v>0.012101664302913534</v>
      </c>
    </row>
    <row r="60" spans="1:7" s="13" customFormat="1" ht="39">
      <c r="A60" s="72" t="s">
        <v>97</v>
      </c>
      <c r="B60" s="36">
        <f>IF(990.67009="","-",990.67009)</f>
        <v>990.67009</v>
      </c>
      <c r="C60" s="36" t="s">
        <v>220</v>
      </c>
      <c r="D60" s="36">
        <f>IF(615.0141="","-",615.0141/594976.01485*100)</f>
        <v>0.10336788116661337</v>
      </c>
      <c r="E60" s="36">
        <f>IF(990.67009="","-",990.67009/682424.61111*100)</f>
        <v>0.14516916211281156</v>
      </c>
      <c r="F60" s="25">
        <f>IF(OR(639082.69397="",1101.83986="",615.0141=""),"-",(615.0141-1101.83986)/639082.69397*100)</f>
        <v>-0.0761757069301665</v>
      </c>
      <c r="G60" s="25">
        <f>IF(OR(594976.01485="",990.67009="",615.0141=""),"-",(990.67009-615.0141)/594976.01485*100)</f>
        <v>0.06313800567149029</v>
      </c>
    </row>
    <row r="61" spans="1:7" s="13" customFormat="1" ht="52.5">
      <c r="A61" s="72" t="s">
        <v>98</v>
      </c>
      <c r="B61" s="36">
        <f>IF(90600.43845="","-",90600.43845)</f>
        <v>90600.43845</v>
      </c>
      <c r="C61" s="36">
        <f>IF(OR(73090.03202="",90600.43845=""),"-",90600.43845/73090.03202*100)</f>
        <v>123.95731120381579</v>
      </c>
      <c r="D61" s="36">
        <f>IF(73090.03202="","-",73090.03202/594976.01485*100)</f>
        <v>12.284534198983936</v>
      </c>
      <c r="E61" s="36">
        <f>IF(90600.43845="","-",90600.43845/682424.61111*100)</f>
        <v>13.276256010555299</v>
      </c>
      <c r="F61" s="25">
        <f>IF(OR(639082.69397="",75787.65951="",73090.03202=""),"-",(73090.03202-75787.65951)/639082.69397*100)</f>
        <v>-0.4221093006356125</v>
      </c>
      <c r="G61" s="25">
        <f>IF(OR(594976.01485="",90600.43845="",73090.03202=""),"-",(90600.43845-73090.03202)/594976.01485*100)</f>
        <v>2.94304408798976</v>
      </c>
    </row>
    <row r="62" spans="1:7" s="13" customFormat="1" ht="26.25">
      <c r="A62" s="72" t="s">
        <v>99</v>
      </c>
      <c r="B62" s="36">
        <f>IF(10012.29568="","-",10012.29568)</f>
        <v>10012.29568</v>
      </c>
      <c r="C62" s="36">
        <f>IF(OR(7438.2965="",10012.29568=""),"-",10012.29568/7438.2965*100)</f>
        <v>134.60468643593327</v>
      </c>
      <c r="D62" s="36">
        <f>IF(7438.2965="","-",7438.2965/594976.01485*100)</f>
        <v>1.2501842619446224</v>
      </c>
      <c r="E62" s="36">
        <f>IF(10012.29568="","-",10012.29568/682424.61111*100)</f>
        <v>1.467165092963817</v>
      </c>
      <c r="F62" s="25">
        <f>IF(OR(639082.69397="",3824.5284="",7438.2965=""),"-",(7438.2965-3824.5284)/639082.69397*100)</f>
        <v>0.5654617366574534</v>
      </c>
      <c r="G62" s="25">
        <f>IF(OR(594976.01485="",10012.29568="",7438.2965=""),"-",(10012.29568-7438.2965)/594976.01485*100)</f>
        <v>0.4326223437173231</v>
      </c>
    </row>
    <row r="63" spans="1:7" s="13" customFormat="1" ht="15">
      <c r="A63" s="72" t="s">
        <v>100</v>
      </c>
      <c r="B63" s="36">
        <f>IF(12016.42593="","-",12016.42593)</f>
        <v>12016.42593</v>
      </c>
      <c r="C63" s="36" t="s">
        <v>256</v>
      </c>
      <c r="D63" s="36">
        <f>IF(201.40531="","-",201.40531/594976.01485*100)</f>
        <v>0.033850996506266974</v>
      </c>
      <c r="E63" s="36">
        <f>IF(12016.42593="","-",12016.42593/682424.61111*100)</f>
        <v>1.760842990474016</v>
      </c>
      <c r="F63" s="25">
        <f>IF(OR(639082.69397="",2227.53747="",201.40531=""),"-",(201.40531-2227.53747)/639082.69397*100)</f>
        <v>-0.31703755697304353</v>
      </c>
      <c r="G63" s="25">
        <f>IF(OR(594976.01485="",12016.42593="",201.40531=""),"-",(12016.42593-201.40531)/594976.01485*100)</f>
        <v>1.9857978011060995</v>
      </c>
    </row>
    <row r="64" spans="1:7" s="13" customFormat="1" ht="15">
      <c r="A64" s="69" t="s">
        <v>101</v>
      </c>
      <c r="B64" s="35">
        <f>IF(156279.08436="","-",156279.08436)</f>
        <v>156279.08436</v>
      </c>
      <c r="C64" s="35">
        <f>IF(148737.88596="","-",156279.08436/148737.88596*100)</f>
        <v>105.0701261157013</v>
      </c>
      <c r="D64" s="35">
        <f>IF(148737.88596="","-",148737.88596/594976.01485*100)</f>
        <v>24.998971764853152</v>
      </c>
      <c r="E64" s="35">
        <f>IF(156279.08436="","-",156279.08436/682424.61111*100)</f>
        <v>22.90056393274031</v>
      </c>
      <c r="F64" s="24">
        <f>IF(639082.69397="","-",(148737.88596-131189.2175)/639082.69397*100)</f>
        <v>2.7459151414329783</v>
      </c>
      <c r="G64" s="24">
        <f>IF(594976.01485="","-",(156279.08436-148737.88596)/594976.01485*100)</f>
        <v>1.2674793961066166</v>
      </c>
    </row>
    <row r="65" spans="1:7" s="13" customFormat="1" ht="39">
      <c r="A65" s="72" t="s">
        <v>102</v>
      </c>
      <c r="B65" s="36">
        <f>IF(3058.22612="","-",3058.22612)</f>
        <v>3058.22612</v>
      </c>
      <c r="C65" s="36" t="s">
        <v>26</v>
      </c>
      <c r="D65" s="36">
        <f>IF(1338.87296="","-",1338.87296/594976.01485*100)</f>
        <v>0.2250297367596481</v>
      </c>
      <c r="E65" s="36">
        <f>IF(3058.22612="","-",3058.22612/682424.61111*100)</f>
        <v>0.4481412408362049</v>
      </c>
      <c r="F65" s="25">
        <f>IF(OR(639082.69397="",1082.06053="",1338.87296=""),"-",(1338.87296-1082.06053)/639082.69397*100)</f>
        <v>0.04018453831141535</v>
      </c>
      <c r="G65" s="25">
        <f>IF(OR(594976.01485="",3058.22612="",1338.87296=""),"-",(3058.22612-1338.87296)/594976.01485*100)</f>
        <v>0.28897856671305777</v>
      </c>
    </row>
    <row r="66" spans="1:7" s="13" customFormat="1" ht="15">
      <c r="A66" s="72" t="s">
        <v>103</v>
      </c>
      <c r="B66" s="36">
        <f>IF(38208.53154="","-",38208.53154)</f>
        <v>38208.53154</v>
      </c>
      <c r="C66" s="36">
        <f>IF(OR(37913.74702="",38208.53154=""),"-",38208.53154/37913.74702*100)</f>
        <v>100.77751354896284</v>
      </c>
      <c r="D66" s="36">
        <f>IF(37913.74702="","-",37913.74702/594976.01485*100)</f>
        <v>6.372315198211558</v>
      </c>
      <c r="E66" s="36">
        <f>IF(38208.53154="","-",38208.53154/682424.61111*100)</f>
        <v>5.598938097770505</v>
      </c>
      <c r="F66" s="25">
        <f>IF(OR(639082.69397="",29931.22108="",37913.74702=""),"-",(37913.74702-29931.22108)/639082.69397*100)</f>
        <v>1.2490599440914794</v>
      </c>
      <c r="G66" s="25">
        <f>IF(OR(594976.01485="",38208.53154="",37913.74702=""),"-",(38208.53154-37913.74702)/594976.01485*100)</f>
        <v>0.049545614048714125</v>
      </c>
    </row>
    <row r="67" spans="1:7" s="13" customFormat="1" ht="15">
      <c r="A67" s="72" t="s">
        <v>104</v>
      </c>
      <c r="B67" s="36">
        <f>IF(4079.85345="","-",4079.85345)</f>
        <v>4079.85345</v>
      </c>
      <c r="C67" s="36">
        <f>IF(OR(5008.79362="",4079.85345=""),"-",4079.85345/5008.79362*100)</f>
        <v>81.45381422203616</v>
      </c>
      <c r="D67" s="36">
        <f>IF(5008.79362="","-",5008.79362/594976.01485*100)</f>
        <v>0.8418479896643855</v>
      </c>
      <c r="E67" s="36">
        <f>IF(4079.85345="","-",4079.85345/682424.61111*100)</f>
        <v>0.5978467633756497</v>
      </c>
      <c r="F67" s="25">
        <f>IF(OR(639082.69397="",4702.52563="",5008.79362=""),"-",(5008.79362-4702.52563)/639082.69397*100)</f>
        <v>0.04792306111396238</v>
      </c>
      <c r="G67" s="25">
        <f>IF(OR(594976.01485="",4079.85345="",5008.79362=""),"-",(4079.85345-5008.79362)/594976.01485*100)</f>
        <v>-0.15613069213121075</v>
      </c>
    </row>
    <row r="68" spans="1:7" s="13" customFormat="1" ht="15">
      <c r="A68" s="72" t="s">
        <v>105</v>
      </c>
      <c r="B68" s="36">
        <f>IF(81645.61907="","-",81645.61907)</f>
        <v>81645.61907</v>
      </c>
      <c r="C68" s="36">
        <f>IF(OR(77497.01652="",81645.61907=""),"-",81645.61907/77497.01652*100)</f>
        <v>105.35324162953982</v>
      </c>
      <c r="D68" s="36">
        <f>IF(77497.01652="","-",77497.01652/594976.01485*100)</f>
        <v>13.02523372131864</v>
      </c>
      <c r="E68" s="36">
        <f>IF(81645.61907="","-",81645.61907/682424.61111*100)</f>
        <v>11.964049616733348</v>
      </c>
      <c r="F68" s="25">
        <f>IF(OR(639082.69397="",67880.90178="",77497.01652=""),"-",(77497.01652-67880.90178)/639082.69397*100)</f>
        <v>1.504674564141993</v>
      </c>
      <c r="G68" s="25">
        <f>IF(OR(594976.01485="",81645.61907="",77497.01652=""),"-",(81645.61907-77497.01652)/594976.01485*100)</f>
        <v>0.6972722339144888</v>
      </c>
    </row>
    <row r="69" spans="1:7" s="13" customFormat="1" ht="14.25" customHeight="1">
      <c r="A69" s="72" t="s">
        <v>106</v>
      </c>
      <c r="B69" s="36">
        <f>IF(10154.53735="","-",10154.53735)</f>
        <v>10154.53735</v>
      </c>
      <c r="C69" s="36">
        <f>IF(OR(9962.53906="",10154.53735=""),"-",10154.53735/9962.53906*100)</f>
        <v>101.92720238127731</v>
      </c>
      <c r="D69" s="36">
        <f>IF(9962.53906="","-",9962.53906/594976.01485*100)</f>
        <v>1.6744438114050135</v>
      </c>
      <c r="E69" s="36">
        <f>IF(10154.53735="","-",10154.53735/682424.61111*100)</f>
        <v>1.4880086656726965</v>
      </c>
      <c r="F69" s="25">
        <f>IF(OR(639082.69397="",8304.28634="",9962.53906=""),"-",(9962.53906-8304.28634)/639082.69397*100)</f>
        <v>0.25947388900470536</v>
      </c>
      <c r="G69" s="25">
        <f>IF(OR(594976.01485="",10154.53735="",9962.53906=""),"-",(10154.53735-9962.53906)/594976.01485*100)</f>
        <v>0.03226992100654784</v>
      </c>
    </row>
    <row r="70" spans="1:7" ht="26.25">
      <c r="A70" s="66" t="s">
        <v>111</v>
      </c>
      <c r="B70" s="36">
        <f>IF(6329.41863="","-",6329.41863)</f>
        <v>6329.41863</v>
      </c>
      <c r="C70" s="36">
        <f>IF(OR(7883.5461="",6329.41863=""),"-",6329.41863/7883.5461*100)</f>
        <v>80.28644152914892</v>
      </c>
      <c r="D70" s="36">
        <f>IF(7883.5461="","-",7883.5461/594976.01485*100)</f>
        <v>1.3250191441729846</v>
      </c>
      <c r="E70" s="36">
        <f>IF(6329.41863="","-",6329.41863/682424.61111*100)</f>
        <v>0.9274897954962179</v>
      </c>
      <c r="F70" s="25">
        <f>IF(OR(639082.69397="",7558.93035="",7883.5461=""),"-",(7883.5461-7558.93035)/639082.69397*100)</f>
        <v>0.05079401352326998</v>
      </c>
      <c r="G70" s="25">
        <f>IF(OR(594976.01485="",6329.41863="",7883.5461=""),"-",(6329.41863-7883.5461)/594976.01485*100)</f>
        <v>-0.26120842373651176</v>
      </c>
    </row>
    <row r="71" spans="1:7" ht="26.25">
      <c r="A71" s="66" t="s">
        <v>108</v>
      </c>
      <c r="B71" s="36">
        <f>IF(805.07007="","-",805.07007)</f>
        <v>805.07007</v>
      </c>
      <c r="C71" s="36" t="s">
        <v>187</v>
      </c>
      <c r="D71" s="36">
        <f>IF(387.66081="","-",387.66081/594976.01485*100)</f>
        <v>0.06515570381399889</v>
      </c>
      <c r="E71" s="36">
        <f>IF(805.07007="","-",805.07007/682424.61111*100)</f>
        <v>0.11797201579387803</v>
      </c>
      <c r="F71" s="25">
        <f>IF(OR(639082.69397="",338.08621="",387.66081=""),"-",(387.66081-338.08621)/639082.69397*100)</f>
        <v>0.0077571495000187205</v>
      </c>
      <c r="G71" s="25">
        <f>IF(OR(594976.01485="",805.07007="",387.66081=""),"-",(805.07007-387.66081)/594976.01485*100)</f>
        <v>0.07015564486330318</v>
      </c>
    </row>
    <row r="72" spans="1:7" ht="15">
      <c r="A72" s="73" t="s">
        <v>109</v>
      </c>
      <c r="B72" s="47">
        <f>IF(11997.82813="","-",11997.82813)</f>
        <v>11997.82813</v>
      </c>
      <c r="C72" s="47">
        <f>IF(OR(8745.70987="",11997.82813=""),"-",11997.82813/8745.70987*100)</f>
        <v>137.18529780133215</v>
      </c>
      <c r="D72" s="47">
        <f>IF(8745.70987="","-",8745.70987/594976.01485*100)</f>
        <v>1.4699264595069248</v>
      </c>
      <c r="E72" s="47">
        <f>IF(11997.82813="","-",11997.82813/682424.61111*100)</f>
        <v>1.7581177370618113</v>
      </c>
      <c r="F72" s="26">
        <f>IF(OR(639082.69397="",11391.20558="",8745.70987=""),"-",(8745.70987-11391.20558)/639082.69397*100)</f>
        <v>-0.41395201825386696</v>
      </c>
      <c r="G72" s="26">
        <f>IF(OR(594976.01485="",11997.82813="",8745.70987=""),"-",(11997.82813-8745.70987)/594976.01485*100)</f>
        <v>0.5465965314282281</v>
      </c>
    </row>
    <row r="73" spans="1:7" ht="15">
      <c r="A73" s="7" t="s">
        <v>28</v>
      </c>
      <c r="B73" s="18"/>
      <c r="C73" s="19"/>
      <c r="D73" s="19"/>
      <c r="E73" s="19"/>
      <c r="F73" s="19"/>
      <c r="G73" s="19"/>
    </row>
    <row r="74" spans="2:7" ht="15">
      <c r="B74" s="20"/>
      <c r="C74" s="21"/>
      <c r="D74" s="21"/>
      <c r="E74" s="21"/>
      <c r="F74" s="21"/>
      <c r="G74" s="21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7.75390625" style="0" customWidth="1"/>
    <col min="2" max="2" width="13.00390625" style="0" customWidth="1"/>
    <col min="3" max="3" width="10.5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50" t="s">
        <v>118</v>
      </c>
      <c r="B1" s="50"/>
      <c r="C1" s="50"/>
      <c r="D1" s="50"/>
      <c r="E1" s="50"/>
      <c r="F1" s="50"/>
      <c r="G1" s="50"/>
    </row>
    <row r="2" spans="1:7" ht="15.75">
      <c r="A2" s="50" t="s">
        <v>37</v>
      </c>
      <c r="B2" s="50"/>
      <c r="C2" s="50"/>
      <c r="D2" s="50"/>
      <c r="E2" s="50"/>
      <c r="F2" s="50"/>
      <c r="G2" s="50"/>
    </row>
    <row r="3" ht="15">
      <c r="A3" s="6"/>
    </row>
    <row r="4" spans="1:7" ht="55.5" customHeight="1">
      <c r="A4" s="51"/>
      <c r="B4" s="54" t="s">
        <v>226</v>
      </c>
      <c r="C4" s="55"/>
      <c r="D4" s="54" t="s">
        <v>0</v>
      </c>
      <c r="E4" s="55"/>
      <c r="F4" s="56" t="s">
        <v>224</v>
      </c>
      <c r="G4" s="57"/>
    </row>
    <row r="5" spans="1:7" ht="18.75" customHeight="1">
      <c r="A5" s="52"/>
      <c r="B5" s="58" t="s">
        <v>199</v>
      </c>
      <c r="C5" s="60" t="s">
        <v>227</v>
      </c>
      <c r="D5" s="62" t="s">
        <v>228</v>
      </c>
      <c r="E5" s="62"/>
      <c r="F5" s="62" t="s">
        <v>228</v>
      </c>
      <c r="G5" s="54"/>
    </row>
    <row r="6" spans="1:7" ht="24" customHeight="1">
      <c r="A6" s="53"/>
      <c r="B6" s="59"/>
      <c r="C6" s="61"/>
      <c r="D6" s="15">
        <v>2016</v>
      </c>
      <c r="E6" s="15">
        <v>2017</v>
      </c>
      <c r="F6" s="15" t="s">
        <v>2</v>
      </c>
      <c r="G6" s="16" t="s">
        <v>189</v>
      </c>
    </row>
    <row r="7" spans="1:7" ht="15">
      <c r="A7" s="65" t="s">
        <v>201</v>
      </c>
      <c r="B7" s="31">
        <f>IF(1392193.04092="","-",1392193.04092)</f>
        <v>1392193.04092</v>
      </c>
      <c r="C7" s="31">
        <f>IF(1216006.77752="","-",1392193.04092/1216006.77752*100)</f>
        <v>114.48892116862419</v>
      </c>
      <c r="D7" s="31">
        <v>100</v>
      </c>
      <c r="E7" s="31">
        <v>100</v>
      </c>
      <c r="F7" s="29">
        <f>IF(1305605.99556="","-",(1216006.77752-1305605.99556)/1305605.99556*100)</f>
        <v>-6.862653690677109</v>
      </c>
      <c r="G7" s="29">
        <f>IF(1216006.77752="","-",(1392193.04092-1216006.77752)/1216006.77752*100)</f>
        <v>14.488921168624183</v>
      </c>
    </row>
    <row r="8" spans="1:7" ht="15">
      <c r="A8" s="66" t="s">
        <v>112</v>
      </c>
      <c r="B8" s="45"/>
      <c r="C8" s="46"/>
      <c r="D8" s="46"/>
      <c r="E8" s="46"/>
      <c r="F8" s="27"/>
      <c r="G8" s="27"/>
    </row>
    <row r="9" spans="1:7" ht="15">
      <c r="A9" s="67" t="s">
        <v>38</v>
      </c>
      <c r="B9" s="35">
        <f>IF(161425.47915="","-",161425.47915)</f>
        <v>161425.47915</v>
      </c>
      <c r="C9" s="35">
        <f>IF(145885.02092="","-",161425.47915/145885.02092*100)</f>
        <v>110.65253864447264</v>
      </c>
      <c r="D9" s="35">
        <f>IF(145885.02092="","-",145885.02092/1216006.77752*100)</f>
        <v>11.997056563905591</v>
      </c>
      <c r="E9" s="35">
        <f>IF(161425.47915="","-",161425.47915/1392193.04092*100)</f>
        <v>11.595049997041038</v>
      </c>
      <c r="F9" s="24">
        <f>IF(1305605.99556="","-",(145885.02092-127899.41976)/1305605.99556*100)</f>
        <v>1.3775672922125048</v>
      </c>
      <c r="G9" s="24">
        <f>IF(1216006.77752="","-",(161425.47915-145885.02092)/1216006.77752*100)</f>
        <v>1.2779910866692838</v>
      </c>
    </row>
    <row r="10" spans="1:7" ht="15">
      <c r="A10" s="66" t="s">
        <v>39</v>
      </c>
      <c r="B10" s="36">
        <f>IF(1810.03617="","-",1810.03617)</f>
        <v>1810.03617</v>
      </c>
      <c r="C10" s="36">
        <f>IF(OR(2256.66267="",1810.03617=""),"-",1810.03617/2256.66267*100)</f>
        <v>80.20853954215497</v>
      </c>
      <c r="D10" s="36">
        <f>IF(2256.66267="","-",2256.66267/1216006.77752*100)</f>
        <v>0.18557977732676612</v>
      </c>
      <c r="E10" s="36">
        <f>IF(1810.03617="","-",1810.03617/1392193.04092*100)</f>
        <v>0.13001330395990757</v>
      </c>
      <c r="F10" s="25">
        <f>IF(OR(1305605.99556="",2478.101="",2256.66267=""),"-",(2256.66267-2478.101)/1305605.99556*100)</f>
        <v>-0.016960578517029614</v>
      </c>
      <c r="G10" s="25">
        <f>IF(OR(1216006.77752="",1810.03617="",2256.66267=""),"-",(1810.03617-2256.66267)/1216006.77752*100)</f>
        <v>-0.036728948247383784</v>
      </c>
    </row>
    <row r="11" spans="1:7" s="13" customFormat="1" ht="15">
      <c r="A11" s="72" t="s">
        <v>40</v>
      </c>
      <c r="B11" s="36">
        <f>IF(7158.93504="","-",7158.93504)</f>
        <v>7158.93504</v>
      </c>
      <c r="C11" s="36">
        <f>IF(OR(6503.57655="",7158.93504=""),"-",7158.93504/6503.57655*100)</f>
        <v>110.07689361325347</v>
      </c>
      <c r="D11" s="36">
        <f>IF(6503.57655="","-",6503.57655/1216006.77752*100)</f>
        <v>0.5348306169200635</v>
      </c>
      <c r="E11" s="36">
        <f>IF(7158.93504="","-",7158.93504/1392193.04092*100)</f>
        <v>0.5142199989212111</v>
      </c>
      <c r="F11" s="25">
        <f>IF(OR(1305605.99556="",6478.95325="",6503.57655=""),"-",(6503.57655-6478.95325)/1305605.99556*100)</f>
        <v>0.0018859671358539363</v>
      </c>
      <c r="G11" s="25">
        <f>IF(OR(1216006.77752="",7158.93504="",6503.57655=""),"-",(7158.93504-6503.57655)/1216006.77752*100)</f>
        <v>0.05389431227814203</v>
      </c>
    </row>
    <row r="12" spans="1:7" s="13" customFormat="1" ht="15">
      <c r="A12" s="72" t="s">
        <v>41</v>
      </c>
      <c r="B12" s="36">
        <f>IF(17690.82305="","-",17690.82305)</f>
        <v>17690.82305</v>
      </c>
      <c r="C12" s="36">
        <f>IF(OR(11790.88485="",17690.82305=""),"-",17690.82305/11790.88485*100)</f>
        <v>150.03812924184393</v>
      </c>
      <c r="D12" s="36">
        <f>IF(11790.88485="","-",11790.88485/1216006.77752*100)</f>
        <v>0.9696397312889213</v>
      </c>
      <c r="E12" s="36">
        <f>IF(17690.82305="","-",17690.82305/1392193.04092*100)</f>
        <v>1.2707162390575815</v>
      </c>
      <c r="F12" s="25">
        <f>IF(OR(1305605.99556="",10164.01889="",11790.88485=""),"-",(11790.88485-10164.01889)/1305605.99556*100)</f>
        <v>0.12460619555459429</v>
      </c>
      <c r="G12" s="25">
        <f>IF(OR(1216006.77752="",17690.82305="",11790.88485=""),"-",(17690.82305-11790.88485)/1216006.77752*100)</f>
        <v>0.48518958192261885</v>
      </c>
    </row>
    <row r="13" spans="1:7" s="13" customFormat="1" ht="15">
      <c r="A13" s="72" t="s">
        <v>42</v>
      </c>
      <c r="B13" s="36">
        <f>IF(13254.20142="","-",13254.20142)</f>
        <v>13254.20142</v>
      </c>
      <c r="C13" s="36">
        <f>IF(OR(12941.98414="",13254.20142=""),"-",13254.20142/12941.98414*100)</f>
        <v>102.41243751052842</v>
      </c>
      <c r="D13" s="36">
        <f>IF(12941.98414="","-",12941.98414/1216006.77752*100)</f>
        <v>1.0643019742369109</v>
      </c>
      <c r="E13" s="36">
        <f>IF(13254.20142="","-",13254.20142/1392193.04092*100)</f>
        <v>0.9520376147866142</v>
      </c>
      <c r="F13" s="25">
        <f>IF(OR(1305605.99556="",10851.78412="",12941.98414=""),"-",(12941.98414-10851.78412)/1305605.99556*100)</f>
        <v>0.16009424183928264</v>
      </c>
      <c r="G13" s="25">
        <f>IF(OR(1216006.77752="",13254.20142="",12941.98414=""),"-",(13254.20142-12941.98414)/1216006.77752*100)</f>
        <v>0.025675620051785756</v>
      </c>
    </row>
    <row r="14" spans="1:7" s="13" customFormat="1" ht="15">
      <c r="A14" s="72" t="s">
        <v>43</v>
      </c>
      <c r="B14" s="36">
        <f>IF(24411.09662="","-",24411.09662)</f>
        <v>24411.09662</v>
      </c>
      <c r="C14" s="36">
        <f>IF(OR(23668.08564="",24411.09662=""),"-",24411.09662/23668.08564*100)</f>
        <v>103.13929479258044</v>
      </c>
      <c r="D14" s="36">
        <f>IF(23668.08564="","-",23668.08564/1216006.77752*100)</f>
        <v>1.9463777733435144</v>
      </c>
      <c r="E14" s="36">
        <f>IF(24411.09662="","-",24411.09662/1392193.04092*100)</f>
        <v>1.753427570925686</v>
      </c>
      <c r="F14" s="25">
        <f>IF(OR(1305605.99556="",21812.00552="",23668.08564=""),"-",(23668.08564-21812.00552)/1305605.99556*100)</f>
        <v>0.14216234655110427</v>
      </c>
      <c r="G14" s="25">
        <f>IF(OR(1216006.77752="",24411.09662="",23668.08564=""),"-",(24411.09662-23668.08564)/1216006.77752*100)</f>
        <v>0.06110253608251608</v>
      </c>
    </row>
    <row r="15" spans="1:7" s="13" customFormat="1" ht="15">
      <c r="A15" s="72" t="s">
        <v>44</v>
      </c>
      <c r="B15" s="36">
        <f>IF(39093.8987="","-",39093.8987)</f>
        <v>39093.8987</v>
      </c>
      <c r="C15" s="36">
        <f>IF(OR(40644.33417="",39093.8987=""),"-",39093.8987/40644.33417*100)</f>
        <v>96.18535891493482</v>
      </c>
      <c r="D15" s="36">
        <f>IF(40644.33417="","-",40644.33417/1216006.77752*100)</f>
        <v>3.34244306210962</v>
      </c>
      <c r="E15" s="36">
        <f>IF(39093.8987="","-",39093.8987/1392193.04092*100)</f>
        <v>2.808080312925976</v>
      </c>
      <c r="F15" s="25">
        <f>IF(OR(1305605.99556="",34132.3741="",40644.33417=""),"-",(40644.33417-34132.3741)/1305605.99556*100)</f>
        <v>0.49876916099844454</v>
      </c>
      <c r="G15" s="25">
        <f>IF(OR(1216006.77752="",39093.8987="",40644.33417=""),"-",(39093.8987-40644.33417)/1216006.77752*100)</f>
        <v>-0.1275022062921441</v>
      </c>
    </row>
    <row r="16" spans="1:7" s="13" customFormat="1" ht="14.25" customHeight="1">
      <c r="A16" s="72" t="s">
        <v>45</v>
      </c>
      <c r="B16" s="36">
        <f>IF(15542.66424="","-",15542.66424)</f>
        <v>15542.66424</v>
      </c>
      <c r="C16" s="36" t="s">
        <v>197</v>
      </c>
      <c r="D16" s="36">
        <f>IF(7011.00945="","-",7011.00945/1216006.77752*100)</f>
        <v>0.5765600636123664</v>
      </c>
      <c r="E16" s="36">
        <f>IF(15542.66424="","-",15542.66424/1392193.04092*100)</f>
        <v>1.1164158836571236</v>
      </c>
      <c r="F16" s="25">
        <f>IF(OR(1305605.99556="",3330.93287="",7011.00945=""),"-",(7011.00945-3330.93287)/1305605.99556*100)</f>
        <v>0.281867316212924</v>
      </c>
      <c r="G16" s="25">
        <f>IF(OR(1216006.77752="",15542.66424="",7011.00945=""),"-",(15542.66424-7011.00945)/1216006.77752*100)</f>
        <v>0.701612437341837</v>
      </c>
    </row>
    <row r="17" spans="1:7" s="13" customFormat="1" ht="26.25">
      <c r="A17" s="72" t="s">
        <v>46</v>
      </c>
      <c r="B17" s="36">
        <f>IF(12872.62805="","-",12872.62805)</f>
        <v>12872.62805</v>
      </c>
      <c r="C17" s="36">
        <f>IF(OR(13012.40043="",12872.62805=""),"-",12872.62805/13012.40043*100)</f>
        <v>98.92585245318952</v>
      </c>
      <c r="D17" s="36">
        <f>IF(13012.40043="","-",13012.40043/1216006.77752*100)</f>
        <v>1.0700927552836752</v>
      </c>
      <c r="E17" s="36">
        <f>IF(12872.62805="","-",12872.62805/1392193.04092*100)</f>
        <v>0.9246295356779982</v>
      </c>
      <c r="F17" s="25">
        <f>IF(OR(1305605.99556="",12688.48476="",13012.40043=""),"-",(13012.40043-12688.48476)/1305605.99556*100)</f>
        <v>0.02480960344097275</v>
      </c>
      <c r="G17" s="25">
        <f>IF(OR(1216006.77752="",12872.62805="",13012.40043=""),"-",(12872.62805-13012.40043)/1216006.77752*100)</f>
        <v>-0.011494375079476187</v>
      </c>
    </row>
    <row r="18" spans="1:7" s="13" customFormat="1" ht="26.25">
      <c r="A18" s="72" t="s">
        <v>47</v>
      </c>
      <c r="B18" s="36">
        <f>IF(8631.35988="","-",8631.35988)</f>
        <v>8631.35988</v>
      </c>
      <c r="C18" s="36">
        <f>IF(OR(8475.6943="",8631.35988=""),"-",8631.35988/8475.6943*100)</f>
        <v>101.83661154461412</v>
      </c>
      <c r="D18" s="36">
        <f>IF(8475.6943="","-",8475.6943/1216006.77752*100)</f>
        <v>0.6970104490113006</v>
      </c>
      <c r="E18" s="36">
        <f>IF(8631.35988="","-",8631.35988/1392193.04092*100)</f>
        <v>0.6199829783875487</v>
      </c>
      <c r="F18" s="25">
        <f>IF(OR(1305605.99556="",7103.40739="",8475.6943=""),"-",(8475.6943-7103.40739)/1305605.99556*100)</f>
        <v>0.10510727697841173</v>
      </c>
      <c r="G18" s="25">
        <f>IF(OR(1216006.77752="",8631.35988="",8475.6943=""),"-",(8631.35988-8475.6943)/1216006.77752*100)</f>
        <v>0.012801374373708251</v>
      </c>
    </row>
    <row r="19" spans="1:7" s="13" customFormat="1" ht="26.25">
      <c r="A19" s="72" t="s">
        <v>48</v>
      </c>
      <c r="B19" s="36">
        <f>IF(20959.83598="","-",20959.83598)</f>
        <v>20959.83598</v>
      </c>
      <c r="C19" s="36">
        <f>IF(OR(19580.38872="",20959.83598=""),"-",20959.83598/19580.38872*100)</f>
        <v>107.04504532430958</v>
      </c>
      <c r="D19" s="36">
        <f>IF(19580.38872="","-",19580.38872/1216006.77752*100)</f>
        <v>1.6102203607724508</v>
      </c>
      <c r="E19" s="36">
        <f>IF(20959.83598="","-",20959.83598/1392193.04092*100)</f>
        <v>1.5055265587413906</v>
      </c>
      <c r="F19" s="25">
        <f>IF(OR(1305605.99556="",18859.35786="",19580.38872=""),"-",(19580.38872-18859.35786)/1305605.99556*100)</f>
        <v>0.0552257620179459</v>
      </c>
      <c r="G19" s="25">
        <f>IF(OR(1216006.77752="",20959.83598="",19580.38872=""),"-",(20959.83598-19580.38872)/1216006.77752*100)</f>
        <v>0.11344075423768045</v>
      </c>
    </row>
    <row r="20" spans="1:7" s="13" customFormat="1" ht="15">
      <c r="A20" s="69" t="s">
        <v>49</v>
      </c>
      <c r="B20" s="35">
        <f>IF(26412.24998="","-",26412.24998)</f>
        <v>26412.24998</v>
      </c>
      <c r="C20" s="35">
        <f>IF(30557.14409="","-",26412.24998/30557.14409*100)</f>
        <v>86.43559719523513</v>
      </c>
      <c r="D20" s="35">
        <f>IF(30557.14409="","-",30557.14409/1216006.77752*100)</f>
        <v>2.512909027721058</v>
      </c>
      <c r="E20" s="35">
        <f>IF(26412.24998="","-",26412.24998/1392193.04092*100)</f>
        <v>1.8971686543229698</v>
      </c>
      <c r="F20" s="24">
        <f>IF(1305605.99556="","-",(30557.14409-28426.5733)/1305605.99556*100)</f>
        <v>0.1631863515674312</v>
      </c>
      <c r="G20" s="24">
        <f>IF(1216006.77752="","-",(26412.24998-30557.14409)/1216006.77752*100)</f>
        <v>-0.34086110263738467</v>
      </c>
    </row>
    <row r="21" spans="1:7" s="13" customFormat="1" ht="15">
      <c r="A21" s="72" t="s">
        <v>50</v>
      </c>
      <c r="B21" s="36">
        <f>IF(12178.28175="","-",12178.28175)</f>
        <v>12178.28175</v>
      </c>
      <c r="C21" s="36">
        <f>IF(OR(12829.92522="",12178.28175=""),"-",12178.28175/12829.92522*100)</f>
        <v>94.92090983520168</v>
      </c>
      <c r="D21" s="36">
        <f>IF(12829.92522="","-",12829.92522/1216006.77752*100)</f>
        <v>1.0550866538890638</v>
      </c>
      <c r="E21" s="36">
        <f>IF(12178.28175="","-",12178.28175/1392193.04092*100)</f>
        <v>0.8747552524721897</v>
      </c>
      <c r="F21" s="25">
        <f>IF(OR(1305605.99556="",8684.01655="",12829.92522=""),"-",(12829.92522-8684.01655)/1305605.99556*100)</f>
        <v>0.31754669357364107</v>
      </c>
      <c r="G21" s="25">
        <f>IF(OR(1216006.77752="",12178.28175="",12829.92522=""),"-",(12178.28175-12829.92522)/1216006.77752*100)</f>
        <v>-0.05358880246777912</v>
      </c>
    </row>
    <row r="22" spans="1:7" s="13" customFormat="1" ht="15">
      <c r="A22" s="72" t="s">
        <v>51</v>
      </c>
      <c r="B22" s="36">
        <f>IF(14233.96823="","-",14233.96823)</f>
        <v>14233.96823</v>
      </c>
      <c r="C22" s="36">
        <f>IF(OR(17727.21887="",14233.96823=""),"-",14233.96823/17727.21887*100)</f>
        <v>80.29442370166889</v>
      </c>
      <c r="D22" s="36">
        <f>IF(17727.21887="","-",17727.21887/1216006.77752*100)</f>
        <v>1.4578223738319942</v>
      </c>
      <c r="E22" s="36">
        <f>IF(14233.96823="","-",14233.96823/1392193.04092*100)</f>
        <v>1.0224134018507804</v>
      </c>
      <c r="F22" s="25">
        <f>IF(OR(1305605.99556="",19742.55675="",17727.21887=""),"-",(17727.21887-19742.55675)/1305605.99556*100)</f>
        <v>-0.15436034200621002</v>
      </c>
      <c r="G22" s="25">
        <f>IF(OR(1216006.77752="",14233.96823="",17727.21887=""),"-",(14233.96823-17727.21887)/1216006.77752*100)</f>
        <v>-0.2872723001696054</v>
      </c>
    </row>
    <row r="23" spans="1:7" s="13" customFormat="1" ht="26.25">
      <c r="A23" s="69" t="s">
        <v>52</v>
      </c>
      <c r="B23" s="35">
        <f>IF(46423.67564="","-",46423.67564)</f>
        <v>46423.67564</v>
      </c>
      <c r="C23" s="35">
        <f>IF(42502.13693="","-",46423.67564/42502.13693*100)</f>
        <v>109.22668598159824</v>
      </c>
      <c r="D23" s="35">
        <f>IF(42502.13693="","-",42502.13693/1216006.77752*100)</f>
        <v>3.4952220428147203</v>
      </c>
      <c r="E23" s="35">
        <f>IF(46423.67564="","-",46423.67564/1392193.04092*100)</f>
        <v>3.3345717350606736</v>
      </c>
      <c r="F23" s="24">
        <f>IF(1305605.99556="","-",(42502.13693-43953.97227)/1305605.99556*100)</f>
        <v>-0.11120011281636902</v>
      </c>
      <c r="G23" s="24">
        <f>IF(1216006.77752="","-",(46423.67564-42502.13693)/1216006.77752*100)</f>
        <v>0.32249316225011765</v>
      </c>
    </row>
    <row r="24" spans="1:7" s="13" customFormat="1" ht="15">
      <c r="A24" s="72" t="s">
        <v>54</v>
      </c>
      <c r="B24" s="36">
        <f>IF(20817.63619="","-",20817.63619)</f>
        <v>20817.63619</v>
      </c>
      <c r="C24" s="36">
        <f>IF(OR(19010.95021="",20817.63619=""),"-",20817.63619/19010.95021*100)</f>
        <v>109.50339651644379</v>
      </c>
      <c r="D24" s="36">
        <f>IF(19010.95021="","-",19010.95021/1216006.77752*100)</f>
        <v>1.5633917969414706</v>
      </c>
      <c r="E24" s="36">
        <f>IF(20817.63619="","-",20817.63619/1392193.04092*100)</f>
        <v>1.4953124730635865</v>
      </c>
      <c r="F24" s="25">
        <f>IF(OR(1305605.99556="",16377.3381="",19010.95021=""),"-",(19010.95021-16377.3381)/1305605.99556*100)</f>
        <v>0.20171568750114313</v>
      </c>
      <c r="G24" s="25">
        <f>IF(OR(1216006.77752="",20817.63619="",19010.95021=""),"-",(20817.63619-19010.95021)/1216006.77752*100)</f>
        <v>0.1485753215689036</v>
      </c>
    </row>
    <row r="25" spans="1:7" s="13" customFormat="1" ht="26.25">
      <c r="A25" s="72" t="s">
        <v>55</v>
      </c>
      <c r="B25" s="36">
        <f>IF(193.44462="","-",193.44462)</f>
        <v>193.44462</v>
      </c>
      <c r="C25" s="36">
        <f>IF(OR(226.95347="",193.44462=""),"-",193.44462/226.95347*100)</f>
        <v>85.23536564565414</v>
      </c>
      <c r="D25" s="36">
        <f>IF(226.95347="","-",226.95347/1216006.77752*100)</f>
        <v>0.018663832652550102</v>
      </c>
      <c r="E25" s="36">
        <f>IF(193.44462="","-",193.44462/1392193.04092*100)</f>
        <v>0.013894956684467146</v>
      </c>
      <c r="F25" s="25">
        <f>IF(OR(1305605.99556="",1279.14293="",226.95347=""),"-",(226.95347-1279.14293)/1305605.99556*100)</f>
        <v>-0.08059012164299195</v>
      </c>
      <c r="G25" s="25">
        <f>IF(OR(1216006.77752="",193.44462="",226.95347=""),"-",(193.44462-226.95347)/1216006.77752*100)</f>
        <v>-0.0027556466476560317</v>
      </c>
    </row>
    <row r="26" spans="1:7" s="13" customFormat="1" ht="15">
      <c r="A26" s="72" t="s">
        <v>56</v>
      </c>
      <c r="B26" s="36">
        <f>IF(7753.66945="","-",7753.66945)</f>
        <v>7753.66945</v>
      </c>
      <c r="C26" s="36">
        <f>IF(OR(7010.32827="",7753.66945=""),"-",7753.66945/7010.32827*100)</f>
        <v>110.60351457692865</v>
      </c>
      <c r="D26" s="36">
        <f>IF(7010.32827="","-",7010.32827/1216006.77752*100)</f>
        <v>0.5765040458324829</v>
      </c>
      <c r="E26" s="36">
        <f>IF(7753.66945="","-",7753.66945/1392193.04092*100)</f>
        <v>0.5569392477982908</v>
      </c>
      <c r="F26" s="25">
        <f>IF(OR(1305605.99556="",7210.44738="",7010.32827=""),"-",(7010.32827-7210.44738)/1305605.99556*100)</f>
        <v>-0.015327680071977967</v>
      </c>
      <c r="G26" s="25">
        <f>IF(OR(1216006.77752="",7753.66945="",7010.32827=""),"-",(7753.66945-7010.32827)/1216006.77752*100)</f>
        <v>0.06112969053643078</v>
      </c>
    </row>
    <row r="27" spans="1:7" s="13" customFormat="1" ht="15">
      <c r="A27" s="72" t="s">
        <v>57</v>
      </c>
      <c r="B27" s="36">
        <f>IF(143.86546="","-",143.86546)</f>
        <v>143.86546</v>
      </c>
      <c r="C27" s="36">
        <f>IF(OR(212.59485="",143.86546=""),"-",143.86546/212.59485*100)</f>
        <v>67.67118770751033</v>
      </c>
      <c r="D27" s="36">
        <f>IF(212.59485="","-",212.59485/1216006.77752*100)</f>
        <v>0.017483031668094746</v>
      </c>
      <c r="E27" s="36">
        <f>IF(143.86546="","-",143.86546/1392193.04092*100)</f>
        <v>0.010333729286919125</v>
      </c>
      <c r="F27" s="25">
        <f>IF(OR(1305605.99556="",34.05489="",212.59485=""),"-",(212.59485-34.05489)/1305605.99556*100)</f>
        <v>0.013674872864184477</v>
      </c>
      <c r="G27" s="25">
        <f>IF(OR(1216006.77752="",143.86546="",212.59485=""),"-",(143.86546-212.59485)/1216006.77752*100)</f>
        <v>-0.005652056491014877</v>
      </c>
    </row>
    <row r="28" spans="1:7" s="13" customFormat="1" ht="39">
      <c r="A28" s="72" t="s">
        <v>58</v>
      </c>
      <c r="B28" s="36">
        <f>IF(2536.24117="","-",2536.24117)</f>
        <v>2536.24117</v>
      </c>
      <c r="C28" s="36">
        <f>IF(OR(2351.11786="",2536.24117=""),"-",2536.24117/2351.11786*100)</f>
        <v>107.87384219011462</v>
      </c>
      <c r="D28" s="36">
        <f>IF(2351.11786="","-",2351.11786/1216006.77752*100)</f>
        <v>0.19334743057888346</v>
      </c>
      <c r="E28" s="36">
        <f>IF(2536.24117="","-",2536.24117/1392193.04092*100)</f>
        <v>0.18217596952818993</v>
      </c>
      <c r="F28" s="25">
        <f>IF(OR(1305605.99556="",3734.19202="",2351.11786=""),"-",(2351.11786-3734.19202)/1305605.99556*100)</f>
        <v>-0.1059335025040822</v>
      </c>
      <c r="G28" s="25">
        <f>IF(OR(1216006.77752="",2536.24117="",2351.11786=""),"-",(2536.24117-2351.11786)/1216006.77752*100)</f>
        <v>0.015223871562422699</v>
      </c>
    </row>
    <row r="29" spans="1:7" s="13" customFormat="1" ht="39">
      <c r="A29" s="72" t="s">
        <v>59</v>
      </c>
      <c r="B29" s="36">
        <f>IF(2755.414="","-",2755.414)</f>
        <v>2755.414</v>
      </c>
      <c r="C29" s="36">
        <f>IF(OR(2901.60446="",2755.414=""),"-",2755.414/2901.60446*100)</f>
        <v>94.96173713490916</v>
      </c>
      <c r="D29" s="36">
        <f>IF(2901.60446="","-",2901.60446/1216006.77752*100)</f>
        <v>0.23861745786628863</v>
      </c>
      <c r="E29" s="36">
        <f>IF(2755.414="","-",2755.414/1392193.04092*100)</f>
        <v>0.19791896087766292</v>
      </c>
      <c r="F29" s="25">
        <f>IF(OR(1305605.99556="",2619.90802="",2901.60446=""),"-",(2901.60446-2619.90802)/1305605.99556*100)</f>
        <v>0.021575915012490045</v>
      </c>
      <c r="G29" s="25">
        <f>IF(OR(1216006.77752="",2755.414="",2901.60446=""),"-",(2755.414-2901.60446)/1216006.77752*100)</f>
        <v>-0.012022174769301019</v>
      </c>
    </row>
    <row r="30" spans="1:7" s="13" customFormat="1" ht="14.25" customHeight="1">
      <c r="A30" s="72" t="s">
        <v>60</v>
      </c>
      <c r="B30" s="36">
        <f>IF(443.64262="","-",443.64262)</f>
        <v>443.64262</v>
      </c>
      <c r="C30" s="36" t="s">
        <v>220</v>
      </c>
      <c r="D30" s="36">
        <f>IF(272.66813="","-",272.66813/1216006.77752*100)</f>
        <v>0.02242324097535841</v>
      </c>
      <c r="E30" s="36">
        <f>IF(443.64262="","-",443.64262/1392193.04092*100)</f>
        <v>0.031866458670618596</v>
      </c>
      <c r="F30" s="25">
        <f>IF(OR(1305605.99556="",227.87484="",272.66813=""),"-",(272.66813-227.87484)/1305605.99556*100)</f>
        <v>0.0034308428539949597</v>
      </c>
      <c r="G30" s="25">
        <f>IF(OR(1216006.77752="",443.64262="",272.66813=""),"-",(443.64262-272.66813)/1216006.77752*100)</f>
        <v>0.014060323771278319</v>
      </c>
    </row>
    <row r="31" spans="1:7" s="13" customFormat="1" ht="26.25">
      <c r="A31" s="72" t="s">
        <v>61</v>
      </c>
      <c r="B31" s="36">
        <f>IF(11775.96954="","-",11775.96954)</f>
        <v>11775.96954</v>
      </c>
      <c r="C31" s="36">
        <f>IF(OR(10475.42096="",11775.96954=""),"-",11775.96954/10475.42096*100)</f>
        <v>112.41523930127578</v>
      </c>
      <c r="D31" s="36">
        <f>IF(10475.42096="","-",10475.42096/1216006.77752*100)</f>
        <v>0.8614607380202458</v>
      </c>
      <c r="E31" s="36">
        <f>IF(11775.96954="","-",11775.96954/1392193.04092*100)</f>
        <v>0.8458575207514405</v>
      </c>
      <c r="F31" s="25">
        <f>IF(OR(1305605.99556="",12463.35266="",10475.42096=""),"-",(10475.42096-12463.35266)/1305605.99556*100)</f>
        <v>-0.15226122633937034</v>
      </c>
      <c r="G31" s="25">
        <f>IF(OR(1216006.77752="",11775.96954="",10475.42096=""),"-",(11775.96954-10475.42096)/1216006.77752*100)</f>
        <v>0.10695241211174994</v>
      </c>
    </row>
    <row r="32" spans="1:7" s="13" customFormat="1" ht="26.25">
      <c r="A32" s="69" t="s">
        <v>62</v>
      </c>
      <c r="B32" s="35">
        <f>IF(235099.21213="","-",235099.21213)</f>
        <v>235099.21213</v>
      </c>
      <c r="C32" s="35">
        <f>IF(201226.15732="","-",235099.21213/201226.15732*100)</f>
        <v>116.83332587628425</v>
      </c>
      <c r="D32" s="35">
        <f>IF(201226.15732="","-",201226.15732/1216006.77752*100)</f>
        <v>16.548111494114625</v>
      </c>
      <c r="E32" s="35">
        <f>IF(235099.21213="","-",235099.21213/1392193.04092*100)</f>
        <v>16.88696935122157</v>
      </c>
      <c r="F32" s="24">
        <f>IF(1305605.99556="","-",(201226.15732-285008.02487)/1305605.99556*100)</f>
        <v>-6.417086612264241</v>
      </c>
      <c r="G32" s="24">
        <f>IF(1216006.77752="","-",(235099.21213-201226.15732)/1216006.77752*100)</f>
        <v>2.7855975341751646</v>
      </c>
    </row>
    <row r="33" spans="1:7" s="13" customFormat="1" ht="15">
      <c r="A33" s="72" t="s">
        <v>63</v>
      </c>
      <c r="B33" s="36">
        <f>IF(4874.0841="","-",4874.0841)</f>
        <v>4874.0841</v>
      </c>
      <c r="C33" s="36" t="s">
        <v>257</v>
      </c>
      <c r="D33" s="36">
        <f>IF(1281.18233="","-",1281.18233/1216006.77752*100)</f>
        <v>0.10535980174493133</v>
      </c>
      <c r="E33" s="36">
        <f>IF(4874.0841="","-",4874.0841/1392193.04092*100)</f>
        <v>0.3501011682100543</v>
      </c>
      <c r="F33" s="25">
        <f>IF(OR(1305605.99556="",3051.77887="",1281.18233=""),"-",(1281.18233-3051.77887)/1305605.99556*100)</f>
        <v>-0.1356149210421293</v>
      </c>
      <c r="G33" s="25">
        <f>IF(OR(1216006.77752="",4874.0841="",1281.18233=""),"-",(4874.0841-1281.18233)/1216006.77752*100)</f>
        <v>0.2954672487375101</v>
      </c>
    </row>
    <row r="34" spans="1:7" s="13" customFormat="1" ht="26.25">
      <c r="A34" s="72" t="s">
        <v>64</v>
      </c>
      <c r="B34" s="36">
        <f>IF(126680.39236="","-",126680.39236)</f>
        <v>126680.39236</v>
      </c>
      <c r="C34" s="36">
        <f>IF(OR(88997.2589="",126680.39236=""),"-",126680.39236/88997.2589*100)</f>
        <v>142.34190347631034</v>
      </c>
      <c r="D34" s="36">
        <f>IF(88997.2589="","-",88997.2589/1216006.77752*100)</f>
        <v>7.318812735691043</v>
      </c>
      <c r="E34" s="36">
        <f>IF(126680.39236="","-",126680.39236/1392193.04092*100)</f>
        <v>9.099341013534017</v>
      </c>
      <c r="F34" s="25">
        <f>IF(OR(1305605.99556="",115931.68267="",88997.2589=""),"-",(88997.2589-115931.68267)/1305605.99556*100)</f>
        <v>-2.0629825430946562</v>
      </c>
      <c r="G34" s="25">
        <f>IF(OR(1216006.77752="",126680.39236="",88997.2589=""),"-",(126680.39236-88997.2589)/1216006.77752*100)</f>
        <v>3.098924624158208</v>
      </c>
    </row>
    <row r="35" spans="1:7" s="13" customFormat="1" ht="26.25">
      <c r="A35" s="72" t="s">
        <v>65</v>
      </c>
      <c r="B35" s="36">
        <f>IF(89569.14094="","-",89569.14094)</f>
        <v>89569.14094</v>
      </c>
      <c r="C35" s="36">
        <f>IF(OR(110695.97651="",89569.14094=""),"-",89569.14094/110695.97651*100)</f>
        <v>80.914540676109</v>
      </c>
      <c r="D35" s="36">
        <f>IF(110695.97651="","-",110695.97651/1216006.77752*100)</f>
        <v>9.103236803972447</v>
      </c>
      <c r="E35" s="36">
        <f>IF(89569.14094="","-",89569.14094/1392193.04092*100)</f>
        <v>6.433672508577561</v>
      </c>
      <c r="F35" s="25">
        <f>IF(OR(1305605.99556="",165786.58167="",110695.97651=""),"-",(110695.97651-165786.58167)/1305605.99556*100)</f>
        <v>-4.219542905543305</v>
      </c>
      <c r="G35" s="25">
        <f>IF(OR(1216006.77752="",89569.14094="",110695.97651=""),"-",(89569.14094-110695.97651)/1216006.77752*100)</f>
        <v>-1.7373945573796372</v>
      </c>
    </row>
    <row r="36" spans="1:7" s="13" customFormat="1" ht="15">
      <c r="A36" s="72" t="s">
        <v>66</v>
      </c>
      <c r="B36" s="36">
        <f>IF(13975.59473="","-",13975.59473)</f>
        <v>13975.59473</v>
      </c>
      <c r="C36" s="36" t="s">
        <v>258</v>
      </c>
      <c r="D36" s="36">
        <f>IF(251.73958="","-",251.73958/1216006.77752*100)</f>
        <v>0.02070215270620558</v>
      </c>
      <c r="E36" s="36">
        <f>IF(13975.59473="","-",13975.59473/1392193.04092*100)</f>
        <v>1.003854660899938</v>
      </c>
      <c r="F36" s="25">
        <f>IF(OR(1305605.99556="",237.98166="",251.73958=""),"-",(251.73958-237.98166)/1305605.99556*100)</f>
        <v>0.0010537574158503266</v>
      </c>
      <c r="G36" s="25">
        <f>IF(OR(1216006.77752="",13975.59473="",251.73958=""),"-",(13975.59473-251.73958)/1216006.77752*100)</f>
        <v>1.128600218659084</v>
      </c>
    </row>
    <row r="37" spans="1:7" s="13" customFormat="1" ht="26.25">
      <c r="A37" s="69" t="s">
        <v>67</v>
      </c>
      <c r="B37" s="35">
        <f>IF(4229.57483="","-",4229.57483)</f>
        <v>4229.57483</v>
      </c>
      <c r="C37" s="35">
        <f>IF(3001.39195="","-",4229.57483/3001.39195*100)</f>
        <v>140.92044292982126</v>
      </c>
      <c r="D37" s="35">
        <f>IF(3001.39195="","-",3001.39195/1216006.77752*100)</f>
        <v>0.24682362018748166</v>
      </c>
      <c r="E37" s="35">
        <f>IF(4229.57483="","-",4229.57483/1392193.04092*100)</f>
        <v>0.303806634976783</v>
      </c>
      <c r="F37" s="24">
        <f>IF(1305605.99556="","-",(3001.39195-3044.0654)/1305605.99556*100)</f>
        <v>-0.0032684784035245103</v>
      </c>
      <c r="G37" s="24">
        <f>IF(1216006.77752="","-",(4229.57483-3001.39195)/1216006.77752*100)</f>
        <v>0.10100131863613722</v>
      </c>
    </row>
    <row r="38" spans="1:7" s="13" customFormat="1" ht="15">
      <c r="A38" s="72" t="s">
        <v>68</v>
      </c>
      <c r="B38" s="36">
        <f>IF(222.23207="","-",222.23207)</f>
        <v>222.23207</v>
      </c>
      <c r="C38" s="36">
        <f>IF(OR(188.64941="",222.23207=""),"-",222.23207/188.64941*100)</f>
        <v>117.8016247175117</v>
      </c>
      <c r="D38" s="36">
        <f>IF(188.64941="","-",188.64941/1216006.77752*100)</f>
        <v>0.015513845275167245</v>
      </c>
      <c r="E38" s="36">
        <f>IF(222.23207="","-",222.23207/1392193.04092*100)</f>
        <v>0.015962733864345626</v>
      </c>
      <c r="F38" s="25">
        <f>IF(OR(1305605.99556="",181.34268="",188.64941=""),"-",(188.64941-181.34268)/1305605.99556*100)</f>
        <v>0.0005596428037898209</v>
      </c>
      <c r="G38" s="25">
        <f>IF(OR(1216006.77752="",222.23207="",188.64941=""),"-",(222.23207-188.64941)/1216006.77752*100)</f>
        <v>0.002761716515140695</v>
      </c>
    </row>
    <row r="39" spans="1:7" s="13" customFormat="1" ht="26.25">
      <c r="A39" s="72" t="s">
        <v>113</v>
      </c>
      <c r="B39" s="36">
        <f>IF(3241.01454="","-",3241.01454)</f>
        <v>3241.01454</v>
      </c>
      <c r="C39" s="36">
        <f>IF(OR(2190.38387="",3241.01454=""),"-",3241.01454/2190.38387*100)</f>
        <v>147.96559563780934</v>
      </c>
      <c r="D39" s="36">
        <f>IF(2190.38387="","-",2190.38387/1216006.77752*100)</f>
        <v>0.18012924849540768</v>
      </c>
      <c r="E39" s="36">
        <f>IF(3241.01454="","-",3241.01454/1392193.04092*100)</f>
        <v>0.23279921998879172</v>
      </c>
      <c r="F39" s="25">
        <f>IF(OR(1305605.99556="",2203.2469="",2190.38387=""),"-",(2190.38387-2203.2469)/1305605.99556*100)</f>
        <v>-0.0009852152980105438</v>
      </c>
      <c r="G39" s="25">
        <f>IF(OR(1216006.77752="",3241.01454="",2190.38387=""),"-",(3241.01454-2190.38387)/1216006.77752*100)</f>
        <v>0.08640006695873205</v>
      </c>
    </row>
    <row r="40" spans="1:7" s="13" customFormat="1" ht="26.25">
      <c r="A40" s="72" t="s">
        <v>114</v>
      </c>
      <c r="B40" s="36">
        <f>IF(766.32822="","-",766.32822)</f>
        <v>766.32822</v>
      </c>
      <c r="C40" s="36">
        <f>IF(OR(622.35867="",766.32822=""),"-",766.32822/622.35867*100)</f>
        <v>123.13289055650178</v>
      </c>
      <c r="D40" s="36">
        <f>IF(622.35867="","-",622.35867/1216006.77752*100)</f>
        <v>0.05118052641690674</v>
      </c>
      <c r="E40" s="36">
        <f>IF(766.32822="","-",766.32822/1392193.04092*100)</f>
        <v>0.05504468112364567</v>
      </c>
      <c r="F40" s="25">
        <f>IF(OR(1305605.99556="",659.47582="",622.35867=""),"-",(622.35867-659.47582)/1305605.99556*100)</f>
        <v>-0.002842905909303807</v>
      </c>
      <c r="G40" s="25">
        <f>IF(OR(1216006.77752="",766.32822="",622.35867=""),"-",(766.32822-622.35867)/1216006.77752*100)</f>
        <v>0.011839535162264516</v>
      </c>
    </row>
    <row r="41" spans="1:7" s="13" customFormat="1" ht="26.25">
      <c r="A41" s="69" t="s">
        <v>71</v>
      </c>
      <c r="B41" s="35">
        <f>IF(232941.07605="","-",232941.07605)</f>
        <v>232941.07605</v>
      </c>
      <c r="C41" s="35">
        <f>IF(203057.3001="","-",232941.07605/203057.3001*100)</f>
        <v>114.71691780363626</v>
      </c>
      <c r="D41" s="35">
        <f>IF(203057.3001="","-",203057.3001/1216006.77752*100)</f>
        <v>16.698698054473653</v>
      </c>
      <c r="E41" s="35">
        <f>IF(232941.07605="","-",232941.07605/1392193.04092*100)</f>
        <v>16.731952337304172</v>
      </c>
      <c r="F41" s="24">
        <f>IF(1305605.99556="","-",(203057.3001-206288.41888)/1305605.99556*100)</f>
        <v>-0.2474803877270898</v>
      </c>
      <c r="G41" s="24">
        <f>IF(1216006.77752="","-",(232941.07605-203057.3001)/1216006.77752*100)</f>
        <v>2.4575336669542946</v>
      </c>
    </row>
    <row r="42" spans="1:7" s="13" customFormat="1" ht="15">
      <c r="A42" s="72" t="s">
        <v>72</v>
      </c>
      <c r="B42" s="36">
        <f>IF(5923.07225="","-",5923.07225)</f>
        <v>5923.07225</v>
      </c>
      <c r="C42" s="36">
        <f>IF(OR(4678.31198="",5923.07225=""),"-",5923.07225/4678.31198*100)</f>
        <v>126.60703850708134</v>
      </c>
      <c r="D42" s="36">
        <f>IF(4678.31198="","-",4678.31198/1216006.77752*100)</f>
        <v>0.3847274592943669</v>
      </c>
      <c r="E42" s="36">
        <f>IF(5923.07225="","-",5923.07225/1392193.04092*100)</f>
        <v>0.42544906316194975</v>
      </c>
      <c r="F42" s="25">
        <f>IF(OR(1305605.99556="",6668.31716="",4678.31198=""),"-",(4678.31198-6668.31716)/1305605.99556*100)</f>
        <v>-0.15242003994830364</v>
      </c>
      <c r="G42" s="25">
        <f>IF(OR(1216006.77752="",5923.07225="",4678.31198=""),"-",(5923.07225-4678.31198)/1216006.77752*100)</f>
        <v>0.10236458324176789</v>
      </c>
    </row>
    <row r="43" spans="1:7" s="13" customFormat="1" ht="15">
      <c r="A43" s="72" t="s">
        <v>73</v>
      </c>
      <c r="B43" s="36">
        <f>IF(3524.56427="","-",3524.56427)</f>
        <v>3524.56427</v>
      </c>
      <c r="C43" s="36">
        <f>IF(OR(4222.87707="",3524.56427=""),"-",3524.56427/4222.87707*100)</f>
        <v>83.46357735675218</v>
      </c>
      <c r="D43" s="36">
        <f>IF(4222.87707="","-",4222.87707/1216006.77752*100)</f>
        <v>0.3472741392619865</v>
      </c>
      <c r="E43" s="36">
        <f>IF(3524.56427="","-",3524.56427/1392193.04092*100)</f>
        <v>0.2531663473673787</v>
      </c>
      <c r="F43" s="25">
        <f>IF(OR(1305605.99556="",3195.06154="",4222.87707=""),"-",(4222.87707-3195.06154)/1305605.99556*100)</f>
        <v>0.07872325445006471</v>
      </c>
      <c r="G43" s="25">
        <f>IF(OR(1216006.77752="",3524.56427="",4222.87707=""),"-",(3524.56427-4222.87707)/1216006.77752*100)</f>
        <v>-0.05742671939906308</v>
      </c>
    </row>
    <row r="44" spans="1:7" s="13" customFormat="1" ht="15">
      <c r="A44" s="72" t="s">
        <v>74</v>
      </c>
      <c r="B44" s="36">
        <f>IF(7706.80562="","-",7706.80562)</f>
        <v>7706.80562</v>
      </c>
      <c r="C44" s="36">
        <f>IF(OR(7307.51644="",7706.80562=""),"-",7706.80562/7307.51644*100)</f>
        <v>105.46408869933379</v>
      </c>
      <c r="D44" s="36">
        <f>IF(7307.51644="","-",7307.51644/1216006.77752*100)</f>
        <v>0.6009437262268723</v>
      </c>
      <c r="E44" s="36">
        <f>IF(7706.80562="","-",7706.80562/1392193.04092*100)</f>
        <v>0.5535730601632033</v>
      </c>
      <c r="F44" s="25">
        <f>IF(OR(1305605.99556="",6592.43634="",7307.51644=""),"-",(7307.51644-6592.43634)/1305605.99556*100)</f>
        <v>0.054769976733546506</v>
      </c>
      <c r="G44" s="25">
        <f>IF(OR(1216006.77752="",7706.80562="",7307.51644=""),"-",(7706.80562-7307.51644)/1216006.77752*100)</f>
        <v>0.03283609823411798</v>
      </c>
    </row>
    <row r="45" spans="1:7" s="13" customFormat="1" ht="15">
      <c r="A45" s="72" t="s">
        <v>75</v>
      </c>
      <c r="B45" s="36">
        <f>IF(62106.39756="","-",62106.39756)</f>
        <v>62106.39756</v>
      </c>
      <c r="C45" s="36">
        <f>IF(OR(41941.58526="",62106.39756=""),"-",62106.39756/41941.58526*100)</f>
        <v>148.07832649862027</v>
      </c>
      <c r="D45" s="36">
        <f>IF(41941.58526="","-",41941.58526/1216006.77752*100)</f>
        <v>3.4491243005683145</v>
      </c>
      <c r="E45" s="36">
        <f>IF(62106.39756="","-",62106.39756/1392193.04092*100)</f>
        <v>4.461047838520896</v>
      </c>
      <c r="F45" s="25">
        <f>IF(OR(1305605.99556="",54136.32767="",41941.58526=""),"-",(41941.58526-54136.32767)/1305605.99556*100)</f>
        <v>-0.9340292899596739</v>
      </c>
      <c r="G45" s="25">
        <f>IF(OR(1216006.77752="",62106.39756="",41941.58526=""),"-",(62106.39756-41941.58526)/1216006.77752*100)</f>
        <v>1.6582812425704874</v>
      </c>
    </row>
    <row r="46" spans="1:7" s="13" customFormat="1" ht="39">
      <c r="A46" s="72" t="s">
        <v>76</v>
      </c>
      <c r="B46" s="36">
        <f>IF(33597.3130499999="","-",33597.3130499999)</f>
        <v>33597.3130499999</v>
      </c>
      <c r="C46" s="36">
        <f>IF(OR(34431.61018="",33597.3130499999=""),"-",33597.3130499999/34431.61018*100)</f>
        <v>97.5769441927386</v>
      </c>
      <c r="D46" s="36">
        <f>IF(34431.61018="","-",34431.61018/1216006.77752*100)</f>
        <v>2.8315311079286887</v>
      </c>
      <c r="E46" s="36">
        <f>IF(33597.3130499999="","-",33597.3130499999/1392193.04092*100)</f>
        <v>2.413265406627651</v>
      </c>
      <c r="F46" s="25">
        <f>IF(OR(1305605.99556="",33895.91998="",34431.61018=""),"-",(34431.61018-33895.91998)/1305605.99556*100)</f>
        <v>0.041030004597231995</v>
      </c>
      <c r="G46" s="25">
        <f>IF(OR(1216006.77752="",33597.3130499999="",34431.61018=""),"-",(33597.3130499999-34431.61018)/1216006.77752*100)</f>
        <v>-0.06860957894507944</v>
      </c>
    </row>
    <row r="47" spans="1:7" s="13" customFormat="1" ht="15">
      <c r="A47" s="72" t="s">
        <v>77</v>
      </c>
      <c r="B47" s="36">
        <f>IF(25436.09141="","-",25436.09141)</f>
        <v>25436.09141</v>
      </c>
      <c r="C47" s="36">
        <f>IF(OR(22733.95734="",25436.09141=""),"-",25436.09141/22733.95734*100)</f>
        <v>111.88589399367635</v>
      </c>
      <c r="D47" s="36">
        <f>IF(22733.95734="","-",22733.95734/1216006.77752*100)</f>
        <v>1.869558439992008</v>
      </c>
      <c r="E47" s="36">
        <f>IF(25436.09141="","-",25436.09141/1392193.04092*100)</f>
        <v>1.8270520439601625</v>
      </c>
      <c r="F47" s="25">
        <f>IF(OR(1305605.99556="",19418.52712="",22733.95734=""),"-",(22733.95734-19418.52712)/1305605.99556*100)</f>
        <v>0.2539380357684363</v>
      </c>
      <c r="G47" s="25">
        <f>IF(OR(1216006.77752="",25436.09141="",22733.95734=""),"-",(25436.09141-22733.95734)/1216006.77752*100)</f>
        <v>0.22221373432727906</v>
      </c>
    </row>
    <row r="48" spans="1:7" s="13" customFormat="1" ht="15">
      <c r="A48" s="72" t="s">
        <v>78</v>
      </c>
      <c r="B48" s="36">
        <f>IF(12343.51735="","-",12343.51735)</f>
        <v>12343.51735</v>
      </c>
      <c r="C48" s="36">
        <f>IF(OR(12697.52856="",12343.51735=""),"-",12343.51735/12697.52856*100)</f>
        <v>97.21196760198505</v>
      </c>
      <c r="D48" s="36">
        <f>IF(12697.52856="","-",12697.52856/1216006.77752*100)</f>
        <v>1.044198831349948</v>
      </c>
      <c r="E48" s="36">
        <f>IF(12343.51735="","-",12343.51735/1392193.04092*100)</f>
        <v>0.8866239800942446</v>
      </c>
      <c r="F48" s="25">
        <f>IF(OR(1305605.99556="",13792.11307="",12697.52856=""),"-",(12697.52856-13792.11307)/1305605.99556*100)</f>
        <v>-0.08383727661502581</v>
      </c>
      <c r="G48" s="25">
        <f>IF(OR(1216006.77752="",12343.51735="",12697.52856=""),"-",(12343.51735-12697.52856)/1216006.77752*100)</f>
        <v>-0.029112601717729985</v>
      </c>
    </row>
    <row r="49" spans="1:7" s="13" customFormat="1" ht="15">
      <c r="A49" s="72" t="s">
        <v>79</v>
      </c>
      <c r="B49" s="36">
        <f>IF(25156.68413="","-",25156.68413)</f>
        <v>25156.68413</v>
      </c>
      <c r="C49" s="36">
        <f>IF(OR(22502.7967="",25156.68413=""),"-",25156.68413/22502.7967*100)</f>
        <v>111.79358932749903</v>
      </c>
      <c r="D49" s="36">
        <f>IF(22502.7967="","-",22502.7967/1216006.77752*100)</f>
        <v>1.850548624892832</v>
      </c>
      <c r="E49" s="36">
        <f>IF(25156.68413="","-",25156.68413/1392193.04092*100)</f>
        <v>1.8069824651167459</v>
      </c>
      <c r="F49" s="25">
        <f>IF(OR(1305605.99556="",23545.9818="",22502.7967=""),"-",(22502.7967-23545.9818)/1305605.99556*100)</f>
        <v>-0.079900452628709</v>
      </c>
      <c r="G49" s="25">
        <f>IF(OR(1216006.77752="",25156.68413="",22502.7967=""),"-",(25156.68413-22502.7967)/1216006.77752*100)</f>
        <v>0.218246105125541</v>
      </c>
    </row>
    <row r="50" spans="1:7" s="13" customFormat="1" ht="15">
      <c r="A50" s="72" t="s">
        <v>80</v>
      </c>
      <c r="B50" s="36">
        <f>IF(57146.63041="","-",57146.63041)</f>
        <v>57146.63041</v>
      </c>
      <c r="C50" s="36">
        <f>IF(OR(52541.11657="",57146.63041=""),"-",57146.63041/52541.11657*100)</f>
        <v>108.76554238025018</v>
      </c>
      <c r="D50" s="36">
        <f>IF(52541.11657="","-",52541.11657/1216006.77752*100)</f>
        <v>4.320791424958636</v>
      </c>
      <c r="E50" s="36">
        <f>IF(57146.63041="","-",57146.63041/1392193.04092*100)</f>
        <v>4.1047921322919345</v>
      </c>
      <c r="F50" s="25">
        <f>IF(OR(1305605.99556="",45043.7342="",52541.11657=""),"-",(52541.11657-45043.7342)/1305605.99556*100)</f>
        <v>0.5742453998753448</v>
      </c>
      <c r="G50" s="25">
        <f>IF(OR(1216006.77752="",57146.63041="",52541.11657=""),"-",(57146.63041-52541.11657)/1216006.77752*100)</f>
        <v>0.3787408035169649</v>
      </c>
    </row>
    <row r="51" spans="1:7" s="13" customFormat="1" ht="26.25">
      <c r="A51" s="69" t="s">
        <v>81</v>
      </c>
      <c r="B51" s="35">
        <f>IF(256294.2539="","-",256294.2539)</f>
        <v>256294.2539</v>
      </c>
      <c r="C51" s="35">
        <f>IF(245420.41854="","-",256294.2539/245420.41854*100)</f>
        <v>104.43069709712344</v>
      </c>
      <c r="D51" s="35">
        <f>IF(245420.41854="","-",245420.41854/1216006.77752*100)</f>
        <v>20.182487719396246</v>
      </c>
      <c r="E51" s="35">
        <f>IF(256294.2539="","-",256294.2539/1392193.04092*100)</f>
        <v>18.409390534708724</v>
      </c>
      <c r="F51" s="24">
        <f>IF(1305605.99556="","-",(245420.41854-233413.32389)/1305605.99556*100)</f>
        <v>0.9196568253234725</v>
      </c>
      <c r="G51" s="24">
        <f>IF(1216006.77752="","-",(256294.2539-245420.41854)/1216006.77752*100)</f>
        <v>0.8942248975105859</v>
      </c>
    </row>
    <row r="52" spans="1:7" s="13" customFormat="1" ht="15">
      <c r="A52" s="72" t="s">
        <v>82</v>
      </c>
      <c r="B52" s="36">
        <f>IF(12033.18713="","-",12033.18713)</f>
        <v>12033.18713</v>
      </c>
      <c r="C52" s="36">
        <f>IF(OR(11477.36725="",12033.18713=""),"-",12033.18713/11477.36725*100)</f>
        <v>104.84274719012761</v>
      </c>
      <c r="D52" s="36">
        <f>IF(11477.36725="","-",11477.36725/1216006.77752*100)</f>
        <v>0.9438571776226163</v>
      </c>
      <c r="E52" s="36">
        <f>IF(12033.18713="","-",12033.18713/1392193.04092*100)</f>
        <v>0.8643332337050136</v>
      </c>
      <c r="F52" s="25">
        <f>IF(OR(1305605.99556="",9401.78045="",11477.36725=""),"-",(11477.36725-9401.78045)/1305605.99556*100)</f>
        <v>0.15897497461397145</v>
      </c>
      <c r="G52" s="25">
        <f>IF(OR(1216006.77752="",12033.18713="",11477.36725=""),"-",(12033.18713-11477.36725)/1216006.77752*100)</f>
        <v>0.045708616948136965</v>
      </c>
    </row>
    <row r="53" spans="1:7" s="13" customFormat="1" ht="15">
      <c r="A53" s="72" t="s">
        <v>83</v>
      </c>
      <c r="B53" s="36">
        <f>IF(16326.42629="","-",16326.42629)</f>
        <v>16326.42629</v>
      </c>
      <c r="C53" s="36">
        <f>IF(OR(18028.3334="",16326.42629=""),"-",16326.42629/18028.3334*100)</f>
        <v>90.55982007743434</v>
      </c>
      <c r="D53" s="36">
        <f>IF(18028.3334="","-",18028.3334/1216006.77752*100)</f>
        <v>1.4825849438740881</v>
      </c>
      <c r="E53" s="36">
        <f>IF(16326.42629="","-",16326.42629/1392193.04092*100)</f>
        <v>1.172712821435384</v>
      </c>
      <c r="F53" s="25">
        <f>IF(OR(1305605.99556="",13854.47043="",18028.3334=""),"-",(18028.3334-13854.47043)/1305605.99556*100)</f>
        <v>0.3196877912780838</v>
      </c>
      <c r="G53" s="25">
        <f>IF(OR(1216006.77752="",16326.42629="",18028.3334=""),"-",(16326.42629-18028.3334)/1216006.77752*100)</f>
        <v>-0.1399586862065831</v>
      </c>
    </row>
    <row r="54" spans="1:7" s="13" customFormat="1" ht="15">
      <c r="A54" s="72" t="s">
        <v>84</v>
      </c>
      <c r="B54" s="36">
        <f>IF(15518.34735="","-",15518.34735)</f>
        <v>15518.34735</v>
      </c>
      <c r="C54" s="36">
        <f>IF(OR(14168.57358="",15518.34735=""),"-",15518.34735/14168.57358*100)</f>
        <v>109.52653252198448</v>
      </c>
      <c r="D54" s="36">
        <f>IF(14168.57358="","-",14168.57358/1216006.77752*100)</f>
        <v>1.1651722541297238</v>
      </c>
      <c r="E54" s="36">
        <f>IF(15518.34735="","-",15518.34735/1392193.04092*100)</f>
        <v>1.114669222864743</v>
      </c>
      <c r="F54" s="25">
        <f>IF(OR(1305605.99556="",14308.13371="",14168.57358=""),"-",(14168.57358-14308.13371)/1305605.99556*100)</f>
        <v>-0.010689299105136215</v>
      </c>
      <c r="G54" s="25">
        <f>IF(OR(1216006.77752="",15518.34735="",14168.57358=""),"-",(15518.34735-14168.57358)/1216006.77752*100)</f>
        <v>0.11100051372680772</v>
      </c>
    </row>
    <row r="55" spans="1:7" s="13" customFormat="1" ht="26.25">
      <c r="A55" s="72" t="s">
        <v>85</v>
      </c>
      <c r="B55" s="36">
        <f>IF(24662.84745="","-",24662.84745)</f>
        <v>24662.84745</v>
      </c>
      <c r="C55" s="36">
        <f>IF(OR(22883.17404="",24662.84745=""),"-",24662.84745/22883.17404*100)</f>
        <v>107.7772139777861</v>
      </c>
      <c r="D55" s="36">
        <f>IF(22883.17404="","-",22883.17404/1216006.77752*100)</f>
        <v>1.8818294817952719</v>
      </c>
      <c r="E55" s="36">
        <f>IF(24662.84745="","-",24662.84745/1392193.04092*100)</f>
        <v>1.7715106113231325</v>
      </c>
      <c r="F55" s="25">
        <f>IF(OR(1305605.99556="",22998.33166="",22883.17404=""),"-",(22883.17404-22998.33166)/1305605.99556*100)</f>
        <v>-0.008820242890398552</v>
      </c>
      <c r="G55" s="25">
        <f>IF(OR(1216006.77752="",24662.84745="",22883.17404=""),"-",(24662.84745-22883.17404)/1216006.77752*100)</f>
        <v>0.14635390549628155</v>
      </c>
    </row>
    <row r="56" spans="1:7" s="13" customFormat="1" ht="39">
      <c r="A56" s="72" t="s">
        <v>86</v>
      </c>
      <c r="B56" s="36">
        <f>IF(84120.16659="","-",84120.16659)</f>
        <v>84120.16659</v>
      </c>
      <c r="C56" s="36">
        <f>IF(OR(78435.49386="",84120.16659=""),"-",84120.16659/78435.49386*100)</f>
        <v>107.24757689439248</v>
      </c>
      <c r="D56" s="36">
        <f>IF(78435.49386="","-",78435.49386/1216006.77752*100)</f>
        <v>6.450251372773286</v>
      </c>
      <c r="E56" s="36">
        <f>IF(84120.16659="","-",84120.16659/1392193.04092*100)</f>
        <v>6.0422774800261205</v>
      </c>
      <c r="F56" s="25">
        <f>IF(OR(1305605.99556="",63237.5825="",78435.49386=""),"-",(78435.49386-63237.5825)/1305605.99556*100)</f>
        <v>1.1640503652467775</v>
      </c>
      <c r="G56" s="25">
        <f>IF(OR(1216006.77752="",84120.16659="",78435.49386=""),"-",(84120.16659-78435.49386)/1216006.77752*100)</f>
        <v>0.46748692812335035</v>
      </c>
    </row>
    <row r="57" spans="1:7" s="13" customFormat="1" ht="15">
      <c r="A57" s="72" t="s">
        <v>87</v>
      </c>
      <c r="B57" s="36">
        <f>IF(27019.67841="","-",27019.67841)</f>
        <v>27019.67841</v>
      </c>
      <c r="C57" s="36">
        <f>IF(OR(26968.57031="",27019.67841=""),"-",27019.67841/26968.57031*100)</f>
        <v>100.18950986059892</v>
      </c>
      <c r="D57" s="36">
        <f>IF(26968.57031="","-",26968.57031/1216006.77752*100)</f>
        <v>2.217797697230058</v>
      </c>
      <c r="E57" s="36">
        <f>IF(27019.67841="","-",27019.67841/1392193.04092*100)</f>
        <v>1.9407997034767996</v>
      </c>
      <c r="F57" s="25">
        <f>IF(OR(1305605.99556="",26437.46486="",26968.57031=""),"-",(26968.57031-26437.46486)/1305605.99556*100)</f>
        <v>0.0406788458237891</v>
      </c>
      <c r="G57" s="25">
        <f>IF(OR(1216006.77752="",27019.67841="",26968.57031=""),"-",(27019.67841-26968.57031)/1216006.77752*100)</f>
        <v>0.004202945324386623</v>
      </c>
    </row>
    <row r="58" spans="1:7" s="13" customFormat="1" ht="15">
      <c r="A58" s="72" t="s">
        <v>88</v>
      </c>
      <c r="B58" s="36">
        <f>IF(24464.28967="","-",24464.28967)</f>
        <v>24464.28967</v>
      </c>
      <c r="C58" s="36">
        <f>IF(OR(26192.35125="",24464.28967=""),"-",24464.28967/26192.35125*100)</f>
        <v>93.40241903635894</v>
      </c>
      <c r="D58" s="36">
        <f>IF(26192.35125="","-",26192.35125/1216006.77752*100)</f>
        <v>2.153964248737027</v>
      </c>
      <c r="E58" s="36">
        <f>IF(24464.28967="","-",24464.28967/1392193.04092*100)</f>
        <v>1.7572483808591166</v>
      </c>
      <c r="F58" s="25">
        <f>IF(OR(1305605.99556="",30796.90935="",26192.35125=""),"-",(26192.35125-30796.90935)/1305605.99556*100)</f>
        <v>-0.35267593099746886</v>
      </c>
      <c r="G58" s="25">
        <f>IF(OR(1216006.77752="",24464.28967="",26192.35125=""),"-",(24464.28967-26192.35125)/1216006.77752*100)</f>
        <v>-0.14210953523830827</v>
      </c>
    </row>
    <row r="59" spans="1:7" s="13" customFormat="1" ht="15">
      <c r="A59" s="72" t="s">
        <v>89</v>
      </c>
      <c r="B59" s="36">
        <f>IF(18714.79665="","-",18714.79665)</f>
        <v>18714.79665</v>
      </c>
      <c r="C59" s="36">
        <f>IF(OR(15995.89825="",18714.79665=""),"-",18714.79665/15995.89825*100)</f>
        <v>116.99747246141679</v>
      </c>
      <c r="D59" s="36">
        <f>IF(15995.89825="","-",15995.89825/1216006.77752*100)</f>
        <v>1.315444826929586</v>
      </c>
      <c r="E59" s="36">
        <f>IF(18714.79665="","-",18714.79665/1392193.04092*100)</f>
        <v>1.3442673609137379</v>
      </c>
      <c r="F59" s="25">
        <f>IF(OR(1305605.99556="",22458.57333="",15995.89825=""),"-",(15995.89825-22458.57333)/1305605.99556*100)</f>
        <v>-0.4949942863297002</v>
      </c>
      <c r="G59" s="25">
        <f>IF(OR(1216006.77752="",18714.79665="",15995.89825=""),"-",(18714.79665-15995.89825)/1216006.77752*100)</f>
        <v>0.22359237220248812</v>
      </c>
    </row>
    <row r="60" spans="1:7" s="13" customFormat="1" ht="15">
      <c r="A60" s="72" t="s">
        <v>90</v>
      </c>
      <c r="B60" s="36">
        <f>IF(33434.51436="","-",33434.51436)</f>
        <v>33434.51436</v>
      </c>
      <c r="C60" s="36">
        <f>IF(OR(31270.6566="",33434.51436=""),"-",33434.51436/31270.6566*100)</f>
        <v>106.91977078600902</v>
      </c>
      <c r="D60" s="36">
        <f>IF(31270.6566="","-",31270.6566/1216006.77752*100)</f>
        <v>2.571585716304585</v>
      </c>
      <c r="E60" s="36">
        <f>IF(33434.51436="","-",33434.51436/1392193.04092*100)</f>
        <v>2.401571720104673</v>
      </c>
      <c r="F60" s="25">
        <f>IF(OR(1305605.99556="",29920.0776="",31270.6566=""),"-",(31270.6566-29920.0776)/1305605.99556*100)</f>
        <v>0.10344460768355374</v>
      </c>
      <c r="G60" s="25">
        <f>IF(OR(1216006.77752="",33434.51436="",31270.6566=""),"-",(33434.51436-31270.6566)/1216006.77752*100)</f>
        <v>0.1779478371340256</v>
      </c>
    </row>
    <row r="61" spans="1:7" s="13" customFormat="1" ht="15.75" customHeight="1">
      <c r="A61" s="69" t="s">
        <v>91</v>
      </c>
      <c r="B61" s="35">
        <f>IF(283834.00575="","-",283834.00575)</f>
        <v>283834.00575</v>
      </c>
      <c r="C61" s="35">
        <f>IF(232100.77909="","-",283834.00575/232100.77909*100)</f>
        <v>122.28912236435872</v>
      </c>
      <c r="D61" s="35">
        <f>IF(232100.77909="","-",232100.77909/1216006.77752*100)</f>
        <v>19.087128738160555</v>
      </c>
      <c r="E61" s="35">
        <f>IF(283834.00575="","-",283834.00575/1392193.04092*100)</f>
        <v>20.38754665534275</v>
      </c>
      <c r="F61" s="24">
        <f>IF(1305605.99556="","-",(232100.77909-260586.21276)/1305605.99556*100)</f>
        <v>-2.181778711714788</v>
      </c>
      <c r="G61" s="24">
        <f>IF(1216006.77752="","-",(283834.00575-232100.77909)/1216006.77752*100)</f>
        <v>4.254353480291284</v>
      </c>
    </row>
    <row r="62" spans="1:7" s="13" customFormat="1" ht="26.25">
      <c r="A62" s="72" t="s">
        <v>115</v>
      </c>
      <c r="B62" s="36">
        <f>IF(4354.01339="","-",4354.01339)</f>
        <v>4354.01339</v>
      </c>
      <c r="C62" s="36">
        <f>IF(OR(3355.04312="",4354.01339=""),"-",4354.01339/3355.04312*100)</f>
        <v>129.77518423071714</v>
      </c>
      <c r="D62" s="36">
        <f>IF(3355.04312="","-",3355.04312/1216006.77752*100)</f>
        <v>0.27590661351760587</v>
      </c>
      <c r="E62" s="36">
        <f>IF(4354.01339="","-",4354.01339/1392193.04092*100)</f>
        <v>0.31274494714632006</v>
      </c>
      <c r="F62" s="25">
        <f>IF(OR(1305605.99556="",3343.95668="",3355.04312=""),"-",(3355.04312-3343.95668)/1305605.99556*100)</f>
        <v>0.0008491413211720774</v>
      </c>
      <c r="G62" s="25">
        <f>IF(OR(1216006.77752="",4354.01339="",3355.04312=""),"-",(4354.01339-3355.04312)/1216006.77752*100)</f>
        <v>0.08215170247959987</v>
      </c>
    </row>
    <row r="63" spans="1:7" s="13" customFormat="1" ht="26.25">
      <c r="A63" s="72" t="s">
        <v>93</v>
      </c>
      <c r="B63" s="36">
        <f>IF(42588.816="","-",42588.816)</f>
        <v>42588.816</v>
      </c>
      <c r="C63" s="36">
        <f>IF(OR(34356.59621="",42588.816=""),"-",42588.816/34356.59621*100)</f>
        <v>123.96110412009872</v>
      </c>
      <c r="D63" s="36">
        <f>IF(34356.59621="","-",34356.59621/1216006.77752*100)</f>
        <v>2.82536223030508</v>
      </c>
      <c r="E63" s="36">
        <f>IF(42588.816="","-",42588.816/1392193.04092*100)</f>
        <v>3.0591171445488707</v>
      </c>
      <c r="F63" s="25">
        <f>IF(OR(1305605.99556="",40394.55375="",34356.59621=""),"-",(34356.59621-40394.55375)/1305605.99556*100)</f>
        <v>-0.46246398687915014</v>
      </c>
      <c r="G63" s="25">
        <f>IF(OR(1216006.77752="",42588.816="",34356.59621=""),"-",(42588.816-34356.59621)/1216006.77752*100)</f>
        <v>0.676987985773344</v>
      </c>
    </row>
    <row r="64" spans="1:7" s="13" customFormat="1" ht="26.25">
      <c r="A64" s="72" t="s">
        <v>94</v>
      </c>
      <c r="B64" s="36">
        <f>IF(3006.08822="","-",3006.08822)</f>
        <v>3006.08822</v>
      </c>
      <c r="C64" s="36" t="s">
        <v>27</v>
      </c>
      <c r="D64" s="36">
        <f>IF(1473.34371="","-",1473.34371/1216006.77752*100)</f>
        <v>0.12116245873274072</v>
      </c>
      <c r="E64" s="36">
        <f>IF(3006.08822="","-",3006.08822/1392193.04092*100)</f>
        <v>0.21592466932699889</v>
      </c>
      <c r="F64" s="25">
        <f>IF(OR(1305605.99556="",3531.52722="",1473.34371=""),"-",(1473.34371-3531.52722)/1305605.99556*100)</f>
        <v>-0.15764200815554655</v>
      </c>
      <c r="G64" s="25">
        <f>IF(OR(1216006.77752="",3006.08822="",1473.34371=""),"-",(3006.08822-1473.34371)/1216006.77752*100)</f>
        <v>0.12604736571665945</v>
      </c>
    </row>
    <row r="65" spans="1:7" s="13" customFormat="1" ht="39">
      <c r="A65" s="72" t="s">
        <v>95</v>
      </c>
      <c r="B65" s="36">
        <f>IF(38101.72872="","-",38101.72872)</f>
        <v>38101.72872</v>
      </c>
      <c r="C65" s="36">
        <f>IF(OR(30296.47243="",38101.72872=""),"-",38101.72872/30296.47243*100)</f>
        <v>125.76292110586155</v>
      </c>
      <c r="D65" s="36">
        <f>IF(30296.47243="","-",30296.47243/1216006.77752*100)</f>
        <v>2.4914723330562776</v>
      </c>
      <c r="E65" s="36">
        <f>IF(38101.72872="","-",38101.72872/1392193.04092*100)</f>
        <v>2.7368136170844033</v>
      </c>
      <c r="F65" s="25">
        <f>IF(OR(1305605.99556="",36754.18326="",30296.47243=""),"-",(30296.47243-36754.18326)/1305605.99556*100)</f>
        <v>-0.4946140605941502</v>
      </c>
      <c r="G65" s="25">
        <f>IF(OR(1216006.77752="",38101.72872="",30296.47243=""),"-",(38101.72872-30296.47243)/1216006.77752*100)</f>
        <v>0.641876051539657</v>
      </c>
    </row>
    <row r="66" spans="1:7" s="13" customFormat="1" ht="26.25">
      <c r="A66" s="72" t="s">
        <v>96</v>
      </c>
      <c r="B66" s="36">
        <f>IF(10851.07418="","-",10851.07418)</f>
        <v>10851.07418</v>
      </c>
      <c r="C66" s="36">
        <f>IF(OR(9321.28354="",10851.07418=""),"-",10851.07418/9321.28354*100)</f>
        <v>116.41180244582496</v>
      </c>
      <c r="D66" s="36">
        <f>IF(9321.28354="","-",9321.28354/1216006.77752*100)</f>
        <v>0.7665486502476908</v>
      </c>
      <c r="E66" s="36">
        <f>IF(10851.07418="","-",10851.07418/1392193.04092*100)</f>
        <v>0.7794231016145079</v>
      </c>
      <c r="F66" s="25">
        <f>IF(OR(1305605.99556="",7198.76624="",9321.28354=""),"-",(9321.28354-7198.76624)/1305605.99556*100)</f>
        <v>0.16256951233512154</v>
      </c>
      <c r="G66" s="25">
        <f>IF(OR(1216006.77752="",10851.07418="",9321.28354=""),"-",(10851.07418-9321.28354)/1216006.77752*100)</f>
        <v>0.12580445012978872</v>
      </c>
    </row>
    <row r="67" spans="1:7" s="13" customFormat="1" ht="39">
      <c r="A67" s="72" t="s">
        <v>97</v>
      </c>
      <c r="B67" s="36">
        <f>IF(27661.56697="","-",27661.56697)</f>
        <v>27661.56697</v>
      </c>
      <c r="C67" s="36" t="s">
        <v>219</v>
      </c>
      <c r="D67" s="36">
        <f>IF(15843.37295="","-",15843.37295/1216006.77752*100)</f>
        <v>1.3029016978270436</v>
      </c>
      <c r="E67" s="36">
        <f>IF(27661.56697="","-",27661.56697/1392193.04092*100)</f>
        <v>1.9869059934188769</v>
      </c>
      <c r="F67" s="25">
        <f>IF(OR(1305605.99556="",24250.559="",15843.37295=""),"-",(15843.37295-24250.559)/1305605.99556*100)</f>
        <v>-0.6439297980087778</v>
      </c>
      <c r="G67" s="25">
        <f>IF(OR(1216006.77752="",27661.56697="",15843.37295=""),"-",(27661.56697-15843.37295)/1216006.77752*100)</f>
        <v>0.9718855386729637</v>
      </c>
    </row>
    <row r="68" spans="1:7" s="13" customFormat="1" ht="38.25" customHeight="1">
      <c r="A68" s="72" t="s">
        <v>98</v>
      </c>
      <c r="B68" s="36">
        <f>IF(85380.19793="","-",85380.19793)</f>
        <v>85380.19793</v>
      </c>
      <c r="C68" s="36">
        <f>IF(OR(74631.39509="",85380.19793=""),"-",85380.19793/74631.39509*100)</f>
        <v>114.40252165598368</v>
      </c>
      <c r="D68" s="36">
        <f>IF(74631.39509="","-",74631.39509/1216006.77752*100)</f>
        <v>6.137416046496709</v>
      </c>
      <c r="E68" s="36">
        <f>IF(85380.19793="","-",85380.19793/1392193.04092*100)</f>
        <v>6.132784421446208</v>
      </c>
      <c r="F68" s="25">
        <f>IF(OR(1305605.99556="",85870.70242="",74631.39509=""),"-",(74631.39509-85870.70242)/1305605.99556*100)</f>
        <v>-0.8608498557927682</v>
      </c>
      <c r="G68" s="25">
        <f>IF(OR(1216006.77752="",85380.19793="",74631.39509=""),"-",(85380.19793-74631.39509)/1216006.77752*100)</f>
        <v>0.8839426752145055</v>
      </c>
    </row>
    <row r="69" spans="1:7" s="13" customFormat="1" ht="26.25">
      <c r="A69" s="72" t="s">
        <v>99</v>
      </c>
      <c r="B69" s="36">
        <f>IF(71347.6715="","-",71347.6715)</f>
        <v>71347.6715</v>
      </c>
      <c r="C69" s="36">
        <f>IF(OR(62581.4159="",71347.6715=""),"-",71347.6715/62581.4159*100)</f>
        <v>114.00776168760349</v>
      </c>
      <c r="D69" s="36">
        <f>IF(62581.4159="","-",62581.4159/1216006.77752*100)</f>
        <v>5.146469333635824</v>
      </c>
      <c r="E69" s="36">
        <f>IF(71347.6715="","-",71347.6715/1392193.04092*100)</f>
        <v>5.124840406676036</v>
      </c>
      <c r="F69" s="25">
        <f>IF(OR(1305605.99556="",57461.1148="",62581.4159=""),"-",(62581.4159-57461.1148)/1305605.99556*100)</f>
        <v>0.3921781239832466</v>
      </c>
      <c r="G69" s="25">
        <f>IF(OR(1216006.77752="",71347.6715="",62581.4159=""),"-",(71347.6715-62581.4159)/1216006.77752*100)</f>
        <v>0.7209051595813014</v>
      </c>
    </row>
    <row r="70" spans="1:7" s="13" customFormat="1" ht="15">
      <c r="A70" s="72" t="s">
        <v>100</v>
      </c>
      <c r="B70" s="36">
        <f>IF(542.84884="","-",542.84884)</f>
        <v>542.84884</v>
      </c>
      <c r="C70" s="36" t="s">
        <v>197</v>
      </c>
      <c r="D70" s="36">
        <f>IF(241.85614="","-",241.85614/1216006.77752*100)</f>
        <v>0.01988937434158521</v>
      </c>
      <c r="E70" s="36">
        <f>IF(542.84884="","-",542.84884/1392193.04092*100)</f>
        <v>0.03899235408052825</v>
      </c>
      <c r="F70" s="25">
        <f>IF(OR(1305605.99556="",1780.84939="",241.85614=""),"-",(241.85614-1780.84939)/1305605.99556*100)</f>
        <v>-0.11787577992393454</v>
      </c>
      <c r="G70" s="25">
        <f>IF(OR(1216006.77752="",542.84884="",241.85614=""),"-",(542.84884-241.85614)/1216006.77752*100)</f>
        <v>0.024752551183461598</v>
      </c>
    </row>
    <row r="71" spans="1:7" s="13" customFormat="1" ht="13.5" customHeight="1">
      <c r="A71" s="69" t="s">
        <v>101</v>
      </c>
      <c r="B71" s="35">
        <f>IF(145223.49142="","-",145223.49142)</f>
        <v>145223.49142</v>
      </c>
      <c r="C71" s="35">
        <f>IF(109353.97907="","-",145223.49142/109353.97907*100)</f>
        <v>132.8012868439283</v>
      </c>
      <c r="D71" s="35">
        <f>IF(109353.97907="","-",109353.97907/1216006.77752*100)</f>
        <v>8.992875787503694</v>
      </c>
      <c r="E71" s="35">
        <f>IF(145223.49142="","-",145223.49142/1392193.04092*100)</f>
        <v>10.431275487775192</v>
      </c>
      <c r="F71" s="24">
        <f>IF(1305605.99556="","-",(109353.97907-115820.3717)/1305605.99556*100)</f>
        <v>-0.49527902383953437</v>
      </c>
      <c r="G71" s="24">
        <f>IF(1216006.77752="","-",(145223.49142-109353.97907)/1216006.77752*100)</f>
        <v>2.949778982577262</v>
      </c>
    </row>
    <row r="72" spans="1:7" s="13" customFormat="1" ht="39">
      <c r="A72" s="72" t="s">
        <v>102</v>
      </c>
      <c r="B72" s="36">
        <f>IF(9155.75706="","-",9155.75706)</f>
        <v>9155.75706</v>
      </c>
      <c r="C72" s="36">
        <f>IF(OR(8065.57553="",9155.75706=""),"-",9155.75706/8065.57553*100)</f>
        <v>113.51647537048109</v>
      </c>
      <c r="D72" s="36">
        <f>IF(8065.57553="","-",8065.57553/1216006.77752*100)</f>
        <v>0.6632837644580762</v>
      </c>
      <c r="E72" s="36">
        <f>IF(9155.75706="","-",9155.75706/1392193.04092*100)</f>
        <v>0.6576499659809835</v>
      </c>
      <c r="F72" s="25">
        <f>IF(OR(1305605.99556="",9693.07633="",8065.57553=""),"-",(8065.57553-9693.07633)/1305605.99556*100)</f>
        <v>-0.12465481971855781</v>
      </c>
      <c r="G72" s="25">
        <f>IF(OR(1216006.77752="",9155.75706="",8065.57553=""),"-",(9155.75706-8065.57553)/1216006.77752*100)</f>
        <v>0.0896525866593757</v>
      </c>
    </row>
    <row r="73" spans="1:7" s="13" customFormat="1" ht="15">
      <c r="A73" s="72" t="s">
        <v>103</v>
      </c>
      <c r="B73" s="36">
        <f>IF(13285.84466="","-",13285.84466)</f>
        <v>13285.84466</v>
      </c>
      <c r="C73" s="36">
        <f>IF(OR(11578.25023="",13285.84466=""),"-",13285.84466/11578.25023*100)</f>
        <v>114.74829439750329</v>
      </c>
      <c r="D73" s="36">
        <f>IF(11578.25023="","-",11578.25023/1216006.77752*100)</f>
        <v>0.9521534290798448</v>
      </c>
      <c r="E73" s="36">
        <f>IF(13285.84466="","-",13285.84466/1392193.04092*100)</f>
        <v>0.9543105208470475</v>
      </c>
      <c r="F73" s="25">
        <f>IF(OR(1305605.99556="",12108.03489="",11578.25023=""),"-",(11578.25023-12108.03489)/1305605.99556*100)</f>
        <v>-0.04057768283859375</v>
      </c>
      <c r="G73" s="25">
        <f>IF(OR(1216006.77752="",13285.84466="",11578.25023=""),"-",(13285.84466-11578.25023)/1216006.77752*100)</f>
        <v>0.14042639083661815</v>
      </c>
    </row>
    <row r="74" spans="1:7" s="13" customFormat="1" ht="15">
      <c r="A74" s="72" t="s">
        <v>104</v>
      </c>
      <c r="B74" s="36">
        <f>IF(7333.95404="","-",7333.95404)</f>
        <v>7333.95404</v>
      </c>
      <c r="C74" s="36" t="s">
        <v>259</v>
      </c>
      <c r="D74" s="36">
        <f>IF(1478.34826="","-",1478.34826/1216006.77752*100)</f>
        <v>0.12157401482704197</v>
      </c>
      <c r="E74" s="36">
        <f>IF(7333.95404="","-",7333.95404/1392193.04092*100)</f>
        <v>0.526791459548851</v>
      </c>
      <c r="F74" s="25">
        <f>IF(OR(1305605.99556="",1300.48062="",1478.34826=""),"-",(1478.34826-1300.48062)/1305605.99556*100)</f>
        <v>0.013623378002619315</v>
      </c>
      <c r="G74" s="25">
        <f>IF(OR(1216006.77752="",7333.95404="",1478.34826=""),"-",(7333.95404-1478.34826)/1216006.77752*100)</f>
        <v>0.4815438440188867</v>
      </c>
    </row>
    <row r="75" spans="1:7" s="13" customFormat="1" ht="15">
      <c r="A75" s="72" t="s">
        <v>105</v>
      </c>
      <c r="B75" s="36">
        <f>IF(37404.43156="","-",37404.43156)</f>
        <v>37404.43156</v>
      </c>
      <c r="C75" s="36">
        <f>IF(OR(29071.09241="",37404.43156=""),"-",37404.43156/29071.09241*100)</f>
        <v>128.6653801393905</v>
      </c>
      <c r="D75" s="36">
        <f>IF(29071.09241="","-",29071.09241/1216006.77752*100)</f>
        <v>2.390701511490701</v>
      </c>
      <c r="E75" s="36">
        <f>IF(37404.43156="","-",37404.43156/1392193.04092*100)</f>
        <v>2.6867273762036694</v>
      </c>
      <c r="F75" s="25">
        <f>IF(OR(1305605.99556="",23301.07421="",29071.09241=""),"-",(29071.09241-23301.07421)/1305605.99556*100)</f>
        <v>0.4419417664764268</v>
      </c>
      <c r="G75" s="25">
        <f>IF(OR(1216006.77752="",37404.43156="",29071.09241=""),"-",(37404.43156-29071.09241)/1216006.77752*100)</f>
        <v>0.6853036762669635</v>
      </c>
    </row>
    <row r="76" spans="1:7" s="13" customFormat="1" ht="15">
      <c r="A76" s="72" t="s">
        <v>106</v>
      </c>
      <c r="B76" s="36">
        <f>IF(13451.64814="","-",13451.64814)</f>
        <v>13451.64814</v>
      </c>
      <c r="C76" s="36" t="s">
        <v>219</v>
      </c>
      <c r="D76" s="36">
        <f>IF(7846.8102="","-",7846.8102/1216006.77752*100)</f>
        <v>0.6452932948287734</v>
      </c>
      <c r="E76" s="36">
        <f>IF(13451.64814="","-",13451.64814/1392193.04092*100)</f>
        <v>0.9662200387893604</v>
      </c>
      <c r="F76" s="25">
        <f>IF(OR(1305605.99556="",6530.08486="",7846.8102=""),"-",(7846.8102-6530.08486)/1305605.99556*100)</f>
        <v>0.10085166156388788</v>
      </c>
      <c r="G76" s="25">
        <f>IF(OR(1216006.77752="",13451.64814="",7846.8102=""),"-",(13451.64814-7846.8102)/1216006.77752*100)</f>
        <v>0.46092160369622737</v>
      </c>
    </row>
    <row r="77" spans="1:7" s="13" customFormat="1" ht="26.25">
      <c r="A77" s="72" t="s">
        <v>107</v>
      </c>
      <c r="B77" s="36">
        <f>IF(13391.22963="","-",13391.22963)</f>
        <v>13391.22963</v>
      </c>
      <c r="C77" s="36">
        <f>IF(OR(9324.47788="",13391.22963=""),"-",13391.22963/9324.47788*100)</f>
        <v>143.61372081457498</v>
      </c>
      <c r="D77" s="36">
        <f>IF(9324.47788="","-",9324.47788/1216006.77752*100)</f>
        <v>0.7668113412177621</v>
      </c>
      <c r="E77" s="36">
        <f>IF(13391.22963="","-",13391.22963/1392193.04092*100)</f>
        <v>0.9618802304277215</v>
      </c>
      <c r="F77" s="25">
        <f>IF(OR(1305605.99556="",24591.87502="",9324.47788=""),"-",(9324.47788-24591.87502)/1305605.99556*100)</f>
        <v>-1.1693724746914567</v>
      </c>
      <c r="G77" s="25">
        <f>IF(OR(1216006.77752="",13391.22963="",9324.47788=""),"-",(13391.22963-9324.47788)/1216006.77752*100)</f>
        <v>0.3344349575332127</v>
      </c>
    </row>
    <row r="78" spans="1:7" ht="26.25">
      <c r="A78" s="66" t="s">
        <v>108</v>
      </c>
      <c r="B78" s="36">
        <f>IF(3067.32248="","-",3067.32248)</f>
        <v>3067.32248</v>
      </c>
      <c r="C78" s="36">
        <f>IF(OR(2085.32508="",3067.32248=""),"-",3067.32248/2085.32508*100)</f>
        <v>147.09085453477593</v>
      </c>
      <c r="D78" s="36">
        <f>IF(2085.32508="","-",2085.32508/1216006.77752*100)</f>
        <v>0.1714895935245478</v>
      </c>
      <c r="E78" s="36">
        <f>IF(3067.32248="","-",3067.32248/1392193.04092*100)</f>
        <v>0.22032307229269207</v>
      </c>
      <c r="F78" s="25">
        <f>IF(OR(1305605.99556="",2407.02323="",2085.32508=""),"-",(2085.32508-2407.02323)/1305605.99556*100)</f>
        <v>-0.02463975740721205</v>
      </c>
      <c r="G78" s="25">
        <f>IF(OR(1216006.77752="",3067.32248="",2085.32508=""),"-",(3067.32248-2085.32508)/1216006.77752*100)</f>
        <v>0.0807559150289233</v>
      </c>
    </row>
    <row r="79" spans="1:7" ht="15">
      <c r="A79" s="73" t="s">
        <v>109</v>
      </c>
      <c r="B79" s="47">
        <f>IF(48133.30385="","-",48133.30385)</f>
        <v>48133.30385</v>
      </c>
      <c r="C79" s="47">
        <f>IF(OR(39904.09948="",48133.30385=""),"-",48133.30385/39904.09948*100)</f>
        <v>120.62245352541909</v>
      </c>
      <c r="D79" s="47">
        <f>IF(39904.09948="","-",39904.09948/1216006.77752*100)</f>
        <v>3.2815688380769474</v>
      </c>
      <c r="E79" s="47">
        <f>IF(48133.30385="","-",48133.30385/1392193.04092*100)</f>
        <v>3.457372823684865</v>
      </c>
      <c r="F79" s="26">
        <f>IF(OR(1305605.99556="",35888.72254="",39904.09948=""),"-",(39904.09948-35888.72254)/1305605.99556*100)</f>
        <v>0.30754890477335173</v>
      </c>
      <c r="G79" s="26">
        <f>IF(OR(1216006.77752="",48133.30385="",39904.09948=""),"-",(48133.30385-39904.09948)/1216006.77752*100)</f>
        <v>0.6767400085370536</v>
      </c>
    </row>
    <row r="80" ht="15">
      <c r="A80" s="9" t="s">
        <v>119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6.375" style="0" customWidth="1"/>
    <col min="2" max="2" width="12.125" style="0" customWidth="1"/>
    <col min="3" max="3" width="11.875" style="0" customWidth="1"/>
    <col min="4" max="4" width="16.25390625" style="0" customWidth="1"/>
  </cols>
  <sheetData>
    <row r="1" spans="1:4" ht="15.75">
      <c r="A1" s="50" t="s">
        <v>120</v>
      </c>
      <c r="B1" s="50"/>
      <c r="C1" s="50"/>
      <c r="D1" s="50"/>
    </row>
    <row r="2" spans="1:4" ht="15.75">
      <c r="A2" s="50" t="s">
        <v>37</v>
      </c>
      <c r="B2" s="50"/>
      <c r="C2" s="50"/>
      <c r="D2" s="50"/>
    </row>
    <row r="3" ht="15">
      <c r="A3" s="6"/>
    </row>
    <row r="4" spans="1:5" ht="25.5" customHeight="1">
      <c r="A4" s="60"/>
      <c r="B4" s="63" t="s">
        <v>229</v>
      </c>
      <c r="C4" s="55"/>
      <c r="D4" s="56" t="s">
        <v>230</v>
      </c>
      <c r="E4" s="1"/>
    </row>
    <row r="5" spans="1:5" ht="24" customHeight="1">
      <c r="A5" s="61"/>
      <c r="B5" s="17">
        <v>2016</v>
      </c>
      <c r="C5" s="16">
        <v>2017</v>
      </c>
      <c r="D5" s="64"/>
      <c r="E5" s="1"/>
    </row>
    <row r="6" spans="1:4" ht="15">
      <c r="A6" s="65" t="s">
        <v>203</v>
      </c>
      <c r="B6" s="31">
        <f>IF(-621030.76267="","-",-621030.76267)</f>
        <v>-621030.76267</v>
      </c>
      <c r="C6" s="31">
        <f>IF(-709768.42981="","-",-709768.42981)</f>
        <v>-709768.42981</v>
      </c>
      <c r="D6" s="29">
        <f>IF(-621030.76267="","-",-709768.42981/-621030.76267*100)</f>
        <v>114.2887715833093</v>
      </c>
    </row>
    <row r="7" spans="1:4" ht="15">
      <c r="A7" s="66" t="s">
        <v>33</v>
      </c>
      <c r="B7" s="45"/>
      <c r="C7" s="45"/>
      <c r="D7" s="22"/>
    </row>
    <row r="8" spans="1:4" ht="15">
      <c r="A8" s="67" t="s">
        <v>38</v>
      </c>
      <c r="B8" s="35">
        <f>IF(-22706.15814="","-",-22706.15814)</f>
        <v>-22706.15814</v>
      </c>
      <c r="C8" s="35">
        <f>IF(-6840.60774="","-",-6840.60774)</f>
        <v>-6840.60774</v>
      </c>
      <c r="D8" s="24">
        <f>IF(-22706.15814="","-",-6840.60774/-22706.15814*100)</f>
        <v>30.12666298641396</v>
      </c>
    </row>
    <row r="9" spans="1:4" ht="15">
      <c r="A9" s="66" t="s">
        <v>39</v>
      </c>
      <c r="B9" s="36">
        <f>IF(OR(268.14751="",268.14751=0),"-",268.14751)</f>
        <v>268.14751</v>
      </c>
      <c r="C9" s="36">
        <f>IF(OR(178.02357="",178.02357=0),"-",178.02357)</f>
        <v>178.02357</v>
      </c>
      <c r="D9" s="25">
        <f>IF(OR(268.14751="",178.02357="",268.14751=0,178.02357=0),"-",178.02357/268.14751*100)</f>
        <v>66.39016338432529</v>
      </c>
    </row>
    <row r="10" spans="1:4" ht="15">
      <c r="A10" s="66" t="s">
        <v>40</v>
      </c>
      <c r="B10" s="36">
        <f>IF(OR(-5436.35894="",-5436.35894=0),"-",-5436.35894)</f>
        <v>-5436.35894</v>
      </c>
      <c r="C10" s="36">
        <f>IF(OR(-4619.05012="",-4619.05012=0),"-",-4619.05012)</f>
        <v>-4619.05012</v>
      </c>
      <c r="D10" s="25">
        <f>IF(OR(-5436.35894="",-4619.05012="",-5436.35894=0,-4619.05012=0),"-",-4619.05012/-5436.35894*100)</f>
        <v>84.96587828323197</v>
      </c>
    </row>
    <row r="11" spans="1:4" ht="15">
      <c r="A11" s="66" t="s">
        <v>41</v>
      </c>
      <c r="B11" s="36">
        <f>IF(OR(-7657.46912="",-7657.46912=0),"-",-7657.46912)</f>
        <v>-7657.46912</v>
      </c>
      <c r="C11" s="36">
        <f>IF(OR(-10526.74881="",-10526.74881=0),"-",-10526.74881)</f>
        <v>-10526.74881</v>
      </c>
      <c r="D11" s="25">
        <f>IF(OR(-7657.46912="",-10526.74881="",-7657.46912=0,-10526.74881=0),"-",-10526.74881/-7657.46912*100)</f>
        <v>137.47033967797444</v>
      </c>
    </row>
    <row r="12" spans="1:4" ht="15">
      <c r="A12" s="66" t="s">
        <v>42</v>
      </c>
      <c r="B12" s="36">
        <f>IF(OR(-12938.87445="",-12938.87445=0),"-",-12938.87445)</f>
        <v>-12938.87445</v>
      </c>
      <c r="C12" s="36">
        <f>IF(OR(-13247.96053="",-13247.96053=0),"-",-13247.96053)</f>
        <v>-13247.96053</v>
      </c>
      <c r="D12" s="25">
        <f>IF(OR(-12938.87445="",-13247.96053="",-12938.87445=0,-13247.96053=0),"-",-13247.96053/-12938.87445*100)</f>
        <v>102.38881736734065</v>
      </c>
    </row>
    <row r="13" spans="1:4" ht="15">
      <c r="A13" s="66" t="s">
        <v>43</v>
      </c>
      <c r="B13" s="36">
        <f>IF(OR(8002.36978="",8002.36978=0),"-",8002.36978)</f>
        <v>8002.36978</v>
      </c>
      <c r="C13" s="36">
        <f>IF(OR(24272.63521="",24272.63521=0),"-",24272.63521)</f>
        <v>24272.63521</v>
      </c>
      <c r="D13" s="25" t="s">
        <v>217</v>
      </c>
    </row>
    <row r="14" spans="1:4" ht="15">
      <c r="A14" s="66" t="s">
        <v>44</v>
      </c>
      <c r="B14" s="36">
        <f>IF(OR(21451.84838="",21451.84838=0),"-",21451.84838)</f>
        <v>21451.84838</v>
      </c>
      <c r="C14" s="36">
        <f>IF(OR(31788.50569="",31788.50569=0),"-",31788.50569)</f>
        <v>31788.50569</v>
      </c>
      <c r="D14" s="25">
        <f>IF(OR(21451.84838="",31788.50569="",21451.84838=0,31788.50569=0),"-",31788.50569/21451.84838*100)</f>
        <v>148.1853923582505</v>
      </c>
    </row>
    <row r="15" spans="1:4" ht="15">
      <c r="A15" s="66" t="s">
        <v>45</v>
      </c>
      <c r="B15" s="36">
        <f>IF(OR(5735.3503="",5735.3503=0),"-",5735.3503)</f>
        <v>5735.3503</v>
      </c>
      <c r="C15" s="36">
        <f>IF(OR(-1253.90204="",-1253.90204=0),"-",-1253.90204)</f>
        <v>-1253.90204</v>
      </c>
      <c r="D15" s="25" t="s">
        <v>34</v>
      </c>
    </row>
    <row r="16" spans="1:4" ht="15">
      <c r="A16" s="66" t="s">
        <v>46</v>
      </c>
      <c r="B16" s="36">
        <f>IF(OR(-10537.43174="",-10537.43174=0),"-",-10537.43174)</f>
        <v>-10537.43174</v>
      </c>
      <c r="C16" s="36">
        <f>IF(OR(-9852.31772="",-9852.31772=0),"-",-9852.31772)</f>
        <v>-9852.31772</v>
      </c>
      <c r="D16" s="25">
        <f>IF(OR(-10537.43174="",-9852.31772="",-10537.43174=0,-9852.31772=0),"-",-9852.31772/-10537.43174*100)</f>
        <v>93.49828272292086</v>
      </c>
    </row>
    <row r="17" spans="1:4" ht="15">
      <c r="A17" s="66" t="s">
        <v>47</v>
      </c>
      <c r="B17" s="36">
        <f>IF(OR(-2987.57594="",-2987.57594=0),"-",-2987.57594)</f>
        <v>-2987.57594</v>
      </c>
      <c r="C17" s="36">
        <f>IF(OR(-3497.94413="",-3497.94413=0),"-",-3497.94413)</f>
        <v>-3497.94413</v>
      </c>
      <c r="D17" s="25">
        <f>IF(OR(-2987.57594="",-3497.94413="",-2987.57594=0,-3497.94413=0),"-",-3497.94413/-2987.57594*100)</f>
        <v>117.08301982107943</v>
      </c>
    </row>
    <row r="18" spans="1:4" ht="15">
      <c r="A18" s="66" t="s">
        <v>48</v>
      </c>
      <c r="B18" s="36">
        <f>IF(OR(-18606.16392="",-18606.16392=0),"-",-18606.16392)</f>
        <v>-18606.16392</v>
      </c>
      <c r="C18" s="36">
        <f>IF(OR(-20081.84886="",-20081.84886=0),"-",-20081.84886)</f>
        <v>-20081.84886</v>
      </c>
      <c r="D18" s="25">
        <f>IF(OR(-18606.16392="",-20081.84886="",-18606.16392=0,-20081.84886=0),"-",-20081.84886/-18606.16392*100)</f>
        <v>107.93116166419327</v>
      </c>
    </row>
    <row r="19" spans="1:4" ht="15">
      <c r="A19" s="67" t="s">
        <v>49</v>
      </c>
      <c r="B19" s="35">
        <f>IF(20449.22825="","-",20449.22825)</f>
        <v>20449.22825</v>
      </c>
      <c r="C19" s="35">
        <f>IF(25730.07253="","-",25730.07253)</f>
        <v>25730.07253</v>
      </c>
      <c r="D19" s="24">
        <f>IF(20449.22825="","-",25730.07253/20449.22825*100)</f>
        <v>125.82417397585652</v>
      </c>
    </row>
    <row r="20" spans="1:4" ht="15">
      <c r="A20" s="66" t="s">
        <v>50</v>
      </c>
      <c r="B20" s="36">
        <f>IF(OR(34559.61832="",34559.61832=0),"-",34559.61832)</f>
        <v>34559.61832</v>
      </c>
      <c r="C20" s="36">
        <f>IF(OR(35966.47475="",35966.47475=0),"-",35966.47475)</f>
        <v>35966.47475</v>
      </c>
      <c r="D20" s="25">
        <f>IF(OR(34559.61832="",35966.47475="",34559.61832=0,35966.47475=0),"-",35966.47475/34559.61832*100)</f>
        <v>104.0708100910531</v>
      </c>
    </row>
    <row r="21" spans="1:4" ht="15">
      <c r="A21" s="66" t="s">
        <v>51</v>
      </c>
      <c r="B21" s="36">
        <f>IF(OR(-14110.39007="",-14110.39007=0),"-",-14110.39007)</f>
        <v>-14110.39007</v>
      </c>
      <c r="C21" s="36">
        <f>IF(OR(-10236.40222="",-10236.40222=0),"-",-10236.40222)</f>
        <v>-10236.40222</v>
      </c>
      <c r="D21" s="25">
        <f>IF(OR(-14110.39007="",-10236.40222="",-14110.39007=0,-10236.40222=0),"-",-10236.40222/-14110.39007*100)</f>
        <v>72.54513992326507</v>
      </c>
    </row>
    <row r="22" spans="1:4" ht="15">
      <c r="A22" s="67" t="s">
        <v>52</v>
      </c>
      <c r="B22" s="35">
        <f>IF(26754.47798="","-",26754.47798)</f>
        <v>26754.47798</v>
      </c>
      <c r="C22" s="35">
        <f>IF(35305.59062="","-",35305.59062)</f>
        <v>35305.59062</v>
      </c>
      <c r="D22" s="24">
        <f>IF(26754.47798="","-",35305.59062/26754.47798*100)</f>
        <v>131.9614258457679</v>
      </c>
    </row>
    <row r="23" spans="1:4" ht="15">
      <c r="A23" s="66" t="s">
        <v>53</v>
      </c>
      <c r="B23" s="36">
        <f>IF(OR(1386.31972="",1386.31972=0),"-",1386.31972)</f>
        <v>1386.31972</v>
      </c>
      <c r="C23" s="36">
        <f>IF(OR(1333.06164="",1333.06164=0),"-",1333.06164)</f>
        <v>1333.06164</v>
      </c>
      <c r="D23" s="25">
        <f>IF(OR(1386.31972="",1333.06164="",1386.31972=0,1333.06164=0),"-",1333.06164/1386.31972*100)</f>
        <v>96.15831187916739</v>
      </c>
    </row>
    <row r="24" spans="1:4" ht="15">
      <c r="A24" s="66" t="s">
        <v>54</v>
      </c>
      <c r="B24" s="36">
        <f>IF(OR(40584.23435="",40584.23435=0),"-",40584.23435)</f>
        <v>40584.23435</v>
      </c>
      <c r="C24" s="36">
        <f>IF(OR(49532.3628="",49532.3628=0),"-",49532.3628)</f>
        <v>49532.3628</v>
      </c>
      <c r="D24" s="25">
        <f>IF(OR(40584.23435="",49532.3628="",40584.23435=0,49532.3628=0),"-",49532.3628/40584.23435*100)</f>
        <v>122.04828695998302</v>
      </c>
    </row>
    <row r="25" spans="1:4" ht="15">
      <c r="A25" s="66" t="s">
        <v>55</v>
      </c>
      <c r="B25" s="36">
        <f>IF(OR(-226.94343="",-226.94343=0),"-",-226.94343)</f>
        <v>-226.94343</v>
      </c>
      <c r="C25" s="36">
        <f>IF(OR(-193.06728="",-193.06728=0),"-",-193.06728)</f>
        <v>-193.06728</v>
      </c>
      <c r="D25" s="25">
        <f>IF(OR(-226.94343="",-193.06728="",-226.94343=0,-193.06728=0),"-",-193.06728/-226.94343*100)</f>
        <v>85.07286595606668</v>
      </c>
    </row>
    <row r="26" spans="1:4" ht="15">
      <c r="A26" s="66" t="s">
        <v>56</v>
      </c>
      <c r="B26" s="36">
        <f>IF(OR(-6018.43868="",-6018.43868=0),"-",-6018.43868)</f>
        <v>-6018.43868</v>
      </c>
      <c r="C26" s="36">
        <f>IF(OR(-7646.19212="",-7646.19212=0),"-",-7646.19212)</f>
        <v>-7646.19212</v>
      </c>
      <c r="D26" s="25">
        <f>IF(OR(-6018.43868="",-7646.19212="",-6018.43868=0,-7646.19212=0),"-",-7646.19212/-6018.43868*100)</f>
        <v>127.04610824414016</v>
      </c>
    </row>
    <row r="27" spans="1:4" ht="15">
      <c r="A27" s="66" t="s">
        <v>57</v>
      </c>
      <c r="B27" s="36">
        <f>IF(OR(558.18554="",558.18554=0),"-",558.18554)</f>
        <v>558.18554</v>
      </c>
      <c r="C27" s="36">
        <f>IF(OR(644.206="",644.206=0),"-",644.206)</f>
        <v>644.206</v>
      </c>
      <c r="D27" s="25">
        <f>IF(OR(558.18554="",644.206="",558.18554=0,644.206=0),"-",644.206/558.18554*100)</f>
        <v>115.41072884116635</v>
      </c>
    </row>
    <row r="28" spans="1:4" ht="26.25">
      <c r="A28" s="66" t="s">
        <v>58</v>
      </c>
      <c r="B28" s="36">
        <f>IF(OR(-1967.94898="",-1967.94898=0),"-",-1967.94898)</f>
        <v>-1967.94898</v>
      </c>
      <c r="C28" s="36">
        <f>IF(OR(-2473.11969="",-2473.11969=0),"-",-2473.11969)</f>
        <v>-2473.11969</v>
      </c>
      <c r="D28" s="25">
        <f>IF(OR(-1967.94898="",-2473.11969="",-1967.94898=0,-2473.11969=0),"-",-2473.11969/-1967.94898*100)</f>
        <v>125.66990888147924</v>
      </c>
    </row>
    <row r="29" spans="1:4" ht="26.25">
      <c r="A29" s="66" t="s">
        <v>59</v>
      </c>
      <c r="B29" s="36">
        <f>IF(OR(-1203.00723="",-1203.00723=0),"-",-1203.00723)</f>
        <v>-1203.00723</v>
      </c>
      <c r="C29" s="36">
        <f>IF(OR(129.13269="",129.13269=0),"-",129.13269)</f>
        <v>129.13269</v>
      </c>
      <c r="D29" s="25" t="s">
        <v>34</v>
      </c>
    </row>
    <row r="30" spans="1:4" ht="15">
      <c r="A30" s="66" t="s">
        <v>60</v>
      </c>
      <c r="B30" s="36">
        <f>IF(OR(3326.82001="",3326.82001=0),"-",3326.82001)</f>
        <v>3326.82001</v>
      </c>
      <c r="C30" s="36">
        <f>IF(OR(4714.39534="",4714.39534=0),"-",4714.39534)</f>
        <v>4714.39534</v>
      </c>
      <c r="D30" s="25">
        <f>IF(OR(3326.82001="",4714.39534="",3326.82001=0,4714.39534=0),"-",4714.39534/3326.82001*100)</f>
        <v>141.70875868935272</v>
      </c>
    </row>
    <row r="31" spans="1:4" ht="15">
      <c r="A31" s="66" t="s">
        <v>61</v>
      </c>
      <c r="B31" s="36">
        <f>IF(OR(-9684.74332="",-9684.74332=0),"-",-9684.74332)</f>
        <v>-9684.74332</v>
      </c>
      <c r="C31" s="36">
        <f>IF(OR(-10735.18876="",-10735.18876=0),"-",-10735.18876)</f>
        <v>-10735.18876</v>
      </c>
      <c r="D31" s="25">
        <f>IF(OR(-9684.74332="",-10735.18876="",-9684.74332=0,-10735.18876=0),"-",-10735.18876/-9684.74332*100)</f>
        <v>110.84639422328024</v>
      </c>
    </row>
    <row r="32" spans="1:4" ht="15">
      <c r="A32" s="67" t="s">
        <v>62</v>
      </c>
      <c r="B32" s="35">
        <f>IF(-199594.2624="","-",-199594.2624)</f>
        <v>-199594.2624</v>
      </c>
      <c r="C32" s="35">
        <f>IF(-230506.02669="","-",-230506.02669)</f>
        <v>-230506.02669</v>
      </c>
      <c r="D32" s="24">
        <f>IF(-199594.2624="","-",-230506.02669/-199594.2624*100)</f>
        <v>115.487301046786</v>
      </c>
    </row>
    <row r="33" spans="1:4" ht="15">
      <c r="A33" s="66" t="s">
        <v>63</v>
      </c>
      <c r="B33" s="36">
        <f>IF(OR(-1281.18233="",-1281.18233=0),"-",-1281.18233)</f>
        <v>-1281.18233</v>
      </c>
      <c r="C33" s="36">
        <f>IF(OR(-4874.0841="",-4874.0841=0),"-",-4874.0841)</f>
        <v>-4874.0841</v>
      </c>
      <c r="D33" s="25" t="s">
        <v>257</v>
      </c>
    </row>
    <row r="34" spans="1:4" ht="15">
      <c r="A34" s="66" t="s">
        <v>64</v>
      </c>
      <c r="B34" s="36">
        <f>IF(OR(-87367.72976="",-87367.72976=0),"-",-87367.72976)</f>
        <v>-87367.72976</v>
      </c>
      <c r="C34" s="36">
        <f>IF(OR(-122089.38395="",-122089.38395=0),"-",-122089.38395)</f>
        <v>-122089.38395</v>
      </c>
      <c r="D34" s="25">
        <f>IF(OR(-87367.72976="",-122089.38395="",-87367.72976=0,-122089.38395=0),"-",-122089.38395/-87367.72976*100)</f>
        <v>139.74196683990843</v>
      </c>
    </row>
    <row r="35" spans="1:4" ht="15">
      <c r="A35" s="66" t="s">
        <v>65</v>
      </c>
      <c r="B35" s="36">
        <f>IF(OR(-110695.97651="",-110695.97651=0),"-",-110695.97651)</f>
        <v>-110695.97651</v>
      </c>
      <c r="C35" s="36">
        <f>IF(OR(-89569.14094="",-89569.14094=0),"-",-89569.14094)</f>
        <v>-89569.14094</v>
      </c>
      <c r="D35" s="25">
        <f>IF(OR(-110695.97651="",-89569.14094="",-110695.97651=0,-89569.14094=0),"-",-89569.14094/-110695.97651*100)</f>
        <v>80.914540676109</v>
      </c>
    </row>
    <row r="36" spans="1:4" ht="15">
      <c r="A36" s="66" t="s">
        <v>66</v>
      </c>
      <c r="B36" s="36">
        <f>IF(OR(-249.3738="",-249.3738=0),"-",-249.3738)</f>
        <v>-249.3738</v>
      </c>
      <c r="C36" s="36">
        <f>IF(OR(-13973.4177="",-13973.4177=0),"-",-13973.4177)</f>
        <v>-13973.4177</v>
      </c>
      <c r="D36" s="25" t="s">
        <v>260</v>
      </c>
    </row>
    <row r="37" spans="1:4" ht="15">
      <c r="A37" s="67" t="s">
        <v>67</v>
      </c>
      <c r="B37" s="35">
        <f>IF(17112.58412="","-",17112.58412)</f>
        <v>17112.58412</v>
      </c>
      <c r="C37" s="35">
        <f>IF(13754.08507="","-",13754.08507)</f>
        <v>13754.08507</v>
      </c>
      <c r="D37" s="24">
        <f>IF(17112.58412="","-",13754.08507/17112.58412*100)</f>
        <v>80.37409764388056</v>
      </c>
    </row>
    <row r="38" spans="1:4" ht="15">
      <c r="A38" s="66" t="s">
        <v>68</v>
      </c>
      <c r="B38" s="36">
        <f>IF(OR(-172.91144="",-172.91144=0),"-",-172.91144)</f>
        <v>-172.91144</v>
      </c>
      <c r="C38" s="36">
        <f>IF(OR(-222.23207="",-222.23207=0),"-",-222.23207)</f>
        <v>-222.23207</v>
      </c>
      <c r="D38" s="25">
        <f>IF(OR(-172.91144="",-222.23207="",-172.91144=0,-222.23207=0),"-",-222.23207/-172.91144*100)</f>
        <v>128.52363614576342</v>
      </c>
    </row>
    <row r="39" spans="1:4" ht="15">
      <c r="A39" s="66" t="s">
        <v>69</v>
      </c>
      <c r="B39" s="36">
        <f>IF(OR(17901.62981="",17901.62981=0),"-",17901.62981)</f>
        <v>17901.62981</v>
      </c>
      <c r="C39" s="36">
        <f>IF(OR(14723.77366="",14723.77366=0),"-",14723.77366)</f>
        <v>14723.77366</v>
      </c>
      <c r="D39" s="25">
        <f>IF(OR(17901.62981="",14723.77366="",17901.62981=0,14723.77366=0),"-",14723.77366/17901.62981*100)</f>
        <v>82.24823000068507</v>
      </c>
    </row>
    <row r="40" spans="1:4" ht="26.25">
      <c r="A40" s="66" t="s">
        <v>70</v>
      </c>
      <c r="B40" s="36">
        <f>IF(OR(-616.13425="",-616.13425=0),"-",-616.13425)</f>
        <v>-616.13425</v>
      </c>
      <c r="C40" s="36">
        <f>IF(OR(-747.45652="",-747.45652=0),"-",-747.45652)</f>
        <v>-747.45652</v>
      </c>
      <c r="D40" s="25">
        <f>IF(OR(-616.13425="",-747.45652="",-616.13425=0,-747.45652=0),"-",-747.45652/-616.13425*100)</f>
        <v>121.31390520815877</v>
      </c>
    </row>
    <row r="41" spans="1:4" ht="26.25">
      <c r="A41" s="67" t="s">
        <v>71</v>
      </c>
      <c r="B41" s="35">
        <f>IF(-174408.80727="","-",-174408.80727)</f>
        <v>-174408.80727</v>
      </c>
      <c r="C41" s="35">
        <f>IF(-196858.49204="","-",-196858.49204)</f>
        <v>-196858.49204</v>
      </c>
      <c r="D41" s="24">
        <f>IF(-174408.80727="","-",-196858.49204/-174408.80727*100)</f>
        <v>112.87187563598549</v>
      </c>
    </row>
    <row r="42" spans="1:4" ht="15">
      <c r="A42" s="66" t="s">
        <v>72</v>
      </c>
      <c r="B42" s="36">
        <f>IF(OR(26.09519="",26.09519=0),"-",26.09519)</f>
        <v>26.09519</v>
      </c>
      <c r="C42" s="36">
        <f>IF(OR(1805.54701="",1805.54701=0),"-",1805.54701)</f>
        <v>1805.54701</v>
      </c>
      <c r="D42" s="25" t="s">
        <v>261</v>
      </c>
    </row>
    <row r="43" spans="1:4" ht="15">
      <c r="A43" s="66" t="s">
        <v>73</v>
      </c>
      <c r="B43" s="36">
        <f>IF(OR(-4025.76339="",-4025.76339=0),"-",-4025.76339)</f>
        <v>-4025.76339</v>
      </c>
      <c r="C43" s="36">
        <f>IF(OR(-3173.2405="",-3173.2405=0),"-",-3173.2405)</f>
        <v>-3173.2405</v>
      </c>
      <c r="D43" s="25">
        <f>IF(OR(-4025.76339="",-3173.2405="",-4025.76339=0,-3173.2405=0),"-",-3173.2405/-4025.76339*100)</f>
        <v>78.8233234939324</v>
      </c>
    </row>
    <row r="44" spans="1:4" ht="15">
      <c r="A44" s="66" t="s">
        <v>74</v>
      </c>
      <c r="B44" s="36">
        <f>IF(OR(-6882.46607="",-6882.46607=0),"-",-6882.46607)</f>
        <v>-6882.46607</v>
      </c>
      <c r="C44" s="36">
        <f>IF(OR(-7486.5344="",-7486.5344=0),"-",-7486.5344)</f>
        <v>-7486.5344</v>
      </c>
      <c r="D44" s="25">
        <f>IF(OR(-6882.46607="",-7486.5344="",-6882.46607=0,-7486.5344=0),"-",-7486.5344/-6882.46607*100)</f>
        <v>108.77691693436856</v>
      </c>
    </row>
    <row r="45" spans="1:4" ht="15">
      <c r="A45" s="66" t="s">
        <v>75</v>
      </c>
      <c r="B45" s="36">
        <f>IF(OR(-34195.76673="",-34195.76673=0),"-",-34195.76673)</f>
        <v>-34195.76673</v>
      </c>
      <c r="C45" s="36">
        <f>IF(OR(-46933.44945="",-46933.44945=0),"-",-46933.44945)</f>
        <v>-46933.44945</v>
      </c>
      <c r="D45" s="25">
        <f>IF(OR(-34195.76673="",-46933.44945="",-34195.76673=0,-46933.44945=0),"-",-46933.44945/-34195.76673*100)</f>
        <v>137.24929702724054</v>
      </c>
    </row>
    <row r="46" spans="1:4" ht="26.25">
      <c r="A46" s="66" t="s">
        <v>76</v>
      </c>
      <c r="B46" s="36">
        <f>IF(OR(-21955.72895="",-21955.72895=0),"-",-21955.72895)</f>
        <v>-21955.72895</v>
      </c>
      <c r="C46" s="36">
        <f>IF(OR(-23587.51396="",-23587.51396=0),"-",-23587.51396)</f>
        <v>-23587.51396</v>
      </c>
      <c r="D46" s="25">
        <f>IF(OR(-21955.72895="",-23587.51396="",-21955.72895=0,-23587.51396=0),"-",-23587.51396/-21955.72895*100)</f>
        <v>107.43216047946338</v>
      </c>
    </row>
    <row r="47" spans="1:4" ht="15">
      <c r="A47" s="66" t="s">
        <v>77</v>
      </c>
      <c r="B47" s="36">
        <f>IF(OR(-22726.14782="",-22726.14782=0),"-",-22726.14782)</f>
        <v>-22726.14782</v>
      </c>
      <c r="C47" s="36">
        <f>IF(OR(-25410.89141="",-25410.89141=0),"-",-25410.89141)</f>
        <v>-25410.89141</v>
      </c>
      <c r="D47" s="25">
        <f>IF(OR(-22726.14782="",-25410.89141="",-22726.14782=0,-25410.89141=0),"-",-25410.89141/-22726.14782*100)</f>
        <v>111.81345651389853</v>
      </c>
    </row>
    <row r="48" spans="1:4" ht="15">
      <c r="A48" s="66" t="s">
        <v>78</v>
      </c>
      <c r="B48" s="36">
        <f>IF(OR(-11807.09998="",-11807.09998=0),"-",-11807.09998)</f>
        <v>-11807.09998</v>
      </c>
      <c r="C48" s="36">
        <f>IF(OR(-11525.34903="",-11525.34903=0),"-",-11525.34903)</f>
        <v>-11525.34903</v>
      </c>
      <c r="D48" s="25">
        <f>IF(OR(-11807.09998="",-11525.34903="",-11807.09998=0,-11525.34903=0),"-",-11525.34903/-11807.09998*100)</f>
        <v>97.6137158957131</v>
      </c>
    </row>
    <row r="49" spans="1:4" ht="15">
      <c r="A49" s="66" t="s">
        <v>79</v>
      </c>
      <c r="B49" s="36">
        <f>IF(OR(-21605.66732="",-21605.66732=0),"-",-21605.66732)</f>
        <v>-21605.66732</v>
      </c>
      <c r="C49" s="36">
        <f>IF(OR(-24161.08153="",-24161.08153=0),"-",-24161.08153)</f>
        <v>-24161.08153</v>
      </c>
      <c r="D49" s="25">
        <f>IF(OR(-21605.66732="",-24161.08153="",-21605.66732=0,-24161.08153=0),"-",-24161.08153/-21605.66732*100)</f>
        <v>111.82751808658323</v>
      </c>
    </row>
    <row r="50" spans="1:4" ht="15">
      <c r="A50" s="66" t="s">
        <v>80</v>
      </c>
      <c r="B50" s="36">
        <f>IF(OR(-51236.2621999999="",-51236.2621999999=0),"-",-51236.2621999999)</f>
        <v>-51236.2621999999</v>
      </c>
      <c r="C50" s="36">
        <f>IF(OR(-56385.97877="",-56385.97877=0),"-",-56385.97877)</f>
        <v>-56385.97877</v>
      </c>
      <c r="D50" s="25">
        <f>IF(OR(-51236.2621999999="",-56385.97877="",-51236.2621999999=0,-56385.97877=0),"-",-56385.97877/-51236.2621999999*100)</f>
        <v>110.0509216497844</v>
      </c>
    </row>
    <row r="51" spans="1:4" ht="26.25">
      <c r="A51" s="67" t="s">
        <v>81</v>
      </c>
      <c r="B51" s="35">
        <f>IF(-189093.38738="","-",-189093.38738)</f>
        <v>-189093.38738</v>
      </c>
      <c r="C51" s="35">
        <f>IF(-204151.73829="","-",-204151.73829)</f>
        <v>-204151.73829</v>
      </c>
      <c r="D51" s="24">
        <f>IF(-189093.38738="","-",-204151.73829/-189093.38738*100)</f>
        <v>107.96344659040822</v>
      </c>
    </row>
    <row r="52" spans="1:4" ht="15">
      <c r="A52" s="66" t="s">
        <v>82</v>
      </c>
      <c r="B52" s="36">
        <f>IF(OR(-10820.99918="",-10820.99918=0),"-",-10820.99918)</f>
        <v>-10820.99918</v>
      </c>
      <c r="C52" s="36">
        <f>IF(OR(-11111.18514="",-11111.18514=0),"-",-11111.18514)</f>
        <v>-11111.18514</v>
      </c>
      <c r="D52" s="25">
        <f>IF(OR(-10820.99918="",-11111.18514="",-10820.99918=0,-11111.18514=0),"-",-11111.18514/-10820.99918*100)</f>
        <v>102.68169283790667</v>
      </c>
    </row>
    <row r="53" spans="1:4" ht="15">
      <c r="A53" s="66" t="s">
        <v>83</v>
      </c>
      <c r="B53" s="36">
        <f>IF(OR(-12642.49848="",-12642.49848=0),"-",-12642.49848)</f>
        <v>-12642.49848</v>
      </c>
      <c r="C53" s="36">
        <f>IF(OR(-15545.73612="",-15545.73612=0),"-",-15545.73612)</f>
        <v>-15545.73612</v>
      </c>
      <c r="D53" s="25">
        <f>IF(OR(-12642.49848="",-15545.73612="",-12642.49848=0,-15545.73612=0),"-",-15545.73612/-12642.49848*100)</f>
        <v>122.96411302396295</v>
      </c>
    </row>
    <row r="54" spans="1:4" ht="15">
      <c r="A54" s="66" t="s">
        <v>84</v>
      </c>
      <c r="B54" s="36">
        <f>IF(OR(-11385.88241="",-11385.88241=0),"-",-11385.88241)</f>
        <v>-11385.88241</v>
      </c>
      <c r="C54" s="36">
        <f>IF(OR(-12789.65254="",-12789.65254=0),"-",-12789.65254)</f>
        <v>-12789.65254</v>
      </c>
      <c r="D54" s="25">
        <f>IF(OR(-11385.88241="",-12789.65254="",-11385.88241=0,-12789.65254=0),"-",-12789.65254/-11385.88241*100)</f>
        <v>112.32904117090736</v>
      </c>
    </row>
    <row r="55" spans="1:4" ht="26.25">
      <c r="A55" s="66" t="s">
        <v>85</v>
      </c>
      <c r="B55" s="36">
        <f>IF(OR(-20678.62756="",-20678.62756=0),"-",-20678.62756)</f>
        <v>-20678.62756</v>
      </c>
      <c r="C55" s="36">
        <f>IF(OR(-22658.47567="",-22658.47567=0),"-",-22658.47567)</f>
        <v>-22658.47567</v>
      </c>
      <c r="D55" s="25">
        <f>IF(OR(-20678.62756="",-22658.47567="",-20678.62756=0,-22658.47567=0),"-",-22658.47567/-20678.62756*100)</f>
        <v>109.57436901581296</v>
      </c>
    </row>
    <row r="56" spans="1:4" ht="26.25">
      <c r="A56" s="66" t="s">
        <v>86</v>
      </c>
      <c r="B56" s="36">
        <f>IF(OR(-52878.56004="",-52878.56004=0),"-",-52878.56004)</f>
        <v>-52878.56004</v>
      </c>
      <c r="C56" s="36">
        <f>IF(OR(-56580.61946="",-56580.61946=0),"-",-56580.61946)</f>
        <v>-56580.61946</v>
      </c>
      <c r="D56" s="25">
        <f>IF(OR(-52878.56004="",-56580.61946="",-52878.56004=0,-56580.61946=0),"-",-56580.61946/-52878.56004*100)</f>
        <v>107.0010594411035</v>
      </c>
    </row>
    <row r="57" spans="1:4" ht="15">
      <c r="A57" s="66" t="s">
        <v>87</v>
      </c>
      <c r="B57" s="36">
        <f>IF(OR(-17592.16937="",-17592.16937=0),"-",-17592.16937)</f>
        <v>-17592.16937</v>
      </c>
      <c r="C57" s="36">
        <f>IF(OR(-18930.85572="",-18930.85572=0),"-",-18930.85572)</f>
        <v>-18930.85572</v>
      </c>
      <c r="D57" s="25">
        <f>IF(OR(-17592.16937="",-18930.85572="",-17592.16937=0,-18930.85572=0),"-",-18930.85572/-17592.16937*100)</f>
        <v>107.60955810420327</v>
      </c>
    </row>
    <row r="58" spans="1:4" ht="15">
      <c r="A58" s="66" t="s">
        <v>88</v>
      </c>
      <c r="B58" s="36">
        <f>IF(OR(-25094.84827="",-25094.84827=0),"-",-25094.84827)</f>
        <v>-25094.84827</v>
      </c>
      <c r="C58" s="36">
        <f>IF(OR(-23765.01898="",-23765.01898=0),"-",-23765.01898)</f>
        <v>-23765.01898</v>
      </c>
      <c r="D58" s="25">
        <f>IF(OR(-25094.84827="",-23765.01898="",-25094.84827=0,-23765.01898=0),"-",-23765.01898/-25094.84827*100)</f>
        <v>94.70078768481831</v>
      </c>
    </row>
    <row r="59" spans="1:4" ht="15">
      <c r="A59" s="66" t="s">
        <v>89</v>
      </c>
      <c r="B59" s="36">
        <f>IF(OR(-15412.46848="",-15412.46848=0),"-",-15412.46848)</f>
        <v>-15412.46848</v>
      </c>
      <c r="C59" s="36">
        <f>IF(OR(-17675.56842="",-17675.56842=0),"-",-17675.56842)</f>
        <v>-17675.56842</v>
      </c>
      <c r="D59" s="25">
        <f>IF(OR(-15412.46848="",-17675.56842="",-15412.46848=0,-17675.56842=0),"-",-17675.56842/-15412.46848*100)</f>
        <v>114.68356573080239</v>
      </c>
    </row>
    <row r="60" spans="1:4" ht="15">
      <c r="A60" s="66" t="s">
        <v>90</v>
      </c>
      <c r="B60" s="36">
        <f>IF(OR(-22587.33359="",-22587.33359=0),"-",-22587.33359)</f>
        <v>-22587.33359</v>
      </c>
      <c r="C60" s="36">
        <f>IF(OR(-25094.62624="",-25094.62624=0),"-",-25094.62624)</f>
        <v>-25094.62624</v>
      </c>
      <c r="D60" s="25">
        <f>IF(OR(-22587.33359="",-25094.62624="",-22587.33359=0,-25094.62624=0),"-",-25094.62624/-22587.33359*100)</f>
        <v>111.10043662307288</v>
      </c>
    </row>
    <row r="61" spans="1:4" ht="15">
      <c r="A61" s="67" t="s">
        <v>91</v>
      </c>
      <c r="B61" s="35">
        <f>IF(-136053.65358="","-",-136053.65358)</f>
        <v>-136053.65358</v>
      </c>
      <c r="C61" s="35">
        <f>IF(-157040.30179="","-",-157040.30179)</f>
        <v>-157040.30179</v>
      </c>
      <c r="D61" s="24">
        <f>IF(-136053.65358="","-",-157040.30179/-136053.65358*100)</f>
        <v>115.42527352832886</v>
      </c>
    </row>
    <row r="62" spans="1:4" ht="15">
      <c r="A62" s="66" t="s">
        <v>92</v>
      </c>
      <c r="B62" s="36">
        <f>IF(OR(-2746.99154="",-2746.99154=0),"-",-2746.99154)</f>
        <v>-2746.99154</v>
      </c>
      <c r="C62" s="36">
        <f>IF(OR(-3533.55433="",-3533.55433=0),"-",-3533.55433)</f>
        <v>-3533.55433</v>
      </c>
      <c r="D62" s="25">
        <f>IF(OR(-2746.99154="",-3533.55433="",-2746.99154=0,-3533.55433=0),"-",-3533.55433/-2746.99154*100)</f>
        <v>128.63360802341603</v>
      </c>
    </row>
    <row r="63" spans="1:4" ht="15">
      <c r="A63" s="66" t="s">
        <v>93</v>
      </c>
      <c r="B63" s="36">
        <f>IF(OR(-31529.14135="",-31529.14135=0),"-",-31529.14135)</f>
        <v>-31529.14135</v>
      </c>
      <c r="C63" s="36">
        <f>IF(OR(-40414.05495="",-40414.05495=0),"-",-40414.05495)</f>
        <v>-40414.05495</v>
      </c>
      <c r="D63" s="25">
        <f>IF(OR(-31529.14135="",-40414.05495="",-31529.14135=0,-40414.05495=0),"-",-40414.05495/-31529.14135*100)</f>
        <v>128.18000497181313</v>
      </c>
    </row>
    <row r="64" spans="1:4" ht="15">
      <c r="A64" s="66" t="s">
        <v>94</v>
      </c>
      <c r="B64" s="36">
        <f>IF(OR(-1094.58898="",-1094.58898=0),"-",-1094.58898)</f>
        <v>-1094.58898</v>
      </c>
      <c r="C64" s="36">
        <f>IF(OR(-2529.95892="",-2529.95892=0),"-",-2529.95892)</f>
        <v>-2529.95892</v>
      </c>
      <c r="D64" s="25" t="s">
        <v>26</v>
      </c>
    </row>
    <row r="65" spans="1:4" ht="26.25">
      <c r="A65" s="66" t="s">
        <v>95</v>
      </c>
      <c r="B65" s="36">
        <f>IF(OR(-19616.0397="",-19616.0397=0),"-",-19616.0397)</f>
        <v>-19616.0397</v>
      </c>
      <c r="C65" s="36">
        <f>IF(OR(-28678.89="",-28678.89=0),"-",-28678.89)</f>
        <v>-28678.89</v>
      </c>
      <c r="D65" s="25">
        <f>IF(OR(-19616.0397="",-28678.89="",-19616.0397=0,-28678.89=0),"-",-28678.89/-19616.0397*100)</f>
        <v>146.2012232774998</v>
      </c>
    </row>
    <row r="66" spans="1:4" ht="13.5" customHeight="1">
      <c r="A66" s="66" t="s">
        <v>96</v>
      </c>
      <c r="B66" s="36">
        <f>IF(OR(-9113.59986="",-9113.59986=0),"-",-9113.59986)</f>
        <v>-9113.59986</v>
      </c>
      <c r="C66" s="36">
        <f>IF(OR(-10571.3885="",-10571.3885=0),"-",-10571.3885)</f>
        <v>-10571.3885</v>
      </c>
      <c r="D66" s="25">
        <f>IF(OR(-9113.59986="",-10571.3885="",-9113.59986=0,-10571.3885=0),"-",-10571.3885/-9113.59986*100)</f>
        <v>115.99574989459762</v>
      </c>
    </row>
    <row r="67" spans="1:4" ht="26.25">
      <c r="A67" s="66" t="s">
        <v>97</v>
      </c>
      <c r="B67" s="36">
        <f>IF(OR(-15228.35885="",-15228.35885=0),"-",-15228.35885)</f>
        <v>-15228.35885</v>
      </c>
      <c r="C67" s="36">
        <f>IF(OR(-26670.89688="",-26670.89688=0),"-",-26670.89688)</f>
        <v>-26670.89688</v>
      </c>
      <c r="D67" s="25" t="s">
        <v>218</v>
      </c>
    </row>
    <row r="68" spans="1:4" ht="26.25">
      <c r="A68" s="66" t="s">
        <v>98</v>
      </c>
      <c r="B68" s="36">
        <f>IF(OR(-1541.36307="",-1541.36307=0),"-",-1541.36307)</f>
        <v>-1541.36307</v>
      </c>
      <c r="C68" s="36">
        <f>IF(OR(5220.24052="",5220.24052=0),"-",5220.24052)</f>
        <v>5220.24052</v>
      </c>
      <c r="D68" s="25" t="s">
        <v>34</v>
      </c>
    </row>
    <row r="69" spans="1:4" ht="15">
      <c r="A69" s="66" t="s">
        <v>99</v>
      </c>
      <c r="B69" s="36">
        <f>IF(OR(-55143.1194="",-55143.1194=0),"-",-55143.1194)</f>
        <v>-55143.1194</v>
      </c>
      <c r="C69" s="36">
        <f>IF(OR(-61335.37582="",-61335.37582=0),"-",-61335.37582)</f>
        <v>-61335.37582</v>
      </c>
      <c r="D69" s="25">
        <f>IF(OR(-55143.1194="",-61335.37582="",-55143.1194=0,-61335.37582=0),"-",-61335.37582/-55143.1194*100)</f>
        <v>111.22942714771409</v>
      </c>
    </row>
    <row r="70" spans="1:4" ht="15">
      <c r="A70" s="66" t="s">
        <v>100</v>
      </c>
      <c r="B70" s="36">
        <f>IF(OR(-40.45083="",-40.45083=0),"-",-40.45083)</f>
        <v>-40.45083</v>
      </c>
      <c r="C70" s="36">
        <f>IF(OR(11473.57709="",11473.57709=0),"-",11473.57709)</f>
        <v>11473.57709</v>
      </c>
      <c r="D70" s="25" t="s">
        <v>34</v>
      </c>
    </row>
    <row r="71" spans="1:4" ht="15">
      <c r="A71" s="67" t="s">
        <v>101</v>
      </c>
      <c r="B71" s="35">
        <f>IF(39383.90689="","-",39383.90689)</f>
        <v>39383.90689</v>
      </c>
      <c r="C71" s="35">
        <f>IF(11055.59294="","-",11055.59294)</f>
        <v>11055.59294</v>
      </c>
      <c r="D71" s="24">
        <f>IF(39383.90689="","-",11055.59294/39383.90689*100)</f>
        <v>28.07134642806891</v>
      </c>
    </row>
    <row r="72" spans="1:4" ht="26.25">
      <c r="A72" s="66" t="s">
        <v>102</v>
      </c>
      <c r="B72" s="36">
        <f>IF(OR(-6726.70257="",-6726.70257=0),"-",-6726.70257)</f>
        <v>-6726.70257</v>
      </c>
      <c r="C72" s="36">
        <f>IF(OR(-6097.53094="",-6097.53094=0),"-",-6097.53094)</f>
        <v>-6097.53094</v>
      </c>
      <c r="D72" s="25">
        <f>IF(OR(-6726.70257="",-6097.53094="",-6726.70257=0,-6097.53094=0),"-",-6097.53094/-6726.70257*100)</f>
        <v>90.64665601826958</v>
      </c>
    </row>
    <row r="73" spans="1:4" ht="15">
      <c r="A73" s="66" t="s">
        <v>103</v>
      </c>
      <c r="B73" s="36">
        <f>IF(OR(26335.49679="",26335.49679=0),"-",26335.49679)</f>
        <v>26335.49679</v>
      </c>
      <c r="C73" s="36">
        <f>IF(OR(24922.68688="",24922.68688=0),"-",24922.68688)</f>
        <v>24922.68688</v>
      </c>
      <c r="D73" s="25">
        <f>IF(OR(26335.49679="",24922.68688="",26335.49679=0,24922.68688=0),"-",24922.68688/26335.49679*100)</f>
        <v>94.635339818095</v>
      </c>
    </row>
    <row r="74" spans="1:4" ht="15">
      <c r="A74" s="66" t="s">
        <v>104</v>
      </c>
      <c r="B74" s="36">
        <f>IF(OR(3530.44536="",3530.44536=0),"-",3530.44536)</f>
        <v>3530.44536</v>
      </c>
      <c r="C74" s="36">
        <f>IF(OR(-3254.10059="",-3254.10059=0),"-",-3254.10059)</f>
        <v>-3254.10059</v>
      </c>
      <c r="D74" s="25" t="s">
        <v>34</v>
      </c>
    </row>
    <row r="75" spans="1:4" ht="15">
      <c r="A75" s="66" t="s">
        <v>105</v>
      </c>
      <c r="B75" s="36">
        <f>IF(OR(48425.92411="",48425.92411=0),"-",48425.92411)</f>
        <v>48425.92411</v>
      </c>
      <c r="C75" s="36">
        <f>IF(OR(44241.18751="",44241.18751=0),"-",44241.18751)</f>
        <v>44241.18751</v>
      </c>
      <c r="D75" s="25">
        <f>IF(OR(48425.92411="",44241.18751="",48425.92411=0,44241.18751=0),"-",44241.18751/48425.92411*100)</f>
        <v>91.35847858990915</v>
      </c>
    </row>
    <row r="76" spans="1:4" ht="15">
      <c r="A76" s="66" t="s">
        <v>106</v>
      </c>
      <c r="B76" s="36">
        <f>IF(OR(2115.72886="",2115.72886=0),"-",2115.72886)</f>
        <v>2115.72886</v>
      </c>
      <c r="C76" s="36">
        <f>IF(OR(-3297.11079="",-3297.11079=0),"-",-3297.11079)</f>
        <v>-3297.11079</v>
      </c>
      <c r="D76" s="25" t="s">
        <v>34</v>
      </c>
    </row>
    <row r="77" spans="1:4" ht="15">
      <c r="A77" s="66" t="s">
        <v>107</v>
      </c>
      <c r="B77" s="36">
        <f>IF(OR(-1440.93178="",-1440.93178=0),"-",-1440.93178)</f>
        <v>-1440.93178</v>
      </c>
      <c r="C77" s="36">
        <f>IF(OR(-7061.811="",-7061.811=0),"-",-7061.811)</f>
        <v>-7061.811</v>
      </c>
      <c r="D77" s="25" t="s">
        <v>213</v>
      </c>
    </row>
    <row r="78" spans="1:4" ht="26.25">
      <c r="A78" s="66" t="s">
        <v>108</v>
      </c>
      <c r="B78" s="36">
        <f>IF(OR(-1697.66427="",-1697.66427=0),"-",-1697.66427)</f>
        <v>-1697.66427</v>
      </c>
      <c r="C78" s="36">
        <f>IF(OR(-2262.25241="",-2262.25241=0),"-",-2262.25241)</f>
        <v>-2262.25241</v>
      </c>
      <c r="D78" s="25">
        <f>IF(OR(-1697.66427="",-2262.25241="",-1697.66427=0,-2262.25241=0),"-",-2262.25241/-1697.66427*100)</f>
        <v>133.25676047832474</v>
      </c>
    </row>
    <row r="79" spans="1:4" ht="15">
      <c r="A79" s="73" t="s">
        <v>109</v>
      </c>
      <c r="B79" s="47">
        <f>IF(OR(-31158.38961="",-31158.38961=0),"-",-31158.38961)</f>
        <v>-31158.38961</v>
      </c>
      <c r="C79" s="47">
        <f>IF(OR(-36135.47572="",-36135.47572=0),"-",-36135.47572)</f>
        <v>-36135.47572</v>
      </c>
      <c r="D79" s="26">
        <f>IF(OR(-31158.38961="",-36135.47572="",-31158.38961=0,-36135.47572=0),"-",-36135.47572/-31158.38961*100)</f>
        <v>115.9735023930847</v>
      </c>
    </row>
    <row r="80" spans="1:4" ht="15">
      <c r="A80" s="5" t="s">
        <v>28</v>
      </c>
      <c r="B80" s="18"/>
      <c r="C80" s="18"/>
      <c r="D80" s="19"/>
    </row>
    <row r="81" spans="2:4" ht="15">
      <c r="B81" s="20"/>
      <c r="C81" s="20"/>
      <c r="D81" s="21"/>
    </row>
    <row r="82" spans="2:4" ht="15">
      <c r="B82" s="20"/>
      <c r="C82" s="20"/>
      <c r="D82" s="21"/>
    </row>
    <row r="83" spans="2:4" ht="15">
      <c r="B83" s="20"/>
      <c r="C83" s="20"/>
      <c r="D83" s="21"/>
    </row>
  </sheetData>
  <sheetProtection/>
  <mergeCells count="5"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2017-06-06T09:23:02Z</cp:lastPrinted>
  <dcterms:created xsi:type="dcterms:W3CDTF">2016-09-01T07:59:47Z</dcterms:created>
  <dcterms:modified xsi:type="dcterms:W3CDTF">2017-06-07T05:03:54Z</dcterms:modified>
  <cp:category/>
  <cp:version/>
  <cp:contentType/>
  <cp:contentStatus/>
</cp:coreProperties>
</file>