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activeTab="0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Comerciala_Tari'!$3:$4</definedName>
    <definedName name="_xlnm.Print_Titles" localSheetId="5">'Balanta_Comerciala_Gr_Marf_CSCI'!$4:$5</definedName>
    <definedName name="_xlnm.Print_Titles" localSheetId="3">'Export_Grupe_Marfuri_CSCI'!$4:$6</definedName>
    <definedName name="_xlnm.Print_Titles" localSheetId="0">'Export_Tari'!$3:$5</definedName>
    <definedName name="_xlnm.Print_Titles" localSheetId="4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<sst xmlns="http://schemas.openxmlformats.org/spreadsheetml/2006/main" count="709" uniqueCount="277">
  <si>
    <t>Structura, %</t>
  </si>
  <si>
    <t>Gradul de influenţă a ţărilor, grupelor de ţări  la creşterea (+),  scăderea (-) exporturilor, %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</si>
  <si>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</si>
  <si>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</si>
  <si>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</si>
  <si>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</si>
  <si>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</si>
  <si>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</si>
  <si>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</si>
  <si>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</si>
  <si>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</si>
  <si>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</si>
  <si>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</si>
  <si>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</si>
  <si>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Ţările CSI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</si>
  <si>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</si>
  <si>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</si>
  <si>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</si>
  <si>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</si>
  <si>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</si>
  <si>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</si>
  <si>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</si>
  <si>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</si>
  <si>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</si>
  <si>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</si>
  <si>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</si>
  <si>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2,0 ori</t>
  </si>
  <si>
    <t>¹ În preţuri curente</t>
  </si>
  <si>
    <t>Anexa 1. Exporturile structurate pe principalele ţări de destinaţie a mărfurilor şi grupe de ţări</t>
  </si>
  <si>
    <t xml:space="preserve">IMPORT – total      </t>
  </si>
  <si>
    <t>Anexa 2. Importurile structurate pe principalele ţări de origine a mărfurilor şi grupe de ţări</t>
  </si>
  <si>
    <t xml:space="preserve">EXPORT – total      </t>
  </si>
  <si>
    <t xml:space="preserve">  din care:</t>
  </si>
  <si>
    <t>x</t>
  </si>
  <si>
    <t>Anexa 3. Balanţa comercială structurată pe principalele ţări şi grupe de ţări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</si>
  <si>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</si>
  <si>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</si>
  <si>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</si>
  <si>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</si>
  <si>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</si>
  <si>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</si>
  <si>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</si>
  <si>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</si>
  <si>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</si>
  <si>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</si>
  <si>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</si>
  <si>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</si>
  <si>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</si>
  <si>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</si>
  <si>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</si>
  <si>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</si>
  <si>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</si>
  <si>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</si>
  <si>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</si>
  <si>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</si>
  <si>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</si>
  <si>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</si>
  <si>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</si>
  <si>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</si>
  <si>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</si>
  <si>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</si>
  <si>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</si>
  <si>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</si>
  <si>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</si>
  <si>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</si>
  <si>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</si>
  <si>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</si>
  <si>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</si>
  <si>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</si>
  <si>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</si>
  <si>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</si>
  <si>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</si>
  <si>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</si>
  <si>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</si>
  <si>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</si>
  <si>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</si>
  <si>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</si>
  <si>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</si>
  <si>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</si>
  <si>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</si>
  <si>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</si>
  <si>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</si>
  <si>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</si>
  <si>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</si>
  <si>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</si>
  <si>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</si>
  <si>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</si>
  <si>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</si>
  <si>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</si>
  <si>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</si>
  <si>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</si>
  <si>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</si>
  <si>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</si>
  <si>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</si>
  <si>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</si>
  <si>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</si>
  <si>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</si>
  <si>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</si>
  <si>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</si>
  <si>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</si>
  <si>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</si>
  <si>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</si>
  <si>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</si>
  <si>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</si>
  <si>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</si>
  <si>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</si>
  <si>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</si>
  <si>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</si>
  <si>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</si>
  <si>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</si>
  <si>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</si>
  <si>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</si>
  <si>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</si>
  <si>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</si>
  <si>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</si>
  <si>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t xml:space="preserve">Anexa 4. Exporturile structurate pe grupe de mărfuri, </t>
  </si>
  <si>
    <t xml:space="preserve">Anexa 5. Importurile structurate pe grupe de mărfuri, 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</si>
  <si>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</si>
  <si>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 xml:space="preserve">Anexa 6. Balanţa comercială structurată pe grupe de mărfuri, </t>
  </si>
  <si>
    <t>Arabia Saudită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</si>
  <si>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</si>
  <si>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</si>
  <si>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</si>
  <si>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</si>
  <si>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</si>
  <si>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</si>
  <si>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</si>
  <si>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</si>
  <si>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</si>
  <si>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</si>
  <si>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</si>
  <si>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</si>
  <si>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</si>
  <si>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</si>
  <si>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</si>
  <si>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</si>
  <si>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</si>
  <si>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</si>
  <si>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</si>
  <si>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</si>
  <si>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</si>
  <si>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</si>
  <si>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</si>
  <si>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</si>
  <si>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</si>
  <si>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</si>
  <si>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Siria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</si>
  <si>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</si>
  <si>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</si>
  <si>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</si>
  <si>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</si>
  <si>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</si>
  <si>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</si>
  <si>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</si>
  <si>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</si>
  <si>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</si>
  <si>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</si>
  <si>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</si>
  <si>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</si>
  <si>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</si>
  <si>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</si>
  <si>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</si>
  <si>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</si>
  <si>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</si>
  <si>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</si>
  <si>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</si>
  <si>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</si>
  <si>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</si>
  <si>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</si>
  <si>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</si>
  <si>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</si>
  <si>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</si>
  <si>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</si>
  <si>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</si>
  <si>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</si>
  <si>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</si>
  <si>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</si>
  <si>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</si>
  <si>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ins.Faroe</t>
  </si>
  <si>
    <t>Uruguay</t>
  </si>
  <si>
    <t>Tunisia</t>
  </si>
  <si>
    <t>Columbia</t>
  </si>
  <si>
    <t>Australia</t>
  </si>
  <si>
    <t>Noua Zeelandă</t>
  </si>
  <si>
    <t>de 2,1 ori</t>
  </si>
  <si>
    <t>de 2,8 ori</t>
  </si>
  <si>
    <t>2017¹</t>
  </si>
  <si>
    <t>Algeria</t>
  </si>
  <si>
    <t>Mongolia</t>
  </si>
  <si>
    <t>de 2,5 ori</t>
  </si>
  <si>
    <t>Madagascar</t>
  </si>
  <si>
    <t>Peru</t>
  </si>
  <si>
    <t>Kenya</t>
  </si>
  <si>
    <t>de 2,2 ori</t>
  </si>
  <si>
    <t>mii dolari        SUA</t>
  </si>
  <si>
    <t>EXPORT - total</t>
  </si>
  <si>
    <t xml:space="preserve">IMPORT - total </t>
  </si>
  <si>
    <t>de 2,6 ori</t>
  </si>
  <si>
    <t>BALANŢA COMERCIALĂ – total, mii dolari SUA</t>
  </si>
  <si>
    <t>Franța</t>
  </si>
  <si>
    <t>Croația</t>
  </si>
  <si>
    <t>San Marino</t>
  </si>
  <si>
    <t>Oman</t>
  </si>
  <si>
    <t>Rep.Yemen</t>
  </si>
  <si>
    <t>Ghana</t>
  </si>
  <si>
    <t>Elveția</t>
  </si>
  <si>
    <t>Bosnia și Herțegovina</t>
  </si>
  <si>
    <t>de 3,1 ori</t>
  </si>
  <si>
    <t>Regatul Unit al Marii Britanii și Irlandei de Nord</t>
  </si>
  <si>
    <t>Federația Rusă</t>
  </si>
  <si>
    <t>Albania</t>
  </si>
  <si>
    <t>de 3,0 ori</t>
  </si>
  <si>
    <t>de 1,8 ori</t>
  </si>
  <si>
    <t>de 1,7 ori</t>
  </si>
  <si>
    <t>de 1,6 ori</t>
  </si>
  <si>
    <t>de 1,9 ori</t>
  </si>
  <si>
    <t>Gradul de influenţă a grupelor de mărfuri  la creşterea (+),  scăderea (-) exporturilor, %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</si>
  <si>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</si>
  <si>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</si>
  <si>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Panama</t>
  </si>
  <si>
    <t>ins.Virgine Britanice</t>
  </si>
  <si>
    <t>ins.Seychelles</t>
  </si>
  <si>
    <t>Guatemala</t>
  </si>
  <si>
    <t>Qatar</t>
  </si>
  <si>
    <t>Afganistan</t>
  </si>
  <si>
    <t xml:space="preserve">. </t>
  </si>
  <si>
    <t>Gibraltar</t>
  </si>
  <si>
    <t>Jamaica</t>
  </si>
  <si>
    <t>Ponderea, %</t>
  </si>
  <si>
    <t>Libia</t>
  </si>
  <si>
    <t>Zambia</t>
  </si>
  <si>
    <t>Swaziland</t>
  </si>
  <si>
    <t>Senegal</t>
  </si>
  <si>
    <t>de 2,9 ori</t>
  </si>
  <si>
    <t>ins.Bahamas</t>
  </si>
  <si>
    <t>Guinea</t>
  </si>
  <si>
    <t>de 2,3 ori</t>
  </si>
  <si>
    <t>Etiopia</t>
  </si>
  <si>
    <t>Cuba</t>
  </si>
  <si>
    <t>Sudan</t>
  </si>
  <si>
    <t>de 4,4 ori</t>
  </si>
  <si>
    <t>Liechtenstein</t>
  </si>
  <si>
    <t>Trinidad Tobago</t>
  </si>
  <si>
    <t>Montenegro</t>
  </si>
  <si>
    <t>de 2,7 ori</t>
  </si>
  <si>
    <t>de 7,1 ori</t>
  </si>
  <si>
    <t>Mauritius</t>
  </si>
  <si>
    <t>Rep.Dominicană</t>
  </si>
  <si>
    <t>de 1700,6 ori</t>
  </si>
  <si>
    <t>de 4,1 ori</t>
  </si>
  <si>
    <t>de 3,4 ori</t>
  </si>
  <si>
    <t>Paraguay</t>
  </si>
  <si>
    <t>de 5,3 ori</t>
  </si>
  <si>
    <t>de 7,8 ori</t>
  </si>
  <si>
    <t>Rep. Dominicană</t>
  </si>
  <si>
    <t>de 4,0 ori</t>
  </si>
  <si>
    <t>de 7,7 ori</t>
  </si>
  <si>
    <t>de 39,2 ori</t>
  </si>
  <si>
    <t>de 14,8 ori</t>
  </si>
  <si>
    <t>de 12,3 ori</t>
  </si>
  <si>
    <t>Andorra</t>
  </si>
  <si>
    <t>de 3,7 ori</t>
  </si>
  <si>
    <t>de 11,6 ori</t>
  </si>
  <si>
    <t>de 7,9 ori</t>
  </si>
  <si>
    <t>de 4,7 ori</t>
  </si>
  <si>
    <t>de 5,2 ori</t>
  </si>
  <si>
    <t>de 5,1 ori</t>
  </si>
  <si>
    <t>de 10,0 ori</t>
  </si>
  <si>
    <t>de 4,5 ori</t>
  </si>
  <si>
    <t>de 37,5 ori</t>
  </si>
  <si>
    <t>de 28,5 ori</t>
  </si>
  <si>
    <t>de 224,8 ori</t>
  </si>
  <si>
    <t>de 230,7 ori</t>
  </si>
  <si>
    <t>de 6,1 ori</t>
  </si>
  <si>
    <t>în % faţă de 2016¹</t>
  </si>
  <si>
    <t>2017                        în % faţă de         2016</t>
  </si>
  <si>
    <t>2017                    în % faţă de 2016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</si>
</sst>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8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4" fontId="14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2" fontId="16" fillId="0" borderId="0" xfId="0" applyNumberFormat="1" applyFont="1" applyFill="1" applyAlignment="1" applyProtection="1">
      <alignment horizontal="right"/>
      <protection/>
    </xf>
    <xf numFmtId="0" fontId="1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2" fontId="5" fillId="0" borderId="0" xfId="0" applyNumberFormat="1" applyFont="1" applyAlignment="1">
      <alignment horizontal="right" vertical="top" wrapText="1"/>
    </xf>
    <xf numFmtId="4" fontId="14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4" fontId="15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0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32.75390625" style="16" customWidth="1"/>
    <col min="2" max="2" width="11.125" style="16" customWidth="1"/>
    <col min="3" max="3" width="10.00390625" style="16" customWidth="1"/>
    <col min="4" max="4" width="7.875" style="16" customWidth="1"/>
    <col min="5" max="5" width="7.625" style="16" customWidth="1"/>
    <col min="6" max="7" width="9.75390625" style="16" customWidth="1"/>
  </cols>
  <sheetData>
    <row r="1" spans="1:7" ht="15.75">
      <c r="A1" s="45" t="s">
        <v>28</v>
      </c>
      <c r="B1" s="45"/>
      <c r="C1" s="45"/>
      <c r="D1" s="45"/>
      <c r="E1" s="45"/>
      <c r="F1" s="45"/>
      <c r="G1" s="45"/>
    </row>
    <row r="3" spans="1:7" ht="55.5" customHeight="1">
      <c r="A3" s="46"/>
      <c r="B3" s="49">
        <v>2017</v>
      </c>
      <c r="C3" s="50"/>
      <c r="D3" s="49" t="s">
        <v>228</v>
      </c>
      <c r="E3" s="50"/>
      <c r="F3" s="51" t="s">
        <v>1</v>
      </c>
      <c r="G3" s="52"/>
    </row>
    <row r="4" spans="1:7" ht="15.75">
      <c r="A4" s="47"/>
      <c r="B4" s="53" t="s">
        <v>194</v>
      </c>
      <c r="C4" s="55" t="s">
        <v>274</v>
      </c>
      <c r="D4" s="53">
        <v>2016</v>
      </c>
      <c r="E4" s="53">
        <v>2017</v>
      </c>
      <c r="F4" s="53" t="s">
        <v>2</v>
      </c>
      <c r="G4" s="51" t="s">
        <v>186</v>
      </c>
    </row>
    <row r="5" spans="1:7" ht="15.75">
      <c r="A5" s="48"/>
      <c r="B5" s="54"/>
      <c r="C5" s="56"/>
      <c r="D5" s="54"/>
      <c r="E5" s="54"/>
      <c r="F5" s="54"/>
      <c r="G5" s="57"/>
    </row>
    <row r="6" spans="1:7" ht="15.75" customHeight="1">
      <c r="A6" s="30" t="s">
        <v>31</v>
      </c>
      <c r="B6" s="43">
        <f>IF(2425118.34307="","-",2425118.34307)</f>
        <v>2425118.34307</v>
      </c>
      <c r="C6" s="43">
        <f>IF(2044610.75747="","-",2425118.34307/2044610.75747*100)</f>
        <v>118.6102701558139</v>
      </c>
      <c r="D6" s="43">
        <v>100</v>
      </c>
      <c r="E6" s="43">
        <v>100</v>
      </c>
      <c r="F6" s="43">
        <f>IF(1966837.29975="","-",(2044610.75747-1966837.29975)/1966837.29975*100)</f>
        <v>3.954239515891104</v>
      </c>
      <c r="G6" s="43">
        <f>IF(2044610.75747="","-",(2425118.34307-2044610.75747)/2044610.75747*100)</f>
        <v>18.610270155813897</v>
      </c>
    </row>
    <row r="7" spans="1:7" ht="13.5" customHeight="1">
      <c r="A7" s="14" t="s">
        <v>3</v>
      </c>
      <c r="B7" s="31"/>
      <c r="C7" s="32"/>
      <c r="D7" s="33"/>
      <c r="E7" s="33"/>
      <c r="F7" s="33"/>
      <c r="G7" s="33"/>
    </row>
    <row r="8" spans="1:7" ht="15.75" customHeight="1">
      <c r="A8" s="15" t="s">
        <v>4</v>
      </c>
      <c r="B8" s="23">
        <f>IF(1596903.60062="","-",1596903.60062)</f>
        <v>1596903.60062</v>
      </c>
      <c r="C8" s="23">
        <f>IF(1331898.45269="","-",1596903.60062/1331898.45269*100)</f>
        <v>119.89679824274712</v>
      </c>
      <c r="D8" s="23">
        <f>IF(1331898.45269="","-",1331898.45269/2044610.75747*100)</f>
        <v>65.14190771147513</v>
      </c>
      <c r="E8" s="23">
        <f>IF(1596903.60062="","-",1596903.60062/2425118.34307*100)</f>
        <v>65.84848138167358</v>
      </c>
      <c r="F8" s="23">
        <f>IF(1966837.29975="","-",(1331898.45269-1217587.5084)/1966837.29975*100)</f>
        <v>5.811916639191753</v>
      </c>
      <c r="G8" s="23">
        <f>IF(2044610.75747="","-",(1596903.60062-1331898.45269)/2044610.75747*100)</f>
        <v>12.961153948828732</v>
      </c>
    </row>
    <row r="9" spans="1:7" s="26" customFormat="1" ht="15.75">
      <c r="A9" s="39" t="s">
        <v>5</v>
      </c>
      <c r="B9" s="24">
        <f>IF(600622.21295="","-",600622.21295)</f>
        <v>600622.21295</v>
      </c>
      <c r="C9" s="24">
        <f>IF(OR(513034.70724="",600622.21295=""),"-",600622.21295/513034.70724*100)</f>
        <v>117.0724328147698</v>
      </c>
      <c r="D9" s="24">
        <f>IF(513034.70724="","-",513034.70724/2044610.75747*100)</f>
        <v>25.0920477340552</v>
      </c>
      <c r="E9" s="24">
        <f>IF(600622.21295="","-",600622.21295/2425118.34307*100)</f>
        <v>24.76671766004053</v>
      </c>
      <c r="F9" s="24">
        <f>IF(OR(1966837.29975="",446370.43326="",513034.70724=""),"-",(513034.70724-446370.43326)/1966837.29975*100)</f>
        <v>3.389414772054279</v>
      </c>
      <c r="G9" s="24">
        <f>IF(OR(2044610.75747="",600622.21295="",513034.70724=""),"-",(600622.21295-513034.70724)/2044610.75747*100)</f>
        <v>4.283822991246542</v>
      </c>
    </row>
    <row r="10" spans="1:7" s="26" customFormat="1" ht="15.75">
      <c r="A10" s="39" t="s">
        <v>6</v>
      </c>
      <c r="B10" s="24">
        <f>IF(236025.89038="","-",236025.89038)</f>
        <v>236025.89038</v>
      </c>
      <c r="C10" s="24">
        <f>IF(OR(197804.67892="",236025.89038=""),"-",236025.89038/197804.67892*100)</f>
        <v>119.32270342071037</v>
      </c>
      <c r="D10" s="24">
        <f>IF(197804.67892="","-",197804.67892/2044610.75747*100)</f>
        <v>9.6744418563445</v>
      </c>
      <c r="E10" s="24">
        <f>IF(236025.89038="","-",236025.89038/2425118.34307*100)</f>
        <v>9.732551446590877</v>
      </c>
      <c r="F10" s="24">
        <f>IF(OR(1966837.29975="",197047.31727="",197804.67892=""),"-",(197804.67892-197047.31727)/1966837.29975*100)</f>
        <v>0.03850657347693542</v>
      </c>
      <c r="G10" s="24">
        <f>IF(OR(2044610.75747="",236025.89038="",197804.67892=""),"-",(236025.89038-197804.67892)/2044610.75747*100)</f>
        <v>1.8693637075105136</v>
      </c>
    </row>
    <row r="11" spans="1:7" s="26" customFormat="1" ht="15.75">
      <c r="A11" s="39" t="s">
        <v>7</v>
      </c>
      <c r="B11" s="24">
        <f>IF(166125.33701="","-",166125.33701)</f>
        <v>166125.33701</v>
      </c>
      <c r="C11" s="24">
        <f>IF(OR(126623.90039="",166125.33701=""),"-",166125.33701/126623.90039*100)</f>
        <v>131.1958773172648</v>
      </c>
      <c r="D11" s="24">
        <f>IF(126623.90039="","-",126623.90039/2044610.75747*100)</f>
        <v>6.193056547676798</v>
      </c>
      <c r="E11" s="24">
        <f>IF(166125.33701="","-",166125.33701/2425118.34307*100)</f>
        <v>6.85019506304583</v>
      </c>
      <c r="F11" s="24">
        <f>IF(OR(1966837.29975="",117212.13305="",126623.90039=""),"-",(126623.90039-117212.13305)/1966837.29975*100)</f>
        <v>0.47852292313127776</v>
      </c>
      <c r="G11" s="24">
        <f>IF(OR(2044610.75747="",166125.33701="",126623.90039=""),"-",(166125.33701-126623.90039)/2044610.75747*100)</f>
        <v>1.931978322802089</v>
      </c>
    </row>
    <row r="12" spans="1:7" s="26" customFormat="1" ht="25.5">
      <c r="A12" s="39" t="s">
        <v>208</v>
      </c>
      <c r="B12" s="24">
        <f>IF(136149.05672="","-",136149.05672)</f>
        <v>136149.05672</v>
      </c>
      <c r="C12" s="24">
        <f>IF(OR(114311.1499="",136149.05672=""),"-",136149.05672/114311.1499*100)</f>
        <v>119.10391666876232</v>
      </c>
      <c r="D12" s="24">
        <f>IF(114311.1499="","-",114311.1499/2044610.75747*100)</f>
        <v>5.590851436263034</v>
      </c>
      <c r="E12" s="24">
        <f>IF(136149.05672="","-",136149.05672/2425118.34307*100)</f>
        <v>5.614120115377401</v>
      </c>
      <c r="F12" s="24">
        <f>IF(OR(1966837.29975="",138156.61805="",114311.1499=""),"-",(114311.1499-138156.61805)/1966837.29975*100)</f>
        <v>-1.2123762424594513</v>
      </c>
      <c r="G12" s="24">
        <f>IF(OR(2044610.75747="",136149.05672="",114311.1499=""),"-",(136149.05672-114311.1499)/2044610.75747*100)</f>
        <v>1.0680715994579917</v>
      </c>
    </row>
    <row r="13" spans="1:7" s="26" customFormat="1" ht="15.75">
      <c r="A13" s="39" t="s">
        <v>8</v>
      </c>
      <c r="B13" s="24">
        <f>IF(102922.8802="","-",102922.8802)</f>
        <v>102922.8802</v>
      </c>
      <c r="C13" s="24">
        <f>IF(OR(73408.25711="",102922.8802=""),"-",102922.8802/73408.25711*100)</f>
        <v>140.20613518418403</v>
      </c>
      <c r="D13" s="24">
        <f>IF(73408.25711="","-",73408.25711/2044610.75747*100)</f>
        <v>3.5903292028471636</v>
      </c>
      <c r="E13" s="24">
        <f>IF(102922.8802="","-",102922.8802/2425118.34307*100)</f>
        <v>4.244035368175399</v>
      </c>
      <c r="F13" s="24">
        <f>IF(OR(1966837.29975="",68452.34862="",73408.25711=""),"-",(73408.25711-68452.34862)/1966837.29975*100)</f>
        <v>0.2519734850782998</v>
      </c>
      <c r="G13" s="24">
        <f>IF(OR(2044610.75747="",102922.8802="",73408.25711=""),"-",(102922.8802-73408.25711)/2044610.75747*100)</f>
        <v>1.4435326128539678</v>
      </c>
    </row>
    <row r="14" spans="1:7" s="26" customFormat="1" ht="15.75">
      <c r="A14" s="39" t="s">
        <v>9</v>
      </c>
      <c r="B14" s="24">
        <f>IF(78127.71864="","-",78127.71864)</f>
        <v>78127.71864</v>
      </c>
      <c r="C14" s="24">
        <f>IF(OR(76015.91664="",78127.71864=""),"-",78127.71864/76015.91664*100)</f>
        <v>102.77810502503203</v>
      </c>
      <c r="D14" s="24">
        <f>IF(76015.91664="","-",76015.91664/2044610.75747*100)</f>
        <v>3.717867391740717</v>
      </c>
      <c r="E14" s="24">
        <f>IF(78127.71864="","-",78127.71864/2425118.34307*100)</f>
        <v>3.221604375030076</v>
      </c>
      <c r="F14" s="24">
        <f>IF(OR(1966837.29975="",28161.92039="",76015.91664=""),"-",(76015.91664-28161.92039)/1966837.29975*100)</f>
        <v>2.433042949515072</v>
      </c>
      <c r="G14" s="24">
        <f>IF(OR(2044610.75747="",78127.71864="",76015.91664=""),"-",(78127.71864-76015.91664)/2044610.75747*100)</f>
        <v>0.10328626083397668</v>
      </c>
    </row>
    <row r="15" spans="1:7" s="28" customFormat="1" ht="15.75">
      <c r="A15" s="39" t="s">
        <v>199</v>
      </c>
      <c r="B15" s="24">
        <f>IF(50832.82295="","-",50832.82295)</f>
        <v>50832.82295</v>
      </c>
      <c r="C15" s="24">
        <f>IF(OR(44746.08607="",50832.82295=""),"-",50832.82295/44746.08607*100)</f>
        <v>113.60283639216628</v>
      </c>
      <c r="D15" s="24">
        <f>IF(44746.08607="","-",44746.08607/2044610.75747*100)</f>
        <v>2.188489222533915</v>
      </c>
      <c r="E15" s="24">
        <f>IF(50832.82295="","-",50832.82295/2425118.34307*100)</f>
        <v>2.09609659236876</v>
      </c>
      <c r="F15" s="24">
        <f>IF(OR(1966837.29975="",43126.61556="",44746.08607=""),"-",(44746.08607-43126.61556)/1966837.29975*100)</f>
        <v>0.08233881420724766</v>
      </c>
      <c r="G15" s="24">
        <f>IF(OR(2044610.75747="",50832.82295="",44746.08607=""),"-",(50832.82295-44746.08607)/2044610.75747*100)</f>
        <v>0.29769660840148016</v>
      </c>
    </row>
    <row r="16" spans="1:7" s="26" customFormat="1" ht="15.75">
      <c r="A16" s="39" t="s">
        <v>11</v>
      </c>
      <c r="B16" s="24">
        <f>IF(40861.22697="","-",40861.22697)</f>
        <v>40861.22697</v>
      </c>
      <c r="C16" s="24">
        <f>IF(OR(27232.32505="",40861.22697=""),"-",40861.22697/27232.32505*100)</f>
        <v>150.0467804162025</v>
      </c>
      <c r="D16" s="24">
        <f>IF(27232.32505="","-",27232.32505/2044610.75747*100)</f>
        <v>1.3319075501538131</v>
      </c>
      <c r="E16" s="24">
        <f>IF(40861.22697="","-",40861.22697/2425118.34307*100)</f>
        <v>1.6849168242351857</v>
      </c>
      <c r="F16" s="24">
        <f>IF(OR(1966837.29975="",21600.21488="",27232.32505=""),"-",(27232.32505-21600.21488)/1966837.29975*100)</f>
        <v>0.2863536384385167</v>
      </c>
      <c r="G16" s="24">
        <f>IF(OR(2044610.75747="",40861.22697="",27232.32505=""),"-",(40861.22697-27232.32505)/2044610.75747*100)</f>
        <v>0.6665768469723009</v>
      </c>
    </row>
    <row r="17" spans="1:7" s="26" customFormat="1" ht="15.75">
      <c r="A17" s="39" t="s">
        <v>10</v>
      </c>
      <c r="B17" s="24">
        <f>IF(29881.34593="","-",29881.34593)</f>
        <v>29881.34593</v>
      </c>
      <c r="C17" s="24">
        <f>IF(OR(28286.10775="",29881.34593=""),"-",29881.34593/28286.10775*100)</f>
        <v>105.63965248983398</v>
      </c>
      <c r="D17" s="24">
        <f>IF(28286.10775="","-",28286.10775/2044610.75747*100)</f>
        <v>1.3834470764988642</v>
      </c>
      <c r="E17" s="24">
        <f>IF(29881.34593="","-",29881.34593/2425118.34307*100)</f>
        <v>1.2321603197381565</v>
      </c>
      <c r="F17" s="24">
        <f>IF(OR(1966837.29975="",27678.51164="",28286.10775=""),"-",(28286.10775-27678.51164)/1966837.29975*100)</f>
        <v>0.030892037184632848</v>
      </c>
      <c r="G17" s="24">
        <f>IF(OR(2044610.75747="",29881.34593="",28286.10775=""),"-",(29881.34593-28286.10775)/2044610.75747*100)</f>
        <v>0.07802160749530375</v>
      </c>
    </row>
    <row r="18" spans="1:7" s="26" customFormat="1" ht="15.75">
      <c r="A18" s="39" t="s">
        <v>12</v>
      </c>
      <c r="B18" s="24">
        <f>IF(29492.2928="","-",29492.2928)</f>
        <v>29492.2928</v>
      </c>
      <c r="C18" s="24">
        <f>IF(OR(29494.4867="",29492.2928=""),"-",29492.2928/29494.4867*100)</f>
        <v>99.99256166068487</v>
      </c>
      <c r="D18" s="24">
        <f>IF(29494.4867="","-",29494.4867/2044610.75747*100)</f>
        <v>1.4425477608508945</v>
      </c>
      <c r="E18" s="24">
        <f>IF(29492.2928="","-",29492.2928/2425118.34307*100)</f>
        <v>1.216117674598312</v>
      </c>
      <c r="F18" s="24">
        <f>IF(OR(1966837.29975="",25412.66952="",29494.4867=""),"-",(29494.4867-25412.66952)/1966837.29975*100)</f>
        <v>0.20753202008721472</v>
      </c>
      <c r="G18" s="24">
        <f>IF(OR(2044610.75747="",29492.2928="",29494.4867=""),"-",(29492.2928-29494.4867)/2044610.75747*100)</f>
        <v>-0.00010730159723490656</v>
      </c>
    </row>
    <row r="19" spans="1:7" s="26" customFormat="1" ht="15.75">
      <c r="A19" s="39" t="s">
        <v>123</v>
      </c>
      <c r="B19" s="24">
        <f>IF(27989.21176="","-",27989.21176)</f>
        <v>27989.21176</v>
      </c>
      <c r="C19" s="24">
        <f>IF(OR(18796.54173="",27989.21176=""),"-",27989.21176/18796.54173*100)</f>
        <v>148.90617732797168</v>
      </c>
      <c r="D19" s="24">
        <f>IF(18796.54173="","-",18796.54173/2044610.75747*100)</f>
        <v>0.9193212772321921</v>
      </c>
      <c r="E19" s="24">
        <f>IF(27989.21176="","-",27989.21176/2425118.34307*100)</f>
        <v>1.1541379759871002</v>
      </c>
      <c r="F19" s="24">
        <f>IF(OR(1966837.29975="",18564.74922="",18796.54173=""),"-",(18796.54173-18564.74922)/1966837.29975*100)</f>
        <v>0.011785037330208345</v>
      </c>
      <c r="G19" s="24">
        <f>IF(OR(2044610.75747="",27989.21176="",18796.54173=""),"-",(27989.21176-18796.54173)/2044610.75747*100)</f>
        <v>0.4496048940569501</v>
      </c>
    </row>
    <row r="20" spans="1:7" s="26" customFormat="1" ht="15.75">
      <c r="A20" s="39" t="s">
        <v>13</v>
      </c>
      <c r="B20" s="24">
        <f>IF(27854.53346="","-",27854.53346)</f>
        <v>27854.53346</v>
      </c>
      <c r="C20" s="24">
        <f>IF(OR(26898.00139="",27854.53346=""),"-",27854.53346/26898.00139*100)</f>
        <v>103.55614551479506</v>
      </c>
      <c r="D20" s="24">
        <f>IF(26898.00139="","-",26898.00139/2044610.75747*100)</f>
        <v>1.3155560926072583</v>
      </c>
      <c r="E20" s="24">
        <f>IF(27854.53346="","-",27854.53346/2425118.34307*100)</f>
        <v>1.1485845026737316</v>
      </c>
      <c r="F20" s="24">
        <f>IF(OR(1966837.29975="",24230.2248="",26898.00139=""),"-",(26898.00139-24230.2248)/1966837.29975*100)</f>
        <v>0.13563788882482022</v>
      </c>
      <c r="G20" s="24">
        <f>IF(OR(2044610.75747="",27854.53346="",26898.00139=""),"-",(27854.53346-26898.00139)/2044610.75747*100)</f>
        <v>0.046783088981866144</v>
      </c>
    </row>
    <row r="21" spans="1:7" s="26" customFormat="1" ht="15.75">
      <c r="A21" s="39" t="s">
        <v>124</v>
      </c>
      <c r="B21" s="24">
        <f>IF(12930.65402="","-",12930.65402)</f>
        <v>12930.65402</v>
      </c>
      <c r="C21" s="24">
        <f>IF(OR(9859.47639="",12930.65402=""),"-",12930.65402/9859.47639*100)</f>
        <v>131.14950032351567</v>
      </c>
      <c r="D21" s="24">
        <f>IF(9859.47639="","-",9859.47639/2044610.75747*100)</f>
        <v>0.48221776951815065</v>
      </c>
      <c r="E21" s="24">
        <f>IF(12930.65402="","-",12930.65402/2425118.34307*100)</f>
        <v>0.5331968255054662</v>
      </c>
      <c r="F21" s="24">
        <f>IF(OR(1966837.29975="",9404.68488="",9859.47639=""),"-",(9859.47639-9404.68488)/1966837.29975*100)</f>
        <v>0.02312298582388114</v>
      </c>
      <c r="G21" s="24">
        <f>IF(OR(2044610.75747="",12930.65402="",9859.47639=""),"-",(12930.65402-9859.47639)/2044610.75747*100)</f>
        <v>0.15020842567610634</v>
      </c>
    </row>
    <row r="22" spans="1:7" s="16" customFormat="1" ht="15.75">
      <c r="A22" s="39" t="s">
        <v>127</v>
      </c>
      <c r="B22" s="24">
        <f>IF(10046.05284="","-",10046.05284)</f>
        <v>10046.05284</v>
      </c>
      <c r="C22" s="24">
        <f>IF(OR(6830.29523="",10046.05284=""),"-",10046.05284/6830.29523*100)</f>
        <v>147.08079960988744</v>
      </c>
      <c r="D22" s="24">
        <f>IF(6830.29523="","-",6830.29523/2044610.75747*100)</f>
        <v>0.334063351914073</v>
      </c>
      <c r="E22" s="24">
        <f>IF(10046.05284="","-",10046.05284/2425118.34307*100)</f>
        <v>0.4142500042815447</v>
      </c>
      <c r="F22" s="24">
        <f>IF(OR(1966837.29975="",8899.13739="",6830.29523=""),"-",(6830.29523-8899.13739)/1966837.29975*100)</f>
        <v>-0.10518623783792212</v>
      </c>
      <c r="G22" s="24">
        <f>IF(OR(2044610.75747="",10046.05284="",6830.29523=""),"-",(10046.05284-6830.29523)/2044610.75747*100)</f>
        <v>0.15727969728473778</v>
      </c>
    </row>
    <row r="23" spans="1:7" s="16" customFormat="1" ht="15.75">
      <c r="A23" s="39" t="s">
        <v>125</v>
      </c>
      <c r="B23" s="24">
        <f>IF(9927.99007="","-",9927.99007)</f>
        <v>9927.99007</v>
      </c>
      <c r="C23" s="24">
        <f>IF(OR(9213.33643="",9927.99007=""),"-",9927.99007/9213.33643*100)</f>
        <v>107.75673009913088</v>
      </c>
      <c r="D23" s="24">
        <f>IF(9213.33643="","-",9213.33643/2044610.75747*100)</f>
        <v>0.4506156683534511</v>
      </c>
      <c r="E23" s="24">
        <f>IF(9927.99007="","-",9927.99007/2425118.34307*100)</f>
        <v>0.4093816740271728</v>
      </c>
      <c r="F23" s="24">
        <f>IF(OR(1966837.29975="",4335.8304="",9213.33643=""),"-",(9213.33643-4335.8304)/1966837.29975*100)</f>
        <v>0.24798726517033043</v>
      </c>
      <c r="G23" s="24">
        <f>IF(OR(2044610.75747="",9927.99007="",9213.33643=""),"-",(9927.99007-9213.33643)/2044610.75747*100)</f>
        <v>0.034953041178571925</v>
      </c>
    </row>
    <row r="24" spans="1:7" s="26" customFormat="1" ht="15.75">
      <c r="A24" s="39" t="s">
        <v>126</v>
      </c>
      <c r="B24" s="24">
        <f>IF(9080.02737="","-",9080.02737)</f>
        <v>9080.02737</v>
      </c>
      <c r="C24" s="24">
        <f>IF(OR(7538.86657="",9080.02737=""),"-",9080.02737/7538.86657*100)</f>
        <v>120.44287142755465</v>
      </c>
      <c r="D24" s="24">
        <f>IF(7538.86657="","-",7538.86657/2044610.75747*100)</f>
        <v>0.36871891348789476</v>
      </c>
      <c r="E24" s="24">
        <f>IF(9080.02737="","-",9080.02737/2425118.34307*100)</f>
        <v>0.37441584638320924</v>
      </c>
      <c r="F24" s="24">
        <f>IF(OR(1966837.29975="",8691.73435="",7538.86657=""),"-",(7538.86657-8691.73435)/1966837.29975*100)</f>
        <v>-0.058615309977421044</v>
      </c>
      <c r="G24" s="24">
        <f>IF(OR(2044610.75747="",9080.02737="",7538.86657=""),"-",(9080.02737-7538.86657)/2044610.75747*100)</f>
        <v>0.07537673341340681</v>
      </c>
    </row>
    <row r="25" spans="1:7" s="26" customFormat="1" ht="15.75">
      <c r="A25" s="39" t="s">
        <v>130</v>
      </c>
      <c r="B25" s="24">
        <f>IF(7802.82751="","-",7802.82751)</f>
        <v>7802.82751</v>
      </c>
      <c r="C25" s="24" t="s">
        <v>184</v>
      </c>
      <c r="D25" s="24">
        <f>IF(3744.68132="","-",3744.68132/2044610.75747*100)</f>
        <v>0.18314886128417254</v>
      </c>
      <c r="E25" s="24">
        <f>IF(7802.82751="","-",7802.82751/2425118.34307*100)</f>
        <v>0.32175038106067283</v>
      </c>
      <c r="F25" s="24">
        <f>IF(OR(1966837.29975="",7020.47844="",3744.68132=""),"-",(3744.68132-7020.47844)/1966837.29975*100)</f>
        <v>-0.1665515048151862</v>
      </c>
      <c r="G25" s="24">
        <f>IF(OR(2044610.75747="",7802.82751="",3744.68132=""),"-",(7802.82751-3744.68132)/2044610.75747*100)</f>
        <v>0.19848013491925218</v>
      </c>
    </row>
    <row r="26" spans="1:7" s="16" customFormat="1" ht="15.75">
      <c r="A26" s="39" t="s">
        <v>128</v>
      </c>
      <c r="B26" s="24">
        <f>IF(6384.52336="","-",6384.52336)</f>
        <v>6384.52336</v>
      </c>
      <c r="C26" s="24">
        <f>IF(OR(5307.20095="",6384.52336=""),"-",6384.52336/5307.20095*100)</f>
        <v>120.299257935579</v>
      </c>
      <c r="D26" s="24">
        <f>IF(5307.20095="","-",5307.20095/2044610.75747*100)</f>
        <v>0.25957023509781035</v>
      </c>
      <c r="E26" s="24">
        <f>IF(6384.52336="","-",6384.52336/2425118.34307*100)</f>
        <v>0.2632664660775985</v>
      </c>
      <c r="F26" s="24">
        <f>IF(OR(1966837.29975="",10576.22919="",5307.20095=""),"-",(5307.20095-10576.22919)/1966837.29975*100)</f>
        <v>-0.26789344704158974</v>
      </c>
      <c r="G26" s="24">
        <f>IF(OR(2044610.75747="",6384.52336="",5307.20095=""),"-",(6384.52336-5307.20095)/2044610.75747*100)</f>
        <v>0.052690831546493365</v>
      </c>
    </row>
    <row r="27" spans="1:7" s="16" customFormat="1" ht="15.75">
      <c r="A27" s="39" t="s">
        <v>134</v>
      </c>
      <c r="B27" s="24">
        <f>IF(5732.2128="","-",5732.2128)</f>
        <v>5732.2128</v>
      </c>
      <c r="C27" s="24">
        <f>IF(OR(5465.9262="",5732.2128=""),"-",5732.2128/5465.9262*100)</f>
        <v>104.87175622678551</v>
      </c>
      <c r="D27" s="24">
        <f>IF(5465.9262="","-",5465.9262/2044610.75747*100)</f>
        <v>0.2673333386332924</v>
      </c>
      <c r="E27" s="24">
        <f>IF(5732.2128="","-",5732.2128/2425118.34307*100)</f>
        <v>0.23636837420245196</v>
      </c>
      <c r="F27" s="24">
        <f>IF(OR(1966837.29975="",365.98404="",5465.9262=""),"-",(5465.9262-365.98404)/1966837.29975*100)</f>
        <v>0.25929659563850255</v>
      </c>
      <c r="G27" s="24">
        <f>IF(OR(2044610.75747="",5732.2128="",5465.9262=""),"-",(5732.2128-5465.9262)/2044610.75747*100)</f>
        <v>0.013023828571141004</v>
      </c>
    </row>
    <row r="28" spans="1:7" s="16" customFormat="1" ht="15.75">
      <c r="A28" s="39" t="s">
        <v>129</v>
      </c>
      <c r="B28" s="24">
        <f>IF(3615.54822="","-",3615.54822)</f>
        <v>3615.54822</v>
      </c>
      <c r="C28" s="24">
        <f>IF(OR(3432.7131="",3615.54822=""),"-",3615.54822/3432.7131*100)</f>
        <v>105.3262569481848</v>
      </c>
      <c r="D28" s="24">
        <f>IF(3432.7131="","-",3432.7131/2044610.75747*100)</f>
        <v>0.16789078740090543</v>
      </c>
      <c r="E28" s="24">
        <f>IF(3615.54822="","-",3615.54822/2425118.34307*100)</f>
        <v>0.14908749630020174</v>
      </c>
      <c r="F28" s="24">
        <f>IF(OR(1966837.29975="",4271.86447="",3432.7131=""),"-",(3432.7131-4271.86447)/1966837.29975*100)</f>
        <v>-0.04266501200209407</v>
      </c>
      <c r="G28" s="24">
        <f>IF(OR(2044610.75747="",3615.54822="",3432.7131=""),"-",(3615.54822-3432.7131)/2044610.75747*100)</f>
        <v>0.008942294729302913</v>
      </c>
    </row>
    <row r="29" spans="1:7" s="16" customFormat="1" ht="15.75">
      <c r="A29" s="39" t="s">
        <v>131</v>
      </c>
      <c r="B29" s="24">
        <f>IF(1480.11979="","-",1480.11979)</f>
        <v>1480.11979</v>
      </c>
      <c r="C29" s="24">
        <f>IF(OR(1094.20754="",1480.11979=""),"-",1480.11979/1094.20754*100)</f>
        <v>135.2686520511456</v>
      </c>
      <c r="D29" s="24">
        <f>IF(1094.20754="","-",1094.20754/2044610.75747*100)</f>
        <v>0.05351666746358959</v>
      </c>
      <c r="E29" s="24">
        <f>IF(1480.11979="","-",1480.11979/2425118.34307*100)</f>
        <v>0.06103288914660925</v>
      </c>
      <c r="F29" s="24">
        <f>IF(OR(1966837.29975="",3039.13923="",1094.20754=""),"-",(1094.20754-3039.13923)/1966837.29975*100)</f>
        <v>-0.09888625206809001</v>
      </c>
      <c r="G29" s="24">
        <f>IF(OR(2044610.75747="",1480.11979="",1094.20754=""),"-",(1480.11979-1094.20754)/2044610.75747*100)</f>
        <v>0.01887460723710206</v>
      </c>
    </row>
    <row r="30" spans="1:7" s="16" customFormat="1" ht="15.75">
      <c r="A30" s="39" t="s">
        <v>133</v>
      </c>
      <c r="B30" s="24">
        <f>IF(1014.42085="","-",1014.42085)</f>
        <v>1014.42085</v>
      </c>
      <c r="C30" s="24">
        <f>IF(OR(697.45707="",1014.42085=""),"-",1014.42085/697.45707*100)</f>
        <v>145.44563294770242</v>
      </c>
      <c r="D30" s="24">
        <f>IF(697.45707="","-",697.45707/2044610.75747*100)</f>
        <v>0.034111973022338635</v>
      </c>
      <c r="E30" s="24">
        <f>IF(1014.42085="","-",1014.42085/2425118.34307*100)</f>
        <v>0.04182974628429171</v>
      </c>
      <c r="F30" s="24">
        <f>IF(OR(1966837.29975="",3101.82532="",697.45707=""),"-",(697.45707-3101.82532)/1966837.29975*100)</f>
        <v>-0.1222454063844332</v>
      </c>
      <c r="G30" s="24">
        <f>IF(OR(2044610.75747="",1014.42085="",697.45707=""),"-",(1014.42085-697.45707)/2044610.75747*100)</f>
        <v>0.015502402050951287</v>
      </c>
    </row>
    <row r="31" spans="1:7" s="16" customFormat="1" ht="15.75">
      <c r="A31" s="39" t="s">
        <v>200</v>
      </c>
      <c r="B31" s="24">
        <f>IF(803.93446="","-",803.93446)</f>
        <v>803.93446</v>
      </c>
      <c r="C31" s="24" t="s">
        <v>255</v>
      </c>
      <c r="D31" s="24">
        <f>IF(202.2992="","-",202.2992/2044610.75747*100)</f>
        <v>0.009894264679029905</v>
      </c>
      <c r="E31" s="24">
        <f>IF(803.93446="","-",803.93446/2425118.34307*100)</f>
        <v>0.03315031871732434</v>
      </c>
      <c r="F31" s="24">
        <f>IF(OR(1966837.29975="",214.5198="",202.2992=""),"-",(202.2992-214.5198)/1966837.29975*100)</f>
        <v>-0.00062133253226148</v>
      </c>
      <c r="G31" s="24">
        <f>IF(OR(2044610.75747="",803.93446="",202.2992=""),"-",(803.93446-202.2992)/2044610.75747*100)</f>
        <v>0.029425417909101824</v>
      </c>
    </row>
    <row r="32" spans="1:7" s="16" customFormat="1" ht="15.75">
      <c r="A32" s="39" t="s">
        <v>136</v>
      </c>
      <c r="B32" s="24">
        <f>IF(616.67545="","-",616.67545)</f>
        <v>616.67545</v>
      </c>
      <c r="C32" s="24" t="s">
        <v>193</v>
      </c>
      <c r="D32" s="24">
        <f>IF(283.66302="","-",283.66302/2044610.75747*100)</f>
        <v>0.013873693022676083</v>
      </c>
      <c r="E32" s="24">
        <f>IF(616.67545="","-",616.67545/2425118.34307*100)</f>
        <v>0.025428674512409138</v>
      </c>
      <c r="F32" s="24">
        <f>IF(OR(1966837.29975="",244.53032="",283.66302=""),"-",(283.66302-244.53032)/1966837.29975*100)</f>
        <v>0.0019896256800180723</v>
      </c>
      <c r="G32" s="24">
        <f>IF(OR(2044610.75747="",616.67545="",283.66302=""),"-",(616.67545-283.66302)/2044610.75747*100)</f>
        <v>0.01628732651353499</v>
      </c>
    </row>
    <row r="33" spans="1:7" s="16" customFormat="1" ht="15.75">
      <c r="A33" s="39" t="s">
        <v>135</v>
      </c>
      <c r="B33" s="24">
        <f>IF(271.30498="","-",271.30498)</f>
        <v>271.30498</v>
      </c>
      <c r="C33" s="24">
        <f>IF(OR(447.03803="",271.30498=""),"-",271.30498/447.03803*100)</f>
        <v>60.68946304188035</v>
      </c>
      <c r="D33" s="24">
        <f>IF(447.03803="","-",447.03803/2044610.75747*100)</f>
        <v>0.021864211971239188</v>
      </c>
      <c r="E33" s="24">
        <f>IF(271.30498="","-",271.30498/2425118.34307*100)</f>
        <v>0.011187288272973528</v>
      </c>
      <c r="F33" s="24">
        <f>IF(OR(1966837.29975="",415.412="",447.03803=""),"-",(447.03803-415.412)/1966837.29975*100)</f>
        <v>0.0016079637092513916</v>
      </c>
      <c r="G33" s="24">
        <f>IF(OR(2044610.75747="",271.30498="",447.03803=""),"-",(271.30498-447.03803)/2044610.75747*100)</f>
        <v>-0.0085949391275556</v>
      </c>
    </row>
    <row r="34" spans="1:7" s="16" customFormat="1" ht="15.75">
      <c r="A34" s="39" t="s">
        <v>132</v>
      </c>
      <c r="B34" s="24">
        <f>IF(253.55923="","-",253.55923)</f>
        <v>253.55923</v>
      </c>
      <c r="C34" s="24">
        <f>IF(OR(955.09384="",253.55923=""),"-",253.55923/955.09384*100)</f>
        <v>26.548096048865734</v>
      </c>
      <c r="D34" s="24">
        <f>IF(955.09384="","-",955.09384/2044610.75747*100)</f>
        <v>0.04671274649761857</v>
      </c>
      <c r="E34" s="24">
        <f>IF(253.55923="","-",253.55923/2425118.34307*100)</f>
        <v>0.010455540478037657</v>
      </c>
      <c r="F34" s="24">
        <f>IF(OR(1966837.29975="",340.20968="",955.09384=""),"-",(955.09384-340.20968)/1966837.29975*100)</f>
        <v>0.03126258384860591</v>
      </c>
      <c r="G34" s="24">
        <f>IF(OR(2044610.75747="",253.55923="",955.09384=""),"-",(253.55923-955.09384)/2044610.75747*100)</f>
        <v>-0.03431140169036763</v>
      </c>
    </row>
    <row r="35" spans="1:7" s="16" customFormat="1" ht="15.75">
      <c r="A35" s="39" t="s">
        <v>137</v>
      </c>
      <c r="B35" s="24">
        <f>IF(36.15205="","-",36.15205)</f>
        <v>36.15205</v>
      </c>
      <c r="C35" s="24">
        <f>IF(OR(98.8475="",36.15205=""),"-",36.15205/98.8475*100)</f>
        <v>36.57356028225297</v>
      </c>
      <c r="D35" s="24">
        <f>IF(98.8475="","-",98.8475/2044610.75747*100)</f>
        <v>0.00483453878147026</v>
      </c>
      <c r="E35" s="24">
        <f>IF(36.15205="","-",36.15205/2425118.34307*100)</f>
        <v>0.0014907334358881012</v>
      </c>
      <c r="F35" s="24">
        <f>IF(OR(1966837.29975="",358.86194="",98.8475=""),"-",(98.8475-358.86194)/1966837.29975*100)</f>
        <v>-0.013219926225369523</v>
      </c>
      <c r="G35" s="24">
        <f>IF(OR(2044610.75747="",36.15205="",98.8475=""),"-",(36.15205-98.8475)/2044610.75747*100)</f>
        <v>-0.003066375825860336</v>
      </c>
    </row>
    <row r="36" spans="1:7" s="16" customFormat="1" ht="15.75">
      <c r="A36" s="39" t="s">
        <v>138</v>
      </c>
      <c r="B36" s="24">
        <f>IF(23.06785="","-",23.06785)</f>
        <v>23.06785</v>
      </c>
      <c r="C36" s="24">
        <f>IF(OR(75.19141="",23.06785=""),"-",23.06785/75.19141*100)</f>
        <v>30.678836851177543</v>
      </c>
      <c r="D36" s="24">
        <f>IF(75.19141="","-",75.19141/2044610.75747*100)</f>
        <v>0.0036775415430681684</v>
      </c>
      <c r="E36" s="24">
        <f>IF(23.06785="","-",23.06785/2425118.34307*100)</f>
        <v>0.0009512051263773793</v>
      </c>
      <c r="F36" s="24">
        <f>IF(OR(1966837.29975="",293.31069="",75.19141=""),"-",(75.19141-293.31069)/1966837.29975*100)</f>
        <v>-0.01108984866352314</v>
      </c>
      <c r="G36" s="24">
        <f>IF(OR(2044610.75747="",23.06785="",75.19141=""),"-",(23.06785-75.19141)/2044610.75747*100)</f>
        <v>-0.0025493145729360077</v>
      </c>
    </row>
    <row r="37" spans="1:7" s="16" customFormat="1" ht="14.25" customHeight="1">
      <c r="A37" s="15" t="s">
        <v>14</v>
      </c>
      <c r="B37" s="23">
        <f>IF(462906.30392="","-",462906.30392)</f>
        <v>462906.30392</v>
      </c>
      <c r="C37" s="23">
        <f>IF(414185.25312="","-",462906.30392/414185.25312*100)</f>
        <v>111.76310610602165</v>
      </c>
      <c r="D37" s="23">
        <f>IF(414185.25312="","-",414185.25312/2044610.75747*100)</f>
        <v>20.257413378403257</v>
      </c>
      <c r="E37" s="23">
        <f>IF(462906.30392="","-",462906.30392/2425118.34307*100)</f>
        <v>19.087988231287664</v>
      </c>
      <c r="F37" s="23">
        <f>IF(1966837.29975="","-",(414185.25312-492294.52654)/1966837.29975*100)</f>
        <v>-3.9713134090922657</v>
      </c>
      <c r="G37" s="23">
        <f>IF(2044610.75747="","-",(462906.30392-414185.25312)/2044610.75747*100)</f>
        <v>2.3829010300370013</v>
      </c>
    </row>
    <row r="38" spans="1:7" s="27" customFormat="1" ht="14.25" customHeight="1">
      <c r="A38" s="39" t="s">
        <v>209</v>
      </c>
      <c r="B38" s="24">
        <f>IF(254537.74014="","-",254537.74014)</f>
        <v>254537.74014</v>
      </c>
      <c r="C38" s="24">
        <f>IF(OR(233177.39608="",254537.74014=""),"-",254537.74014/233177.39608*100)</f>
        <v>109.16055519063758</v>
      </c>
      <c r="D38" s="24">
        <f>IF(233177.39608="","-",233177.39608/2044610.75747*100)</f>
        <v>11.40448837159272</v>
      </c>
      <c r="E38" s="24">
        <f>IF(254537.74014="","-",254537.74014/2425118.34307*100)</f>
        <v>10.495889442565355</v>
      </c>
      <c r="F38" s="24">
        <f>IF(OR(1966837.29975="",240648.59282="",233177.39608=""),"-",(233177.39608-240648.59282)/1966837.29975*100)</f>
        <v>-0.379858402164207</v>
      </c>
      <c r="G38" s="24">
        <f>IF(OR(2044610.75747="",254537.74014="",233177.39608=""),"-",(254537.74014-233177.39608)/2044610.75747*100)</f>
        <v>1.0447144514895967</v>
      </c>
    </row>
    <row r="39" spans="1:7" s="27" customFormat="1" ht="14.25" customHeight="1">
      <c r="A39" s="39" t="s">
        <v>15</v>
      </c>
      <c r="B39" s="24">
        <f>IF(110076.9326="","-",110076.9326)</f>
        <v>110076.9326</v>
      </c>
      <c r="C39" s="24">
        <f>IF(OR(103539.0969="",110076.9326=""),"-",110076.9326/103539.0969*100)</f>
        <v>106.31436423123756</v>
      </c>
      <c r="D39" s="24">
        <f>IF(103539.0969="","-",103539.0969/2044610.75747*100)</f>
        <v>5.064000398203872</v>
      </c>
      <c r="E39" s="24">
        <f>IF(110076.9326="","-",110076.9326/2425118.34307*100)</f>
        <v>4.5390334419990275</v>
      </c>
      <c r="F39" s="24">
        <f>IF(OR(1966837.29975="",131563.91585="",103539.0969=""),"-",(103539.0969-131563.91585)/1966837.29975*100)</f>
        <v>-1.424867168909302</v>
      </c>
      <c r="G39" s="24">
        <f>IF(OR(2044610.75747="",110076.9326="",103539.0969=""),"-",(110076.9326-103539.0969)/2044610.75747*100)</f>
        <v>0.3197594298139128</v>
      </c>
    </row>
    <row r="40" spans="1:7" s="27" customFormat="1" ht="14.25" customHeight="1">
      <c r="A40" s="39" t="s">
        <v>16</v>
      </c>
      <c r="B40" s="24">
        <f>IF(65524.03278="","-",65524.03278)</f>
        <v>65524.03278</v>
      </c>
      <c r="C40" s="24">
        <f>IF(OR(49706.44998="",65524.03278=""),"-",65524.03278/49706.44998*100)</f>
        <v>131.8219925308776</v>
      </c>
      <c r="D40" s="24">
        <f>IF(49706.44998="","-",49706.44998/2044610.75747*100)</f>
        <v>2.4310959823720544</v>
      </c>
      <c r="E40" s="24">
        <f>IF(65524.03278="","-",65524.03278/2425118.34307*100)</f>
        <v>2.7018901146511465</v>
      </c>
      <c r="F40" s="24">
        <f>IF(OR(1966837.29975="",45839.5531="",49706.44998=""),"-",(49706.44998-45839.5531)/1966837.29975*100)</f>
        <v>0.19660481731211382</v>
      </c>
      <c r="G40" s="24">
        <f>IF(OR(2044610.75747="",65524.03278="",49706.44998=""),"-",(65524.03278-49706.44998)/2044610.75747*100)</f>
        <v>0.7736231819289002</v>
      </c>
    </row>
    <row r="41" spans="1:7" s="22" customFormat="1" ht="14.25" customHeight="1">
      <c r="A41" s="39" t="s">
        <v>17</v>
      </c>
      <c r="B41" s="24">
        <f>IF(17041.15958="","-",17041.15958)</f>
        <v>17041.15958</v>
      </c>
      <c r="C41" s="24">
        <f>IF(OR(13183.14392="",17041.15958=""),"-",17041.15958/13183.14392*100)</f>
        <v>129.26476175494867</v>
      </c>
      <c r="D41" s="24">
        <f>IF(13183.14392="","-",13183.14392/2044610.75747*100)</f>
        <v>0.64477524007126</v>
      </c>
      <c r="E41" s="24">
        <f>IF(17041.15958="","-",17041.15958/2425118.34307*100)</f>
        <v>0.7026939377493346</v>
      </c>
      <c r="F41" s="24">
        <f>IF(OR(1966837.29975="",58620.3447="",13183.14392=""),"-",(13183.14392-58620.3447)/1966837.29975*100)</f>
        <v>-2.31016570540814</v>
      </c>
      <c r="G41" s="24">
        <f>IF(OR(2044610.75747="",17041.15958="",13183.14392=""),"-",(17041.15958-13183.14392)/2044610.75747*100)</f>
        <v>0.18869193786175248</v>
      </c>
    </row>
    <row r="42" spans="1:7" s="27" customFormat="1" ht="14.25" customHeight="1">
      <c r="A42" s="39" t="s">
        <v>18</v>
      </c>
      <c r="B42" s="24">
        <f>IF(6587.42692="","-",6587.42692)</f>
        <v>6587.42692</v>
      </c>
      <c r="C42" s="24">
        <f>IF(OR(4665.18693="",6587.42692=""),"-",6587.42692/4665.18693*100)</f>
        <v>141.20392213308375</v>
      </c>
      <c r="D42" s="24">
        <f>IF(4665.18693="","-",4665.18693/2044610.75747*100)</f>
        <v>0.2281699297998754</v>
      </c>
      <c r="E42" s="24">
        <f>IF(6587.42692="","-",6587.42692/2425118.34307*100)</f>
        <v>0.2716332148830667</v>
      </c>
      <c r="F42" s="24">
        <f>IF(OR(1966837.29975="",3525.34012="",4665.18693=""),"-",(4665.18693-3525.34012)/1966837.29975*100)</f>
        <v>0.057953284196149986</v>
      </c>
      <c r="G42" s="24">
        <f>IF(OR(2044610.75747="",6587.42692="",4665.18693=""),"-",(6587.42692-4665.18693)/2044610.75747*100)</f>
        <v>0.09401496020585251</v>
      </c>
    </row>
    <row r="43" spans="1:7" s="22" customFormat="1" ht="14.25" customHeight="1">
      <c r="A43" s="39" t="s">
        <v>19</v>
      </c>
      <c r="B43" s="24">
        <f>IF(5563.01228="","-",5563.01228)</f>
        <v>5563.01228</v>
      </c>
      <c r="C43" s="24">
        <f>IF(OR(5619.83118="",5563.01228=""),"-",5563.01228/5619.83118*100)</f>
        <v>98.988957173621</v>
      </c>
      <c r="D43" s="24">
        <f>IF(5619.83118="","-",5619.83118/2044610.75747*100)</f>
        <v>0.27486068727105667</v>
      </c>
      <c r="E43" s="24">
        <f>IF(5563.01228="","-",5563.01228/2425118.34307*100)</f>
        <v>0.22939137365798343</v>
      </c>
      <c r="F43" s="24">
        <f>IF(OR(1966837.29975="",6578.29506="",5619.83118=""),"-",(5619.83118-6578.29506)/1966837.29975*100)</f>
        <v>-0.048731223478516925</v>
      </c>
      <c r="G43" s="24">
        <f>IF(OR(2044610.75747="",5563.01228="",5619.83118=""),"-",(5563.01228-5619.83118)/2044610.75747*100)</f>
        <v>-0.002778959261190031</v>
      </c>
    </row>
    <row r="44" spans="1:7" s="22" customFormat="1" ht="14.25" customHeight="1">
      <c r="A44" s="39" t="s">
        <v>20</v>
      </c>
      <c r="B44" s="24">
        <f>IF(1285.5327="","-",1285.5327)</f>
        <v>1285.5327</v>
      </c>
      <c r="C44" s="24">
        <f>IF(OR(1784.93007="",1285.5327=""),"-",1285.5327/1784.93007*100)</f>
        <v>72.02146020207951</v>
      </c>
      <c r="D44" s="24">
        <f>IF(1784.93007="","-",1784.93007/2044610.75747*100)</f>
        <v>0.08729926043276184</v>
      </c>
      <c r="E44" s="24">
        <f>IF(1285.5327="","-",1285.5327/2425118.34307*100)</f>
        <v>0.05300907082219425</v>
      </c>
      <c r="F44" s="24">
        <f>IF(OR(1966837.29975="",1895.39018="",1784.93007=""),"-",(1784.93007-1895.39018)/1966837.29975*100)</f>
        <v>-0.005616128492887568</v>
      </c>
      <c r="G44" s="24">
        <f>IF(OR(2044610.75747="",1285.5327="",1784.93007=""),"-",(1285.5327-1784.93007)/2044610.75747*100)</f>
        <v>-0.02442505832347052</v>
      </c>
    </row>
    <row r="45" spans="1:7" s="22" customFormat="1" ht="14.25" customHeight="1">
      <c r="A45" s="39" t="s">
        <v>22</v>
      </c>
      <c r="B45" s="24">
        <f>IF(1249.8772="","-",1249.8772)</f>
        <v>1249.8772</v>
      </c>
      <c r="C45" s="24">
        <f>IF(OR(904.30731="",1249.8772=""),"-",1249.8772/904.30731*100)</f>
        <v>138.21376717611628</v>
      </c>
      <c r="D45" s="24">
        <f>IF(904.30731="","-",904.30731/2044610.75747*100)</f>
        <v>0.04422882481157388</v>
      </c>
      <c r="E45" s="24">
        <f>IF(1249.8772="","-",1249.8772/2425118.34307*100)</f>
        <v>0.051538812675745886</v>
      </c>
      <c r="F45" s="24">
        <f>IF(OR(1966837.29975="",1097.16053="",904.30731=""),"-",(904.30731-1097.16053)/1966837.29975*100)</f>
        <v>-0.009805245203785447</v>
      </c>
      <c r="G45" s="24">
        <f>IF(OR(2044610.75747="",1249.8772="",904.30731=""),"-",(1249.8772-904.30731)/2044610.75747*100)</f>
        <v>0.01690150013822718</v>
      </c>
    </row>
    <row r="46" spans="1:7" s="22" customFormat="1" ht="14.25" customHeight="1">
      <c r="A46" s="39" t="s">
        <v>21</v>
      </c>
      <c r="B46" s="24">
        <f>IF(633.23341="","-",633.23341)</f>
        <v>633.23341</v>
      </c>
      <c r="C46" s="24">
        <f>IF(OR(1056.6181="",633.23341=""),"-",633.23341/1056.6181*100)</f>
        <v>59.93020657132412</v>
      </c>
      <c r="D46" s="24">
        <f>IF(1056.6181="","-",1056.6181/2044610.75747*100)</f>
        <v>0.05167820310734638</v>
      </c>
      <c r="E46" s="24">
        <f>IF(633.23341="","-",633.23341/2425118.34307*100)</f>
        <v>0.026111443666636848</v>
      </c>
      <c r="F46" s="24">
        <f>IF(OR(1966837.29975="",1778.37836="",1056.6181=""),"-",(1056.6181-1778.37836)/1966837.29975*100)</f>
        <v>-0.036696490354933844</v>
      </c>
      <c r="G46" s="24">
        <f>IF(OR(2044610.75747="",633.23341="",1056.6181=""),"-",(633.23341-1056.6181)/2044610.75747*100)</f>
        <v>-0.02070734923276525</v>
      </c>
    </row>
    <row r="47" spans="1:7" s="22" customFormat="1" ht="14.25" customHeight="1">
      <c r="A47" s="39" t="s">
        <v>23</v>
      </c>
      <c r="B47" s="24">
        <f>IF(407.35631="","-",407.35631)</f>
        <v>407.35631</v>
      </c>
      <c r="C47" s="24">
        <f>IF(OR(548.29265="",407.35631=""),"-",407.35631/548.29265*100)</f>
        <v>74.295416872723</v>
      </c>
      <c r="D47" s="24">
        <f>IF(548.29265="","-",548.29265/2044610.75747*100)</f>
        <v>0.026816480740738002</v>
      </c>
      <c r="E47" s="24">
        <f>IF(407.35631="","-",407.35631/2425118.34307*100)</f>
        <v>0.01679737861717381</v>
      </c>
      <c r="F47" s="24">
        <f>IF(OR(1966837.29975="",747.55582="",548.29265=""),"-",(548.29265-747.55582)/1966837.29975*100)</f>
        <v>-0.010131146588755862</v>
      </c>
      <c r="G47" s="24">
        <f>IF(OR(2044610.75747="",407.35631="",548.29265=""),"-",(407.35631-548.29265)/2044610.75747*100)</f>
        <v>-0.006893064583813229</v>
      </c>
    </row>
    <row r="48" spans="1:7" s="16" customFormat="1" ht="15.75">
      <c r="A48" s="15" t="s">
        <v>24</v>
      </c>
      <c r="B48" s="23">
        <f>IF(365308.43853="","-",365308.43853)</f>
        <v>365308.43853</v>
      </c>
      <c r="C48" s="23">
        <f>IF(298527.05166="","-",365308.43853/298527.05166*100)</f>
        <v>122.370296594112</v>
      </c>
      <c r="D48" s="23">
        <f>IF(298527.05166="","-",298527.05166/2044610.75747*100)</f>
        <v>14.600678910121609</v>
      </c>
      <c r="E48" s="23">
        <f>IF(365308.43853="","-",365308.43853/2425118.34307*100)</f>
        <v>15.063530387038746</v>
      </c>
      <c r="F48" s="23">
        <f>IF(1966837.29975="","-",(298527.05166-256955.26481)/1966837.29975*100)</f>
        <v>2.1136362857916158</v>
      </c>
      <c r="G48" s="23">
        <f>IF(2044610.75747="","-",(365308.43853-298527.05166)/2044610.75747*100)</f>
        <v>3.2662151769481653</v>
      </c>
    </row>
    <row r="49" spans="1:7" s="16" customFormat="1" ht="15.75">
      <c r="A49" s="39" t="s">
        <v>139</v>
      </c>
      <c r="B49" s="24">
        <f>IF(104063.31636="","-",104063.31636)</f>
        <v>104063.31636</v>
      </c>
      <c r="C49" s="24" t="s">
        <v>213</v>
      </c>
      <c r="D49" s="24">
        <f>IF(61473.92194="","-",61473.92194/2044610.75747*100)</f>
        <v>3.006632030835433</v>
      </c>
      <c r="E49" s="24">
        <f>IF(104063.31636="","-",104063.31636/2425118.34307*100)</f>
        <v>4.2910613685047805</v>
      </c>
      <c r="F49" s="24">
        <f>IF(OR(1966837.29975="",64421.25845="",61473.92194=""),"-",(61473.92194-64421.25845)/1966837.29975*100)</f>
        <v>-0.1498515667958214</v>
      </c>
      <c r="G49" s="24">
        <f>IF(OR(2044610.75747="",104063.31636="",61473.92194=""),"-",(104063.31636-61473.92194)/2044610.75747*100)</f>
        <v>2.083007450899852</v>
      </c>
    </row>
    <row r="50" spans="1:7" s="26" customFormat="1" ht="15.75">
      <c r="A50" s="39" t="s">
        <v>205</v>
      </c>
      <c r="B50" s="24">
        <f>IF(44055.18099="","-",44055.18099)</f>
        <v>44055.18099</v>
      </c>
      <c r="C50" s="24">
        <f>IF(OR(44498.28102="",44055.18099=""),"-",44055.18099/44498.28102*100)</f>
        <v>99.00423113018489</v>
      </c>
      <c r="D50" s="24">
        <f>IF(44498.28102="","-",44498.28102/2044610.75747*100)</f>
        <v>2.176369309289077</v>
      </c>
      <c r="E50" s="24">
        <f>IF(44055.18099="","-",44055.18099/2425118.34307*100)</f>
        <v>1.8166198410849415</v>
      </c>
      <c r="F50" s="24">
        <f>IF(OR(1966837.29975="",35369.86802="",44498.28102=""),"-",(44498.28102-35369.86802)/1966837.29975*100)</f>
        <v>0.4641163252883343</v>
      </c>
      <c r="G50" s="24">
        <f>IF(OR(2044610.75747="",44055.18099="",44498.28102=""),"-",(44055.18099-44498.28102)/2044610.75747*100)</f>
        <v>-0.02167160807411055</v>
      </c>
    </row>
    <row r="51" spans="1:7" s="28" customFormat="1" ht="15.75">
      <c r="A51" s="39" t="s">
        <v>142</v>
      </c>
      <c r="B51" s="24">
        <f>IF(19000.26216="","-",19000.26216)</f>
        <v>19000.26216</v>
      </c>
      <c r="C51" s="24">
        <f>IF(OR(14513.04283="",19000.26216=""),"-",19000.26216/14513.04283*100)</f>
        <v>130.91852881963828</v>
      </c>
      <c r="D51" s="24">
        <f>IF(14513.04283="","-",14513.04283/2044610.75747*100)</f>
        <v>0.7098193520197668</v>
      </c>
      <c r="E51" s="24">
        <f>IF(19000.26216="","-",19000.26216/2425118.34307*100)</f>
        <v>0.783477730655702</v>
      </c>
      <c r="F51" s="24">
        <f>IF(OR(1966837.29975="",8551.18136="",14513.04283=""),"-",(14513.04283-8551.18136)/1966837.29975*100)</f>
        <v>0.30311919906937895</v>
      </c>
      <c r="G51" s="24">
        <f>IF(OR(2044610.75747="",19000.26216="",14513.04283=""),"-",(19000.26216-14513.04283)/2044610.75747*100)</f>
        <v>0.21946570092160134</v>
      </c>
    </row>
    <row r="52" spans="1:7" s="16" customFormat="1" ht="15.75">
      <c r="A52" s="39" t="s">
        <v>25</v>
      </c>
      <c r="B52" s="24">
        <f>IF(18829.07644="","-",18829.07644)</f>
        <v>18829.07644</v>
      </c>
      <c r="C52" s="24">
        <f>IF(OR(17016.36593="",18829.07644=""),"-",18829.07644/17016.36593*100)</f>
        <v>110.6527475811047</v>
      </c>
      <c r="D52" s="24">
        <f>IF(17016.36593="","-",17016.36593/2044610.75747*100)</f>
        <v>0.832254543698872</v>
      </c>
      <c r="E52" s="24">
        <f>IF(18829.07644="","-",18829.07644/2425118.34307*100)</f>
        <v>0.7764188701885757</v>
      </c>
      <c r="F52" s="24">
        <f>IF(OR(1966837.29975="",22031.00875="",17016.36593=""),"-",(17016.36593-22031.00875)/1966837.29975*100)</f>
        <v>-0.2549597173410022</v>
      </c>
      <c r="G52" s="24">
        <f>IF(OR(2044610.75747="",18829.07644="",17016.36593=""),"-",(18829.07644-17016.36593)/2044610.75747*100)</f>
        <v>0.08865797577251562</v>
      </c>
    </row>
    <row r="53" spans="1:7" s="28" customFormat="1" ht="15.75">
      <c r="A53" s="39" t="s">
        <v>141</v>
      </c>
      <c r="B53" s="24">
        <f>IF(18037.84859="","-",18037.84859)</f>
        <v>18037.84859</v>
      </c>
      <c r="C53" s="24">
        <f>IF(OR(16892.17641="",18037.84859=""),"-",18037.84859/16892.17641*100)</f>
        <v>106.78226506870823</v>
      </c>
      <c r="D53" s="24">
        <f>IF(16892.17641="","-",16892.17641/2044610.75747*100)</f>
        <v>0.8261805504194044</v>
      </c>
      <c r="E53" s="24">
        <f>IF(18037.84859="","-",18037.84859/2425118.34307*100)</f>
        <v>0.7437925098189465</v>
      </c>
      <c r="F53" s="24">
        <f>IF(OR(1966837.29975="",17930.24618="",16892.17641=""),"-",(16892.17641-17930.24618)/1966837.29975*100)</f>
        <v>-0.0527786294337587</v>
      </c>
      <c r="G53" s="24">
        <f>IF(OR(2044610.75747="",18037.84859="",16892.17641=""),"-",(18037.84859-16892.17641)/2044610.75747*100)</f>
        <v>0.05603375487555662</v>
      </c>
    </row>
    <row r="54" spans="1:7" s="26" customFormat="1" ht="15.75">
      <c r="A54" s="39" t="s">
        <v>140</v>
      </c>
      <c r="B54" s="24">
        <f>IF(13176.34272="","-",13176.34272)</f>
        <v>13176.34272</v>
      </c>
      <c r="C54" s="24">
        <f>IF(OR(26275.5896="",13176.34272=""),"-",13176.34272/26275.5896*100)</f>
        <v>50.146706203692574</v>
      </c>
      <c r="D54" s="24">
        <f>IF(26275.5896="","-",26275.5896/2044610.75747*100)</f>
        <v>1.2851145140463507</v>
      </c>
      <c r="E54" s="24">
        <f>IF(13176.34272="","-",13176.34272/2425118.34307*100)</f>
        <v>0.5433278238834249</v>
      </c>
      <c r="F54" s="24">
        <f>IF(OR(1966837.29975="",17083.89221="",26275.5896=""),"-",(26275.5896-17083.89221)/1966837.29975*100)</f>
        <v>0.46733389646252554</v>
      </c>
      <c r="G54" s="24">
        <f>IF(OR(2044610.75747="",13176.34272="",26275.5896=""),"-",(13176.34272-26275.5896)/2044610.75747*100)</f>
        <v>-0.6406719143065156</v>
      </c>
    </row>
    <row r="55" spans="1:7" s="16" customFormat="1" ht="15.75">
      <c r="A55" s="39" t="s">
        <v>201</v>
      </c>
      <c r="B55" s="24">
        <f>IF(11556.70812="","-",11556.70812)</f>
        <v>11556.70812</v>
      </c>
      <c r="C55" s="24" t="str">
        <f>IF(OR(""="",11556.70812=""),"-",11556.70812/""*100)</f>
        <v>-</v>
      </c>
      <c r="D55" s="24" t="str">
        <f>IF(""="","-",""/2044610.75747*100)</f>
        <v>-</v>
      </c>
      <c r="E55" s="24">
        <f>IF(11556.70812="","-",11556.70812/2425118.34307*100)</f>
        <v>0.4765420274447374</v>
      </c>
      <c r="F55" s="24" t="str">
        <f>IF(OR(1966837.29975="",0.16492="",""=""),"-",(""-0.16492)/1966837.29975*100)</f>
        <v>-</v>
      </c>
      <c r="G55" s="24" t="str">
        <f>IF(OR(2044610.75747="",11556.70812="",""=""),"-",(11556.70812-"")/2044610.75747*100)</f>
        <v>-</v>
      </c>
    </row>
    <row r="56" spans="1:7" s="16" customFormat="1" ht="15.75">
      <c r="A56" s="39" t="s">
        <v>151</v>
      </c>
      <c r="B56" s="24">
        <f>IF(10948.7462="","-",10948.7462)</f>
        <v>10948.7462</v>
      </c>
      <c r="C56" s="24" t="s">
        <v>211</v>
      </c>
      <c r="D56" s="24">
        <f>IF(3706.95491="","-",3706.95491/2044610.75747*100)</f>
        <v>0.18130369785332556</v>
      </c>
      <c r="E56" s="24">
        <f>IF(10948.7462="","-",10948.7462/2425118.34307*100)</f>
        <v>0.451472656222615</v>
      </c>
      <c r="F56" s="24">
        <f>IF(OR(1966837.29975="",2555.66319="",3706.95491=""),"-",(3706.95491-2555.66319)/1966837.29975*100)</f>
        <v>0.058535178285785895</v>
      </c>
      <c r="G56" s="24">
        <f>IF(OR(2044610.75747="",10948.7462="",3706.95491=""),"-",(10948.7462-3706.95491)/2044610.75747*100)</f>
        <v>0.35418923937194713</v>
      </c>
    </row>
    <row r="57" spans="1:7" s="28" customFormat="1" ht="15.75">
      <c r="A57" s="39" t="s">
        <v>143</v>
      </c>
      <c r="B57" s="24">
        <f>IF(7986.94117="","-",7986.94117)</f>
        <v>7986.94117</v>
      </c>
      <c r="C57" s="24">
        <f>IF(OR(11244.76998="",7986.94117=""),"-",7986.94117/11244.76998*100)</f>
        <v>71.02805290108745</v>
      </c>
      <c r="D57" s="24">
        <f>IF(11244.76998="","-",11244.76998/2044610.75747*100)</f>
        <v>0.5499711834595975</v>
      </c>
      <c r="E57" s="24">
        <f>IF(7986.94117="","-",7986.94117/2425118.34307*100)</f>
        <v>0.3293423264404157</v>
      </c>
      <c r="F57" s="24">
        <f>IF(OR(1966837.29975="",8619.82796="",11244.76998=""),"-",(11244.76998-8619.82796)/1966837.29975*100)</f>
        <v>0.13346004879679924</v>
      </c>
      <c r="G57" s="24">
        <f>IF(OR(2044610.75747="",7986.94117="",11244.76998=""),"-",(7986.94117-11244.76998)/2044610.75747*100)</f>
        <v>-0.15933736033117785</v>
      </c>
    </row>
    <row r="58" spans="1:7" s="16" customFormat="1" ht="15.75">
      <c r="A58" s="39" t="s">
        <v>144</v>
      </c>
      <c r="B58" s="24">
        <f>IF(7824.81706="","-",7824.81706)</f>
        <v>7824.81706</v>
      </c>
      <c r="C58" s="24">
        <f>IF(OR(10362.03801="",7824.81706=""),"-",7824.81706/10362.03801*100)</f>
        <v>75.51426710120705</v>
      </c>
      <c r="D58" s="24">
        <f>IF(10362.03801="","-",10362.03801/2044610.75747*100)</f>
        <v>0.5067975883498715</v>
      </c>
      <c r="E58" s="24">
        <f>IF(7824.81706="","-",7824.81706/2425118.34307*100)</f>
        <v>0.322657122377559</v>
      </c>
      <c r="F58" s="24">
        <f>IF(OR(1966837.29975="",3095.67172="",10362.03801=""),"-",(10362.03801-3095.67172)/1966837.29975*100)</f>
        <v>0.3694441981003518</v>
      </c>
      <c r="G58" s="24">
        <f>IF(OR(2044610.75747="",7824.81706="",10362.03801=""),"-",(7824.81706-10362.03801)/2044610.75747*100)</f>
        <v>-0.12409310382087371</v>
      </c>
    </row>
    <row r="59" spans="1:7" s="26" customFormat="1" ht="15.75">
      <c r="A59" s="39" t="s">
        <v>146</v>
      </c>
      <c r="B59" s="24">
        <f>IF(5011.79659="","-",5011.79659)</f>
        <v>5011.79659</v>
      </c>
      <c r="C59" s="24">
        <f>IF(OR(5636.1095="",5011.79659=""),"-",5011.79659/5636.1095*100)</f>
        <v>88.92298118054663</v>
      </c>
      <c r="D59" s="24">
        <f>IF(5636.1095="","-",5636.1095/2044610.75747*100)</f>
        <v>0.27565684467854984</v>
      </c>
      <c r="E59" s="24">
        <f>IF(5011.79659="","-",5011.79659/2425118.34307*100)</f>
        <v>0.20666193896564564</v>
      </c>
      <c r="F59" s="24">
        <f>IF(OR(1966837.29975="",5723.29591="",5636.1095=""),"-",(5636.1095-5723.29591)/1966837.29975*100)</f>
        <v>-0.0044328226849817375</v>
      </c>
      <c r="G59" s="24">
        <f>IF(OR(2044610.75747="",5011.79659="",5636.1095=""),"-",(5011.79659-5636.1095)/2044610.75747*100)</f>
        <v>-0.030534560562154336</v>
      </c>
    </row>
    <row r="60" spans="1:7" s="16" customFormat="1" ht="15.75">
      <c r="A60" s="39" t="s">
        <v>150</v>
      </c>
      <c r="B60" s="24">
        <f>IF(4937.19075="","-",4937.19075)</f>
        <v>4937.19075</v>
      </c>
      <c r="C60" s="24">
        <f>IF(OR(3880.27649="",4937.19075=""),"-",4937.19075/3880.27649*100)</f>
        <v>127.23811725076321</v>
      </c>
      <c r="D60" s="24">
        <f>IF(3880.27649="","-",3880.27649/2044610.75747*100)</f>
        <v>0.18978069423842078</v>
      </c>
      <c r="E60" s="24">
        <f>IF(4937.19075="","-",4937.19075/2425118.34307*100)</f>
        <v>0.2035855596123166</v>
      </c>
      <c r="F60" s="24">
        <f>IF(OR(1966837.29975="",11634.28647="",3880.27649=""),"-",(3880.27649-11634.28647)/1966837.29975*100)</f>
        <v>-0.39423748883477006</v>
      </c>
      <c r="G60" s="24">
        <f>IF(OR(2044610.75747="",4937.19075="",3880.27649=""),"-",(4937.19075-3880.27649)/2044610.75747*100)</f>
        <v>0.051692688015973494</v>
      </c>
    </row>
    <row r="61" spans="1:7" s="26" customFormat="1" ht="15.75">
      <c r="A61" s="39" t="s">
        <v>153</v>
      </c>
      <c r="B61" s="24">
        <f>IF(4837.67416="","-",4837.67416)</f>
        <v>4837.67416</v>
      </c>
      <c r="C61" s="24" t="s">
        <v>26</v>
      </c>
      <c r="D61" s="24">
        <f>IF(2424.53298="","-",2424.53298/2044610.75747*100)</f>
        <v>0.11858164059549972</v>
      </c>
      <c r="E61" s="24">
        <f>IF(4837.67416="","-",4837.67416/2425118.34307*100)</f>
        <v>0.19948198296483557</v>
      </c>
      <c r="F61" s="24">
        <f>IF(OR(1966837.29975="",2594.47275="",2424.53298=""),"-",(2424.53298-2594.47275)/1966837.29975*100)</f>
        <v>-0.008640255603328277</v>
      </c>
      <c r="G61" s="24">
        <f>IF(OR(2044610.75747="",4837.67416="",2424.53298=""),"-",(4837.67416-2424.53298)/2044610.75747*100)</f>
        <v>0.11802447831126639</v>
      </c>
    </row>
    <row r="62" spans="1:7" s="16" customFormat="1" ht="15.75">
      <c r="A62" s="39" t="s">
        <v>148</v>
      </c>
      <c r="B62" s="24">
        <f>IF(4567.61742="","-",4567.61742)</f>
        <v>4567.61742</v>
      </c>
      <c r="C62" s="24">
        <f>IF(OR(4617.49433="",4567.61742=""),"-",4567.61742/4617.49433*100)</f>
        <v>98.91982736879721</v>
      </c>
      <c r="D62" s="24">
        <f>IF(4617.49433="","-",4617.49433/2044610.75747*100)</f>
        <v>0.22583732933664524</v>
      </c>
      <c r="E62" s="24">
        <f>IF(4567.61742="","-",4567.61742/2425118.34307*100)</f>
        <v>0.1883461659944303</v>
      </c>
      <c r="F62" s="24">
        <f>IF(OR(1966837.29975="",1034.98489="",4617.49433=""),"-",(4617.49433-1034.98489)/1966837.29975*100)</f>
        <v>0.18214569351798265</v>
      </c>
      <c r="G62" s="24">
        <f>IF(OR(2044610.75747="",4567.61742="",4617.49433=""),"-",(4567.61742-4617.49433)/2044610.75747*100)</f>
        <v>-0.0024394330225337617</v>
      </c>
    </row>
    <row r="63" spans="1:7" s="26" customFormat="1" ht="15.75">
      <c r="A63" s="39" t="s">
        <v>149</v>
      </c>
      <c r="B63" s="24">
        <f>IF(4550.26714="","-",4550.26714)</f>
        <v>4550.26714</v>
      </c>
      <c r="C63" s="24">
        <f>IF(OR(4830.55151="",4550.26714=""),"-",4550.26714/4830.55151*100)</f>
        <v>94.19767350747078</v>
      </c>
      <c r="D63" s="24">
        <f>IF(4830.55151="","-",4830.55151/2044610.75747*100)</f>
        <v>0.23625775675646551</v>
      </c>
      <c r="E63" s="24">
        <f>IF(4550.26714="","-",4550.26714/2425118.34307*100)</f>
        <v>0.18763072544491732</v>
      </c>
      <c r="F63" s="24">
        <f>IF(OR(1966837.29975="",1865.95183="",4830.55151=""),"-",(4830.55151-1865.95183)/1966837.29975*100)</f>
        <v>0.1507292789483311</v>
      </c>
      <c r="G63" s="24">
        <f>IF(OR(2044610.75747="",4550.26714="",4830.55151=""),"-",(4550.26714-4830.55151)/2044610.75747*100)</f>
        <v>-0.013708446410935644</v>
      </c>
    </row>
    <row r="64" spans="1:7" s="16" customFormat="1" ht="15.75">
      <c r="A64" s="39" t="s">
        <v>119</v>
      </c>
      <c r="B64" s="24">
        <f>IF(3856.41045="","-",3856.41045)</f>
        <v>3856.41045</v>
      </c>
      <c r="C64" s="24" t="s">
        <v>193</v>
      </c>
      <c r="D64" s="24">
        <f>IF(1760.65886="","-",1760.65886/2044610.75747*100)</f>
        <v>0.08611217825042837</v>
      </c>
      <c r="E64" s="24">
        <f>IF(3856.41045="","-",3856.41045/2425118.34307*100)</f>
        <v>0.15901947469986566</v>
      </c>
      <c r="F64" s="24">
        <f>IF(OR(1966837.29975="",530.06214="",1760.65886=""),"-",(1760.65886-530.06214)/1966837.29975*100)</f>
        <v>0.06256728607681064</v>
      </c>
      <c r="G64" s="24">
        <f>IF(OR(2044610.75747="",3856.41045="",1760.65886=""),"-",(3856.41045-1760.65886)/2044610.75747*100)</f>
        <v>0.10250125029143842</v>
      </c>
    </row>
    <row r="65" spans="1:7" s="16" customFormat="1" ht="15.75">
      <c r="A65" s="39" t="s">
        <v>145</v>
      </c>
      <c r="B65" s="24">
        <f>IF(3820.05726="","-",3820.05726)</f>
        <v>3820.05726</v>
      </c>
      <c r="C65" s="24">
        <f>IF(OR(7726.64546="",3820.05726=""),"-",3820.05726/7726.64546*100)</f>
        <v>49.440048463152856</v>
      </c>
      <c r="D65" s="24">
        <f>IF(7726.64546="","-",7726.64546/2044610.75747*100)</f>
        <v>0.37790300338441657</v>
      </c>
      <c r="E65" s="24">
        <f>IF(3820.05726="","-",3820.05726/2425118.34307*100)</f>
        <v>0.15752044723574696</v>
      </c>
      <c r="F65" s="24">
        <f>IF(OR(1966837.29975="",2278.1524="",7726.64546=""),"-",(7726.64546-2278.1524)/1966837.29975*100)</f>
        <v>0.2770179852035827</v>
      </c>
      <c r="G65" s="24">
        <f>IF(OR(2044610.75747="",3820.05726="",7726.64546=""),"-",(3820.05726-7726.64546)/2044610.75747*100)</f>
        <v>-0.19106757536745084</v>
      </c>
    </row>
    <row r="66" spans="1:7" s="26" customFormat="1" ht="15.75">
      <c r="A66" s="39" t="s">
        <v>157</v>
      </c>
      <c r="B66" s="24">
        <f>IF(2981.81627="","-",2981.81627)</f>
        <v>2981.81627</v>
      </c>
      <c r="C66" s="24" t="s">
        <v>236</v>
      </c>
      <c r="D66" s="24">
        <f>IF(1322.4204="","-",1322.4204/2044610.75747*100)</f>
        <v>0.06467834501841134</v>
      </c>
      <c r="E66" s="24">
        <f>IF(2981.81627="","-",2981.81627/2425118.34307*100)</f>
        <v>0.122955495286274</v>
      </c>
      <c r="F66" s="24">
        <f>IF(OR(1966837.29975="",887.88212="",1322.4204=""),"-",(1322.4204-887.88212)/1966837.29975*100)</f>
        <v>0.022093249912193202</v>
      </c>
      <c r="G66" s="24">
        <f>IF(OR(2044610.75747="",2981.81627="",1322.4204=""),"-",(2981.81627-1322.4204)/2044610.75747*100)</f>
        <v>0.08115950011205728</v>
      </c>
    </row>
    <row r="67" spans="1:7" s="28" customFormat="1" ht="15.75">
      <c r="A67" s="39" t="s">
        <v>160</v>
      </c>
      <c r="B67" s="24">
        <f>IF(2462.72739="","-",2462.72739)</f>
        <v>2462.72739</v>
      </c>
      <c r="C67" s="24" t="s">
        <v>207</v>
      </c>
      <c r="D67" s="24">
        <f>IF(788.2225="","-",788.2225/2044610.75747*100)</f>
        <v>0.03855122531857095</v>
      </c>
      <c r="E67" s="24">
        <f>IF(2462.72739="","-",2462.72739/2425118.34307*100)</f>
        <v>0.10155081285156543</v>
      </c>
      <c r="F67" s="24">
        <f>IF(OR(1966837.29975="",763.55175="",788.2225=""),"-",(788.2225-763.55175)/1966837.29975*100)</f>
        <v>0.001254336085813292</v>
      </c>
      <c r="G67" s="24">
        <f>IF(OR(2044610.75747="",2462.72739="",788.2225=""),"-",(2462.72739-788.2225)/2044610.75747*100)</f>
        <v>0.08189846815009579</v>
      </c>
    </row>
    <row r="68" spans="1:7" s="16" customFormat="1" ht="15.75">
      <c r="A68" s="39" t="s">
        <v>206</v>
      </c>
      <c r="B68" s="24">
        <f>IF(2041.05144="","-",2041.05144)</f>
        <v>2041.05144</v>
      </c>
      <c r="C68" s="24">
        <f>IF(OR(1603.24="",2041.05144=""),"-",2041.05144/1603.24*100)</f>
        <v>127.30791646914996</v>
      </c>
      <c r="D68" s="24">
        <f>IF(1603.24="","-",1603.24/2044610.75747*100)</f>
        <v>0.07841296902809257</v>
      </c>
      <c r="E68" s="24">
        <f>IF(2041.05144="","-",2041.05144/2425118.34307*100)</f>
        <v>0.08416296243160641</v>
      </c>
      <c r="F68" s="24">
        <f>IF(OR(1966837.29975="",772.16143="",1603.24=""),"-",(1603.24-772.16143)/1966837.29975*100)</f>
        <v>0.042254566257495546</v>
      </c>
      <c r="G68" s="24">
        <f>IF(OR(2044610.75747="",2041.05144="",1603.24=""),"-",(2041.05144-1603.24)/2044610.75747*100)</f>
        <v>0.021412948083171953</v>
      </c>
    </row>
    <row r="69" spans="1:7" s="16" customFormat="1" ht="15.75">
      <c r="A69" s="39" t="s">
        <v>152</v>
      </c>
      <c r="B69" s="24">
        <f>IF(1994.90397="","-",1994.90397)</f>
        <v>1994.90397</v>
      </c>
      <c r="C69" s="24">
        <f>IF(OR(2565.7021="",1994.90397=""),"-",1994.90397/2565.7021*100)</f>
        <v>77.75275118650758</v>
      </c>
      <c r="D69" s="24">
        <f>IF(2565.7021="","-",2565.7021/2044610.75747*100)</f>
        <v>0.1254860902314139</v>
      </c>
      <c r="E69" s="24">
        <f>IF(1994.90397="","-",1994.90397/2425118.34307*100)</f>
        <v>0.08226006684171198</v>
      </c>
      <c r="F69" s="24">
        <f>IF(OR(1966837.29975="",599.83544="",2565.7021=""),"-",(2565.7021-599.83544)/1966837.29975*100)</f>
        <v>0.09995064971819868</v>
      </c>
      <c r="G69" s="24">
        <f>IF(OR(2044610.75747="",1994.90397="",2565.7021=""),"-",(1994.90397-2565.7021)/2044610.75747*100)</f>
        <v>-0.027917202720106254</v>
      </c>
    </row>
    <row r="70" spans="1:7" s="16" customFormat="1" ht="15.75">
      <c r="A70" s="39" t="s">
        <v>219</v>
      </c>
      <c r="B70" s="24">
        <f>IF(1887.89814="","-",1887.89814)</f>
        <v>1887.89814</v>
      </c>
      <c r="C70" s="24" t="s">
        <v>240</v>
      </c>
      <c r="D70" s="24">
        <f>IF(432.82922="","-",432.82922/2044610.75747*100)</f>
        <v>0.02116927236241203</v>
      </c>
      <c r="E70" s="24">
        <f>IF(1887.89814="","-",1887.89814/2425118.34307*100)</f>
        <v>0.07784767062584157</v>
      </c>
      <c r="F70" s="24">
        <f>IF(OR(1966837.29975="",659.06636="",432.82922=""),"-",(432.82922-659.06636)/1966837.29975*100)</f>
        <v>-0.011502585395790311</v>
      </c>
      <c r="G70" s="24">
        <f>IF(OR(2044610.75747="",1887.89814="",432.82922=""),"-",(1887.89814-432.82922)/2044610.75747*100)</f>
        <v>0.07116606007690682</v>
      </c>
    </row>
    <row r="71" spans="1:7" s="16" customFormat="1" ht="15.75">
      <c r="A71" s="39" t="s">
        <v>155</v>
      </c>
      <c r="B71" s="24">
        <f>IF(1319.20847="","-",1319.20847)</f>
        <v>1319.20847</v>
      </c>
      <c r="C71" s="24">
        <f>IF(OR(1684.04338="",1319.20847=""),"-",1319.20847/1684.04338*100)</f>
        <v>78.335777193578</v>
      </c>
      <c r="D71" s="24">
        <f>IF(1684.04338="","-",1684.04338/2044610.75747*100)</f>
        <v>0.08236498677546988</v>
      </c>
      <c r="E71" s="24">
        <f>IF(1319.20847="","-",1319.20847/2425118.34307*100)</f>
        <v>0.054397694601987574</v>
      </c>
      <c r="F71" s="24">
        <f>IF(OR(1966837.29975="",1323.28792="",1684.04338=""),"-",(1684.04338-1323.28792)/1966837.29975*100)</f>
        <v>0.018341906574878098</v>
      </c>
      <c r="G71" s="24">
        <f>IF(OR(2044610.75747="",1319.20847="",1684.04338=""),"-",(1319.20847-1684.04338)/2044610.75747*100)</f>
        <v>-0.017843734249517816</v>
      </c>
    </row>
    <row r="72" spans="1:7" s="16" customFormat="1" ht="15.75">
      <c r="A72" s="39" t="s">
        <v>239</v>
      </c>
      <c r="B72" s="24">
        <f>IF(1251.56416="","-",1251.56416)</f>
        <v>1251.56416</v>
      </c>
      <c r="C72" s="24" t="s">
        <v>256</v>
      </c>
      <c r="D72" s="24">
        <f>IF(162.78283="","-",162.78283/2044610.75747*100)</f>
        <v>0.007961555978577915</v>
      </c>
      <c r="E72" s="24">
        <f>IF(1251.56416="","-",1251.56416/2425118.34307*100)</f>
        <v>0.05160837464185862</v>
      </c>
      <c r="F72" s="24">
        <f>IF(OR(1966837.29975="",2235.04444="",162.78283=""),"-",(162.78283-2235.04444)/1966837.29975*100)</f>
        <v>-0.10536009309277387</v>
      </c>
      <c r="G72" s="24">
        <f>IF(OR(2044610.75747="",1251.56416="",162.78283=""),"-",(1251.56416-162.78283)/2044610.75747*100)</f>
        <v>0.053251276607155146</v>
      </c>
    </row>
    <row r="73" spans="1:7" s="16" customFormat="1" ht="15.75">
      <c r="A73" s="39" t="s">
        <v>224</v>
      </c>
      <c r="B73" s="24">
        <f>IF(1251.1606="","-",1251.1606)</f>
        <v>1251.1606</v>
      </c>
      <c r="C73" s="24" t="s">
        <v>257</v>
      </c>
      <c r="D73" s="24">
        <f>IF(31.92871="","-",31.92871/2044610.75747*100)</f>
        <v>0.0015616033459350748</v>
      </c>
      <c r="E73" s="24">
        <f>IF(1251.1606="","-",1251.1606/2425118.34307*100)</f>
        <v>0.05159173380446802</v>
      </c>
      <c r="F73" s="24">
        <f>IF(OR(1966837.29975="",44.2848="",31.92871=""),"-",(31.92871-44.2848)/1966837.29975*100)</f>
        <v>-0.0006282212566118484</v>
      </c>
      <c r="G73" s="24">
        <f>IF(OR(2044610.75747="",1251.1606="",31.92871=""),"-",(1251.1606-31.92871)/2044610.75747*100)</f>
        <v>0.05963149149761281</v>
      </c>
    </row>
    <row r="74" spans="1:7" s="16" customFormat="1" ht="15.75">
      <c r="A74" s="39" t="s">
        <v>147</v>
      </c>
      <c r="B74" s="24">
        <f>IF(1229.80969="","-",1229.80969)</f>
        <v>1229.80969</v>
      </c>
      <c r="C74" s="24">
        <f>IF(OR(4210.03303="",1229.80969=""),"-",1229.80969/4210.03303*100)</f>
        <v>29.21140241030366</v>
      </c>
      <c r="D74" s="24">
        <f>IF(4210.03303="","-",4210.03303/2044610.75747*100)</f>
        <v>0.2059087782170085</v>
      </c>
      <c r="E74" s="24">
        <f>IF(1229.80969="","-",1229.80969/2425118.34307*100)</f>
        <v>0.05071132687253367</v>
      </c>
      <c r="F74" s="24">
        <f>IF(OR(1966837.29975="",3097.22194="",4210.03303=""),"-",(4210.03303-3097.22194)/1966837.29975*100)</f>
        <v>0.056578705831003225</v>
      </c>
      <c r="G74" s="24">
        <f>IF(OR(2044610.75747="",1229.80969="",4210.03303=""),"-",(1229.80969-4210.03303)/2044610.75747*100)</f>
        <v>-0.14575993641389845</v>
      </c>
    </row>
    <row r="75" spans="1:7" s="16" customFormat="1" ht="15.75">
      <c r="A75" s="39" t="s">
        <v>161</v>
      </c>
      <c r="B75" s="24">
        <f>IF(1050.68346="","-",1050.68346)</f>
        <v>1050.68346</v>
      </c>
      <c r="C75" s="24">
        <f>IF(OR(827.03792="",1050.68346=""),"-",1050.68346/827.03792*100)</f>
        <v>127.04175160432789</v>
      </c>
      <c r="D75" s="24">
        <f>IF(827.03792="","-",827.03792/2044610.75747*100)</f>
        <v>0.04044965121006094</v>
      </c>
      <c r="E75" s="24">
        <f>IF(1050.68346="","-",1050.68346/2425118.34307*100)</f>
        <v>0.043325038672954876</v>
      </c>
      <c r="F75" s="24">
        <f>IF(OR(1966837.29975="",1289.8873="",827.03792=""),"-",(827.03792-1289.8873)/1966837.29975*100)</f>
        <v>-0.023532672481797644</v>
      </c>
      <c r="G75" s="24">
        <f>IF(OR(2044610.75747="",1050.68346="",827.03792=""),"-",(1050.68346-827.03792)/2044610.75747*100)</f>
        <v>0.010938294205041688</v>
      </c>
    </row>
    <row r="76" spans="1:7" s="16" customFormat="1" ht="15.75">
      <c r="A76" s="39" t="s">
        <v>226</v>
      </c>
      <c r="B76" s="24">
        <f>IF(1034.90358="","-",1034.90358)</f>
        <v>1034.90358</v>
      </c>
      <c r="C76" s="24" t="s">
        <v>189</v>
      </c>
      <c r="D76" s="24">
        <f>IF(420.85623="","-",420.85623/2044610.75747*100)</f>
        <v>0.020583684618815525</v>
      </c>
      <c r="E76" s="24">
        <f>IF(1034.90358="","-",1034.90358/2425118.34307*100)</f>
        <v>0.042674353726173106</v>
      </c>
      <c r="F76" s="24">
        <f>IF(OR(1966837.29975="",1.58753="",420.85623=""),"-",(420.85623-1.58753)/1966837.29975*100)</f>
        <v>0.021316897948462348</v>
      </c>
      <c r="G76" s="24">
        <f>IF(OR(2044610.75747="",1034.90358="",420.85623=""),"-",(1034.90358-420.85623)/2044610.75747*100)</f>
        <v>0.030032481623046028</v>
      </c>
    </row>
    <row r="77" spans="1:7" ht="15.75">
      <c r="A77" s="39" t="s">
        <v>154</v>
      </c>
      <c r="B77" s="24">
        <f>IF(1034.22504="","-",1034.22504)</f>
        <v>1034.22504</v>
      </c>
      <c r="C77" s="24">
        <f>IF(OR(1935.01241="",1034.22504=""),"-",1034.22504/1935.01241*100)</f>
        <v>53.44797969538604</v>
      </c>
      <c r="D77" s="24">
        <f>IF(1935.01241="","-",1935.01241/2044610.75747*100)</f>
        <v>0.09463964732311118</v>
      </c>
      <c r="E77" s="24">
        <f>IF(1034.22504="","-",1034.22504/2425118.34307*100)</f>
        <v>0.042646374060688365</v>
      </c>
      <c r="F77" s="24">
        <f>IF(OR(1966837.29975="",294.91407="",1935.01241=""),"-",(1935.01241-294.91407)/1966837.29975*100)</f>
        <v>0.08338759592409953</v>
      </c>
      <c r="G77" s="24">
        <f>IF(OR(2044610.75747="",1034.22504="",1935.01241=""),"-",(1034.22504-1935.01241)/2044610.75747*100)</f>
        <v>-0.04405666783806976</v>
      </c>
    </row>
    <row r="78" spans="1:7" ht="15.75">
      <c r="A78" s="39" t="s">
        <v>223</v>
      </c>
      <c r="B78" s="24">
        <f>IF(993.71318="","-",993.71318)</f>
        <v>993.71318</v>
      </c>
      <c r="C78" s="24" t="s">
        <v>258</v>
      </c>
      <c r="D78" s="24">
        <f>IF(67.13405="","-",67.13405/2044610.75747*100)</f>
        <v>0.0032834636008210985</v>
      </c>
      <c r="E78" s="24">
        <f>IF(993.71318="","-",993.71318/2425118.34307*100)</f>
        <v>0.04097586341877407</v>
      </c>
      <c r="F78" s="24">
        <f>IF(OR(1966837.29975="",56.52931="",67.13405=""),"-",(67.13405-56.52931)/1966837.29975*100)</f>
        <v>0.0005391772873815208</v>
      </c>
      <c r="G78" s="24">
        <f>IF(OR(2044610.75747="",993.71318="",67.13405=""),"-",(993.71318-67.13405)/2044610.75747*100)</f>
        <v>0.045318118698864145</v>
      </c>
    </row>
    <row r="79" spans="1:7" ht="15.75">
      <c r="A79" s="39" t="s">
        <v>162</v>
      </c>
      <c r="B79" s="24">
        <f>IF(930.07398="","-",930.07398)</f>
        <v>930.07398</v>
      </c>
      <c r="C79" s="24">
        <f>IF(OR(775.97094="",930.07398=""),"-",930.07398/775.97094*100)</f>
        <v>119.85938287843614</v>
      </c>
      <c r="D79" s="24">
        <f>IF(775.97094="","-",775.97094/2044610.75747*100)</f>
        <v>0.03795201297679691</v>
      </c>
      <c r="E79" s="24">
        <f>IF(930.07398="","-",930.07398/2425118.34307*100)</f>
        <v>0.038351694574319334</v>
      </c>
      <c r="F79" s="24">
        <f>IF(OR(1966837.29975="",786.53835="",775.97094=""),"-",(775.97094-786.53835)/1966837.29975*100)</f>
        <v>-0.0005372793164611629</v>
      </c>
      <c r="G79" s="24">
        <f>IF(OR(2044610.75747="",930.07398="",775.97094=""),"-",(930.07398-775.97094)/2044610.75747*100)</f>
        <v>0.007537035567135868</v>
      </c>
    </row>
    <row r="80" spans="1:7" ht="15.75">
      <c r="A80" s="39" t="s">
        <v>172</v>
      </c>
      <c r="B80" s="24">
        <f>IF(866.0086="","-",866.0086)</f>
        <v>866.0086</v>
      </c>
      <c r="C80" s="24" t="s">
        <v>259</v>
      </c>
      <c r="D80" s="24">
        <f>IF(70.55791="","-",70.55791/2044610.75747*100)</f>
        <v>0.0034509213913805443</v>
      </c>
      <c r="E80" s="24">
        <f>IF(866.0086="","-",866.0086/2425118.34307*100)</f>
        <v>0.03570995215448762</v>
      </c>
      <c r="F80" s="24">
        <f>IF(OR(1966837.29975="",19.79946="",70.55791=""),"-",(70.55791-19.79946)/1966837.29975*100)</f>
        <v>0.0025807142261564694</v>
      </c>
      <c r="G80" s="24">
        <f>IF(OR(2044610.75747="",866.0086="",70.55791=""),"-",(866.0086-70.55791)/2044610.75747*100)</f>
        <v>0.038904749331569115</v>
      </c>
    </row>
    <row r="81" spans="1:7" ht="15.75">
      <c r="A81" s="39" t="s">
        <v>220</v>
      </c>
      <c r="B81" s="24">
        <f>IF(828.11184="","-",828.11184)</f>
        <v>828.11184</v>
      </c>
      <c r="C81" s="24" t="s">
        <v>193</v>
      </c>
      <c r="D81" s="24">
        <f>IF(381.87909="","-",381.87909/2044610.75747*100)</f>
        <v>0.01867734915336829</v>
      </c>
      <c r="E81" s="24">
        <f>IF(828.11184="","-",828.11184/2425118.34307*100)</f>
        <v>0.0341472754253996</v>
      </c>
      <c r="F81" s="24">
        <f>IF(OR(1966837.29975="",1152.8884="",381.87909=""),"-",(381.87909-1152.8884)/1966837.29975*100)</f>
        <v>-0.03920046208692509</v>
      </c>
      <c r="G81" s="24">
        <f>IF(OR(2044610.75747="",828.11184="",381.87909=""),"-",(828.11184-381.87909)/2044610.75747*100)</f>
        <v>0.021824826479548025</v>
      </c>
    </row>
    <row r="82" spans="1:7" ht="15.75">
      <c r="A82" s="39" t="s">
        <v>159</v>
      </c>
      <c r="B82" s="24">
        <f>IF(795.00121="","-",795.00121)</f>
        <v>795.00121</v>
      </c>
      <c r="C82" s="24">
        <f>IF(OR(884.8753="",795.00121=""),"-",795.00121/884.8753*100)</f>
        <v>89.8433044746531</v>
      </c>
      <c r="D82" s="24">
        <f>IF(884.8753="","-",884.8753/2044610.75747*100)</f>
        <v>0.04327842337555458</v>
      </c>
      <c r="E82" s="24">
        <f>IF(795.00121="","-",795.00121/2425118.34307*100)</f>
        <v>0.03278195525062889</v>
      </c>
      <c r="F82" s="24">
        <f>IF(OR(1966837.29975="",628.63605="",884.8753=""),"-",(884.8753-628.63605)/1966837.29975*100)</f>
        <v>0.01302798406520814</v>
      </c>
      <c r="G82" s="24">
        <f>IF(OR(2044610.75747="",795.00121="",884.8753=""),"-",(795.00121-884.8753)/2044610.75747*100)</f>
        <v>-0.004395657690425642</v>
      </c>
    </row>
    <row r="83" spans="1:7" ht="15.75">
      <c r="A83" s="39" t="s">
        <v>202</v>
      </c>
      <c r="B83" s="24">
        <f>IF(782.2788="","-",782.2788)</f>
        <v>782.2788</v>
      </c>
      <c r="C83" s="24">
        <f>IF(OR(774.35532="",782.2788=""),"-",782.2788/774.35532*100)</f>
        <v>101.02323568978645</v>
      </c>
      <c r="D83" s="24">
        <f>IF(774.35532="","-",774.35532/2044610.75747*100)</f>
        <v>0.03787299451354676</v>
      </c>
      <c r="E83" s="24">
        <f>IF(782.2788="","-",782.2788/2425118.34307*100)</f>
        <v>0.032257345388336786</v>
      </c>
      <c r="F83" s="24" t="str">
        <f>IF(OR(1966837.29975="",""="",774.35532=""),"-",(774.35532-"")/1966837.29975*100)</f>
        <v>-</v>
      </c>
      <c r="G83" s="24">
        <f>IF(OR(2044610.75747="",782.2788="",774.35532=""),"-",(782.2788-774.35532)/2044610.75747*100)</f>
        <v>0.00038752999665347303</v>
      </c>
    </row>
    <row r="84" spans="1:7" ht="15.75">
      <c r="A84" s="39" t="s">
        <v>120</v>
      </c>
      <c r="B84" s="24">
        <f>IF(758.66905="","-",758.66905)</f>
        <v>758.66905</v>
      </c>
      <c r="C84" s="24" t="s">
        <v>207</v>
      </c>
      <c r="D84" s="24">
        <f>IF(243.05797="","-",243.05797/2044610.75747*100)</f>
        <v>0.011887738001572475</v>
      </c>
      <c r="E84" s="24">
        <f>IF(758.66905="","-",758.66905/2425118.34307*100)</f>
        <v>0.03128379496068581</v>
      </c>
      <c r="F84" s="24">
        <f>IF(OR(1966837.29975="",210.01341="",243.05797=""),"-",(243.05797-210.01341)/1966837.29975*100)</f>
        <v>0.001680086095794514</v>
      </c>
      <c r="G84" s="24">
        <f>IF(OR(2044610.75747="",758.66905="",243.05797=""),"-",(758.66905-243.05797)/2044610.75747*100)</f>
        <v>0.025218055716287862</v>
      </c>
    </row>
    <row r="85" spans="1:7" ht="15.75">
      <c r="A85" s="39" t="s">
        <v>169</v>
      </c>
      <c r="B85" s="24">
        <f>IF(758.2889="","-",758.2889)</f>
        <v>758.2889</v>
      </c>
      <c r="C85" s="24" t="s">
        <v>214</v>
      </c>
      <c r="D85" s="24">
        <f>IF(473.76905="","-",473.76905/2044610.75747*100)</f>
        <v>0.02317160116022482</v>
      </c>
      <c r="E85" s="24">
        <f>IF(758.2889="","-",758.2889/2425118.34307*100)</f>
        <v>0.031268119437011424</v>
      </c>
      <c r="F85" s="24">
        <f>IF(OR(1966837.29975="",876.14248="",473.76905=""),"-",(473.76905-876.14248)/1966837.29975*100)</f>
        <v>-0.020457890952705886</v>
      </c>
      <c r="G85" s="24">
        <f>IF(OR(2044610.75747="",758.2889="",473.76905=""),"-",(758.2889-473.76905)/2044610.75747*100)</f>
        <v>0.013915599776656986</v>
      </c>
    </row>
    <row r="86" spans="1:7" ht="15.75">
      <c r="A86" s="39" t="s">
        <v>204</v>
      </c>
      <c r="B86" s="24">
        <f>IF(589.0533="","-",589.0533)</f>
        <v>589.0533</v>
      </c>
      <c r="C86" s="24">
        <f>IF(OR(485.669="",589.0533=""),"-",589.0533/485.669*100)</f>
        <v>121.28698763972996</v>
      </c>
      <c r="D86" s="24">
        <f>IF(485.669="","-",485.669/2044610.75747*100)</f>
        <v>0.023753616585729328</v>
      </c>
      <c r="E86" s="24">
        <f>IF(589.0533="","-",589.0533/2425118.34307*100)</f>
        <v>0.024289672365197117</v>
      </c>
      <c r="F86" s="24">
        <f>IF(OR(1966837.29975="",533.90627="",485.669=""),"-",(485.669-533.90627)/1966837.29975*100)</f>
        <v>-0.002452529754552209</v>
      </c>
      <c r="G86" s="24">
        <f>IF(OR(2044610.75747="",589.0533="",485.669=""),"-",(589.0533-485.669)/2044610.75747*100)</f>
        <v>0.005056429426593046</v>
      </c>
    </row>
    <row r="87" spans="1:7" ht="15.75">
      <c r="A87" s="39" t="s">
        <v>164</v>
      </c>
      <c r="B87" s="24">
        <f>IF(558.22111="","-",558.22111)</f>
        <v>558.22111</v>
      </c>
      <c r="C87" s="24">
        <f>IF(OR(495.16209="",558.22111=""),"-",558.22111/495.16209*100)</f>
        <v>112.73502581750554</v>
      </c>
      <c r="D87" s="24">
        <f>IF(495.16209="","-",495.16209/2044610.75747*100)</f>
        <v>0.024217914739562127</v>
      </c>
      <c r="E87" s="24">
        <f>IF(558.22111="","-",558.22111/2425118.34307*100)</f>
        <v>0.023018303894124112</v>
      </c>
      <c r="F87" s="24">
        <f>IF(OR(1966837.29975="",492.19435="",495.16209=""),"-",(495.16209-492.19435)/1966837.29975*100)</f>
        <v>0.00015088894238365392</v>
      </c>
      <c r="G87" s="24">
        <f>IF(OR(2044610.75747="",558.22111="",495.16209=""),"-",(558.22111-495.16209)/2044610.75747*100)</f>
        <v>0.0030841576945447144</v>
      </c>
    </row>
    <row r="88" spans="1:7" ht="15.75">
      <c r="A88" s="39" t="s">
        <v>231</v>
      </c>
      <c r="B88" s="24">
        <f>IF(482.15933="","-",482.15933)</f>
        <v>482.15933</v>
      </c>
      <c r="C88" s="24" t="s">
        <v>249</v>
      </c>
      <c r="D88" s="24">
        <f>IF(118.14958="","-",118.14958/2044610.75747*100)</f>
        <v>0.005778585462701869</v>
      </c>
      <c r="E88" s="24">
        <f>IF(482.15933="","-",482.15933/2425118.34307*100)</f>
        <v>0.019881888707733168</v>
      </c>
      <c r="F88" s="24" t="str">
        <f>IF(OR(1966837.29975="",""="",118.14958=""),"-",(118.14958-"")/1966837.29975*100)</f>
        <v>-</v>
      </c>
      <c r="G88" s="24">
        <f>IF(OR(2044610.75747="",482.15933="",118.14958=""),"-",(482.15933-118.14958)/2044610.75747*100)</f>
        <v>0.017803376445618697</v>
      </c>
    </row>
    <row r="89" spans="1:7" ht="15.75">
      <c r="A89" s="39" t="s">
        <v>229</v>
      </c>
      <c r="B89" s="24">
        <f>IF(403.42283="","-",403.42283)</f>
        <v>403.42283</v>
      </c>
      <c r="C89" s="24">
        <f>IF(OR(890.3805="",403.42283=""),"-",403.42283/890.3805*100)</f>
        <v>45.3090369791342</v>
      </c>
      <c r="D89" s="24">
        <f>IF(890.3805="","-",890.3805/2044610.75747*100)</f>
        <v>0.04354767755901648</v>
      </c>
      <c r="E89" s="24">
        <f>IF(403.42283="","-",403.42283/2425118.34307*100)</f>
        <v>0.01663518117178974</v>
      </c>
      <c r="F89" s="24">
        <f>IF(OR(1966837.29975="",271.04342="",890.3805=""),"-",(890.3805-271.04342)/1966837.29975*100)</f>
        <v>0.031488983866572104</v>
      </c>
      <c r="G89" s="24">
        <f>IF(OR(2044610.75747="",403.42283="",890.3805=""),"-",(403.42283-890.3805)/2044610.75747*100)</f>
        <v>-0.023816644230247576</v>
      </c>
    </row>
    <row r="90" spans="1:7" s="28" customFormat="1" ht="15.75">
      <c r="A90" s="39" t="s">
        <v>182</v>
      </c>
      <c r="B90" s="24">
        <f>IF(375.41272="","-",375.41272)</f>
        <v>375.41272</v>
      </c>
      <c r="C90" s="24">
        <f>IF(OR(264.60299="",375.41272=""),"-",375.41272/264.60299*100)</f>
        <v>141.87773161595794</v>
      </c>
      <c r="D90" s="24">
        <f>IF(264.60299="","-",264.60299/2044610.75747*100)</f>
        <v>0.012941484780576011</v>
      </c>
      <c r="E90" s="24">
        <f>IF(375.41272="","-",375.41272/2425118.34307*100)</f>
        <v>0.015480181454763911</v>
      </c>
      <c r="F90" s="24">
        <f>IF(OR(1966837.29975="",187.50069="",264.60299=""),"-",(264.60299-187.50069)/1966837.29975*100)</f>
        <v>0.003920115812822966</v>
      </c>
      <c r="G90" s="24">
        <f>IF(OR(2044610.75747="",375.41272="",264.60299=""),"-",(375.41272-264.60299)/2044610.75747*100)</f>
        <v>0.005419600263529665</v>
      </c>
    </row>
    <row r="91" spans="1:7" ht="15.75">
      <c r="A91" s="39" t="s">
        <v>188</v>
      </c>
      <c r="B91" s="24">
        <f>IF(373.79712="","-",373.79712)</f>
        <v>373.79712</v>
      </c>
      <c r="C91" s="24">
        <f>IF(OR(259.52713="",373.79712=""),"-",373.79712/259.52713*100)</f>
        <v>144.03007500603115</v>
      </c>
      <c r="D91" s="24">
        <f>IF(259.52713="","-",259.52713/2044610.75747*100)</f>
        <v>0.012693229214989492</v>
      </c>
      <c r="E91" s="24">
        <f>IF(373.79712="","-",373.79712/2425118.34307*100)</f>
        <v>0.01541356202546403</v>
      </c>
      <c r="F91" s="24">
        <f>IF(OR(1966837.29975="",379.56162="",259.52713=""),"-",(259.52713-379.56162)/1966837.29975*100)</f>
        <v>-0.006102919139028801</v>
      </c>
      <c r="G91" s="24">
        <f>IF(OR(2044610.75747="",373.79712="",259.52713=""),"-",(373.79712-259.52713)/2044610.75747*100)</f>
        <v>0.005588838344047334</v>
      </c>
    </row>
    <row r="92" spans="1:7" ht="15.75">
      <c r="A92" s="39" t="s">
        <v>114</v>
      </c>
      <c r="B92" s="24">
        <f>IF(340.21188="","-",340.21188)</f>
        <v>340.21188</v>
      </c>
      <c r="C92" s="24">
        <f>IF(OR(304.87012="",340.21188=""),"-",340.21188/304.87012*100)</f>
        <v>111.59239875655904</v>
      </c>
      <c r="D92" s="24">
        <f>IF(304.87012="","-",304.87012/2044610.75747*100)</f>
        <v>0.014910912450507012</v>
      </c>
      <c r="E92" s="24">
        <f>IF(340.21188="","-",340.21188/2425118.34307*100)</f>
        <v>0.014028671259371194</v>
      </c>
      <c r="F92" s="24">
        <f>IF(OR(1966837.29975="",183.97601="",304.87012=""),"-",(304.87012-183.97601)/1966837.29975*100)</f>
        <v>0.006146624838534766</v>
      </c>
      <c r="G92" s="24">
        <f>IF(OR(2044610.75747="",340.21188="",304.87012=""),"-",(340.21188-304.87012)/2044610.75747*100)</f>
        <v>0.0017285324295041808</v>
      </c>
    </row>
    <row r="93" spans="1:7" ht="15.75">
      <c r="A93" s="39" t="s">
        <v>243</v>
      </c>
      <c r="B93" s="24">
        <f>IF(310.38589="","-",310.38589)</f>
        <v>310.38589</v>
      </c>
      <c r="C93" s="24" t="s">
        <v>252</v>
      </c>
      <c r="D93" s="24">
        <f>IF(58.40482="","-",58.40482/2044610.75747*100)</f>
        <v>0.0028565251252160133</v>
      </c>
      <c r="E93" s="24">
        <f>IF(310.38589="","-",310.38589/2425118.34307*100)</f>
        <v>0.012798793547001794</v>
      </c>
      <c r="F93" s="24">
        <f>IF(OR(1966837.29975="",20.56559="",58.40482=""),"-",(58.40482-20.56559)/1966837.29975*100)</f>
        <v>0.001923861724851855</v>
      </c>
      <c r="G93" s="24">
        <f>IF(OR(2044610.75747="",310.38589="",58.40482=""),"-",(310.38589-58.40482)/2044610.75747*100)</f>
        <v>0.012324158477567692</v>
      </c>
    </row>
    <row r="94" spans="1:7" ht="15.75">
      <c r="A94" s="39" t="s">
        <v>173</v>
      </c>
      <c r="B94" s="24">
        <f>IF(305.46957="","-",305.46957)</f>
        <v>305.46957</v>
      </c>
      <c r="C94" s="24">
        <f>IF(OR(285.97274="",305.46957=""),"-",305.46957/285.97274*100)</f>
        <v>106.8177232557201</v>
      </c>
      <c r="D94" s="24">
        <f>IF(285.97274="","-",285.97274/2044610.75747*100)</f>
        <v>0.013986659267794445</v>
      </c>
      <c r="E94" s="24">
        <f>IF(305.46957="","-",305.46957/2425118.34307*100)</f>
        <v>0.01259606859487528</v>
      </c>
      <c r="F94" s="24">
        <f>IF(OR(1966837.29975="",472.08934="",285.97274=""),"-",(285.97274-472.08934)/1966837.29975*100)</f>
        <v>-0.009462734920862892</v>
      </c>
      <c r="G94" s="24">
        <f>IF(OR(2044610.75747="",305.46957="",285.97274=""),"-",(305.46957-285.97274)/2044610.75747*100)</f>
        <v>0.0009535717215987533</v>
      </c>
    </row>
    <row r="95" spans="1:7" ht="15.75">
      <c r="A95" s="39" t="s">
        <v>156</v>
      </c>
      <c r="B95" s="24">
        <f>IF(283.66265="","-",283.66265)</f>
        <v>283.66265</v>
      </c>
      <c r="C95" s="24">
        <f>IF(OR(1429.88723="",283.66265=""),"-",283.66265/1429.88723*100)</f>
        <v>19.838113387445244</v>
      </c>
      <c r="D95" s="24">
        <f>IF(1429.88723="","-",1429.88723/2044610.75747*100)</f>
        <v>0.06993444716926665</v>
      </c>
      <c r="E95" s="24">
        <f>IF(283.66265="","-",283.66265/2425118.34307*100)</f>
        <v>0.011696858044498827</v>
      </c>
      <c r="F95" s="24">
        <f>IF(OR(1966837.29975="",558.05543="",1429.88723=""),"-",(1429.88723-558.05543)/1966837.29975*100)</f>
        <v>0.044326584619420045</v>
      </c>
      <c r="G95" s="24">
        <f>IF(OR(2044610.75747="",283.66265="",1429.88723=""),"-",(283.66265-1429.88723)/2044610.75747*100)</f>
        <v>-0.05606077224294454</v>
      </c>
    </row>
    <row r="96" spans="1:7" ht="15.75">
      <c r="A96" s="39" t="s">
        <v>210</v>
      </c>
      <c r="B96" s="24">
        <f>IF(244.88711="","-",244.88711)</f>
        <v>244.88711</v>
      </c>
      <c r="C96" s="24">
        <f>IF(OR(362.46351="",244.88711=""),"-",244.88711/362.46351*100)</f>
        <v>67.56186574477525</v>
      </c>
      <c r="D96" s="24">
        <f>IF(362.46351="","-",362.46351/2044610.75747*100)</f>
        <v>0.017727751293283425</v>
      </c>
      <c r="E96" s="24">
        <f>IF(244.88711="","-",244.88711/2425118.34307*100)</f>
        <v>0.010097944733286422</v>
      </c>
      <c r="F96" s="24">
        <f>IF(OR(1966837.29975="",48.29934="",362.46351=""),"-",(362.46351-48.29934)/1966837.29975*100)</f>
        <v>0.015973063457761998</v>
      </c>
      <c r="G96" s="24">
        <f>IF(OR(2044610.75747="",244.88711="",362.46351=""),"-",(244.88711-362.46351)/2044610.75747*100)</f>
        <v>-0.00575055176494762</v>
      </c>
    </row>
    <row r="97" spans="1:7" ht="15.75">
      <c r="A97" s="39" t="s">
        <v>232</v>
      </c>
      <c r="B97" s="24">
        <f>IF(242.01661="","-",242.01661)</f>
        <v>242.01661</v>
      </c>
      <c r="C97" s="24">
        <f>IF(OR(282.85589="",242.01661=""),"-",242.01661/282.85589*100)</f>
        <v>85.56180675608346</v>
      </c>
      <c r="D97" s="24">
        <f>IF(282.85589="","-",282.85589/2044610.75747*100)</f>
        <v>0.013834217049215062</v>
      </c>
      <c r="E97" s="24">
        <f>IF(242.01661="","-",242.01661/2425118.34307*100)</f>
        <v>0.009979579375645102</v>
      </c>
      <c r="F97" s="24">
        <f>IF(OR(1966837.29975="",299.8078="",282.85589=""),"-",(282.85589-299.8078)/1966837.29975*100)</f>
        <v>-0.0008618867459018961</v>
      </c>
      <c r="G97" s="24">
        <f>IF(OR(2044610.75747="",242.01661="",282.85589=""),"-",(242.01661-282.85589)/2044610.75747*100)</f>
        <v>-0.0019974109913485196</v>
      </c>
    </row>
    <row r="98" spans="1:7" ht="15.75">
      <c r="A98" s="39" t="s">
        <v>121</v>
      </c>
      <c r="B98" s="24">
        <f>IF(226.87066="","-",226.87066)</f>
        <v>226.87066</v>
      </c>
      <c r="C98" s="24" t="s">
        <v>255</v>
      </c>
      <c r="D98" s="24">
        <f>IF(56.39275="","-",56.39275/2044610.75747*100)</f>
        <v>0.002758116663231311</v>
      </c>
      <c r="E98" s="24">
        <f>IF(226.87066="","-",226.87066/2425118.34307*100)</f>
        <v>0.00935503459648903</v>
      </c>
      <c r="F98" s="24">
        <f>IF(OR(1966837.29975="",83.51252="",56.39275=""),"-",(56.39275-83.51252)/1966837.29975*100)</f>
        <v>-0.001378851723192718</v>
      </c>
      <c r="G98" s="24">
        <f>IF(OR(2044610.75747="",226.87066="",56.39275=""),"-",(226.87066-56.39275)/2044610.75747*100)</f>
        <v>0.00833791514483418</v>
      </c>
    </row>
    <row r="99" spans="1:7" ht="15.75">
      <c r="A99" s="39" t="s">
        <v>163</v>
      </c>
      <c r="B99" s="24">
        <f>IF(222.86683="","-",222.86683)</f>
        <v>222.86683</v>
      </c>
      <c r="C99" s="24">
        <f>IF(OR(517.16083="",222.86683=""),"-",222.86683/517.16083*100)</f>
        <v>43.09429815092531</v>
      </c>
      <c r="D99" s="24">
        <f>IF(517.16083="","-",517.16083/2044610.75747*100)</f>
        <v>0.025293852539440536</v>
      </c>
      <c r="E99" s="24">
        <f>IF(222.86683="","-",222.86683/2425118.34307*100)</f>
        <v>0.009189936261744198</v>
      </c>
      <c r="F99" s="24">
        <f>IF(OR(1966837.29975="",625.519="",517.16083=""),"-",(517.16083-625.519)/1966837.29975*100)</f>
        <v>-0.00550925946003633</v>
      </c>
      <c r="G99" s="24">
        <f>IF(OR(2044610.75747="",222.86683="",517.16083=""),"-",(222.86683-517.16083)/2044610.75747*100)</f>
        <v>-0.014393644312238642</v>
      </c>
    </row>
    <row r="100" spans="1:7" ht="15.75">
      <c r="A100" s="39" t="s">
        <v>187</v>
      </c>
      <c r="B100" s="24">
        <f>IF(186.33116="","-",186.33116)</f>
        <v>186.33116</v>
      </c>
      <c r="C100" s="24" t="str">
        <f>IF(OR(""="",186.33116=""),"-",186.33116/""*100)</f>
        <v>-</v>
      </c>
      <c r="D100" s="24" t="str">
        <f>IF(""="","-",""/2044610.75747*100)</f>
        <v>-</v>
      </c>
      <c r="E100" s="24">
        <f>IF(186.33116="","-",186.33116/2425118.34307*100)</f>
        <v>0.0076833842163809675</v>
      </c>
      <c r="F100" s="24" t="str">
        <f>IF(OR(1966837.29975="",163.41066="",""=""),"-",(""-163.41066)/1966837.29975*100)</f>
        <v>-</v>
      </c>
      <c r="G100" s="24" t="str">
        <f>IF(OR(2044610.75747="",186.33116="",""=""),"-",(186.33116-"")/2044610.75747*100)</f>
        <v>-</v>
      </c>
    </row>
    <row r="101" spans="1:7" ht="15.75">
      <c r="A101" s="39" t="s">
        <v>230</v>
      </c>
      <c r="B101" s="24">
        <f>IF(177.95744="","-",177.95744)</f>
        <v>177.95744</v>
      </c>
      <c r="C101" s="24" t="str">
        <f>IF(OR(""="",177.95744=""),"-",177.95744/""*100)</f>
        <v>-</v>
      </c>
      <c r="D101" s="24" t="str">
        <f>IF(""="","-",""/2044610.75747*100)</f>
        <v>-</v>
      </c>
      <c r="E101" s="24">
        <f>IF(177.95744="","-",177.95744/2425118.34307*100)</f>
        <v>0.007338093025791086</v>
      </c>
      <c r="F101" s="24" t="str">
        <f>IF(OR(1966837.29975="",""="",""=""),"-",(""-"")/1966837.29975*100)</f>
        <v>-</v>
      </c>
      <c r="G101" s="24" t="str">
        <f>IF(OR(2044610.75747="",177.95744="",""=""),"-",(177.95744-"")/2044610.75747*100)</f>
        <v>-</v>
      </c>
    </row>
    <row r="102" spans="1:7" ht="15.75">
      <c r="A102" s="39" t="s">
        <v>203</v>
      </c>
      <c r="B102" s="24">
        <f>IF(174.27736="","-",174.27736)</f>
        <v>174.27736</v>
      </c>
      <c r="C102" s="24" t="s">
        <v>250</v>
      </c>
      <c r="D102" s="24">
        <f>IF(50.57699="","-",50.57699/2044610.75747*100)</f>
        <v>0.0024736732806093582</v>
      </c>
      <c r="E102" s="24">
        <f>IF(174.27736="","-",174.27736/2425118.34307*100)</f>
        <v>0.00718634455501991</v>
      </c>
      <c r="F102" s="24">
        <f>IF(OR(1966837.29975="",27.7076="",50.57699=""),"-",(50.57699-27.7076)/1966837.29975*100)</f>
        <v>0.001162749455834851</v>
      </c>
      <c r="G102" s="24">
        <f>IF(OR(2044610.75747="",174.27736="",50.57699=""),"-",(174.27736-50.57699)/2044610.75747*100)</f>
        <v>0.006050069410427379</v>
      </c>
    </row>
    <row r="103" spans="1:7" ht="15.75">
      <c r="A103" s="39" t="s">
        <v>167</v>
      </c>
      <c r="B103" s="24">
        <f>IF(119.69828="","-",119.69828)</f>
        <v>119.69828</v>
      </c>
      <c r="C103" s="24" t="s">
        <v>211</v>
      </c>
      <c r="D103" s="24">
        <f>IF(40.49776="","-",40.49776/2044610.75747*100)</f>
        <v>0.00198070756754268</v>
      </c>
      <c r="E103" s="24">
        <f>IF(119.69828="","-",119.69828/2425118.34307*100)</f>
        <v>0.004935770674534251</v>
      </c>
      <c r="F103" s="24" t="str">
        <f>IF(OR(1966837.29975="",""="",40.49776=""),"-",(40.49776-"")/1966837.29975*100)</f>
        <v>-</v>
      </c>
      <c r="G103" s="24">
        <f>IF(OR(2044610.75747="",119.69828="",40.49776=""),"-",(119.69828-40.49776)/2044610.75747*100)</f>
        <v>0.0038736233637938337</v>
      </c>
    </row>
    <row r="104" spans="1:7" ht="15.75">
      <c r="A104" s="39" t="s">
        <v>179</v>
      </c>
      <c r="B104" s="24">
        <f>IF(103.57465="","-",103.57465)</f>
        <v>103.57465</v>
      </c>
      <c r="C104" s="24" t="str">
        <f>IF(OR(""="",103.57465=""),"-",103.57465/""*100)</f>
        <v>-</v>
      </c>
      <c r="D104" s="24" t="str">
        <f>IF(""="","-",""/2044610.75747*100)</f>
        <v>-</v>
      </c>
      <c r="E104" s="24">
        <f>IF(103.57465="","-",103.57465/2425118.34307*100)</f>
        <v>0.004270911161757287</v>
      </c>
      <c r="F104" s="24" t="str">
        <f>IF(OR(1966837.29975="",""="",""=""),"-",(""-"")/1966837.29975*100)</f>
        <v>-</v>
      </c>
      <c r="G104" s="24" t="str">
        <f>IF(OR(2044610.75747="",103.57465="",""=""),"-",(103.57465-"")/2044610.75747*100)</f>
        <v>-</v>
      </c>
    </row>
    <row r="105" spans="1:7" ht="15.75">
      <c r="A105" s="39" t="s">
        <v>221</v>
      </c>
      <c r="B105" s="24">
        <f>IF(64.1936="","-",64.1936)</f>
        <v>64.1936</v>
      </c>
      <c r="C105" s="24" t="s">
        <v>240</v>
      </c>
      <c r="D105" s="24">
        <f>IF(14.606="","-",14.606/2044610.75747*100)</f>
        <v>0.0007143658002696539</v>
      </c>
      <c r="E105" s="24">
        <f>IF(64.1936="","-",64.1936/2425118.34307*100)</f>
        <v>0.00264702958449179</v>
      </c>
      <c r="F105" s="24" t="str">
        <f>IF(OR(1966837.29975="",""="",14.606=""),"-",(14.606-"")/1966837.29975*100)</f>
        <v>-</v>
      </c>
      <c r="G105" s="24">
        <f>IF(OR(2044610.75747="",64.1936="",14.606=""),"-",(64.1936-14.606)/2044610.75747*100)</f>
        <v>0.002425283141000376</v>
      </c>
    </row>
    <row r="106" spans="1:7" ht="15.75">
      <c r="A106" s="39" t="s">
        <v>192</v>
      </c>
      <c r="B106" s="24">
        <f>IF(60.96444="","-",60.96444)</f>
        <v>60.96444</v>
      </c>
      <c r="C106" s="24">
        <f>IF(OR(41.16549="",60.96444=""),"-",60.96444/41.16549*100)</f>
        <v>148.09599011210605</v>
      </c>
      <c r="D106" s="24">
        <f>IF(41.16549="","-",41.16549/2044610.75747*100)</f>
        <v>0.0020133656173724796</v>
      </c>
      <c r="E106" s="24">
        <f>IF(60.96444="","-",60.96444/2425118.34307*100)</f>
        <v>0.002513874845498222</v>
      </c>
      <c r="F106" s="24">
        <f>IF(OR(1966837.29975="",43.08568="",41.16549=""),"-",(41.16549-43.08568)/1966837.29975*100)</f>
        <v>-9.762830917656869E-05</v>
      </c>
      <c r="G106" s="24">
        <f>IF(OR(2044610.75747="",60.96444="",41.16549=""),"-",(60.96444-41.16549)/2044610.75747*100)</f>
        <v>0.0009683481282520107</v>
      </c>
    </row>
    <row r="107" spans="1:7" ht="15.75">
      <c r="A107" s="39" t="s">
        <v>174</v>
      </c>
      <c r="B107" s="24">
        <f>IF(59.2493="","-",59.2493)</f>
        <v>59.2493</v>
      </c>
      <c r="C107" s="24">
        <f>IF(OR(253.5538="",59.2493=""),"-",59.2493/253.5538*100)</f>
        <v>23.367545664864814</v>
      </c>
      <c r="D107" s="24">
        <f>IF(253.5538="","-",253.5538/2044610.75747*100)</f>
        <v>0.012401079231029151</v>
      </c>
      <c r="E107" s="24">
        <f>IF(59.2493="","-",59.2493/2425118.34307*100)</f>
        <v>0.002443150874237142</v>
      </c>
      <c r="F107" s="24">
        <f>IF(OR(1966837.29975="",288.49697="",253.5538=""),"-",(253.5538-288.49697)/1966837.29975*100)</f>
        <v>-0.001776617212030783</v>
      </c>
      <c r="G107" s="24">
        <f>IF(OR(2044610.75747="",59.2493="",253.5538=""),"-",(59.2493-253.5538)/2044610.75747*100)</f>
        <v>-0.009503251378782348</v>
      </c>
    </row>
    <row r="108" spans="1:7" ht="15.75">
      <c r="A108" s="39" t="s">
        <v>235</v>
      </c>
      <c r="B108" s="24">
        <f>IF(55.15="","-",55.15)</f>
        <v>55.15</v>
      </c>
      <c r="C108" s="24" t="str">
        <f>IF(OR(""="",55.15=""),"-",55.15/""*100)</f>
        <v>-</v>
      </c>
      <c r="D108" s="24" t="str">
        <f>IF(""="","-",""/2044610.75747*100)</f>
        <v>-</v>
      </c>
      <c r="E108" s="24">
        <f>IF(55.15="","-",55.15/2425118.34307*100)</f>
        <v>0.0022741158243924976</v>
      </c>
      <c r="F108" s="24" t="str">
        <f>IF(OR(1966837.29975="",""="",""=""),"-",(""-"")/1966837.29975*100)</f>
        <v>-</v>
      </c>
      <c r="G108" s="24" t="str">
        <f>IF(OR(2044610.75747="",55.15="",""=""),"-",(55.15-"")/2044610.75747*100)</f>
        <v>-</v>
      </c>
    </row>
    <row r="109" spans="1:7" ht="15.75">
      <c r="A109" s="39" t="s">
        <v>168</v>
      </c>
      <c r="B109" s="24">
        <f>IF(51.06442="","-",51.06442)</f>
        <v>51.06442</v>
      </c>
      <c r="C109" s="24" t="s">
        <v>245</v>
      </c>
      <c r="D109" s="24">
        <f>IF(7.225="","-",7.225/2044610.75747*100)</f>
        <v>0.00035336799308149046</v>
      </c>
      <c r="E109" s="24">
        <f>IF(51.06442="","-",51.06442/2425118.34307*100)</f>
        <v>0.0021056465201346277</v>
      </c>
      <c r="F109" s="24" t="str">
        <f>IF(OR(1966837.29975="",""="",7.225=""),"-",(7.225-"")/1966837.29975*100)</f>
        <v>-</v>
      </c>
      <c r="G109" s="24">
        <f>IF(OR(2044610.75747="",51.06442="",7.225=""),"-",(51.06442-7.225)/2044610.75747*100)</f>
        <v>0.0021441450329766857</v>
      </c>
    </row>
    <row r="110" spans="1:7" ht="15.75">
      <c r="A110" s="44" t="s">
        <v>27</v>
      </c>
      <c r="B110" s="44"/>
      <c r="C110" s="44"/>
      <c r="D110" s="44"/>
      <c r="E110" s="44"/>
      <c r="F110" s="44"/>
      <c r="G110" s="44"/>
    </row>
  </sheetData>
  <sheetProtection/>
  <mergeCells count="12">
    <mergeCell ref="A110:G110"/>
    <mergeCell ref="A1:G1"/>
    <mergeCell ref="A3:A5"/>
    <mergeCell ref="B3:C3"/>
    <mergeCell ref="D3:E3"/>
    <mergeCell ref="F3:G3"/>
    <mergeCell ref="B4:B5"/>
    <mergeCell ref="C4:C5"/>
    <mergeCell ref="D4:D5"/>
    <mergeCell ref="E4:E5"/>
    <mergeCell ref="F4:F5"/>
    <mergeCell ref="G4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8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32.375" style="0" customWidth="1"/>
    <col min="2" max="2" width="11.375" style="0" customWidth="1"/>
    <col min="3" max="3" width="10.25390625" style="0" customWidth="1"/>
    <col min="4" max="4" width="7.625" style="0" customWidth="1"/>
    <col min="5" max="5" width="7.75390625" style="0" customWidth="1"/>
    <col min="6" max="6" width="9.625" style="0" customWidth="1"/>
    <col min="7" max="7" width="9.875" style="0" customWidth="1"/>
  </cols>
  <sheetData>
    <row r="1" spans="1:7" ht="15.75">
      <c r="A1" s="58" t="s">
        <v>30</v>
      </c>
      <c r="B1" s="58"/>
      <c r="C1" s="58"/>
      <c r="D1" s="58"/>
      <c r="E1" s="58"/>
      <c r="F1" s="58"/>
      <c r="G1" s="58"/>
    </row>
    <row r="2" ht="15.75">
      <c r="A2" s="2"/>
    </row>
    <row r="3" spans="1:7" ht="56.25" customHeight="1">
      <c r="A3" s="59"/>
      <c r="B3" s="62">
        <v>2017</v>
      </c>
      <c r="C3" s="63"/>
      <c r="D3" s="62" t="s">
        <v>228</v>
      </c>
      <c r="E3" s="63"/>
      <c r="F3" s="62" t="s">
        <v>218</v>
      </c>
      <c r="G3" s="64"/>
    </row>
    <row r="4" spans="1:7" ht="15.75">
      <c r="A4" s="60"/>
      <c r="B4" s="53" t="s">
        <v>194</v>
      </c>
      <c r="C4" s="55" t="s">
        <v>274</v>
      </c>
      <c r="D4" s="53">
        <v>2016</v>
      </c>
      <c r="E4" s="53">
        <v>2017</v>
      </c>
      <c r="F4" s="53" t="s">
        <v>2</v>
      </c>
      <c r="G4" s="51" t="s">
        <v>186</v>
      </c>
    </row>
    <row r="5" spans="1:7" ht="15.75">
      <c r="A5" s="61"/>
      <c r="B5" s="54"/>
      <c r="C5" s="56"/>
      <c r="D5" s="54"/>
      <c r="E5" s="54"/>
      <c r="F5" s="54"/>
      <c r="G5" s="57"/>
    </row>
    <row r="6" spans="1:7" s="3" customFormat="1" ht="15">
      <c r="A6" s="7" t="s">
        <v>29</v>
      </c>
      <c r="B6" s="43">
        <f>IF(4831412.23329="","-",4831412.23329)</f>
        <v>4831412.23329</v>
      </c>
      <c r="C6" s="43">
        <f>IF(4020356.96103="","-",4831412.23329/4020356.96103*100)</f>
        <v>120.17371293449055</v>
      </c>
      <c r="D6" s="43">
        <v>100</v>
      </c>
      <c r="E6" s="43">
        <v>100</v>
      </c>
      <c r="F6" s="43">
        <f>IF(3986820.02566="","-",(4020356.96103-3986820.02566)/3986820.02566*100)</f>
        <v>0.8411951167634709</v>
      </c>
      <c r="G6" s="43">
        <f>IF(4020356.96103="","-",(4831412.23329-4020356.96103)/4020356.96103*100)</f>
        <v>20.173712934490542</v>
      </c>
    </row>
    <row r="7" spans="1:7" ht="12.75" customHeight="1">
      <c r="A7" s="8" t="s">
        <v>3</v>
      </c>
      <c r="B7" s="38"/>
      <c r="C7" s="34"/>
      <c r="D7" s="35"/>
      <c r="E7" s="35"/>
      <c r="F7" s="36"/>
      <c r="G7" s="36"/>
    </row>
    <row r="8" spans="1:7" ht="15.75">
      <c r="A8" s="9" t="s">
        <v>4</v>
      </c>
      <c r="B8" s="23">
        <f>IF(2389113.27076="","-",2389113.27076)</f>
        <v>2389113.27076</v>
      </c>
      <c r="C8" s="23">
        <f>IF(1973711.54684="","-",2389113.27076/1973711.54684*100)</f>
        <v>121.04672917301806</v>
      </c>
      <c r="D8" s="23">
        <f>IF(1973711.54684="","-",1973711.54684/4020356.96103*100)</f>
        <v>49.09294288968666</v>
      </c>
      <c r="E8" s="23">
        <f>IF(2389113.27076="","-",2389113.27076/4831412.23329*100)</f>
        <v>49.44958441546829</v>
      </c>
      <c r="F8" s="23">
        <f>IF(3986820.02566="","-",(1973711.54684-1954250.90917)/3986820.02566*100)</f>
        <v>0.4881243082142448</v>
      </c>
      <c r="G8" s="23">
        <f>IF(4020356.96103="","-",(2389113.27076-1973711.54684)/4020356.96103*100)</f>
        <v>10.332458733056777</v>
      </c>
    </row>
    <row r="9" spans="1:7" s="16" customFormat="1" ht="15.75">
      <c r="A9" s="39" t="s">
        <v>5</v>
      </c>
      <c r="B9" s="24">
        <f>IF(694529.98879="","-",694529.98879)</f>
        <v>694529.98879</v>
      </c>
      <c r="C9" s="24">
        <f>IF(OR(551498.82402="",694529.98879=""),"-",694529.98879/551498.82402*100)</f>
        <v>125.9349899837344</v>
      </c>
      <c r="D9" s="24">
        <f>IF(551498.82402="","-",551498.82402/4020356.96103*100)</f>
        <v>13.717658142442858</v>
      </c>
      <c r="E9" s="24">
        <f>IF(694529.98879="","-",694529.98879/4831412.23329*100)</f>
        <v>14.375299710599371</v>
      </c>
      <c r="F9" s="24">
        <f>IF(OR(3986820.02566="",555137.31157="",551498.82402=""),"-",(551498.82402-555137.31157)/3986820.02566*100)</f>
        <v>-0.0912628994181332</v>
      </c>
      <c r="G9" s="24">
        <f>IF(OR(4020356.96103="",694529.98879="",551498.82402=""),"-",(694529.98879-551498.82402)/4020356.96103*100)</f>
        <v>3.557673265245482</v>
      </c>
    </row>
    <row r="10" spans="1:7" s="16" customFormat="1" ht="15.75">
      <c r="A10" s="39" t="s">
        <v>7</v>
      </c>
      <c r="B10" s="24">
        <f>IF(390601.83674="","-",390601.83674)</f>
        <v>390601.83674</v>
      </c>
      <c r="C10" s="24">
        <f>IF(OR(316441.10326="",390601.83674=""),"-",390601.83674/316441.10326*100)</f>
        <v>123.43587249443596</v>
      </c>
      <c r="D10" s="24">
        <f>IF(316441.10326="","-",316441.10326/4020356.96103*100)</f>
        <v>7.870970322469302</v>
      </c>
      <c r="E10" s="24">
        <f>IF(390601.83674="","-",390601.83674/4831412.23329*100)</f>
        <v>8.08463070173616</v>
      </c>
      <c r="F10" s="24">
        <f>IF(OR(3986820.02566="",321297.07905="",316441.10326=""),"-",(316441.10326-321297.07905)/3986820.02566*100)</f>
        <v>-0.12180072736531697</v>
      </c>
      <c r="G10" s="24">
        <f>IF(OR(4020356.96103="",390601.83674="",316441.10326=""),"-",(390601.83674-316441.10326)/4020356.96103*100)</f>
        <v>1.8446305688487996</v>
      </c>
    </row>
    <row r="11" spans="1:7" s="16" customFormat="1" ht="15.75">
      <c r="A11" s="39" t="s">
        <v>6</v>
      </c>
      <c r="B11" s="24">
        <f>IF(331207.64213="","-",331207.64213)</f>
        <v>331207.64213</v>
      </c>
      <c r="C11" s="24">
        <f>IF(OR(280770.79814="",331207.64213=""),"-",331207.64213/280770.79814*100)</f>
        <v>117.96370716759894</v>
      </c>
      <c r="D11" s="24">
        <f>IF(280770.79814="","-",280770.79814/4020356.96103*100)</f>
        <v>6.983728083390576</v>
      </c>
      <c r="E11" s="24">
        <f>IF(331207.64213="","-",331207.64213/4831412.23329*100)</f>
        <v>6.855296673876672</v>
      </c>
      <c r="F11" s="24">
        <f>IF(OR(3986820.02566="",279160.08764="",280770.79814=""),"-",(280770.79814-279160.08764)/3986820.02566*100)</f>
        <v>0.04040088315081138</v>
      </c>
      <c r="G11" s="24">
        <f>IF(OR(4020356.96103="",331207.64213="",280770.79814=""),"-",(331207.64213-280770.79814)/4020356.96103*100)</f>
        <v>1.2545364622816537</v>
      </c>
    </row>
    <row r="12" spans="1:7" s="16" customFormat="1" ht="15.75">
      <c r="A12" s="39" t="s">
        <v>8</v>
      </c>
      <c r="B12" s="24">
        <f>IF(165714.31="","-",165714.31)</f>
        <v>165714.31</v>
      </c>
      <c r="C12" s="24">
        <f>IF(OR(132205.1983="",165714.31=""),"-",165714.31/132205.1983*100)</f>
        <v>125.34628904981568</v>
      </c>
      <c r="D12" s="24">
        <f>IF(132205.1983="","-",132205.1983/4020356.96103*100)</f>
        <v>3.2883945276871516</v>
      </c>
      <c r="E12" s="24">
        <f>IF(165714.31="","-",165714.31/4831412.23329*100)</f>
        <v>3.429935223870457</v>
      </c>
      <c r="F12" s="24">
        <f>IF(OR(3986820.02566="",122353.81074="",132205.1983=""),"-",(132205.1983-122353.81074)/3986820.02566*100)</f>
        <v>0.24709887821859067</v>
      </c>
      <c r="G12" s="24">
        <f>IF(OR(4020356.96103="",165714.31="",132205.1983=""),"-",(165714.31-132205.1983)/4020356.96103*100)</f>
        <v>0.8334859820859066</v>
      </c>
    </row>
    <row r="13" spans="1:7" s="16" customFormat="1" ht="15.75">
      <c r="A13" s="39" t="s">
        <v>199</v>
      </c>
      <c r="B13" s="24">
        <f>IF(112676.72672="","-",112676.72672)</f>
        <v>112676.72672</v>
      </c>
      <c r="C13" s="24">
        <f>IF(OR(89958.01176="",112676.72672=""),"-",112676.72672/89958.01176*100)</f>
        <v>125.25479889507956</v>
      </c>
      <c r="D13" s="24">
        <f>IF(89958.01176="","-",89958.01176/4020356.96103*100)</f>
        <v>2.2375627993230007</v>
      </c>
      <c r="E13" s="24">
        <f>IF(112676.72672="","-",112676.72672/4831412.23329*100)</f>
        <v>2.3321695868471077</v>
      </c>
      <c r="F13" s="24">
        <f>IF(OR(3986820.02566="",81020.70045="",89958.01176=""),"-",(89958.01176-81020.70045)/3986820.02566*100)</f>
        <v>0.22417142616114102</v>
      </c>
      <c r="G13" s="24">
        <f>IF(OR(4020356.96103="",112676.72672="",89958.01176=""),"-",(112676.72672-89958.01176)/4020356.96103*100)</f>
        <v>0.5650919851201364</v>
      </c>
    </row>
    <row r="14" spans="1:7" s="16" customFormat="1" ht="15.75">
      <c r="A14" s="39" t="s">
        <v>125</v>
      </c>
      <c r="B14" s="24">
        <f>IF(99638.15919="","-",99638.15919)</f>
        <v>99638.15919</v>
      </c>
      <c r="C14" s="24">
        <f>IF(OR(80095.7453="",99638.15919=""),"-",99638.15919/80095.7453*100)</f>
        <v>124.39881646247694</v>
      </c>
      <c r="D14" s="24">
        <f>IF(80095.7453="","-",80095.7453/4020356.96103*100)</f>
        <v>1.9922545703374501</v>
      </c>
      <c r="E14" s="24">
        <f>IF(99638.15919="","-",99638.15919/4831412.23329*100)</f>
        <v>2.0622988554663317</v>
      </c>
      <c r="F14" s="24">
        <f>IF(OR(3986820.02566="",69313.57829="",80095.7453=""),"-",(80095.7453-69313.57829)/3986820.02566*100)</f>
        <v>0.27044529074810825</v>
      </c>
      <c r="G14" s="24">
        <f>IF(OR(4020356.96103="",99638.15919="",80095.7453=""),"-",(99638.15919-80095.7453)/4020356.96103*100)</f>
        <v>0.4860865360819433</v>
      </c>
    </row>
    <row r="15" spans="1:7" s="16" customFormat="1" ht="15.75">
      <c r="A15" s="39" t="s">
        <v>11</v>
      </c>
      <c r="B15" s="24">
        <f>IF(80297.6847="","-",80297.6847)</f>
        <v>80297.6847</v>
      </c>
      <c r="C15" s="24">
        <f>IF(OR(73738.07949="",80297.6847=""),"-",80297.6847/73738.07949*100)</f>
        <v>108.89581781268059</v>
      </c>
      <c r="D15" s="24">
        <f>IF(73738.07949="","-",73738.07949/4020356.96103*100)</f>
        <v>1.834117721504724</v>
      </c>
      <c r="E15" s="24">
        <f>IF(80297.6847="","-",80297.6847/4831412.23329*100)</f>
        <v>1.6619919978411872</v>
      </c>
      <c r="F15" s="24">
        <f>IF(OR(3986820.02566="",89506.27647="",73738.07949=""),"-",(73738.07949-89506.27647)/3986820.02566*100)</f>
        <v>-0.39550812122224255</v>
      </c>
      <c r="G15" s="24">
        <f>IF(OR(4020356.96103="",80297.6847="",73738.07949=""),"-",(80297.6847-73738.07949)/4020356.96103*100)</f>
        <v>0.16315977097514867</v>
      </c>
    </row>
    <row r="16" spans="1:7" s="16" customFormat="1" ht="15.75">
      <c r="A16" s="39" t="s">
        <v>9</v>
      </c>
      <c r="B16" s="24">
        <f>IF(74125.47142="","-",74125.47142)</f>
        <v>74125.47142</v>
      </c>
      <c r="C16" s="24">
        <f>IF(OR(57622.09049="",74125.47142=""),"-",74125.47142/57622.09049*100)</f>
        <v>128.64071884525617</v>
      </c>
      <c r="D16" s="24">
        <f>IF(57622.09049="","-",57622.09049/4020356.96103*100)</f>
        <v>1.433258067593019</v>
      </c>
      <c r="E16" s="24">
        <f>IF(74125.47142="","-",74125.47142/4831412.23329*100)</f>
        <v>1.5342402560736057</v>
      </c>
      <c r="F16" s="24">
        <f>IF(OR(3986820.02566="",68439.04654="",57622.09049=""),"-",(57622.09049-68439.04654)/3986820.02566*100)</f>
        <v>-0.27131789196351536</v>
      </c>
      <c r="G16" s="24">
        <f>IF(OR(4020356.96103="",74125.47142="",57622.09049=""),"-",(74125.47142-57622.09049)/4020356.96103*100)</f>
        <v>0.4104954134662684</v>
      </c>
    </row>
    <row r="17" spans="1:7" s="16" customFormat="1" ht="15.75">
      <c r="A17" s="39" t="s">
        <v>10</v>
      </c>
      <c r="B17" s="24">
        <f>IF(68218.61548="","-",68218.61548)</f>
        <v>68218.61548</v>
      </c>
      <c r="C17" s="24">
        <f>IF(OR(56147.92079="",68218.61548=""),"-",68218.61548/56147.92079*100)</f>
        <v>121.49802614267027</v>
      </c>
      <c r="D17" s="24">
        <f>IF(56147.92079="","-",56147.92079/4020356.96103*100)</f>
        <v>1.396590435482503</v>
      </c>
      <c r="E17" s="24">
        <f>IF(68218.61548="","-",68218.61548/4831412.23329*100)</f>
        <v>1.4119808492008108</v>
      </c>
      <c r="F17" s="24">
        <f>IF(OR(3986820.02566="",51055.09853="",56147.92079=""),"-",(56147.92079-51055.09853)/3986820.02566*100)</f>
        <v>0.1277414638037718</v>
      </c>
      <c r="G17" s="24">
        <f>IF(OR(4020356.96103="",68218.61548="",56147.92079=""),"-",(68218.61548-56147.92079)/4020356.96103*100)</f>
        <v>0.30023937692606106</v>
      </c>
    </row>
    <row r="18" spans="1:7" s="16" customFormat="1" ht="15.75">
      <c r="A18" s="39" t="s">
        <v>123</v>
      </c>
      <c r="B18" s="24">
        <f>IF(60740.92086="","-",60740.92086)</f>
        <v>60740.92086</v>
      </c>
      <c r="C18" s="24">
        <f>IF(OR(49953.10577="",60740.92086=""),"-",60740.92086/49953.10577*100)</f>
        <v>121.59588462761562</v>
      </c>
      <c r="D18" s="24">
        <f>IF(49953.10577="","-",49953.10577/4020356.96103*100)</f>
        <v>1.2425042416433143</v>
      </c>
      <c r="E18" s="24">
        <f>IF(60740.92086="","-",60740.92086/4831412.23329*100)</f>
        <v>1.2572084087852269</v>
      </c>
      <c r="F18" s="24">
        <f>IF(OR(3986820.02566="",44772.65466="",49953.10577=""),"-",(49953.10577-44772.65466)/3986820.02566*100)</f>
        <v>0.1299394273294893</v>
      </c>
      <c r="G18" s="24">
        <f>IF(OR(4020356.96103="",60740.92086="",49953.10577=""),"-",(60740.92086-49953.10577)/4020356.96103*100)</f>
        <v>0.2683297825185204</v>
      </c>
    </row>
    <row r="19" spans="1:7" s="16" customFormat="1" ht="15.75" customHeight="1">
      <c r="A19" s="39" t="s">
        <v>208</v>
      </c>
      <c r="B19" s="24">
        <f>IF(57121.54679="","-",57121.54679)</f>
        <v>57121.54679</v>
      </c>
      <c r="C19" s="24">
        <f>IF(OR(61997.72757="",57121.54679=""),"-",57121.54679/61997.72757*100)</f>
        <v>92.13490401806351</v>
      </c>
      <c r="D19" s="24">
        <f>IF(61997.72757="","-",61997.72757/4020356.96103*100)</f>
        <v>1.5420950968024598</v>
      </c>
      <c r="E19" s="24">
        <f>IF(57121.54679="","-",57121.54679/4831412.23329*100)</f>
        <v>1.1822950315937437</v>
      </c>
      <c r="F19" s="24">
        <f>IF(OR(3986820.02566="",53061.87537="",61997.72757=""),"-",(61997.72757-53061.87537)/3986820.02566*100)</f>
        <v>0.2241348278198415</v>
      </c>
      <c r="G19" s="24">
        <f>IF(OR(4020356.96103="",57121.54679="",61997.72757=""),"-",(57121.54679-61997.72757)/4020356.96103*100)</f>
        <v>-0.1212872594962499</v>
      </c>
    </row>
    <row r="20" spans="1:7" s="16" customFormat="1" ht="15.75">
      <c r="A20" s="39" t="s">
        <v>13</v>
      </c>
      <c r="B20" s="24">
        <f>IF(47757.14559="","-",47757.14559)</f>
        <v>47757.14559</v>
      </c>
      <c r="C20" s="24">
        <f>IF(OR(43416.92907="",47757.14559=""),"-",47757.14559/43416.92907*100)</f>
        <v>109.9965995130664</v>
      </c>
      <c r="D20" s="24">
        <f>IF(43416.92907="","-",43416.92907/4020356.96103*100)</f>
        <v>1.07992721767862</v>
      </c>
      <c r="E20" s="24">
        <f>IF(47757.14559="","-",47757.14559/4831412.23329*100)</f>
        <v>0.9884717611330649</v>
      </c>
      <c r="F20" s="24">
        <f>IF(OR(3986820.02566="",41682.47537="",43416.92907=""),"-",(43416.92907-41682.47537)/3986820.02566*100)</f>
        <v>0.04350469017504414</v>
      </c>
      <c r="G20" s="24">
        <f>IF(OR(4020356.96103="",47757.14559="",43416.92907=""),"-",(47757.14559-43416.92907)/4020356.96103*100)</f>
        <v>0.10795599898393239</v>
      </c>
    </row>
    <row r="21" spans="1:7" s="16" customFormat="1" ht="15.75">
      <c r="A21" s="39" t="s">
        <v>124</v>
      </c>
      <c r="B21" s="24">
        <f>IF(38505.36225="","-",38505.36225)</f>
        <v>38505.36225</v>
      </c>
      <c r="C21" s="24">
        <f>IF(OR(30688.9778="",38505.36225=""),"-",38505.36225/30688.9778*100)</f>
        <v>125.46968002955118</v>
      </c>
      <c r="D21" s="24">
        <f>IF(30688.9778="","-",30688.9778/4020356.96103*100)</f>
        <v>0.7633396262439741</v>
      </c>
      <c r="E21" s="24">
        <f>IF(38505.36225="","-",38505.36225/4831412.23329*100)</f>
        <v>0.7969794418428124</v>
      </c>
      <c r="F21" s="24">
        <f>IF(OR(3986820.02566="",32813.50573="",30688.9778=""),"-",(30688.9778-32813.50573)/3986820.02566*100)</f>
        <v>-0.05328878445292475</v>
      </c>
      <c r="G21" s="24">
        <f>IF(OR(4020356.96103="",38505.36225="",30688.9778=""),"-",(38505.36225-30688.9778)/4020356.96103*100)</f>
        <v>0.19442016034311216</v>
      </c>
    </row>
    <row r="22" spans="1:7" s="16" customFormat="1" ht="15.75">
      <c r="A22" s="39" t="s">
        <v>12</v>
      </c>
      <c r="B22" s="24">
        <f>IF(25538.72334="","-",25538.72334)</f>
        <v>25538.72334</v>
      </c>
      <c r="C22" s="24">
        <f>IF(OR(19544.22574="",25538.72334=""),"-",25538.72334/19544.22574*100)</f>
        <v>130.6714508916637</v>
      </c>
      <c r="D22" s="24">
        <f>IF(19544.22574="","-",19544.22574/4020356.96103*100)</f>
        <v>0.48613160297569313</v>
      </c>
      <c r="E22" s="24">
        <f>IF(25538.72334="","-",25538.72334/4831412.23329*100)</f>
        <v>0.528597480546783</v>
      </c>
      <c r="F22" s="24">
        <f>IF(OR(3986820.02566="",19710.66372="",19544.22574=""),"-",(19544.22574-19710.66372)/3986820.02566*100)</f>
        <v>-0.004174705126611421</v>
      </c>
      <c r="G22" s="24">
        <f>IF(OR(4020356.96103="",25538.72334="",19544.22574=""),"-",(25538.72334-19544.22574)/4020356.96103*100)</f>
        <v>0.14910361587554732</v>
      </c>
    </row>
    <row r="23" spans="1:7" s="16" customFormat="1" ht="15.75">
      <c r="A23" s="39" t="s">
        <v>127</v>
      </c>
      <c r="B23" s="24">
        <f>IF(24265.35307="","-",24265.35307)</f>
        <v>24265.35307</v>
      </c>
      <c r="C23" s="24">
        <f>IF(OR(18272.41732="",24265.35307=""),"-",24265.35307/18272.41732*100)</f>
        <v>132.7977171550283</v>
      </c>
      <c r="D23" s="24">
        <f>IF(18272.41732="","-",18272.41732/4020356.96103*100)</f>
        <v>0.45449738660317063</v>
      </c>
      <c r="E23" s="24">
        <f>IF(24265.35307="","-",24265.35307/4831412.23329*100)</f>
        <v>0.502241413034554</v>
      </c>
      <c r="F23" s="24">
        <f>IF(OR(3986820.02566="",15428.56799="",18272.41732=""),"-",(18272.41732-15428.56799)/3986820.02566*100)</f>
        <v>0.07133126932483526</v>
      </c>
      <c r="G23" s="24">
        <f>IF(OR(4020356.96103="",24265.35307="",18272.41732=""),"-",(24265.35307-18272.41732)/4020356.96103*100)</f>
        <v>0.14906476733510335</v>
      </c>
    </row>
    <row r="24" spans="1:7" s="16" customFormat="1" ht="15.75">
      <c r="A24" s="39" t="s">
        <v>133</v>
      </c>
      <c r="B24" s="24">
        <f>IF(19716.22791="","-",19716.22791)</f>
        <v>19716.22791</v>
      </c>
      <c r="C24" s="24">
        <f>IF(OR(18555.69944="",19716.22791=""),"-",19716.22791/18555.69944*100)</f>
        <v>106.25429655051582</v>
      </c>
      <c r="D24" s="24">
        <f>IF(18555.69944="","-",18555.69944/4020356.96103*100)</f>
        <v>0.4615435798329236</v>
      </c>
      <c r="E24" s="24">
        <f>IF(19716.22791="","-",19716.22791/4831412.23329*100)</f>
        <v>0.4080841575502249</v>
      </c>
      <c r="F24" s="24">
        <f>IF(OR(3986820.02566="",16422.46186="",18555.69944=""),"-",(18555.69944-16422.46186)/3986820.02566*100)</f>
        <v>0.05350724553077495</v>
      </c>
      <c r="G24" s="24">
        <f>IF(OR(4020356.96103="",19716.22791="",18555.69944=""),"-",(19716.22791-18555.69944)/4020356.96103*100)</f>
        <v>0.02886630419261772</v>
      </c>
    </row>
    <row r="25" spans="1:7" s="16" customFormat="1" ht="15.75">
      <c r="A25" s="39" t="s">
        <v>135</v>
      </c>
      <c r="B25" s="24">
        <f>IF(17370.45538="","-",17370.45538)</f>
        <v>17370.45538</v>
      </c>
      <c r="C25" s="24">
        <f>IF(OR(17464.7063="",17370.45538=""),"-",17370.45538/17464.7063*100)</f>
        <v>99.46033492701791</v>
      </c>
      <c r="D25" s="24">
        <f>IF(17464.7063="","-",17464.7063/4020356.96103*100)</f>
        <v>0.4344068566370687</v>
      </c>
      <c r="E25" s="24">
        <f>IF(17370.45538="","-",17370.45538/4831412.23329*100)</f>
        <v>0.35953163467012644</v>
      </c>
      <c r="F25" s="24">
        <f>IF(OR(3986820.02566="",19437.83286="",17464.7063=""),"-",(17464.7063-19437.83286)/3986820.02566*100)</f>
        <v>-0.04949123730944827</v>
      </c>
      <c r="G25" s="24">
        <f>IF(OR(4020356.96103="",17370.45538="",17464.7063=""),"-",(17370.45538-17464.7063)/4020356.96103*100)</f>
        <v>-0.0023443420799096285</v>
      </c>
    </row>
    <row r="26" spans="1:7" s="16" customFormat="1" ht="15.75">
      <c r="A26" s="39" t="s">
        <v>131</v>
      </c>
      <c r="B26" s="24">
        <f>IF(14573.01641="","-",14573.01641)</f>
        <v>14573.01641</v>
      </c>
      <c r="C26" s="24">
        <f>IF(OR(11953.43987="",14573.01641=""),"-",14573.01641/11953.43987*100)</f>
        <v>121.91483429447325</v>
      </c>
      <c r="D26" s="24">
        <f>IF(11953.43987="","-",11953.43987/4020356.96103*100)</f>
        <v>0.29732284933568626</v>
      </c>
      <c r="E26" s="24">
        <f>IF(14573.01641="","-",14573.01641/4831412.23329*100)</f>
        <v>0.301630573139406</v>
      </c>
      <c r="F26" s="24">
        <f>IF(OR(3986820.02566="",14848.85882="",11953.43987=""),"-",(11953.43987-14848.85882)/3986820.02566*100)</f>
        <v>-0.07262477190754744</v>
      </c>
      <c r="G26" s="24">
        <f>IF(OR(4020356.96103="",14573.01641="",11953.43987=""),"-",(14573.01641-11953.43987)/4020356.96103*100)</f>
        <v>0.06515780975152202</v>
      </c>
    </row>
    <row r="27" spans="1:7" s="16" customFormat="1" ht="15.75">
      <c r="A27" s="39" t="s">
        <v>134</v>
      </c>
      <c r="B27" s="24">
        <f>IF(13783.83186="","-",13783.83186)</f>
        <v>13783.83186</v>
      </c>
      <c r="C27" s="24">
        <f>IF(OR(12477.98026="",13783.83186=""),"-",13783.83186/12477.98026*100)</f>
        <v>110.46524816348764</v>
      </c>
      <c r="D27" s="24">
        <f>IF(12477.98026="","-",12477.98026/4020356.96103*100)</f>
        <v>0.31036995920887556</v>
      </c>
      <c r="E27" s="24">
        <f>IF(13783.83186="","-",13783.83186/4831412.23329*100)</f>
        <v>0.28529612449595837</v>
      </c>
      <c r="F27" s="24">
        <f>IF(OR(3986820.02566="",7560.01516="",12477.98026=""),"-",(12477.98026-7560.01516)/3986820.02566*100)</f>
        <v>0.12335558335583141</v>
      </c>
      <c r="G27" s="24">
        <f>IF(OR(4020356.96103="",13783.83186="",12477.98026=""),"-",(13783.83186-12477.98026)/4020356.96103*100)</f>
        <v>0.032480986456124177</v>
      </c>
    </row>
    <row r="28" spans="1:7" s="16" customFormat="1" ht="15.75">
      <c r="A28" s="39" t="s">
        <v>132</v>
      </c>
      <c r="B28" s="24">
        <f>IF(13382.24857="","-",13382.24857)</f>
        <v>13382.24857</v>
      </c>
      <c r="C28" s="24">
        <f>IF(OR(11925.33977="",13382.24857=""),"-",13382.24857/11925.33977*100)</f>
        <v>112.21691648287518</v>
      </c>
      <c r="D28" s="24">
        <f>IF(11925.33977="","-",11925.33977/4020356.96103*100)</f>
        <v>0.2966239039367483</v>
      </c>
      <c r="E28" s="24">
        <f>IF(13382.24857="","-",13382.24857/4831412.23329*100)</f>
        <v>0.2769842009711355</v>
      </c>
      <c r="F28" s="24">
        <f>IF(OR(3986820.02566="",13049.25933="",11925.33977=""),"-",(11925.33977-13049.25933)/3986820.02566*100)</f>
        <v>-0.02819087776137927</v>
      </c>
      <c r="G28" s="24">
        <f>IF(OR(4020356.96103="",13382.24857="",11925.33977=""),"-",(13382.24857-11925.33977)/4020356.96103*100)</f>
        <v>0.03623829461219645</v>
      </c>
    </row>
    <row r="29" spans="1:7" s="16" customFormat="1" ht="15.75">
      <c r="A29" s="39" t="s">
        <v>126</v>
      </c>
      <c r="B29" s="24">
        <f>IF(12399.86157="","-",12399.86157)</f>
        <v>12399.86157</v>
      </c>
      <c r="C29" s="24">
        <f>IF(OR(14256.61149="",12399.86157=""),"-",12399.86157/14256.61149*100)</f>
        <v>86.97621856846995</v>
      </c>
      <c r="D29" s="24">
        <f>IF(14256.61149="","-",14256.61149/4020356.96103*100)</f>
        <v>0.3546105887659167</v>
      </c>
      <c r="E29" s="24">
        <f>IF(12399.86157="","-",12399.86157/4831412.23329*100)</f>
        <v>0.25665087082739335</v>
      </c>
      <c r="F29" s="24">
        <f>IF(OR(3986820.02566="",11017.62964="",14256.61149=""),"-",(14256.61149-11017.62964)/3986820.02566*100)</f>
        <v>0.0812422389060264</v>
      </c>
      <c r="G29" s="24">
        <f>IF(OR(4020356.96103="",12399.86157="",14256.61149=""),"-",(12399.86157-14256.61149)/4020356.96103*100)</f>
        <v>-0.046183708013934864</v>
      </c>
    </row>
    <row r="30" spans="1:7" s="16" customFormat="1" ht="15.75">
      <c r="A30" s="39" t="s">
        <v>128</v>
      </c>
      <c r="B30" s="24">
        <f>IF(8833.81871="","-",8833.81871)</f>
        <v>8833.81871</v>
      </c>
      <c r="C30" s="24">
        <f>IF(OR(8840.70828="",8833.81871=""),"-",8833.81871/8840.70828*100)</f>
        <v>99.92206993170912</v>
      </c>
      <c r="D30" s="24">
        <f>IF(8840.70828="","-",8840.70828/4020356.96103*100)</f>
        <v>0.21989859024197306</v>
      </c>
      <c r="E30" s="24">
        <f>IF(8833.81871="","-",8833.81871/4831412.23329*100)</f>
        <v>0.18284133672411804</v>
      </c>
      <c r="F30" s="24">
        <f>IF(OR(3986820.02566="",8700.86603="",8840.70828=""),"-",(8840.70828-8700.86603)/3986820.02566*100)</f>
        <v>0.0035076138150191834</v>
      </c>
      <c r="G30" s="24">
        <f>IF(OR(4020356.96103="",8833.81871="",8840.70828=""),"-",(8833.81871-8840.70828)/4020356.96103*100)</f>
        <v>-0.0001713671215462446</v>
      </c>
    </row>
    <row r="31" spans="1:7" s="16" customFormat="1" ht="15.75">
      <c r="A31" s="39" t="s">
        <v>136</v>
      </c>
      <c r="B31" s="24">
        <f>IF(7187.18191="","-",7187.18191)</f>
        <v>7187.18191</v>
      </c>
      <c r="C31" s="24">
        <f>IF(OR(6251.12958="",7187.18191=""),"-",7187.18191/6251.12958*100)</f>
        <v>114.97413096338343</v>
      </c>
      <c r="D31" s="24">
        <f>IF(6251.12958="","-",6251.12958/4020356.96103*100)</f>
        <v>0.1554869291606008</v>
      </c>
      <c r="E31" s="24">
        <f>IF(7187.18191="","-",7187.18191/4831412.23329*100)</f>
        <v>0.14875944264242208</v>
      </c>
      <c r="F31" s="24">
        <f>IF(OR(3986820.02566="",6946.42116="",6251.12958=""),"-",(6251.12958-6946.42116)/3986820.02566*100)</f>
        <v>-0.017439753375496244</v>
      </c>
      <c r="G31" s="24">
        <f>IF(OR(4020356.96103="",7187.18191="",6251.12958=""),"-",(7187.18191-6251.12958)/4020356.96103*100)</f>
        <v>0.023282816403451586</v>
      </c>
    </row>
    <row r="32" spans="1:7" s="16" customFormat="1" ht="15.75">
      <c r="A32" s="39" t="s">
        <v>129</v>
      </c>
      <c r="B32" s="24">
        <f>IF(5231.18685="","-",5231.18685)</f>
        <v>5231.18685</v>
      </c>
      <c r="C32" s="24">
        <f>IF(OR(4283.86899="",5231.18685=""),"-",5231.18685/4283.86899*100)</f>
        <v>122.11360483271922</v>
      </c>
      <c r="D32" s="24">
        <f>IF(4283.86899="","-",4283.86899/4020356.96103*100)</f>
        <v>0.10655444358608618</v>
      </c>
      <c r="E32" s="24">
        <f>IF(5231.18685="","-",5231.18685/4831412.23329*100)</f>
        <v>0.10827448781860143</v>
      </c>
      <c r="F32" s="24">
        <f>IF(OR(3986820.02566="",6103.31957="",4283.86899=""),"-",(4283.86899-6103.31957)/3986820.02566*100)</f>
        <v>-0.04563663692591185</v>
      </c>
      <c r="G32" s="24">
        <f>IF(OR(4020356.96103="",5231.18685="",4283.86899=""),"-",(5231.18685-4283.86899)/4020356.96103*100)</f>
        <v>0.02356302858632983</v>
      </c>
    </row>
    <row r="33" spans="1:7" s="16" customFormat="1" ht="15.75">
      <c r="A33" s="39" t="s">
        <v>137</v>
      </c>
      <c r="B33" s="24">
        <f>IF(2367.71409="","-",2367.71409)</f>
        <v>2367.71409</v>
      </c>
      <c r="C33" s="24">
        <f>IF(OR(2429.78706="",2367.71409=""),"-",2367.71409/2429.78706*100)</f>
        <v>97.4453329255939</v>
      </c>
      <c r="D33" s="24">
        <f>IF(2429.78706="","-",2429.78706/4020356.96103*100)</f>
        <v>0.060437097589899035</v>
      </c>
      <c r="E33" s="24">
        <f>IF(2367.71409="","-",2367.71409/4831412.23329*100)</f>
        <v>0.049006666698520995</v>
      </c>
      <c r="F33" s="24">
        <f>IF(OR(3986820.02566="",2522.33822="",2429.78706=""),"-",(2429.78706-2522.33822)/3986820.02566*100)</f>
        <v>-0.0023214280906667857</v>
      </c>
      <c r="G33" s="24">
        <f>IF(OR(4020356.96103="",2367.71409="",2429.78706=""),"-",(2367.71409-2429.78706)/4020356.96103*100)</f>
        <v>-0.0015439666328558375</v>
      </c>
    </row>
    <row r="34" spans="1:7" s="16" customFormat="1" ht="15.75">
      <c r="A34" s="39" t="s">
        <v>200</v>
      </c>
      <c r="B34" s="24">
        <f>IF(2039.62269="","-",2039.62269)</f>
        <v>2039.62269</v>
      </c>
      <c r="C34" s="24">
        <f>IF(OR(1945.47882="",2039.62269=""),"-",2039.62269/1945.47882*100)</f>
        <v>104.83911050750991</v>
      </c>
      <c r="D34" s="24">
        <f>IF(1945.47882="","-",1945.47882/4020356.96103*100)</f>
        <v>0.04839069860855281</v>
      </c>
      <c r="E34" s="24">
        <f>IF(2039.62269="","-",2039.62269/4831412.23329*100)</f>
        <v>0.04221586963634229</v>
      </c>
      <c r="F34" s="24">
        <f>IF(OR(3986820.02566="",2054.28965="",1945.47882=""),"-",(1945.47882-2054.28965)/3986820.02566*100)</f>
        <v>-0.0027292636562390848</v>
      </c>
      <c r="G34" s="24">
        <f>IF(OR(4020356.96103="",2039.62269="",1945.47882=""),"-",(2039.62269-1945.47882)/4020356.96103*100)</f>
        <v>0.002341679381023932</v>
      </c>
    </row>
    <row r="35" spans="1:7" s="16" customFormat="1" ht="15.75">
      <c r="A35" s="39" t="s">
        <v>130</v>
      </c>
      <c r="B35" s="24">
        <f>IF(1044.77789="","-",1044.77789)</f>
        <v>1044.77789</v>
      </c>
      <c r="C35" s="24" t="s">
        <v>213</v>
      </c>
      <c r="D35" s="24">
        <f>IF(619.63752="","-",619.63752/4020356.96103*100)</f>
        <v>0.015412500084103258</v>
      </c>
      <c r="E35" s="24">
        <f>IF(1044.77789="","-",1044.77789/4831412.23329*100)</f>
        <v>0.021624689418988943</v>
      </c>
      <c r="F35" s="24">
        <f>IF(OR(3986820.02566="",658.8154="",619.63752=""),"-",(619.63752-658.8154)/3986820.02566*100)</f>
        <v>-0.0009826849405752706</v>
      </c>
      <c r="G35" s="24">
        <f>IF(OR(4020356.96103="",1044.77789="",619.63752=""),"-",(1044.77789-619.63752)/4020356.96103*100)</f>
        <v>0.010574692101247665</v>
      </c>
    </row>
    <row r="36" spans="1:7" s="16" customFormat="1" ht="15.75">
      <c r="A36" s="39" t="s">
        <v>138</v>
      </c>
      <c r="B36" s="24">
        <f>IF(243.83985="","-",243.83985)</f>
        <v>243.83985</v>
      </c>
      <c r="C36" s="24">
        <f>IF(OR(356.00464="",243.83985=""),"-",243.83985/356.00464*100)</f>
        <v>68.49344716405945</v>
      </c>
      <c r="D36" s="24">
        <f>IF(356.00464="","-",356.00464/4020356.96103*100)</f>
        <v>0.008855050520409337</v>
      </c>
      <c r="E36" s="24">
        <f>IF(243.83985="","-",243.83985/4831412.23329*100)</f>
        <v>0.005046968427158093</v>
      </c>
      <c r="F36" s="24">
        <f>IF(OR(3986820.02566="",176.06935="",356.00464=""),"-",(356.00464-176.06935)/3986820.02566*100)</f>
        <v>0.004513253390970729</v>
      </c>
      <c r="G36" s="24">
        <f>IF(OR(4020356.96103="",243.83985="",356.00464=""),"-",(243.83985-356.00464)/4020356.96103*100)</f>
        <v>-0.002789921170861997</v>
      </c>
    </row>
    <row r="37" spans="1:7" s="16" customFormat="1" ht="15.75">
      <c r="A37" s="15" t="s">
        <v>14</v>
      </c>
      <c r="B37" s="23">
        <f>IF(1206059.99536="","-",1206059.99536)</f>
        <v>1206059.99536</v>
      </c>
      <c r="C37" s="23">
        <f>IF(1027442.11049="","-",1206059.99536/1027442.11049*100)</f>
        <v>117.3847152113334</v>
      </c>
      <c r="D37" s="23">
        <f>IF(1027442.11049="","-",1027442.11049/4020356.96103*100)</f>
        <v>25.55599217803718</v>
      </c>
      <c r="E37" s="23">
        <f>IF(1206059.99536="","-",1206059.99536/4831412.23329*100)</f>
        <v>24.9628873944942</v>
      </c>
      <c r="F37" s="23">
        <f>IF(3986820.02566="","-",(1027442.11049-1018110.76461)/3986820.02566*100)</f>
        <v>0.2340548562498824</v>
      </c>
      <c r="G37" s="23">
        <f>IF(4020356.96103="","-",(1206059.99536-1027442.11049)/4020356.96103*100)</f>
        <v>4.442836459582407</v>
      </c>
    </row>
    <row r="38" spans="1:7" s="16" customFormat="1" ht="15.75">
      <c r="A38" s="39" t="s">
        <v>209</v>
      </c>
      <c r="B38" s="24">
        <f>IF(571709.66402="","-",571709.66402)</f>
        <v>571709.66402</v>
      </c>
      <c r="C38" s="24">
        <f>IF(OR(535201.07871="",571709.66402=""),"-",571709.66402/535201.07871*100)</f>
        <v>106.8214708008431</v>
      </c>
      <c r="D38" s="24">
        <f>IF(535201.07871="","-",535201.07871/4020356.96103*100)</f>
        <v>13.31227758872644</v>
      </c>
      <c r="E38" s="24">
        <f>IF(571709.66402="","-",571709.66402/4831412.23329*100)</f>
        <v>11.833179128883573</v>
      </c>
      <c r="F38" s="24">
        <f>IF(OR(3986820.02566="",535691.12699="",535201.07871=""),"-",(535201.07871-535691.12699)/3986820.02566*100)</f>
        <v>-0.012291708099335706</v>
      </c>
      <c r="G38" s="24">
        <f>IF(OR(4020356.96103="",571709.66402="",535201.07871=""),"-",(571709.66402-535201.07871)/4020356.96103*100)</f>
        <v>0.9080931286421552</v>
      </c>
    </row>
    <row r="39" spans="1:7" s="16" customFormat="1" ht="15.75">
      <c r="A39" s="39" t="s">
        <v>16</v>
      </c>
      <c r="B39" s="24">
        <f>IF(511098.80554="","-",511098.80554)</f>
        <v>511098.80554</v>
      </c>
      <c r="C39" s="24">
        <f>IF(OR(383892.41327="",511098.80554=""),"-",511098.80554/383892.41327*100)</f>
        <v>133.13594847745347</v>
      </c>
      <c r="D39" s="24">
        <f>IF(383892.41327="","-",383892.41327/4020356.96103*100)</f>
        <v>9.54871462885346</v>
      </c>
      <c r="E39" s="24">
        <f>IF(511098.80554="","-",511098.80554/4831412.23329*100)</f>
        <v>10.578662735884203</v>
      </c>
      <c r="F39" s="24">
        <f>IF(OR(3986820.02566="",371127.90649="",383892.41327=""),"-",(383892.41327-371127.90649)/3986820.02566*100)</f>
        <v>0.3201676197532115</v>
      </c>
      <c r="G39" s="24">
        <f>IF(OR(4020356.96103="",511098.80554="",383892.41327=""),"-",(511098.80554-383892.41327)/4020356.96103*100)</f>
        <v>3.1640571596759446</v>
      </c>
    </row>
    <row r="40" spans="1:7" s="16" customFormat="1" ht="15.75">
      <c r="A40" s="39" t="s">
        <v>15</v>
      </c>
      <c r="B40" s="24">
        <f>IF(114591.45571="","-",114591.45571)</f>
        <v>114591.45571</v>
      </c>
      <c r="C40" s="24">
        <f>IF(OR(101288.44083="",114591.45571=""),"-",114591.45571/101288.44083*100)</f>
        <v>113.13379371919392</v>
      </c>
      <c r="D40" s="24">
        <f>IF(101288.44083="","-",101288.44083/4020356.96103*100)</f>
        <v>2.5193892435872236</v>
      </c>
      <c r="E40" s="24">
        <f>IF(114591.45571="","-",114591.45571/4831412.23329*100)</f>
        <v>2.3718004214260096</v>
      </c>
      <c r="F40" s="24">
        <f>IF(OR(3986820.02566="",84153.16514="",101288.44083=""),"-",(101288.44083-84153.16514)/3986820.02566*100)</f>
        <v>0.42979807414716054</v>
      </c>
      <c r="G40" s="24">
        <f>IF(OR(4020356.96103="",114591.45571="",101288.44083=""),"-",(114591.45571-101288.44083)/4020356.96103*100)</f>
        <v>0.33089138623630593</v>
      </c>
    </row>
    <row r="41" spans="1:7" s="16" customFormat="1" ht="15.75">
      <c r="A41" s="39" t="s">
        <v>19</v>
      </c>
      <c r="B41" s="24">
        <f>IF(5775.31274="","-",5775.31274)</f>
        <v>5775.31274</v>
      </c>
      <c r="C41" s="24" t="s">
        <v>26</v>
      </c>
      <c r="D41" s="24">
        <f>IF(2832.94461="","-",2832.94461/4020356.96103*100)</f>
        <v>0.07046500192545616</v>
      </c>
      <c r="E41" s="24">
        <f>IF(5775.31274="","-",5775.31274/4831412.23329*100)</f>
        <v>0.1195367412494057</v>
      </c>
      <c r="F41" s="24">
        <f>IF(OR(3986820.02566="",12291.47233="",2832.94461=""),"-",(2832.94461-12291.47233)/3986820.02566*100)</f>
        <v>-0.2372449134679508</v>
      </c>
      <c r="G41" s="24">
        <f>IF(OR(4020356.96103="",5775.31274="",2832.94461=""),"-",(5775.31274-2832.94461)/4020356.96103*100)</f>
        <v>0.0731867383548494</v>
      </c>
    </row>
    <row r="42" spans="1:7" s="16" customFormat="1" ht="15.75">
      <c r="A42" s="39" t="s">
        <v>17</v>
      </c>
      <c r="B42" s="24">
        <f>IF(1737.21811="","-",1737.21811)</f>
        <v>1737.21811</v>
      </c>
      <c r="C42" s="24">
        <f>IF(OR(3154.30103="",1737.21811=""),"-",1737.21811/3154.30103*100)</f>
        <v>55.07458208578145</v>
      </c>
      <c r="D42" s="24">
        <f>IF(3154.30103="","-",3154.30103/4020356.96103*100)</f>
        <v>0.0784582329523267</v>
      </c>
      <c r="E42" s="24">
        <f>IF(1737.21811="","-",1737.21811/4831412.23329*100)</f>
        <v>0.03595673534189451</v>
      </c>
      <c r="F42" s="24">
        <f>IF(OR(3986820.02566="",11022.44926="",3154.30103=""),"-",(3154.30103-11022.44926)/3986820.02566*100)</f>
        <v>-0.19735398586740727</v>
      </c>
      <c r="G42" s="24">
        <f>IF(OR(4020356.96103="",1737.21811="",3154.30103=""),"-",(1737.21811-3154.30103)/4020356.96103*100)</f>
        <v>-0.0352476890419439</v>
      </c>
    </row>
    <row r="43" spans="1:7" s="16" customFormat="1" ht="15.75">
      <c r="A43" s="39" t="s">
        <v>22</v>
      </c>
      <c r="B43" s="24">
        <f>IF(647.735="","-",647.735)</f>
        <v>647.735</v>
      </c>
      <c r="C43" s="24" t="s">
        <v>215</v>
      </c>
      <c r="D43" s="24">
        <f>IF(334.39906="","-",334.39906/4020356.96103*100)</f>
        <v>0.00831764600112345</v>
      </c>
      <c r="E43" s="24">
        <f>IF(647.735="","-",647.735/4831412.23329*100)</f>
        <v>0.013406742557318862</v>
      </c>
      <c r="F43" s="24">
        <f>IF(OR(3986820.02566="",578.43325="",334.39906=""),"-",(334.39906-578.43325)/3986820.02566*100)</f>
        <v>-0.0061210234831104845</v>
      </c>
      <c r="G43" s="24">
        <f>IF(OR(4020356.96103="",647.735="",334.39906=""),"-",(647.735-334.39906)/4020356.96103*100)</f>
        <v>0.007793734313575094</v>
      </c>
    </row>
    <row r="44" spans="1:7" s="16" customFormat="1" ht="15.75">
      <c r="A44" s="39" t="s">
        <v>20</v>
      </c>
      <c r="B44" s="24">
        <f>IF(276.37843="","-",276.37843)</f>
        <v>276.37843</v>
      </c>
      <c r="C44" s="24" t="s">
        <v>236</v>
      </c>
      <c r="D44" s="24">
        <f>IF(120.23401="","-",120.23401/4020356.96103*100)</f>
        <v>0.002990630214317997</v>
      </c>
      <c r="E44" s="24">
        <f>IF(276.37843="","-",276.37843/4831412.23329*100)</f>
        <v>0.005720448114438731</v>
      </c>
      <c r="F44" s="24">
        <f>IF(OR(3986820.02566="",215.75387="",120.23401=""),"-",(120.23401-215.75387)/3986820.02566*100)</f>
        <v>-0.0023958909452951073</v>
      </c>
      <c r="G44" s="24">
        <f>IF(OR(4020356.96103="",276.37843="",120.23401=""),"-",(276.37843-120.23401)/4020356.96103*100)</f>
        <v>0.00388384468129408</v>
      </c>
    </row>
    <row r="45" spans="1:7" s="16" customFormat="1" ht="15.75">
      <c r="A45" s="39" t="s">
        <v>18</v>
      </c>
      <c r="B45" s="24">
        <f>IF(216.17286="","-",216.17286)</f>
        <v>216.17286</v>
      </c>
      <c r="C45" s="24">
        <f>IF(OR(594.95087="",216.17286=""),"-",216.17286/594.95087*100)</f>
        <v>36.33457330686818</v>
      </c>
      <c r="D45" s="24">
        <f>IF(594.95087="","-",594.95087/4020356.96103*100)</f>
        <v>0.014798458837535059</v>
      </c>
      <c r="E45" s="24">
        <f>IF(216.17286="","-",216.17286/4831412.23329*100)</f>
        <v>0.0044743203345493626</v>
      </c>
      <c r="F45" s="24">
        <f>IF(OR(3986820.02566="",254.14658="",594.95087=""),"-",(594.95087-254.14658)/3986820.02566*100)</f>
        <v>0.008548273757192774</v>
      </c>
      <c r="G45" s="24">
        <f>IF(OR(4020356.96103="",216.17286="",594.95087=""),"-",(216.17286-594.95087)/4020356.96103*100)</f>
        <v>-0.00942150196292417</v>
      </c>
    </row>
    <row r="46" spans="1:7" s="16" customFormat="1" ht="15.75">
      <c r="A46" s="39" t="s">
        <v>21</v>
      </c>
      <c r="B46" s="24">
        <f>IF(4.60647="","-",4.60647)</f>
        <v>4.60647</v>
      </c>
      <c r="C46" s="24">
        <f>IF(OR(21.91645="",4.60647=""),"-",4.60647/21.91645*100)</f>
        <v>21.018321854132395</v>
      </c>
      <c r="D46" s="24">
        <f>IF(21.91645="","-",21.91645/4020356.96103*100)</f>
        <v>0.0005451369172548572</v>
      </c>
      <c r="E46" s="24">
        <f>IF(4.60647="","-",4.60647/4831412.23329*100)</f>
        <v>9.534417221242115E-05</v>
      </c>
      <c r="F46" s="24">
        <f>IF(OR(3986820.02566="",2682.67357="",21.91645=""),"-",(21.91645-2682.67357)/3986820.02566*100)</f>
        <v>-0.06673883202338746</v>
      </c>
      <c r="G46" s="24">
        <f>IF(OR(4020356.96103="",4.60647="",21.91645=""),"-",(4.60647-21.91645)/4020356.96103*100)</f>
        <v>-0.00043055828544053595</v>
      </c>
    </row>
    <row r="47" spans="1:7" s="16" customFormat="1" ht="15.75">
      <c r="A47" s="39" t="s">
        <v>23</v>
      </c>
      <c r="B47" s="24">
        <f>IF(2.64648="","-",2.64648)</f>
        <v>2.64648</v>
      </c>
      <c r="C47" s="24" t="s">
        <v>212</v>
      </c>
      <c r="D47" s="24">
        <f>IF(1.43165="","-",1.43165/4020356.96103*100)</f>
        <v>3.561002204225211E-05</v>
      </c>
      <c r="E47" s="24">
        <f>IF(2.64648="","-",2.64648/4831412.23329*100)</f>
        <v>5.4776530592129836E-05</v>
      </c>
      <c r="F47" s="24">
        <f>IF(OR(3986820.02566="",93.63713="",1.43165=""),"-",(1.43165-93.63713)/3986820.02566*100)</f>
        <v>-0.002312757521196001</v>
      </c>
      <c r="G47" s="24">
        <f>IF(OR(4020356.96103="",2.64648="",1.43165=""),"-",(2.64648-1.43165)/4020356.96103*100)</f>
        <v>3.0216968587007386E-05</v>
      </c>
    </row>
    <row r="48" spans="1:7" s="16" customFormat="1" ht="15.75">
      <c r="A48" s="15" t="s">
        <v>24</v>
      </c>
      <c r="B48" s="23">
        <f>IF(1236238.96717="","-",1236238.96717)</f>
        <v>1236238.96717</v>
      </c>
      <c r="C48" s="23">
        <f>IF(1019203.3037="","-",1236238.96717/1019203.3037*100)</f>
        <v>121.29463892847465</v>
      </c>
      <c r="D48" s="23">
        <f>IF(1019203.3037="","-",1019203.3037/4020356.96103*100)</f>
        <v>25.351064932276163</v>
      </c>
      <c r="E48" s="23">
        <f>IF(1236238.96717="","-",1236238.96717/4831412.23329*100)</f>
        <v>25.587528190037524</v>
      </c>
      <c r="F48" s="23">
        <f>IF(3986820.02566="","-",(1019203.3037-1014458.35188)/3986820.02566*100)</f>
        <v>0.11901595229934087</v>
      </c>
      <c r="G48" s="23">
        <f>IF(4020356.96103="","-",(1236238.96717-1019203.3037)/4020356.96103*100)</f>
        <v>5.398417741851368</v>
      </c>
    </row>
    <row r="49" spans="1:7" s="16" customFormat="1" ht="15.75">
      <c r="A49" s="39" t="s">
        <v>142</v>
      </c>
      <c r="B49" s="24">
        <f>IF(505377.3355="","-",505377.3355)</f>
        <v>505377.3355</v>
      </c>
      <c r="C49" s="24">
        <f>IF(OR(393688.77313="",505377.3355=""),"-",505377.3355/393688.77313*100)</f>
        <v>128.36976058068063</v>
      </c>
      <c r="D49" s="24">
        <f>IF(393688.77313="","-",393688.77313/4020356.96103*100)</f>
        <v>9.792383535743017</v>
      </c>
      <c r="E49" s="24">
        <f>IF(505377.3355="","-",505377.3355/4831412.23329*100)</f>
        <v>10.460240424482638</v>
      </c>
      <c r="F49" s="24">
        <f>IF(OR(3986820.02566="",366425.92066="",393688.77313=""),"-",(393688.77313-366425.92066)/3986820.02566*100)</f>
        <v>0.6838245091208185</v>
      </c>
      <c r="G49" s="24">
        <f>IF(OR(4020356.96103="",505377.3355="",393688.77313=""),"-",(505377.3355-393688.77313)/4020356.96103*100)</f>
        <v>2.778075764232284</v>
      </c>
    </row>
    <row r="50" spans="1:7" s="16" customFormat="1" ht="15.75">
      <c r="A50" s="39" t="s">
        <v>139</v>
      </c>
      <c r="B50" s="24">
        <f>IF(304338.23168="","-",304338.23168)</f>
        <v>304338.23168</v>
      </c>
      <c r="C50" s="24">
        <f>IF(OR(271985.86135="",304338.23168=""),"-",304338.23168/271985.86135*100)</f>
        <v>111.89487209718155</v>
      </c>
      <c r="D50" s="24">
        <f>IF(271985.86135="","-",271985.86135/4020356.96103*100)</f>
        <v>6.765216720465496</v>
      </c>
      <c r="E50" s="24">
        <f>IF(304338.23168="","-",304338.23168/4831412.23329*100)</f>
        <v>6.299156788630262</v>
      </c>
      <c r="F50" s="24">
        <f>IF(OR(3986820.02566="",285117.059="",271985.86135=""),"-",(271985.86135-285117.059)/3986820.02566*100)</f>
        <v>-0.32936519746276177</v>
      </c>
      <c r="G50" s="24">
        <f>IF(OR(4020356.96103="",304338.23168="",271985.86135=""),"-",(304338.23168-271985.86135)/4020356.96103*100)</f>
        <v>0.8047138759965098</v>
      </c>
    </row>
    <row r="51" spans="1:7" s="16" customFormat="1" ht="15.75">
      <c r="A51" s="39" t="s">
        <v>25</v>
      </c>
      <c r="B51" s="24">
        <f>IF(70222.22788="","-",70222.22788)</f>
        <v>70222.22788</v>
      </c>
      <c r="C51" s="24">
        <f>IF(OR(53292.24956="",70222.22788=""),"-",70222.22788/53292.24956*100)</f>
        <v>131.76818103904415</v>
      </c>
      <c r="D51" s="24">
        <f>IF(53292.24956="","-",53292.24956/4020356.96103*100)</f>
        <v>1.3255601449466001</v>
      </c>
      <c r="E51" s="24">
        <f>IF(70222.22788="","-",70222.22788/4831412.23329*100)</f>
        <v>1.4534513821061685</v>
      </c>
      <c r="F51" s="24">
        <f>IF(OR(3986820.02566="",50769.38734="",53292.24956=""),"-",(53292.24956-50769.38734)/3986820.02566*100)</f>
        <v>0.06328006290131813</v>
      </c>
      <c r="G51" s="24">
        <f>IF(OR(4020356.96103="",70222.22788="",53292.24956=""),"-",(70222.22788-53292.24956)/4020356.96103*100)</f>
        <v>0.421106346628052</v>
      </c>
    </row>
    <row r="52" spans="1:7" s="16" customFormat="1" ht="15.75">
      <c r="A52" s="39" t="s">
        <v>157</v>
      </c>
      <c r="B52" s="24">
        <f>IF(38383.9576="","-",38383.9576)</f>
        <v>38383.9576</v>
      </c>
      <c r="C52" s="24" t="s">
        <v>213</v>
      </c>
      <c r="D52" s="24">
        <f>IF(22381.55829="","-",22381.55829/4020356.96103*100)</f>
        <v>0.5567057479459718</v>
      </c>
      <c r="E52" s="24">
        <f>IF(38383.9576="","-",38383.9576/4831412.23329*100)</f>
        <v>0.7944666227303492</v>
      </c>
      <c r="F52" s="24">
        <f>IF(OR(3986820.02566="",11818.21827="",22381.55829=""),"-",(22381.55829-11818.21827)/3986820.02566*100)</f>
        <v>0.26495653056852725</v>
      </c>
      <c r="G52" s="24">
        <f>IF(OR(4020356.96103="",38383.9576="",22381.55829=""),"-",(38383.9576-22381.55829)/4020356.96103*100)</f>
        <v>0.39803429061434004</v>
      </c>
    </row>
    <row r="53" spans="1:7" s="16" customFormat="1" ht="15.75">
      <c r="A53" s="39" t="s">
        <v>161</v>
      </c>
      <c r="B53" s="24">
        <f>IF(37516.36379="","-",37516.36379)</f>
        <v>37516.36379</v>
      </c>
      <c r="C53" s="24">
        <f>IF(OR(28128.65644="",37516.36379=""),"-",37516.36379/28128.65644*100)</f>
        <v>133.37417615386113</v>
      </c>
      <c r="D53" s="24">
        <f>IF(28128.65644="","-",28128.65644/4020356.96103*100)</f>
        <v>0.6996556950702593</v>
      </c>
      <c r="E53" s="24">
        <f>IF(37516.36379="","-",37516.36379/4831412.23329*100)</f>
        <v>0.7765092684805505</v>
      </c>
      <c r="F53" s="24">
        <f>IF(OR(3986820.02566="",42054.3467="",28128.65644=""),"-",(28128.65644-42054.3467)/3986820.02566*100)</f>
        <v>-0.349293175271805</v>
      </c>
      <c r="G53" s="24">
        <f>IF(OR(4020356.96103="",37516.36379="",28128.65644=""),"-",(37516.36379-28128.65644)/4020356.96103*100)</f>
        <v>0.23350432414326988</v>
      </c>
    </row>
    <row r="54" spans="1:7" s="16" customFormat="1" ht="15.75">
      <c r="A54" s="39" t="s">
        <v>205</v>
      </c>
      <c r="B54" s="24">
        <f>IF(31776.74391="","-",31776.74391)</f>
        <v>31776.74391</v>
      </c>
      <c r="C54" s="24">
        <f>IF(OR(30582.05803="",31776.74391=""),"-",31776.74391/30582.05803*100)</f>
        <v>103.90649275084121</v>
      </c>
      <c r="D54" s="24">
        <f>IF(30582.05803="","-",30582.05803/4020356.96103*100)</f>
        <v>0.7606801666229407</v>
      </c>
      <c r="E54" s="24">
        <f>IF(31776.74391="","-",31776.74391/4831412.23329*100)</f>
        <v>0.6577112938334658</v>
      </c>
      <c r="F54" s="24">
        <f>IF(OR(3986820.02566="",32064.13252="",30582.05803=""),"-",(30582.05803-32064.13252)/3986820.02566*100)</f>
        <v>-0.03717435149971809</v>
      </c>
      <c r="G54" s="24">
        <f>IF(OR(4020356.96103="",31776.74391="",30582.05803=""),"-",(31776.74391-30582.05803)/4020356.96103*100)</f>
        <v>0.02971591556621199</v>
      </c>
    </row>
    <row r="55" spans="1:7" s="16" customFormat="1" ht="15.75">
      <c r="A55" s="39" t="s">
        <v>154</v>
      </c>
      <c r="B55" s="24">
        <f>IF(26852.33149="","-",26852.33149)</f>
        <v>26852.33149</v>
      </c>
      <c r="C55" s="24">
        <f>IF(OR(22417.2078="",26852.33149=""),"-",26852.33149/22417.2078*100)</f>
        <v>119.78446080158119</v>
      </c>
      <c r="D55" s="24">
        <f>IF(22417.2078="","-",22417.2078/4020356.96103*100)</f>
        <v>0.5575924729394377</v>
      </c>
      <c r="E55" s="24">
        <f>IF(26852.33149="","-",26852.33149/4831412.23329*100)</f>
        <v>0.5557863869487003</v>
      </c>
      <c r="F55" s="24">
        <f>IF(OR(3986820.02566="",26232.4249="",22417.2078=""),"-",(22417.2078-26232.4249)/3986820.02566*100)</f>
        <v>-0.09569574436379052</v>
      </c>
      <c r="G55" s="24">
        <f>IF(OR(4020356.96103="",26852.33149="",22417.2078=""),"-",(26852.33149-22417.2078)/4020356.96103*100)</f>
        <v>0.11031666424127023</v>
      </c>
    </row>
    <row r="56" spans="1:7" s="16" customFormat="1" ht="15.75">
      <c r="A56" s="39" t="s">
        <v>114</v>
      </c>
      <c r="B56" s="24">
        <f>IF(26059.58653="","-",26059.58653)</f>
        <v>26059.58653</v>
      </c>
      <c r="C56" s="24">
        <f>IF(OR(21416.61561="",26059.58653=""),"-",26059.58653/21416.61561*100)</f>
        <v>121.6792933325659</v>
      </c>
      <c r="D56" s="24">
        <f>IF(21416.61561="","-",21416.61561/4020356.96103*100)</f>
        <v>0.5327043299287819</v>
      </c>
      <c r="E56" s="24">
        <f>IF(26059.58653="","-",26059.58653/4831412.23329*100)</f>
        <v>0.5393782453594206</v>
      </c>
      <c r="F56" s="24">
        <f>IF(OR(3986820.02566="",22738.62737="",21416.61561=""),"-",(21416.61561-22738.62737)/3986820.02566*100)</f>
        <v>-0.033159554519422894</v>
      </c>
      <c r="G56" s="24">
        <f>IF(OR(4020356.96103="",26059.58653="",21416.61561=""),"-",(26059.58653-21416.61561)/4020356.96103*100)</f>
        <v>0.11548653428054032</v>
      </c>
    </row>
    <row r="57" spans="1:7" s="16" customFormat="1" ht="15.75">
      <c r="A57" s="39" t="s">
        <v>155</v>
      </c>
      <c r="B57" s="24">
        <f>IF(18947.23044="","-",18947.23044)</f>
        <v>18947.23044</v>
      </c>
      <c r="C57" s="24">
        <f>IF(OR(15019.84992="",18947.23044=""),"-",18947.23044/15019.84992*100)</f>
        <v>126.14793450612586</v>
      </c>
      <c r="D57" s="24">
        <f>IF(15019.84992="","-",15019.84992/4020356.96103*100)</f>
        <v>0.3735949336238037</v>
      </c>
      <c r="E57" s="24">
        <f>IF(18947.23044="","-",18947.23044/4831412.23329*100)</f>
        <v>0.39216753870529675</v>
      </c>
      <c r="F57" s="24">
        <f>IF(OR(3986820.02566="",11426.07747="",15019.84992=""),"-",(15019.84992-11426.07747)/3986820.02566*100)</f>
        <v>0.09014132634204043</v>
      </c>
      <c r="G57" s="24">
        <f>IF(OR(4020356.96103="",18947.23044="",15019.84992=""),"-",(18947.23044-15019.84992)/4020356.96103*100)</f>
        <v>0.0976873585621566</v>
      </c>
    </row>
    <row r="58" spans="1:7" s="16" customFormat="1" ht="15.75">
      <c r="A58" s="39" t="s">
        <v>151</v>
      </c>
      <c r="B58" s="24">
        <f>IF(18021.69459="","-",18021.69459)</f>
        <v>18021.69459</v>
      </c>
      <c r="C58" s="24">
        <f>IF(OR(17479.30637="",18021.69459=""),"-",18021.69459/17479.30637*100)</f>
        <v>103.10303056951338</v>
      </c>
      <c r="D58" s="24">
        <f>IF(17479.30637="","-",17479.30637/4020356.96103*100)</f>
        <v>0.4347700102112791</v>
      </c>
      <c r="E58" s="24">
        <f>IF(18021.69459="","-",18021.69459/4831412.23329*100)</f>
        <v>0.37301090695231237</v>
      </c>
      <c r="F58" s="24">
        <f>IF(OR(3986820.02566="",15844.31879="",17479.30637=""),"-",(17479.30637-15844.31879)/3986820.02566*100)</f>
        <v>0.041009816582561545</v>
      </c>
      <c r="G58" s="24">
        <f>IF(OR(4020356.96103="",18021.69459="",17479.30637=""),"-",(18021.69459-17479.30637)/4020356.96103*100)</f>
        <v>0.013491046323932464</v>
      </c>
    </row>
    <row r="59" spans="1:7" s="16" customFormat="1" ht="15.75">
      <c r="A59" s="39" t="s">
        <v>166</v>
      </c>
      <c r="B59" s="24">
        <f>IF(12495.45573="","-",12495.45573)</f>
        <v>12495.45573</v>
      </c>
      <c r="C59" s="24">
        <f>IF(OR(10196.31546="",12495.45573=""),"-",12495.45573/10196.31546*100)</f>
        <v>122.54873614904808</v>
      </c>
      <c r="D59" s="24">
        <f>IF(10196.31546="","-",10196.31546/4020356.96103*100)</f>
        <v>0.25361716779964094</v>
      </c>
      <c r="E59" s="24">
        <f>IF(12495.45573="","-",12495.45573/4831412.23329*100)</f>
        <v>0.25862946746506643</v>
      </c>
      <c r="F59" s="24">
        <f>IF(OR(3986820.02566="",7394.8317="",10196.31546=""),"-",(10196.31546-7394.8317)/3986820.02566*100)</f>
        <v>0.07026862868072975</v>
      </c>
      <c r="G59" s="24">
        <f>IF(OR(4020356.96103="",12495.45573="",10196.31546=""),"-",(12495.45573-10196.31546)/4020356.96103*100)</f>
        <v>0.05718746599582961</v>
      </c>
    </row>
    <row r="60" spans="1:7" s="16" customFormat="1" ht="15.75">
      <c r="A60" s="39" t="s">
        <v>144</v>
      </c>
      <c r="B60" s="24">
        <f>IF(9692.63265="","-",9692.63265)</f>
        <v>9692.63265</v>
      </c>
      <c r="C60" s="24">
        <f>IF(OR(6548.44238="",9692.63265=""),"-",9692.63265/6548.44238*100)</f>
        <v>148.01432291139741</v>
      </c>
      <c r="D60" s="24">
        <f>IF(6548.44238="","-",6548.44238/4020356.96103*100)</f>
        <v>0.16288211329180866</v>
      </c>
      <c r="E60" s="24">
        <f>IF(9692.63265="","-",9692.63265/4831412.23329*100)</f>
        <v>0.20061696626122297</v>
      </c>
      <c r="F60" s="24">
        <f>IF(OR(3986820.02566="",7484.06433="",6548.44238=""),"-",(6548.44238-7484.06433)/3986820.02566*100)</f>
        <v>-0.023467875248397045</v>
      </c>
      <c r="G60" s="24">
        <f>IF(OR(4020356.96103="",9692.63265="",6548.44238=""),"-",(9692.63265-6548.44238)/4020356.96103*100)</f>
        <v>0.0782067438408372</v>
      </c>
    </row>
    <row r="61" spans="1:7" s="16" customFormat="1" ht="15.75">
      <c r="A61" s="39" t="s">
        <v>147</v>
      </c>
      <c r="B61" s="24">
        <f>IF(9344.45378="","-",9344.45378)</f>
        <v>9344.45378</v>
      </c>
      <c r="C61" s="24" t="s">
        <v>214</v>
      </c>
      <c r="D61" s="24">
        <f>IF(5940.49753="","-",5940.49753/4020356.96103*100)</f>
        <v>0.14776044982030817</v>
      </c>
      <c r="E61" s="24">
        <f>IF(9344.45378="","-",9344.45378/4831412.23329*100)</f>
        <v>0.1934104011165447</v>
      </c>
      <c r="F61" s="24">
        <f>IF(OR(3986820.02566="",6268.9405="",5940.49753=""),"-",(5940.49753-6268.9405)/3986820.02566*100)</f>
        <v>-0.008238219129182482</v>
      </c>
      <c r="G61" s="24">
        <f>IF(OR(4020356.96103="",9344.45378="",5940.49753=""),"-",(9344.45378-5940.49753)/4020356.96103*100)</f>
        <v>0.08466801040293497</v>
      </c>
    </row>
    <row r="62" spans="1:7" s="16" customFormat="1" ht="15.75">
      <c r="A62" s="39" t="s">
        <v>156</v>
      </c>
      <c r="B62" s="24">
        <f>IF(9034.11337="","-",9034.11337)</f>
        <v>9034.11337</v>
      </c>
      <c r="C62" s="24">
        <f>IF(OR(6888.10718="",9034.11337=""),"-",9034.11337/6888.10718*100)</f>
        <v>131.1552380635285</v>
      </c>
      <c r="D62" s="24">
        <f>IF(6888.10718="","-",6888.10718/4020356.96103*100)</f>
        <v>0.17133073621988265</v>
      </c>
      <c r="E62" s="24">
        <f>IF(9034.11337="","-",9034.11337/4831412.23329*100)</f>
        <v>0.18698701194967432</v>
      </c>
      <c r="F62" s="24">
        <f>IF(OR(3986820.02566="",5452.30419="",6888.10718=""),"-",(6888.10718-5452.30419)/3986820.02566*100)</f>
        <v>0.03601373979158514</v>
      </c>
      <c r="G62" s="24">
        <f>IF(OR(4020356.96103="",9034.11337="",6888.10718=""),"-",(9034.11337-6888.10718)/4020356.96103*100)</f>
        <v>0.053378498745300484</v>
      </c>
    </row>
    <row r="63" spans="1:7" s="16" customFormat="1" ht="15.75">
      <c r="A63" s="39" t="s">
        <v>145</v>
      </c>
      <c r="B63" s="24">
        <f>IF(8931.46072="","-",8931.46072)</f>
        <v>8931.46072</v>
      </c>
      <c r="C63" s="24">
        <f>IF(OR(11329.72449="",8931.46072=""),"-",8931.46072/11329.72449*100)</f>
        <v>78.83210865262619</v>
      </c>
      <c r="D63" s="24">
        <f>IF(11329.72449="","-",11329.72449/4020356.96103*100)</f>
        <v>0.28180891895473303</v>
      </c>
      <c r="E63" s="24">
        <f>IF(8931.46072="","-",8931.46072/4831412.23329*100)</f>
        <v>0.18486231951931845</v>
      </c>
      <c r="F63" s="24">
        <f>IF(OR(3986820.02566="",28322.70705="",11329.72449=""),"-",(11329.72449-28322.70705)/3986820.02566*100)</f>
        <v>-0.4262289857738659</v>
      </c>
      <c r="G63" s="24">
        <f>IF(OR(4020356.96103="",8931.46072="",11329.72449=""),"-",(8931.46072-11329.72449)/4020356.96103*100)</f>
        <v>-0.059653005771546606</v>
      </c>
    </row>
    <row r="64" spans="1:7" s="16" customFormat="1" ht="15.75">
      <c r="A64" s="39" t="s">
        <v>167</v>
      </c>
      <c r="B64" s="24">
        <f>IF(8557.08871="","-",8557.08871)</f>
        <v>8557.08871</v>
      </c>
      <c r="C64" s="24">
        <f>IF(OR(6547.18128="",8557.08871=""),"-",8557.08871/6547.18128*100)</f>
        <v>130.69882051593353</v>
      </c>
      <c r="D64" s="24">
        <f>IF(6547.18128="","-",6547.18128/4020356.96103*100)</f>
        <v>0.16285074543039177</v>
      </c>
      <c r="E64" s="24">
        <f>IF(8557.08871="","-",8557.08871/4831412.23329*100)</f>
        <v>0.17711361185532626</v>
      </c>
      <c r="F64" s="24">
        <f>IF(OR(3986820.02566="",4022.39997="",6547.18128=""),"-",(6547.18128-4022.39997)/3986820.02566*100)</f>
        <v>0.06332819875865939</v>
      </c>
      <c r="G64" s="24">
        <f>IF(OR(4020356.96103="",8557.08871="",6547.18128=""),"-",(8557.08871-6547.18128)/4020356.96103*100)</f>
        <v>0.04999325804853581</v>
      </c>
    </row>
    <row r="65" spans="1:7" s="16" customFormat="1" ht="15.75">
      <c r="A65" s="39" t="s">
        <v>169</v>
      </c>
      <c r="B65" s="24">
        <f>IF(7973.56512="","-",7973.56512)</f>
        <v>7973.56512</v>
      </c>
      <c r="C65" s="24">
        <f>IF(OR(5706.48816="",7973.56512=""),"-",7973.56512/5706.48816*100)</f>
        <v>139.72805859637498</v>
      </c>
      <c r="D65" s="24">
        <f>IF(5706.48816="","-",5706.48816/4020356.96103*100)</f>
        <v>0.14193983806199187</v>
      </c>
      <c r="E65" s="24">
        <f>IF(7973.56512="","-",7973.56512/4831412.23329*100)</f>
        <v>0.16503590948128058</v>
      </c>
      <c r="F65" s="24">
        <f>IF(OR(3986820.02566="",5215.07076="",5706.48816=""),"-",(5706.48816-5215.07076)/3986820.02566*100)</f>
        <v>0.012326049253217754</v>
      </c>
      <c r="G65" s="24">
        <f>IF(OR(4020356.96103="",7973.56512="",5706.48816=""),"-",(7973.56512-5706.48816)/4020356.96103*100)</f>
        <v>0.05638994203686789</v>
      </c>
    </row>
    <row r="66" spans="1:7" s="16" customFormat="1" ht="15.75">
      <c r="A66" s="39" t="s">
        <v>163</v>
      </c>
      <c r="B66" s="24">
        <f>IF(7860.60962="","-",7860.60962)</f>
        <v>7860.60962</v>
      </c>
      <c r="C66" s="24">
        <f>IF(OR(6321.78644="",7860.60962=""),"-",7860.60962/6321.78644*100)</f>
        <v>124.34158753391867</v>
      </c>
      <c r="D66" s="24">
        <f>IF(6321.78644="","-",6321.78644/4020356.96103*100)</f>
        <v>0.15724440643649668</v>
      </c>
      <c r="E66" s="24">
        <f>IF(7860.60962="","-",7860.60962/4831412.23329*100)</f>
        <v>0.16269796987799645</v>
      </c>
      <c r="F66" s="24">
        <f>IF(OR(3986820.02566="",6119.3576="",6321.78644=""),"-",(6321.78644-6119.3576)/3986820.02566*100)</f>
        <v>0.005077451169030095</v>
      </c>
      <c r="G66" s="24">
        <f>IF(OR(4020356.96103="",7860.60962="",6321.78644=""),"-",(7860.60962-6321.78644)/4020356.96103*100)</f>
        <v>0.03827578483493067</v>
      </c>
    </row>
    <row r="67" spans="1:7" s="16" customFormat="1" ht="15.75">
      <c r="A67" s="39" t="s">
        <v>149</v>
      </c>
      <c r="B67" s="24">
        <f>IF(6968.13154="","-",6968.13154)</f>
        <v>6968.13154</v>
      </c>
      <c r="C67" s="24">
        <f>IF(OR(6034.25667="",6968.13154=""),"-",6968.13154/6034.25667*100)</f>
        <v>115.4762205367045</v>
      </c>
      <c r="D67" s="24">
        <f>IF(6034.25667="","-",6034.25667/4020356.96103*100)</f>
        <v>0.15009255965306242</v>
      </c>
      <c r="E67" s="24">
        <f>IF(6968.13154="","-",6968.13154/4831412.23329*100)</f>
        <v>0.14422556394561636</v>
      </c>
      <c r="F67" s="24">
        <f>IF(OR(3986820.02566="",1811.91839="",6034.25667=""),"-",(6034.25667-1811.91839)/3986820.02566*100)</f>
        <v>0.10590742127370074</v>
      </c>
      <c r="G67" s="24">
        <f>IF(OR(4020356.96103="",6968.13154="",6034.25667=""),"-",(6968.13154-6034.25667)/4020356.96103*100)</f>
        <v>0.023228655541092685</v>
      </c>
    </row>
    <row r="68" spans="1:7" s="16" customFormat="1" ht="15.75">
      <c r="A68" s="39" t="s">
        <v>153</v>
      </c>
      <c r="B68" s="24">
        <f>IF(6387.69302="","-",6387.69302)</f>
        <v>6387.69302</v>
      </c>
      <c r="C68" s="24">
        <f>IF(OR(4285.96603="",6387.69302=""),"-",6387.69302/4285.96603*100)</f>
        <v>149.0374159591741</v>
      </c>
      <c r="D68" s="24">
        <f>IF(4285.96603="","-",4285.96603/4020356.96103*100)</f>
        <v>0.10660660412855358</v>
      </c>
      <c r="E68" s="24">
        <f>IF(6387.69302="","-",6387.69302/4831412.23329*100)</f>
        <v>0.13221171598620213</v>
      </c>
      <c r="F68" s="24">
        <f>IF(OR(3986820.02566="",5735.32882="",4285.96603=""),"-",(4285.96603-5735.32882)/3986820.02566*100)</f>
        <v>-0.036353855470565535</v>
      </c>
      <c r="G68" s="24">
        <f>IF(OR(4020356.96103="",6387.69302="",4285.96603=""),"-",(6387.69302-4285.96603)/4020356.96103*100)</f>
        <v>0.05227712390646888</v>
      </c>
    </row>
    <row r="69" spans="1:7" s="16" customFormat="1" ht="15.75">
      <c r="A69" s="39" t="s">
        <v>168</v>
      </c>
      <c r="B69" s="24">
        <f>IF(6101.90761="","-",6101.90761)</f>
        <v>6101.90761</v>
      </c>
      <c r="C69" s="24">
        <f>IF(OR(5924.43733="",6101.90761=""),"-",6101.90761/5924.43733*100)</f>
        <v>102.99556346222671</v>
      </c>
      <c r="D69" s="24">
        <f>IF(5924.43733="","-",5924.43733/4020356.96103*100)</f>
        <v>0.14736097782924684</v>
      </c>
      <c r="E69" s="24">
        <f>IF(6101.90761="","-",6101.90761/4831412.23329*100)</f>
        <v>0.12629656331032724</v>
      </c>
      <c r="F69" s="24">
        <f>IF(OR(3986820.02566="",5803.41208="",5924.43733=""),"-",(5924.43733-5803.41208)/3986820.02566*100)</f>
        <v>0.003035633643381344</v>
      </c>
      <c r="G69" s="24">
        <f>IF(OR(4020356.96103="",6101.90761="",5924.43733=""),"-",(6101.90761-5924.43733)/4020356.96103*100)</f>
        <v>0.004414291609432941</v>
      </c>
    </row>
    <row r="70" spans="1:7" s="16" customFormat="1" ht="15.75">
      <c r="A70" s="39" t="s">
        <v>150</v>
      </c>
      <c r="B70" s="24">
        <f>IF(5530.49987="","-",5530.49987)</f>
        <v>5530.49987</v>
      </c>
      <c r="C70" s="24">
        <f>IF(OR(4655.15028="",5530.49987=""),"-",5530.49987/4655.15028*100)</f>
        <v>118.80389541366215</v>
      </c>
      <c r="D70" s="24">
        <f>IF(4655.15028="","-",4655.15028/4020356.96103*100)</f>
        <v>0.11578947653462512</v>
      </c>
      <c r="E70" s="24">
        <f>IF(5530.49987="","-",5530.49987/4831412.23329*100)</f>
        <v>0.11446963336916396</v>
      </c>
      <c r="F70" s="24">
        <f>IF(OR(3986820.02566="",4631.88551="",4655.15028=""),"-",(4655.15028-4631.88551)/3986820.02566*100)</f>
        <v>0.000583542017203257</v>
      </c>
      <c r="G70" s="24">
        <f>IF(OR(4020356.96103="",5530.49987="",4655.15028=""),"-",(5530.49987-4655.15028)/4020356.96103*100)</f>
        <v>0.021772932067597763</v>
      </c>
    </row>
    <row r="71" spans="1:7" s="16" customFormat="1" ht="15.75">
      <c r="A71" s="39" t="s">
        <v>170</v>
      </c>
      <c r="B71" s="24">
        <f>IF(5521.76368="","-",5521.76368)</f>
        <v>5521.76368</v>
      </c>
      <c r="C71" s="24">
        <f>IF(OR(3922.61258="",5521.76368=""),"-",5521.76368/3922.61258*100)</f>
        <v>140.76750041932513</v>
      </c>
      <c r="D71" s="24">
        <f>IF(3922.61258="","-",3922.61258/4020356.96103*100)</f>
        <v>0.09756876362030903</v>
      </c>
      <c r="E71" s="24">
        <f>IF(5521.76368="","-",5521.76368/4831412.23329*100)</f>
        <v>0.11428881273995323</v>
      </c>
      <c r="F71" s="24">
        <f>IF(OR(3986820.02566="",5367.15681="",3922.61258=""),"-",(3922.61258-5367.15681)/3986820.02566*100)</f>
        <v>-0.03623299323025907</v>
      </c>
      <c r="G71" s="24">
        <f>IF(OR(4020356.96103="",5521.76368="",3922.61258=""),"-",(5521.76368-3922.61258)/4020356.96103*100)</f>
        <v>0.03977634611803982</v>
      </c>
    </row>
    <row r="72" spans="1:7" s="16" customFormat="1" ht="15.75">
      <c r="A72" s="39" t="s">
        <v>171</v>
      </c>
      <c r="B72" s="24">
        <f>IF(4694.42355="","-",4694.42355)</f>
        <v>4694.42355</v>
      </c>
      <c r="C72" s="24">
        <f>IF(OR(3353.3432="",4694.42355=""),"-",4694.42355/3353.3432*100)</f>
        <v>139.9923380941146</v>
      </c>
      <c r="D72" s="24">
        <f>IF(3353.3432="","-",3353.3432/4020356.96103*100)</f>
        <v>0.08340909109575399</v>
      </c>
      <c r="E72" s="24">
        <f>IF(4694.42355="","-",4694.42355/4831412.23329*100)</f>
        <v>0.09716462440637744</v>
      </c>
      <c r="F72" s="24">
        <f>IF(OR(3986820.02566="",3549.77664="",3353.3432=""),"-",(3353.3432-3549.77664)/3986820.02566*100)</f>
        <v>-0.004927070666238102</v>
      </c>
      <c r="G72" s="24">
        <f>IF(OR(4020356.96103="",4694.42355="",3353.3432=""),"-",(4694.42355-3353.3432)/4020356.96103*100)</f>
        <v>0.033357245712241954</v>
      </c>
    </row>
    <row r="73" spans="1:7" s="16" customFormat="1" ht="15.75">
      <c r="A73" s="39" t="s">
        <v>172</v>
      </c>
      <c r="B73" s="24">
        <f>IF(4063.80643="","-",4063.80643)</f>
        <v>4063.80643</v>
      </c>
      <c r="C73" s="24">
        <f>IF(OR(3313.44677="",4063.80643=""),"-",4063.80643/3313.44677*100)</f>
        <v>122.64589450459167</v>
      </c>
      <c r="D73" s="24">
        <f>IF(3313.44677="","-",3313.44677/4020356.96103*100)</f>
        <v>0.08241673070619848</v>
      </c>
      <c r="E73" s="24">
        <f>IF(4063.80643="","-",4063.80643/4831412.23329*100)</f>
        <v>0.08411218570833294</v>
      </c>
      <c r="F73" s="24">
        <f>IF(OR(3986820.02566="",1391.86413="",3313.44677=""),"-",(3313.44677-1391.86413)/3986820.02566*100)</f>
        <v>0.048198379350768185</v>
      </c>
      <c r="G73" s="24">
        <f>IF(OR(4020356.96103="",4063.80643="",3313.44677=""),"-",(4063.80643-3313.44677)/4020356.96103*100)</f>
        <v>0.018664005889859114</v>
      </c>
    </row>
    <row r="74" spans="1:7" s="16" customFormat="1" ht="15.75">
      <c r="A74" s="39" t="s">
        <v>174</v>
      </c>
      <c r="B74" s="24">
        <f>IF(3971.2416="","-",3971.2416)</f>
        <v>3971.2416</v>
      </c>
      <c r="C74" s="24" t="s">
        <v>184</v>
      </c>
      <c r="D74" s="24">
        <f>IF(1919.70615="","-",1919.70615/4020356.96103*100)</f>
        <v>0.04774964433775499</v>
      </c>
      <c r="E74" s="24">
        <f>IF(3971.2416="","-",3971.2416/4831412.23329*100)</f>
        <v>0.0821962897853521</v>
      </c>
      <c r="F74" s="24">
        <f>IF(OR(3986820.02566="",1328.43933="",1919.70615=""),"-",(1919.70615-1328.43933)/3986820.02566*100)</f>
        <v>0.014830537024357365</v>
      </c>
      <c r="G74" s="24">
        <f>IF(OR(4020356.96103="",3971.2416="",1919.70615=""),"-",(3971.2416-1919.70615)/4020356.96103*100)</f>
        <v>0.05102868899169601</v>
      </c>
    </row>
    <row r="75" spans="1:7" s="16" customFormat="1" ht="15.75">
      <c r="A75" s="39" t="s">
        <v>159</v>
      </c>
      <c r="B75" s="24">
        <f>IF(2811.01677="","-",2811.01677)</f>
        <v>2811.01677</v>
      </c>
      <c r="C75" s="24">
        <f>IF(OR(2129.50181="",2811.01677=""),"-",2811.01677/2129.50181*100)</f>
        <v>132.0034928732932</v>
      </c>
      <c r="D75" s="24">
        <f>IF(2129.50181="","-",2129.50181/4020356.96103*100)</f>
        <v>0.05296797848155329</v>
      </c>
      <c r="E75" s="24">
        <f>IF(2811.01677="","-",2811.01677/4831412.23329*100)</f>
        <v>0.05818209323210264</v>
      </c>
      <c r="F75" s="24">
        <f>IF(OR(3986820.02566="",3194.87866="",2129.50181=""),"-",(2129.50181-3194.87866)/3986820.02566*100)</f>
        <v>-0.026722471622571714</v>
      </c>
      <c r="G75" s="24">
        <f>IF(OR(4020356.96103="",2811.01677="",2129.50181=""),"-",(2811.01677-2129.50181)/4020356.96103*100)</f>
        <v>0.01695160321847139</v>
      </c>
    </row>
    <row r="76" spans="1:7" s="16" customFormat="1" ht="15.75">
      <c r="A76" s="39" t="s">
        <v>121</v>
      </c>
      <c r="B76" s="24">
        <f>IF(2576.71424="","-",2576.71424)</f>
        <v>2576.71424</v>
      </c>
      <c r="C76" s="24">
        <f>IF(OR(2760.96814="",2576.71424=""),"-",2576.71424/2760.96814*100)</f>
        <v>93.32647496613271</v>
      </c>
      <c r="D76" s="24">
        <f>IF(2760.96814="","-",2760.96814/4020356.96103*100)</f>
        <v>0.06867470144473566</v>
      </c>
      <c r="E76" s="24">
        <f>IF(2576.71424="","-",2576.71424/4831412.23329*100)</f>
        <v>0.05333252712831254</v>
      </c>
      <c r="F76" s="24">
        <f>IF(OR(3986820.02566="",4494.9647="",2760.96814=""),"-",(2760.96814-4494.9647)/3986820.02566*100)</f>
        <v>-0.04349322389372079</v>
      </c>
      <c r="G76" s="24">
        <f>IF(OR(4020356.96103="",2576.71424="",2760.96814=""),"-",(2576.71424-2760.96814)/4020356.96103*100)</f>
        <v>-0.004583023392848057</v>
      </c>
    </row>
    <row r="77" spans="1:7" s="16" customFormat="1" ht="15.75">
      <c r="A77" s="39" t="s">
        <v>204</v>
      </c>
      <c r="B77" s="24">
        <f>IF(2128.61954="","-",2128.61954)</f>
        <v>2128.61954</v>
      </c>
      <c r="C77" s="24">
        <f>IF(OR(1621.82256="",2128.61954=""),"-",2128.61954/1621.82256*100)</f>
        <v>131.24860835577476</v>
      </c>
      <c r="D77" s="24">
        <f>IF(1621.82256="","-",1621.82256/4020356.96103*100)</f>
        <v>0.04034026271101299</v>
      </c>
      <c r="E77" s="24">
        <f>IF(2128.61954="","-",2128.61954/4831412.23329*100)</f>
        <v>0.04405791593052483</v>
      </c>
      <c r="F77" s="24">
        <f>IF(OR(3986820.02566="",1673.65801="",1621.82256=""),"-",(1621.82256-1673.65801)/3986820.02566*100)</f>
        <v>-0.001300170302807158</v>
      </c>
      <c r="G77" s="24">
        <f>IF(OR(4020356.96103="",2128.61954="",1621.82256=""),"-",(2128.61954-1621.82256)/4020356.96103*100)</f>
        <v>0.012605770704255092</v>
      </c>
    </row>
    <row r="78" spans="1:7" s="16" customFormat="1" ht="15.75">
      <c r="A78" s="39" t="s">
        <v>175</v>
      </c>
      <c r="B78" s="24">
        <f>IF(2120.06239="","-",2120.06239)</f>
        <v>2120.06239</v>
      </c>
      <c r="C78" s="24">
        <f>IF(OR(1465.91511="",2120.06239=""),"-",2120.06239/1465.91511*100)</f>
        <v>144.62381726865482</v>
      </c>
      <c r="D78" s="24">
        <f>IF(1465.91511="","-",1465.91511/4020356.96103*100)</f>
        <v>0.036462312282450615</v>
      </c>
      <c r="E78" s="24">
        <f>IF(2120.06239="","-",2120.06239/4831412.23329*100)</f>
        <v>0.04388080105009632</v>
      </c>
      <c r="F78" s="24">
        <f>IF(OR(3986820.02566="",1397.95443="",1465.91511=""),"-",(1465.91511-1397.95443)/3986820.02566*100)</f>
        <v>0.0017046337572950597</v>
      </c>
      <c r="G78" s="24">
        <f>IF(OR(4020356.96103="",2120.06239="",1465.91511=""),"-",(2120.06239-1465.91511)/4020356.96103*100)</f>
        <v>0.01627087560484704</v>
      </c>
    </row>
    <row r="79" spans="1:7" s="16" customFormat="1" ht="15.75">
      <c r="A79" s="39" t="s">
        <v>180</v>
      </c>
      <c r="B79" s="24">
        <f>IF(1970.70575="","-",1970.70575)</f>
        <v>1970.70575</v>
      </c>
      <c r="C79" s="24" t="s">
        <v>184</v>
      </c>
      <c r="D79" s="24">
        <f>IF(960.06975="","-",960.06975/4020356.96103*100)</f>
        <v>0.023880211615687822</v>
      </c>
      <c r="E79" s="24">
        <f>IF(1970.70575="","-",1970.70575/4831412.23329*100)</f>
        <v>0.04078943494867189</v>
      </c>
      <c r="F79" s="24">
        <f>IF(OR(3986820.02566="",1945.66958="",960.06975=""),"-",(960.06975-1945.66958)/3986820.02566*100)</f>
        <v>-0.024721452778316434</v>
      </c>
      <c r="G79" s="24">
        <f>IF(OR(4020356.96103="",1970.70575="",960.06975=""),"-",(1970.70575-960.06975)/4020356.96103*100)</f>
        <v>0.02513796684712989</v>
      </c>
    </row>
    <row r="80" spans="1:7" s="16" customFormat="1" ht="15.75">
      <c r="A80" s="39" t="s">
        <v>141</v>
      </c>
      <c r="B80" s="24">
        <f>IF(1932.21669="","-",1932.21669)</f>
        <v>1932.21669</v>
      </c>
      <c r="C80" s="24">
        <f>IF(OR(1516.89178="",1932.21669=""),"-",1932.21669/1516.89178*100)</f>
        <v>127.379996086471</v>
      </c>
      <c r="D80" s="24">
        <f>IF(1516.89178="","-",1516.89178/4020356.96103*100)</f>
        <v>0.0377302760601481</v>
      </c>
      <c r="E80" s="24">
        <f>IF(1932.21669="","-",1932.21669/4831412.23329*100)</f>
        <v>0.0399927929288749</v>
      </c>
      <c r="F80" s="24">
        <f>IF(OR(3986820.02566="",1915.48611="",1516.89178=""),"-",(1516.89178-1915.48611)/3986820.02566*100)</f>
        <v>-0.009997800939961282</v>
      </c>
      <c r="G80" s="24">
        <f>IF(OR(4020356.96103="",1932.21669="",1516.89178=""),"-",(1932.21669-1516.89178)/4020356.96103*100)</f>
        <v>0.01033054810868325</v>
      </c>
    </row>
    <row r="81" spans="1:7" s="16" customFormat="1" ht="15.75">
      <c r="A81" s="39" t="s">
        <v>206</v>
      </c>
      <c r="B81" s="24">
        <f>IF(1931.06172="","-",1931.06172)</f>
        <v>1931.06172</v>
      </c>
      <c r="C81" s="24">
        <f>IF(OR(2108.21635="",1931.06172=""),"-",1931.06172/2108.21635*100)</f>
        <v>91.59694260031708</v>
      </c>
      <c r="D81" s="24">
        <f>IF(2108.21635="","-",2108.21635/4020356.96103*100)</f>
        <v>0.052438536439308694</v>
      </c>
      <c r="E81" s="24">
        <f>IF(1931.06172="","-",1931.06172/4831412.23329*100)</f>
        <v>0.0399688874961726</v>
      </c>
      <c r="F81" s="24">
        <f>IF(OR(3986820.02566="",1942.07368="",2108.21635=""),"-",(2108.21635-1942.07368)/3986820.02566*100)</f>
        <v>0.004167297970078195</v>
      </c>
      <c r="G81" s="24">
        <f>IF(OR(4020356.96103="",1931.06172="",2108.21635=""),"-",(1931.06172-2108.21635)/4020356.96103*100)</f>
        <v>-0.004406440316548755</v>
      </c>
    </row>
    <row r="82" spans="1:7" s="16" customFormat="1" ht="15.75">
      <c r="A82" s="39" t="s">
        <v>160</v>
      </c>
      <c r="B82" s="24">
        <f>IF(1887.24722="","-",1887.24722)</f>
        <v>1887.24722</v>
      </c>
      <c r="C82" s="24" t="s">
        <v>212</v>
      </c>
      <c r="D82" s="24">
        <f>IF(1076.43744="","-",1076.43744/4020356.96103*100)</f>
        <v>0.0267746732549893</v>
      </c>
      <c r="E82" s="24">
        <f>IF(1887.24722="","-",1887.24722/4831412.23329*100)</f>
        <v>0.039062020147985994</v>
      </c>
      <c r="F82" s="24">
        <f>IF(OR(3986820.02566="",888.70885="",1076.43744=""),"-",(1076.43744-888.70885)/3986820.02566*100)</f>
        <v>0.004708729985094382</v>
      </c>
      <c r="G82" s="24">
        <f>IF(OR(4020356.96103="",1887.24722="",1076.43744=""),"-",(1887.24722-1076.43744)/4020356.96103*100)</f>
        <v>0.020167606704064252</v>
      </c>
    </row>
    <row r="83" spans="1:7" s="16" customFormat="1" ht="15.75">
      <c r="A83" s="39" t="s">
        <v>158</v>
      </c>
      <c r="B83" s="24">
        <f>IF(1737.79037="","-",1737.79037)</f>
        <v>1737.79037</v>
      </c>
      <c r="C83" s="24">
        <f>IF(OR(1568.65247="",1737.79037=""),"-",1737.79037/1568.65247*100)</f>
        <v>110.78236915025543</v>
      </c>
      <c r="D83" s="24">
        <f>IF(1568.65247="","-",1568.65247/4020356.96103*100)</f>
        <v>0.03901774109128154</v>
      </c>
      <c r="E83" s="24">
        <f>IF(1737.79037="","-",1737.79037/4831412.23329*100)</f>
        <v>0.03596857991181253</v>
      </c>
      <c r="F83" s="24">
        <f>IF(OR(3986820.02566="",1065.87821="",1568.65247=""),"-",(1568.65247-1065.87821)/3986820.02566*100)</f>
        <v>0.012610909365460207</v>
      </c>
      <c r="G83" s="24">
        <f>IF(OR(4020356.96103="",1737.79037="",1568.65247=""),"-",(1737.79037-1568.65247)/4020356.96103*100)</f>
        <v>0.0042070368785528806</v>
      </c>
    </row>
    <row r="84" spans="1:7" s="16" customFormat="1" ht="15.75">
      <c r="A84" s="39" t="s">
        <v>173</v>
      </c>
      <c r="B84" s="24">
        <f>IF(1636.25704="","-",1636.25704)</f>
        <v>1636.25704</v>
      </c>
      <c r="C84" s="24">
        <f>IF(OR(1981.3787="",1636.25704=""),"-",1636.25704/1981.3787*100)</f>
        <v>82.58174169329669</v>
      </c>
      <c r="D84" s="24">
        <f>IF(1981.3787="","-",1981.3787/4020356.96103*100)</f>
        <v>0.049283651158487644</v>
      </c>
      <c r="E84" s="24">
        <f>IF(1636.25704="","-",1636.25704/4831412.23329*100)</f>
        <v>0.03386705503466786</v>
      </c>
      <c r="F84" s="24">
        <f>IF(OR(3986820.02566="",2334.73415="",1981.3787=""),"-",(1981.3787-2334.73415)/3986820.02566*100)</f>
        <v>-0.008863090074940213</v>
      </c>
      <c r="G84" s="24">
        <f>IF(OR(4020356.96103="",1636.25704="",1981.3787=""),"-",(1636.25704-1981.3787)/4020356.96103*100)</f>
        <v>-0.008584353661759954</v>
      </c>
    </row>
    <row r="85" spans="1:7" s="16" customFormat="1" ht="15.75">
      <c r="A85" s="39" t="s">
        <v>152</v>
      </c>
      <c r="B85" s="24">
        <f>IF(1353.73027="","-",1353.73027)</f>
        <v>1353.73027</v>
      </c>
      <c r="C85" s="24">
        <f>IF(OR(1899.55162="",1353.73027=""),"-",1353.73027/1899.55162*100)</f>
        <v>71.26577955275573</v>
      </c>
      <c r="D85" s="24">
        <f>IF(1899.55162="","-",1899.55162/4020356.96103*100)</f>
        <v>0.0472483323847279</v>
      </c>
      <c r="E85" s="24">
        <f>IF(1353.73027="","-",1353.73027/4831412.23329*100)</f>
        <v>0.028019349304792475</v>
      </c>
      <c r="F85" s="24">
        <f>IF(OR(3986820.02566="",611.47807="",1899.55162=""),"-",(1899.55162-611.47807)/3986820.02566*100)</f>
        <v>0.032308294372700344</v>
      </c>
      <c r="G85" s="24">
        <f>IF(OR(4020356.96103="",1353.73027="",1899.55162=""),"-",(1353.73027-1899.55162)/4020356.96103*100)</f>
        <v>-0.013576439985074426</v>
      </c>
    </row>
    <row r="86" spans="1:7" s="16" customFormat="1" ht="15.75">
      <c r="A86" s="39" t="s">
        <v>176</v>
      </c>
      <c r="B86" s="24">
        <f>IF(1277.1382="","-",1277.1382)</f>
        <v>1277.1382</v>
      </c>
      <c r="C86" s="24">
        <f>IF(OR(1481.19033="",1277.1382=""),"-",1277.1382/1481.19033*100)</f>
        <v>86.2237738211537</v>
      </c>
      <c r="D86" s="24">
        <f>IF(1481.19033="","-",1481.19033/4020356.96103*100)</f>
        <v>0.036842259141599325</v>
      </c>
      <c r="E86" s="24">
        <f>IF(1277.1382="","-",1277.1382/4831412.23329*100)</f>
        <v>0.026434055682520795</v>
      </c>
      <c r="F86" s="24">
        <f>IF(OR(3986820.02566="",1792.25327="",1481.19033=""),"-",(1481.19033-1792.25327)/3986820.02566*100)</f>
        <v>-0.007802281969036338</v>
      </c>
      <c r="G86" s="24">
        <f>IF(OR(4020356.96103="",1277.1382="",1481.19033=""),"-",(1277.1382-1481.19033)/4020356.96103*100)</f>
        <v>-0.005075472948743398</v>
      </c>
    </row>
    <row r="87" spans="1:7" s="16" customFormat="1" ht="15.75">
      <c r="A87" s="39" t="s">
        <v>181</v>
      </c>
      <c r="B87" s="24">
        <f>IF(1075.28886="","-",1075.28886)</f>
        <v>1075.28886</v>
      </c>
      <c r="C87" s="24">
        <f>IF(OR(822.37384="",1075.28886=""),"-",1075.28886/822.37384*100)</f>
        <v>130.7542637786241</v>
      </c>
      <c r="D87" s="24">
        <f>IF(822.37384="","-",822.37384/4020356.96103*100)</f>
        <v>0.020455244346992286</v>
      </c>
      <c r="E87" s="24">
        <f>IF(1075.28886="","-",1075.28886/4831412.23329*100)</f>
        <v>0.022256201873872623</v>
      </c>
      <c r="F87" s="24">
        <f>IF(OR(3986820.02566="",428.66646="",822.37384=""),"-",(822.37384-428.66646)/3986820.02566*100)</f>
        <v>0.009875223297415426</v>
      </c>
      <c r="G87" s="24">
        <f>IF(OR(4020356.96103="",1075.28886="",822.37384=""),"-",(1075.28886-822.37384)/4020356.96103*100)</f>
        <v>0.006290859803036103</v>
      </c>
    </row>
    <row r="88" spans="1:7" s="16" customFormat="1" ht="15.75">
      <c r="A88" s="39" t="s">
        <v>120</v>
      </c>
      <c r="B88" s="24">
        <f>IF(983.13903="","-",983.13903)</f>
        <v>983.13903</v>
      </c>
      <c r="C88" s="24">
        <f>IF(OR(3316.54068="",983.13903=""),"-",983.13903/3316.54068*100)</f>
        <v>29.643508850312067</v>
      </c>
      <c r="D88" s="24">
        <f>IF(3316.54068="","-",3316.54068/4020356.96103*100)</f>
        <v>0.08249368680810659</v>
      </c>
      <c r="E88" s="24">
        <f>IF(983.13903="","-",983.13903/4831412.23329*100)</f>
        <v>0.0203488955718962</v>
      </c>
      <c r="F88" s="24">
        <f>IF(OR(3986820.02566="",3411.52013="",3316.54068=""),"-",(3316.54068-3411.52013)/3986820.02566*100)</f>
        <v>-0.0023823360319425607</v>
      </c>
      <c r="G88" s="24">
        <f>IF(OR(4020356.96103="",983.13903="",3316.54068=""),"-",(983.13903-3316.54068)/4020356.96103*100)</f>
        <v>-0.058039663458196784</v>
      </c>
    </row>
    <row r="89" spans="1:7" ht="15.75">
      <c r="A89" s="39" t="s">
        <v>182</v>
      </c>
      <c r="B89" s="24">
        <f>IF(921.4529="","-",921.4529)</f>
        <v>921.4529</v>
      </c>
      <c r="C89" s="24">
        <f>IF(OR(691.46612="",921.4529=""),"-",921.4529/691.46612*100)</f>
        <v>133.2607445755983</v>
      </c>
      <c r="D89" s="24">
        <f>IF(691.46612="","-",691.46612/4020356.96103*100)</f>
        <v>0.017199122533210313</v>
      </c>
      <c r="E89" s="24">
        <f>IF(921.4529="","-",921.4529/4831412.23329*100)</f>
        <v>0.01907212333592423</v>
      </c>
      <c r="F89" s="24">
        <f>IF(OR(3986820.02566="",734.61513="",691.46612=""),"-",(691.46612-734.61513)/3986820.02566*100)</f>
        <v>-0.0010822913931976866</v>
      </c>
      <c r="G89" s="24">
        <f>IF(OR(4020356.96103="",921.4529="",691.46612=""),"-",(921.4529-691.46612)/4020356.96103*100)</f>
        <v>0.005720556215015252</v>
      </c>
    </row>
    <row r="90" spans="1:7" ht="15.75">
      <c r="A90" s="39" t="s">
        <v>177</v>
      </c>
      <c r="B90" s="24">
        <f>IF(897.46841="","-",897.46841)</f>
        <v>897.46841</v>
      </c>
      <c r="C90" s="24">
        <f>IF(OR(1273.81657="",897.46841=""),"-",897.46841/1273.81657*100)</f>
        <v>70.45507423411834</v>
      </c>
      <c r="D90" s="24">
        <f>IF(1273.81657="","-",1273.81657/4020356.96103*100)</f>
        <v>0.031684165917288426</v>
      </c>
      <c r="E90" s="24">
        <f>IF(897.46841="","-",897.46841/4831412.23329*100)</f>
        <v>0.018575695193553367</v>
      </c>
      <c r="F90" s="24">
        <f>IF(OR(3986820.02566="",2002.45431="",1273.81657=""),"-",(1273.81657-2002.45431)/3986820.02566*100)</f>
        <v>-0.018276163340966902</v>
      </c>
      <c r="G90" s="24">
        <f>IF(OR(4020356.96103="",897.46841="",1273.81657=""),"-",(897.46841-1273.81657)/4020356.96103*100)</f>
        <v>-0.009361063299801643</v>
      </c>
    </row>
    <row r="91" spans="1:7" ht="15.75">
      <c r="A91" s="39" t="s">
        <v>201</v>
      </c>
      <c r="B91" s="24">
        <f>IF(891.35055="","-",891.35055)</f>
        <v>891.35055</v>
      </c>
      <c r="C91" s="24" t="s">
        <v>214</v>
      </c>
      <c r="D91" s="24">
        <f>IF(553.40197="","-",553.40197/4020356.96103*100)</f>
        <v>0.01376499587882914</v>
      </c>
      <c r="E91" s="24">
        <f>IF(891.35055="","-",891.35055/4831412.23329*100)</f>
        <v>0.01844906844955819</v>
      </c>
      <c r="F91" s="24">
        <f>IF(OR(3986820.02566="",60.08362="",553.40197=""),"-",(553.40197-60.08362)/3986820.02566*100)</f>
        <v>0.012373730111339387</v>
      </c>
      <c r="G91" s="24">
        <f>IF(OR(4020356.96103="",891.35055="",553.40197=""),"-",(891.35055-553.40197)/4020356.96103*100)</f>
        <v>0.008405934678830579</v>
      </c>
    </row>
    <row r="92" spans="1:7" ht="15.75">
      <c r="A92" s="39" t="s">
        <v>119</v>
      </c>
      <c r="B92" s="24">
        <f>IF(795.79766="","-",795.79766)</f>
        <v>795.79766</v>
      </c>
      <c r="C92" s="24">
        <f>IF(OR(767.62111="",795.79766=""),"-",795.79766/767.62111*100)</f>
        <v>103.67063250774851</v>
      </c>
      <c r="D92" s="24">
        <f>IF(767.62111="","-",767.62111/4020356.96103*100)</f>
        <v>0.019093357068555885</v>
      </c>
      <c r="E92" s="24">
        <f>IF(795.79766="","-",795.79766/4831412.23329*100)</f>
        <v>0.016471326013472738</v>
      </c>
      <c r="F92" s="24">
        <f>IF(OR(3986820.02566="",217.66178="",767.62111=""),"-",(767.62111-217.66178)/3986820.02566*100)</f>
        <v>0.013794435827560507</v>
      </c>
      <c r="G92" s="24">
        <f>IF(OR(4020356.96103="",795.79766="",767.62111=""),"-",(795.79766-767.62111)/4020356.96103*100)</f>
        <v>0.0007008469713789093</v>
      </c>
    </row>
    <row r="93" spans="1:7" ht="15.75">
      <c r="A93" s="39" t="s">
        <v>165</v>
      </c>
      <c r="B93" s="24">
        <f>IF(706.11265="","-",706.11265)</f>
        <v>706.11265</v>
      </c>
      <c r="C93" s="24">
        <f>IF(OR(841.41687="",706.11265=""),"-",706.11265/841.41687*100)</f>
        <v>83.91947858140757</v>
      </c>
      <c r="D93" s="24">
        <f>IF(841.41687="","-",841.41687/4020356.96103*100)</f>
        <v>0.020928909501220814</v>
      </c>
      <c r="E93" s="24">
        <f>IF(706.11265="","-",706.11265/4831412.23329*100)</f>
        <v>0.014615036264855531</v>
      </c>
      <c r="F93" s="24">
        <f>IF(OR(3986820.02566="",612.39="",841.41687=""),"-",(841.41687-612.39)/3986820.02566*100)</f>
        <v>0.005744600170710883</v>
      </c>
      <c r="G93" s="24">
        <f>IF(OR(4020356.96103="",706.11265="",841.41687=""),"-",(706.11265-841.41687)/4020356.96103*100)</f>
        <v>-0.0033654777750216384</v>
      </c>
    </row>
    <row r="94" spans="1:7" ht="15.75">
      <c r="A94" s="39" t="s">
        <v>183</v>
      </c>
      <c r="B94" s="24">
        <f>IF(606.74557="","-",606.74557)</f>
        <v>606.74557</v>
      </c>
      <c r="C94" s="24">
        <f>IF(OR(708.43353="",606.74557=""),"-",606.74557/708.43353*100)</f>
        <v>85.64608312652847</v>
      </c>
      <c r="D94" s="24">
        <f>IF(708.43353="","-",708.43353/4020356.96103*100)</f>
        <v>0.017621159933482677</v>
      </c>
      <c r="E94" s="24">
        <f>IF(606.74557="","-",606.74557/4831412.23329*100)</f>
        <v>0.012558348174459758</v>
      </c>
      <c r="F94" s="24">
        <f>IF(OR(3986820.02566="",1920.71269="",708.43353=""),"-",(708.43353-1920.71269)/3986820.02566*100)</f>
        <v>-0.030407170431509832</v>
      </c>
      <c r="G94" s="24">
        <f>IF(OR(4020356.96103="",606.74557="",708.43353=""),"-",(606.74557-708.43353)/4020356.96103*100)</f>
        <v>-0.0025293266489935734</v>
      </c>
    </row>
    <row r="95" spans="1:7" ht="15.75">
      <c r="A95" s="39" t="s">
        <v>164</v>
      </c>
      <c r="B95" s="24">
        <f>IF(603.5134="","-",603.5134)</f>
        <v>603.5134</v>
      </c>
      <c r="C95" s="24">
        <f>IF(OR(1462.42796="",603.5134=""),"-",603.5134/1462.42796*100)</f>
        <v>41.26790628373927</v>
      </c>
      <c r="D95" s="24">
        <f>IF(1462.42796="","-",1462.42796/4020356.96103*100)</f>
        <v>0.03637557495952627</v>
      </c>
      <c r="E95" s="24">
        <f>IF(603.5134="","-",603.5134/4831412.23329*100)</f>
        <v>0.01249144910139517</v>
      </c>
      <c r="F95" s="24">
        <f>IF(OR(3986820.02566="",2056.44389="",1462.42796=""),"-",(1462.42796-2056.44389)/3986820.02566*100)</f>
        <v>-0.014899491980495491</v>
      </c>
      <c r="G95" s="24">
        <f>IF(OR(4020356.96103="",603.5134="",1462.42796=""),"-",(603.5134-1462.42796)/4020356.96103*100)</f>
        <v>-0.02136413677505764</v>
      </c>
    </row>
    <row r="96" spans="1:7" ht="15.75">
      <c r="A96" s="39" t="s">
        <v>191</v>
      </c>
      <c r="B96" s="24">
        <f>IF(583.80968="","-",583.80968)</f>
        <v>583.80968</v>
      </c>
      <c r="C96" s="24">
        <f>IF(OR(379.2445="",583.80968=""),"-",583.80968/379.2445*100)</f>
        <v>153.94018370734446</v>
      </c>
      <c r="D96" s="24">
        <f>IF(379.2445="","-",379.2445/4020356.96103*100)</f>
        <v>0.009433105161459072</v>
      </c>
      <c r="E96" s="24">
        <f>IF(583.80968="","-",583.80968/4831412.23329*100)</f>
        <v>0.01208362383108942</v>
      </c>
      <c r="F96" s="24">
        <f>IF(OR(3986820.02566="",310.0451="",379.2445=""),"-",(379.2445-310.0451)/3986820.02566*100)</f>
        <v>0.001735704133986946</v>
      </c>
      <c r="G96" s="24">
        <f>IF(OR(4020356.96103="",583.80968="",379.2445=""),"-",(583.80968-379.2445)/4020356.96103*100)</f>
        <v>0.005088234253398015</v>
      </c>
    </row>
    <row r="97" spans="1:7" ht="15.75">
      <c r="A97" s="39" t="s">
        <v>143</v>
      </c>
      <c r="B97" s="24">
        <f>IF(570.72951="","-",570.72951)</f>
        <v>570.72951</v>
      </c>
      <c r="C97" s="24">
        <f>IF(OR(886.16613="",570.72951=""),"-",570.72951/886.16613*100)</f>
        <v>64.40434707203265</v>
      </c>
      <c r="D97" s="24">
        <f>IF(886.16613="","-",886.16613/4020356.96103*100)</f>
        <v>0.022041976336672542</v>
      </c>
      <c r="E97" s="24">
        <f>IF(570.72951="","-",570.72951/4831412.23329*100)</f>
        <v>0.011812892016696242</v>
      </c>
      <c r="F97" s="24">
        <f>IF(OR(3986820.02566="",449.8183="",886.16613=""),"-",(886.16613-449.8183)/3986820.02566*100)</f>
        <v>0.010944758659572663</v>
      </c>
      <c r="G97" s="24">
        <f>IF(OR(4020356.96103="",570.72951="",886.16613=""),"-",(570.72951-886.16613)/4020356.96103*100)</f>
        <v>-0.00784598539526665</v>
      </c>
    </row>
    <row r="98" spans="1:7" ht="15.75">
      <c r="A98" s="39" t="s">
        <v>179</v>
      </c>
      <c r="B98" s="24">
        <f>IF(561.79504="","-",561.79504)</f>
        <v>561.79504</v>
      </c>
      <c r="C98" s="24">
        <f>IF(OR(1010.61832="",561.79504=""),"-",561.79504/1010.61832*100)</f>
        <v>55.58923966468369</v>
      </c>
      <c r="D98" s="24">
        <f>IF(1010.61832="","-",1010.61832/4020356.96103*100)</f>
        <v>0.02513752708518409</v>
      </c>
      <c r="E98" s="24">
        <f>IF(561.79504="","-",561.79504/4831412.23329*100)</f>
        <v>0.011627967411454764</v>
      </c>
      <c r="F98" s="24">
        <f>IF(OR(3986820.02566="",1036.98374="",1010.61832=""),"-",(1010.61832-1036.98374)/3986820.02566*100)</f>
        <v>-0.0006613145271245391</v>
      </c>
      <c r="G98" s="24">
        <f>IF(OR(4020356.96103="",561.79504="",1010.61832=""),"-",(561.79504-1010.61832)/4020356.96103*100)</f>
        <v>-0.011163766908026328</v>
      </c>
    </row>
    <row r="99" spans="1:7" ht="15.75">
      <c r="A99" s="39" t="s">
        <v>178</v>
      </c>
      <c r="B99" s="24">
        <f>IF(561.66514="","-",561.66514)</f>
        <v>561.66514</v>
      </c>
      <c r="C99" s="24">
        <f>IF(OR(1212.67484="",561.66514=""),"-",561.66514/1212.67484*100)</f>
        <v>46.31621944098387</v>
      </c>
      <c r="D99" s="24">
        <f>IF(1212.67484="","-",1212.67484/4020356.96103*100)</f>
        <v>0.030163362401763382</v>
      </c>
      <c r="E99" s="24">
        <f>IF(561.66514="","-",561.66514/4831412.23329*100)</f>
        <v>0.011625278756590975</v>
      </c>
      <c r="F99" s="24">
        <f>IF(OR(3986820.02566="",2232.38496="",1212.67484=""),"-",(1212.67484-2232.38496)/3986820.02566*100)</f>
        <v>-0.0255770291469626</v>
      </c>
      <c r="G99" s="24">
        <f>IF(OR(4020356.96103="",561.66514="",1212.67484=""),"-",(561.66514-1212.67484)/4020356.96103*100)</f>
        <v>-0.016192833280983435</v>
      </c>
    </row>
    <row r="100" spans="1:7" ht="15.75">
      <c r="A100" s="39" t="s">
        <v>210</v>
      </c>
      <c r="B100" s="24">
        <f>IF(540.25124="","-",540.25124)</f>
        <v>540.25124</v>
      </c>
      <c r="C100" s="24" t="s">
        <v>212</v>
      </c>
      <c r="D100" s="24">
        <f>IF(306.83991="","-",306.83991/4020356.96103*100)</f>
        <v>0.007632155875069083</v>
      </c>
      <c r="E100" s="24">
        <f>IF(540.25124="","-",540.25124/4831412.23329*100)</f>
        <v>0.01118205638255195</v>
      </c>
      <c r="F100" s="24">
        <f>IF(OR(3986820.02566="",131.25001="",306.83991=""),"-",(306.83991-131.25001)/3986820.02566*100)</f>
        <v>0.004404259506821652</v>
      </c>
      <c r="G100" s="24">
        <f>IF(OR(4020356.96103="",540.25124="",306.83991=""),"-",(540.25124-306.83991)/4020356.96103*100)</f>
        <v>0.005805736462271773</v>
      </c>
    </row>
    <row r="101" spans="1:7" ht="15.75">
      <c r="A101" s="39" t="s">
        <v>192</v>
      </c>
      <c r="B101" s="24">
        <f>IF(366.84036="","-",366.84036)</f>
        <v>366.84036</v>
      </c>
      <c r="C101" s="24" t="s">
        <v>261</v>
      </c>
      <c r="D101" s="24">
        <f>IF(100.27244="","-",100.27244/4020356.96103*100)</f>
        <v>0.0024941178351066268</v>
      </c>
      <c r="E101" s="24">
        <f>IF(366.84036="","-",366.84036/4831412.23329*100)</f>
        <v>0.007592818461491461</v>
      </c>
      <c r="F101" s="24">
        <f>IF(OR(3986820.02566="",115.61706="",100.27244=""),"-",(100.27244-115.61706)/3986820.02566*100)</f>
        <v>-0.0003848836892871722</v>
      </c>
      <c r="G101" s="24">
        <f>IF(OR(4020356.96103="",366.84036="",100.27244=""),"-",(366.84036-100.27244)/4020356.96103*100)</f>
        <v>0.006630454026443122</v>
      </c>
    </row>
    <row r="102" spans="1:7" ht="15.75">
      <c r="A102" s="39" t="s">
        <v>190</v>
      </c>
      <c r="B102" s="24">
        <f>IF(236.33804="","-",236.33804)</f>
        <v>236.33804</v>
      </c>
      <c r="C102" s="24" t="s">
        <v>214</v>
      </c>
      <c r="D102" s="24">
        <f>IF(147.65425="","-",147.65425/4020356.96103*100)</f>
        <v>0.0036726651745414055</v>
      </c>
      <c r="E102" s="24">
        <f>IF(236.33804="","-",236.33804/4831412.23329*100)</f>
        <v>0.0048916968494543715</v>
      </c>
      <c r="F102" s="24">
        <f>IF(OR(3986820.02566="",120.2337="",147.65425=""),"-",(147.65425-120.2337)/3986820.02566*100)</f>
        <v>0.0006877799806240475</v>
      </c>
      <c r="G102" s="24">
        <f>IF(OR(4020356.96103="",236.33804="",147.65425=""),"-",(236.33804-147.65425)/4020356.96103*100)</f>
        <v>0.0022058685549474085</v>
      </c>
    </row>
    <row r="103" spans="1:7" ht="15.75">
      <c r="A103" s="39" t="s">
        <v>148</v>
      </c>
      <c r="B103" s="24">
        <f>IF(218.48101="","-",218.48101)</f>
        <v>218.48101</v>
      </c>
      <c r="C103" s="24" t="s">
        <v>233</v>
      </c>
      <c r="D103" s="24">
        <f>IF(75.75767="","-",75.75767/4020356.96103*100)</f>
        <v>0.0018843518308033816</v>
      </c>
      <c r="E103" s="24">
        <f>IF(218.48101="","-",218.48101/4831412.23329*100)</f>
        <v>0.004522094150745302</v>
      </c>
      <c r="F103" s="24">
        <f>IF(OR(3986820.02566="",25.33048="",75.75767=""),"-",(75.75767-25.33048)/3986820.02566*100)</f>
        <v>0.0012648474141155146</v>
      </c>
      <c r="G103" s="24">
        <f>IF(OR(4020356.96103="",218.48101="",75.75767=""),"-",(218.48101-75.75767)/4020356.96103*100)</f>
        <v>0.0035500166125406645</v>
      </c>
    </row>
    <row r="104" spans="1:7" ht="15.75">
      <c r="A104" s="39" t="s">
        <v>227</v>
      </c>
      <c r="B104" s="24">
        <f>IF(165.98013="","-",165.98013)</f>
        <v>165.98013</v>
      </c>
      <c r="C104" s="24">
        <f>IF(OR(214.64455="",165.98013=""),"-",165.98013/214.64455*100)</f>
        <v>77.32790327077953</v>
      </c>
      <c r="D104" s="24">
        <f>IF(214.64455="","-",214.64455/4020356.96103*100)</f>
        <v>0.005338942588446398</v>
      </c>
      <c r="E104" s="24">
        <f>IF(165.98013="","-",165.98013/4831412.23329*100)</f>
        <v>0.0034354371348473017</v>
      </c>
      <c r="F104" s="24">
        <f>IF(OR(3986820.02566="",133.12541="",214.64455=""),"-",(214.64455-133.12541)/3986820.02566*100)</f>
        <v>0.002044715825528264</v>
      </c>
      <c r="G104" s="24">
        <f>IF(OR(4020356.96103="",165.98013="",214.64455=""),"-",(165.98013-214.64455)/4020356.96103*100)</f>
        <v>-0.0012104502279701146</v>
      </c>
    </row>
    <row r="105" spans="1:7" ht="15.75">
      <c r="A105" s="39" t="s">
        <v>202</v>
      </c>
      <c r="B105" s="24">
        <f>IF(163.16692="","-",163.16692)</f>
        <v>163.16692</v>
      </c>
      <c r="C105" s="24" t="s">
        <v>262</v>
      </c>
      <c r="D105" s="24">
        <f>IF(14.02859="","-",14.02859/4020356.96103*100)</f>
        <v>0.0003489389160211766</v>
      </c>
      <c r="E105" s="24">
        <f>IF(163.16692="","-",163.16692/4831412.23329*100)</f>
        <v>0.0033772096463995952</v>
      </c>
      <c r="F105" s="24">
        <f>IF(OR(3986820.02566="",35.4139="",14.02859=""),"-",(14.02859-35.4139)/3986820.02566*100)</f>
        <v>-0.000536400185169125</v>
      </c>
      <c r="G105" s="24">
        <f>IF(OR(4020356.96103="",163.16692="",14.02859=""),"-",(163.16692-14.02859)/4020356.96103*100)</f>
        <v>0.0037095793096389965</v>
      </c>
    </row>
    <row r="106" spans="1:7" ht="15.75">
      <c r="A106" s="39" t="s">
        <v>238</v>
      </c>
      <c r="B106" s="24">
        <f>IF(117.37388="","-",117.37388)</f>
        <v>117.37388</v>
      </c>
      <c r="C106" s="24">
        <f>IF(OR(121.6311="",117.37388=""),"-",117.37388/121.6311*100)</f>
        <v>96.49989188620344</v>
      </c>
      <c r="D106" s="24">
        <f>IF(121.6311="","-",121.6311/4020356.96103*100)</f>
        <v>0.003025380611199225</v>
      </c>
      <c r="E106" s="24">
        <f>IF(117.37388="","-",117.37388/4831412.23329*100)</f>
        <v>0.0024293907108827485</v>
      </c>
      <c r="F106" s="24">
        <f>IF(OR(3986820.02566="",102.98787="",121.6311=""),"-",(121.6311-102.98787)/3986820.02566*100)</f>
        <v>0.0004676215600405414</v>
      </c>
      <c r="G106" s="24">
        <f>IF(OR(4020356.96103="",117.37388="",121.6311=""),"-",(117.37388-121.6311)/4020356.96103*100)</f>
        <v>-0.00010589159224581193</v>
      </c>
    </row>
    <row r="107" spans="1:7" ht="15.75">
      <c r="A107" s="39" t="s">
        <v>237</v>
      </c>
      <c r="B107" s="24">
        <f>IF(113.67282="","-",113.67282)</f>
        <v>113.67282</v>
      </c>
      <c r="C107" s="24" t="s">
        <v>215</v>
      </c>
      <c r="D107" s="24">
        <f>IF(60.05673="","-",60.05673/4020356.96103*100)</f>
        <v>0.0014938158621769172</v>
      </c>
      <c r="E107" s="24">
        <f>IF(113.67282="","-",113.67282/4831412.23329*100)</f>
        <v>0.002352786607956103</v>
      </c>
      <c r="F107" s="24">
        <f>IF(OR(3986820.02566="",37.89582="",60.05673=""),"-",(60.05673-37.89582)/3986820.02566*100)</f>
        <v>0.0005558542863075783</v>
      </c>
      <c r="G107" s="24">
        <f>IF(OR(4020356.96103="",113.67282="",60.05673=""),"-",(113.67282-60.05673)/4020356.96103*100)</f>
        <v>0.0013336151620293875</v>
      </c>
    </row>
    <row r="108" spans="1:7" ht="15.75">
      <c r="A108" s="39" t="s">
        <v>222</v>
      </c>
      <c r="B108" s="24">
        <f>IF(100.53531="","-",100.53531)</f>
        <v>100.53531</v>
      </c>
      <c r="C108" s="24">
        <f>IF(OR(75.27633="",100.53531=""),"-",100.53531/75.27633*100)</f>
        <v>133.55500992144542</v>
      </c>
      <c r="D108" s="24">
        <f>IF(75.27633="","-",75.27633/4020356.96103*100)</f>
        <v>0.0018723792620821038</v>
      </c>
      <c r="E108" s="24">
        <f>IF(100.53531="","-",100.53531/4831412.23329*100)</f>
        <v>0.002080867977012581</v>
      </c>
      <c r="F108" s="24">
        <f>IF(OR(3986820.02566="",27.00295="",75.27633=""),"-",(75.27633-27.00295)/3986820.02566*100)</f>
        <v>0.0012108241578326216</v>
      </c>
      <c r="G108" s="24">
        <f>IF(OR(4020356.96103="",100.53531="",75.27633=""),"-",(100.53531-75.27633)/4020356.96103*100)</f>
        <v>0.0006282770471587364</v>
      </c>
    </row>
    <row r="109" spans="1:7" ht="15.75">
      <c r="A109" s="39" t="s">
        <v>247</v>
      </c>
      <c r="B109" s="24">
        <f>IF(88.85857="","-",88.85857)</f>
        <v>88.85857</v>
      </c>
      <c r="C109" s="24">
        <f>IF(OR(96.92064="",88.85857=""),"-",88.85857/96.92064*100)</f>
        <v>91.68178212607758</v>
      </c>
      <c r="D109" s="24">
        <f>IF(96.92064="","-",96.92064/4020356.96103*100)</f>
        <v>0.0024107471286621603</v>
      </c>
      <c r="E109" s="24">
        <f>IF(88.85857="","-",88.85857/4831412.23329*100)</f>
        <v>0.001839184191068102</v>
      </c>
      <c r="F109" s="24">
        <f>IF(OR(3986820.02566="",30.28716="",96.92064=""),"-",(96.92064-30.28716)/3986820.02566*100)</f>
        <v>0.0016713440679823298</v>
      </c>
      <c r="G109" s="24">
        <f>IF(OR(4020356.96103="",88.85857="",96.92064=""),"-",(88.85857-96.92064)/4020356.96103*100)</f>
        <v>-0.00020053119855144741</v>
      </c>
    </row>
    <row r="110" spans="1:7" ht="15.75">
      <c r="A110" s="39" t="s">
        <v>234</v>
      </c>
      <c r="B110" s="24">
        <f>IF(87.49618="","-",87.49618)</f>
        <v>87.49618</v>
      </c>
      <c r="C110" s="24">
        <f>IF(OR(70.83744="",87.49618=""),"-",87.49618/70.83744*100)</f>
        <v>123.51685775205878</v>
      </c>
      <c r="D110" s="24">
        <f>IF(70.83744="","-",70.83744/4020356.96103*100)</f>
        <v>0.0017619689168558736</v>
      </c>
      <c r="E110" s="24">
        <f>IF(87.49618="","-",87.49618/4831412.23329*100)</f>
        <v>0.0018109856036941517</v>
      </c>
      <c r="F110" s="24">
        <f>IF(OR(3986820.02566="",65.21687="",70.83744=""),"-",(70.83744-65.21687)/3986820.02566*100)</f>
        <v>0.00014097877415646673</v>
      </c>
      <c r="G110" s="24">
        <f>IF(OR(4020356.96103="",87.49618="",70.83744=""),"-",(87.49618-70.83744)/4020356.96103*100)</f>
        <v>0.0004143597238124868</v>
      </c>
    </row>
    <row r="111" spans="1:7" ht="15.75">
      <c r="A111" s="39" t="s">
        <v>241</v>
      </c>
      <c r="B111" s="24">
        <f>IF(72.40416="","-",72.40416)</f>
        <v>72.40416</v>
      </c>
      <c r="C111" s="24">
        <f>IF(OR(77.30398="",72.40416=""),"-",72.40416/77.30398*100)</f>
        <v>93.66162000973301</v>
      </c>
      <c r="D111" s="24">
        <f>IF(77.30398="","-",77.30398/4020356.96103*100)</f>
        <v>0.0019228138384059063</v>
      </c>
      <c r="E111" s="24">
        <f>IF(72.40416="","-",72.40416/4831412.23329*100)</f>
        <v>0.0014986127555233605</v>
      </c>
      <c r="F111" s="24">
        <f>IF(OR(3986820.02566="",90.42073="",77.30398=""),"-",(77.30398-90.42073)/3986820.02566*100)</f>
        <v>-0.0003290028121554996</v>
      </c>
      <c r="G111" s="24">
        <f>IF(OR(4020356.96103="",72.40416="",77.30398=""),"-",(72.40416-77.30398)/4020356.96103*100)</f>
        <v>-0.00012187524758360452</v>
      </c>
    </row>
    <row r="112" spans="1:7" ht="15.75">
      <c r="A112" s="39" t="s">
        <v>223</v>
      </c>
      <c r="B112" s="24">
        <f>IF(71.08758="","-",71.08758)</f>
        <v>71.08758</v>
      </c>
      <c r="C112" s="24">
        <f>IF(OR(269.94068="",71.08758=""),"-",71.08758/269.94068*100)</f>
        <v>26.33451912472029</v>
      </c>
      <c r="D112" s="24">
        <f>IF(269.94068="","-",269.94068/4020356.96103*100)</f>
        <v>0.006714346079628766</v>
      </c>
      <c r="E112" s="24">
        <f>IF(71.08758="","-",71.08758/4831412.23329*100)</f>
        <v>0.001471362338121005</v>
      </c>
      <c r="F112" s="24">
        <f>IF(OR(3986820.02566="",273.07728="",269.94068=""),"-",(269.94068-273.07728)/3986820.02566*100)</f>
        <v>-7.867423108673528E-05</v>
      </c>
      <c r="G112" s="24">
        <f>IF(OR(4020356.96103="",71.08758="",269.94068=""),"-",(71.08758-269.94068)/4020356.96103*100)</f>
        <v>-0.004946155327189021</v>
      </c>
    </row>
    <row r="113" spans="1:7" ht="15.75">
      <c r="A113" s="39" t="s">
        <v>242</v>
      </c>
      <c r="B113" s="24">
        <f>IF(60.11432="","-",60.11432)</f>
        <v>60.11432</v>
      </c>
      <c r="C113" s="24">
        <f>IF(OR(59.43215="",60.11432=""),"-",60.11432/59.43215*100)</f>
        <v>101.14781309442785</v>
      </c>
      <c r="D113" s="24">
        <f>IF(59.43215="","-",59.43215/4020356.96103*100)</f>
        <v>0.0014782804257454222</v>
      </c>
      <c r="E113" s="24">
        <f>IF(60.11432="","-",60.11432/4831412.23329*100)</f>
        <v>0.001244239098162496</v>
      </c>
      <c r="F113" s="24">
        <f>IF(OR(3986820.02566="",31.04983="",59.43215=""),"-",(59.43215-31.04983)/3986820.02566*100)</f>
        <v>0.0007119037181845558</v>
      </c>
      <c r="G113" s="24">
        <f>IF(OR(4020356.96103="",60.11432="",59.43215=""),"-",(60.11432-59.43215)/4020356.96103*100)</f>
        <v>1.696789629906967E-05</v>
      </c>
    </row>
    <row r="114" spans="1:7" ht="15.75">
      <c r="A114" s="39" t="s">
        <v>251</v>
      </c>
      <c r="B114" s="24">
        <f>IF(55.58966="","-",55.58966)</f>
        <v>55.58966</v>
      </c>
      <c r="C114" s="24" t="s">
        <v>263</v>
      </c>
      <c r="D114" s="24">
        <f>IF(7.00998="","-",7.00998/4020356.96103*100)</f>
        <v>0.0001743621292325264</v>
      </c>
      <c r="E114" s="24">
        <f>IF(55.58966="","-",55.58966/4831412.23329*100)</f>
        <v>0.001150588219671449</v>
      </c>
      <c r="F114" s="24">
        <f>IF(OR(3986820.02566="",168.80852="",7.00998=""),"-",(7.00998-168.80852)/3986820.02566*100)</f>
        <v>-0.004058335690064539</v>
      </c>
      <c r="G114" s="24">
        <f>IF(OR(4020356.96103="",55.58966="",7.00998=""),"-",(55.58966-7.00998)/4020356.96103*100)</f>
        <v>0.0012083424549335063</v>
      </c>
    </row>
    <row r="115" spans="1:7" ht="15.75">
      <c r="A115" s="39" t="s">
        <v>224</v>
      </c>
      <c r="B115" s="24">
        <f>IF(54.8964="","-",54.8964)</f>
        <v>54.8964</v>
      </c>
      <c r="C115" s="24" t="s">
        <v>248</v>
      </c>
      <c r="D115" s="24">
        <f>IF(0.03228="","-",0.03228/4020356.96103*100)</f>
        <v>8.029137788732569E-07</v>
      </c>
      <c r="E115" s="24">
        <f>IF(54.8964="","-",54.8964/4831412.23329*100)</f>
        <v>0.001136239206038888</v>
      </c>
      <c r="F115" s="24">
        <f>IF(OR(3986820.02566="",5.36953="",0.03228=""),"-",(0.03228-5.36953)/3986820.02566*100)</f>
        <v>-0.00013387235856267282</v>
      </c>
      <c r="G115" s="24">
        <f>IF(OR(4020356.96103="",54.8964="",0.03228=""),"-",(54.8964-0.03228)/4020356.96103*100)</f>
        <v>0.0013646579279354345</v>
      </c>
    </row>
    <row r="116" spans="1:7" ht="15.75">
      <c r="A116" s="39" t="s">
        <v>246</v>
      </c>
      <c r="B116" s="24">
        <f>IF(52.75044="","-",52.75044)</f>
        <v>52.75044</v>
      </c>
      <c r="C116" s="24">
        <f>IF(OR(52.71306="",52.75044=""),"-",52.75044/52.71306*100)</f>
        <v>100.07091221795889</v>
      </c>
      <c r="D116" s="24">
        <f>IF(52.71306="","-",52.71306/4020356.96103*100)</f>
        <v>0.0013111537236856479</v>
      </c>
      <c r="E116" s="24">
        <f>IF(52.75044="","-",52.75044/4831412.23329*100)</f>
        <v>0.001091822379314527</v>
      </c>
      <c r="F116" s="24">
        <f>IF(OR(3986820.02566="",27.95924="",52.71306=""),"-",(52.71306-27.95924)/3986820.02566*100)</f>
        <v>0.0006208913329590823</v>
      </c>
      <c r="G116" s="24">
        <f>IF(OR(4020356.96103="",52.75044="",52.71306=""),"-",(52.75044-52.71306)/4020356.96103*100)</f>
        <v>9.297681863160291E-07</v>
      </c>
    </row>
    <row r="117" spans="1:7" ht="15.75">
      <c r="A117" s="39" t="s">
        <v>260</v>
      </c>
      <c r="B117" s="24">
        <f>IF(51.33211="","-",51.33211)</f>
        <v>51.33211</v>
      </c>
      <c r="C117" s="24" t="s">
        <v>212</v>
      </c>
      <c r="D117" s="24">
        <f>IF(28.23647="","-",28.23647/4020356.96103*100)</f>
        <v>0.0007023373862992984</v>
      </c>
      <c r="E117" s="24">
        <f>IF(51.33211="","-",51.33211/4831412.23329*100)</f>
        <v>0.001062465952424947</v>
      </c>
      <c r="F117" s="24">
        <f>IF(OR(3986820.02566="",174.47352="",28.23647=""),"-",(28.23647-174.47352)/3986820.02566*100)</f>
        <v>-0.003668012327087455</v>
      </c>
      <c r="G117" s="24">
        <f>IF(OR(4020356.96103="",51.33211="",28.23647=""),"-",(51.33211-28.23647)/4020356.96103*100)</f>
        <v>0.0005744673973945583</v>
      </c>
    </row>
    <row r="118" spans="1:7" ht="15.75">
      <c r="A118" s="44" t="s">
        <v>27</v>
      </c>
      <c r="B118" s="44"/>
      <c r="C118" s="44"/>
      <c r="D118" s="44"/>
      <c r="E118" s="44"/>
      <c r="F118" s="44"/>
      <c r="G118" s="44"/>
    </row>
  </sheetData>
  <sheetProtection/>
  <mergeCells count="12">
    <mergeCell ref="A118:G118"/>
    <mergeCell ref="A1:G1"/>
    <mergeCell ref="A3:A5"/>
    <mergeCell ref="B3:C3"/>
    <mergeCell ref="D3:E3"/>
    <mergeCell ref="F3:G3"/>
    <mergeCell ref="B4:B5"/>
    <mergeCell ref="C4:C5"/>
    <mergeCell ref="D4:D5"/>
    <mergeCell ref="E4:E5"/>
    <mergeCell ref="F4:F5"/>
    <mergeCell ref="G4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3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7.125" style="0" customWidth="1"/>
    <col min="2" max="3" width="13.875" style="0" customWidth="1"/>
    <col min="4" max="4" width="13.125" style="0" customWidth="1"/>
  </cols>
  <sheetData>
    <row r="1" spans="1:4" ht="15.75">
      <c r="A1" s="58" t="s">
        <v>34</v>
      </c>
      <c r="B1" s="58"/>
      <c r="C1" s="58"/>
      <c r="D1" s="58"/>
    </row>
    <row r="2" ht="15.75">
      <c r="A2" s="4"/>
    </row>
    <row r="3" spans="1:5" ht="21.75" customHeight="1">
      <c r="A3" s="66"/>
      <c r="B3" s="68">
        <v>2016</v>
      </c>
      <c r="C3" s="71">
        <v>2017</v>
      </c>
      <c r="D3" s="68" t="s">
        <v>275</v>
      </c>
      <c r="E3" s="1"/>
    </row>
    <row r="4" spans="1:5" ht="20.25" customHeight="1">
      <c r="A4" s="67"/>
      <c r="B4" s="70"/>
      <c r="C4" s="72"/>
      <c r="D4" s="69"/>
      <c r="E4" s="1"/>
    </row>
    <row r="5" spans="1:4" ht="17.25" customHeight="1">
      <c r="A5" s="7" t="s">
        <v>198</v>
      </c>
      <c r="B5" s="43">
        <f>IF(-1975746.20356="","-",-1975746.20356)</f>
        <v>-1975746.20356</v>
      </c>
      <c r="C5" s="43">
        <f>IF(-2406293.89022="","-",-2406293.89022)</f>
        <v>-2406293.89022</v>
      </c>
      <c r="D5" s="43">
        <f>IF(-1975746.20356="","-",-2406293.89022/-1975746.20356*100)</f>
        <v>121.7916494479006</v>
      </c>
    </row>
    <row r="6" spans="1:4" ht="15.75">
      <c r="A6" s="8" t="s">
        <v>32</v>
      </c>
      <c r="B6" s="35"/>
      <c r="C6" s="34"/>
      <c r="D6" s="40"/>
    </row>
    <row r="7" spans="1:4" ht="15.75">
      <c r="A7" s="37" t="s">
        <v>4</v>
      </c>
      <c r="B7" s="23">
        <f>IF(-641813.09415="","-",-641813.09415)</f>
        <v>-641813.09415</v>
      </c>
      <c r="C7" s="23">
        <f>IF(-792209.67014="","-",-792209.67014)</f>
        <v>-792209.67014</v>
      </c>
      <c r="D7" s="23">
        <f>IF(-641813.09415="","-",-792209.67014/-641813.09415*100)</f>
        <v>123.43308002919153</v>
      </c>
    </row>
    <row r="8" spans="1:4" ht="15.75">
      <c r="A8" s="39" t="s">
        <v>7</v>
      </c>
      <c r="B8" s="24">
        <f>IF(-189817.20287="","-",-189817.20287)</f>
        <v>-189817.20287</v>
      </c>
      <c r="C8" s="24">
        <f>IF(-224476.49973="","-",-224476.49973)</f>
        <v>-224476.49973</v>
      </c>
      <c r="D8" s="24">
        <f>IF(OR(-189817.20287="",-224476.49973="",-189817.20287=0),"-",-224476.49973/-189817.20287*100)</f>
        <v>118.25930228449162</v>
      </c>
    </row>
    <row r="9" spans="1:4" ht="15.75">
      <c r="A9" s="39" t="s">
        <v>6</v>
      </c>
      <c r="B9" s="24">
        <f>IF(-82966.11922="","-",-82966.11922)</f>
        <v>-82966.11922</v>
      </c>
      <c r="C9" s="24">
        <f>IF(-95181.75175="","-",-95181.75175)</f>
        <v>-95181.75175</v>
      </c>
      <c r="D9" s="24">
        <f>IF(OR(-82966.11922="",-95181.75175="",-82966.11922=0),"-",-95181.75175/-82966.11922*100)</f>
        <v>114.72363977590419</v>
      </c>
    </row>
    <row r="10" spans="1:4" ht="15.75">
      <c r="A10" s="39" t="s">
        <v>5</v>
      </c>
      <c r="B10" s="24">
        <f>IF(-38464.11678="","-",-38464.11678)</f>
        <v>-38464.11678</v>
      </c>
      <c r="C10" s="24">
        <f>IF(-93907.77584="","-",-93907.77584)</f>
        <v>-93907.77584</v>
      </c>
      <c r="D10" s="24" t="s">
        <v>122</v>
      </c>
    </row>
    <row r="11" spans="1:4" ht="15.75">
      <c r="A11" s="39" t="s">
        <v>125</v>
      </c>
      <c r="B11" s="24">
        <f>IF(-70882.40887="","-",-70882.40887)</f>
        <v>-70882.40887</v>
      </c>
      <c r="C11" s="24">
        <f>IF(-89710.16912="","-",-89710.16912)</f>
        <v>-89710.16912</v>
      </c>
      <c r="D11" s="24">
        <f>IF(OR(-70882.40887="",-89710.16912="",-70882.40887=0),"-",-89710.16912/-70882.40887*100)</f>
        <v>126.56196445655587</v>
      </c>
    </row>
    <row r="12" spans="1:4" ht="15.75">
      <c r="A12" s="39" t="s">
        <v>8</v>
      </c>
      <c r="B12" s="24">
        <f>IF(-58796.94119="","-",-58796.94119)</f>
        <v>-58796.94119</v>
      </c>
      <c r="C12" s="24">
        <f>IF(-62791.4298="","-",-62791.4298)</f>
        <v>-62791.4298</v>
      </c>
      <c r="D12" s="24">
        <f>IF(OR(-58796.94119="",-62791.4298="",-58796.94119=0),"-",-62791.4298/-58796.94119*100)</f>
        <v>106.79370138846505</v>
      </c>
    </row>
    <row r="13" spans="1:4" ht="15.75">
      <c r="A13" s="39" t="s">
        <v>199</v>
      </c>
      <c r="B13" s="24">
        <f>IF(-45211.92569="","-",-45211.92569)</f>
        <v>-45211.92569</v>
      </c>
      <c r="C13" s="24">
        <f>IF(-61843.90377="","-",-61843.90377)</f>
        <v>-61843.90377</v>
      </c>
      <c r="D13" s="24">
        <f>IF(OR(-45211.92569="",-61843.90377="",-45211.92569=0),"-",-61843.90377/-45211.92569*100)</f>
        <v>136.786705777672</v>
      </c>
    </row>
    <row r="14" spans="1:4" ht="15.75">
      <c r="A14" s="39" t="s">
        <v>11</v>
      </c>
      <c r="B14" s="24">
        <f>IF(-46505.75444="","-",-46505.75444)</f>
        <v>-46505.75444</v>
      </c>
      <c r="C14" s="24">
        <f>IF(-39436.45773="","-",-39436.45773)</f>
        <v>-39436.45773</v>
      </c>
      <c r="D14" s="24">
        <f>IF(OR(-46505.75444="",-39436.45773="",-46505.75444=0),"-",-39436.45773/-46505.75444*100)</f>
        <v>84.79909250989458</v>
      </c>
    </row>
    <row r="15" spans="1:4" ht="15.75">
      <c r="A15" s="39" t="s">
        <v>10</v>
      </c>
      <c r="B15" s="24">
        <f>IF(-27861.81304="","-",-27861.81304)</f>
        <v>-27861.81304</v>
      </c>
      <c r="C15" s="24">
        <f>IF(-38337.26955="","-",-38337.26955)</f>
        <v>-38337.26955</v>
      </c>
      <c r="D15" s="24">
        <f>IF(OR(-27861.81304="",-38337.26955="",-27861.81304=0),"-",-38337.26955/-27861.81304*100)</f>
        <v>137.59789965915297</v>
      </c>
    </row>
    <row r="16" spans="1:4" ht="15.75">
      <c r="A16" s="39" t="s">
        <v>123</v>
      </c>
      <c r="B16" s="24">
        <f>IF(-31156.56404="","-",-31156.56404)</f>
        <v>-31156.56404</v>
      </c>
      <c r="C16" s="24">
        <f>IF(-32751.7091="","-",-32751.7091)</f>
        <v>-32751.7091</v>
      </c>
      <c r="D16" s="24">
        <f>IF(OR(-31156.56404="",-32751.7091="",-31156.56404=0),"-",-32751.7091/-31156.56404*100)</f>
        <v>105.11977205815151</v>
      </c>
    </row>
    <row r="17" spans="1:4" ht="15.75">
      <c r="A17" s="39" t="s">
        <v>124</v>
      </c>
      <c r="B17" s="24">
        <f>IF(-20829.50141="","-",-20829.50141)</f>
        <v>-20829.50141</v>
      </c>
      <c r="C17" s="24">
        <f>IF(-25574.70823="","-",-25574.70823)</f>
        <v>-25574.70823</v>
      </c>
      <c r="D17" s="24">
        <f>IF(OR(-20829.50141="",-25574.70823="",-20829.50141=0),"-",-25574.70823/-20829.50141*100)</f>
        <v>122.78118293182901</v>
      </c>
    </row>
    <row r="18" spans="1:4" ht="15.75">
      <c r="A18" s="39" t="s">
        <v>13</v>
      </c>
      <c r="B18" s="24">
        <f>IF(-16518.92768="","-",-16518.92768)</f>
        <v>-16518.92768</v>
      </c>
      <c r="C18" s="24">
        <f>IF(-19902.61213="","-",-19902.61213)</f>
        <v>-19902.61213</v>
      </c>
      <c r="D18" s="24">
        <f>IF(OR(-16518.92768="",-19902.61213="",-16518.92768=0),"-",-19902.61213/-16518.92768*100)</f>
        <v>120.48368099641684</v>
      </c>
    </row>
    <row r="19" spans="1:4" ht="15.75">
      <c r="A19" s="39" t="s">
        <v>133</v>
      </c>
      <c r="B19" s="24">
        <f>IF(-17858.24237="","-",-17858.24237)</f>
        <v>-17858.24237</v>
      </c>
      <c r="C19" s="24">
        <f>IF(-18701.80706="","-",-18701.80706)</f>
        <v>-18701.80706</v>
      </c>
      <c r="D19" s="24">
        <f>IF(OR(-17858.24237="",-18701.80706="",-17858.24237=0),"-",-18701.80706/-17858.24237*100)</f>
        <v>104.72367141470261</v>
      </c>
    </row>
    <row r="20" spans="1:4" ht="15.75">
      <c r="A20" s="39" t="s">
        <v>135</v>
      </c>
      <c r="B20" s="24">
        <f>IF(-17017.66827="","-",-17017.66827)</f>
        <v>-17017.66827</v>
      </c>
      <c r="C20" s="24">
        <f>IF(-17099.1504="","-",-17099.1504)</f>
        <v>-17099.1504</v>
      </c>
      <c r="D20" s="24">
        <f>IF(OR(-17017.66827="",-17099.1504="",-17017.66827=0),"-",-17099.1504/-17017.66827*100)</f>
        <v>100.47880901606034</v>
      </c>
    </row>
    <row r="21" spans="1:4" ht="15.75">
      <c r="A21" s="39" t="s">
        <v>127</v>
      </c>
      <c r="B21" s="24">
        <f>IF(-11442.12209="","-",-11442.12209)</f>
        <v>-11442.12209</v>
      </c>
      <c r="C21" s="24">
        <f>IF(-14219.30023="","-",-14219.30023)</f>
        <v>-14219.30023</v>
      </c>
      <c r="D21" s="24">
        <f>IF(OR(-11442.12209="",-14219.30023="",-11442.12209=0),"-",-14219.30023/-11442.12209*100)</f>
        <v>124.27153038707002</v>
      </c>
    </row>
    <row r="22" spans="1:6" ht="15.75">
      <c r="A22" s="39" t="s">
        <v>132</v>
      </c>
      <c r="B22" s="24">
        <f>IF(-10970.24593="","-",-10970.24593)</f>
        <v>-10970.24593</v>
      </c>
      <c r="C22" s="24">
        <f>IF(-13128.68934="","-",-13128.68934)</f>
        <v>-13128.68934</v>
      </c>
      <c r="D22" s="24">
        <f>IF(OR(-10970.24593="",-13128.68934="",-10970.24593=0),"-",-13128.68934/-10970.24593*100)</f>
        <v>119.67543320152352</v>
      </c>
      <c r="F22" t="s">
        <v>225</v>
      </c>
    </row>
    <row r="23" spans="1:4" ht="15.75">
      <c r="A23" s="39" t="s">
        <v>131</v>
      </c>
      <c r="B23" s="24">
        <f>IF(-10859.23233="","-",-10859.23233)</f>
        <v>-10859.23233</v>
      </c>
      <c r="C23" s="24">
        <f>IF(-13092.89662="","-",-13092.89662)</f>
        <v>-13092.89662</v>
      </c>
      <c r="D23" s="24">
        <f>IF(OR(-10859.23233="",-13092.89662="",-10859.23233=0),"-",-13092.89662/-10859.23233*100)</f>
        <v>120.56926513883693</v>
      </c>
    </row>
    <row r="24" spans="1:4" ht="15.75">
      <c r="A24" s="39" t="s">
        <v>134</v>
      </c>
      <c r="B24" s="24">
        <f>IF(-7012.05406="","-",-7012.05406)</f>
        <v>-7012.05406</v>
      </c>
      <c r="C24" s="24">
        <f>IF(-8051.61906="","-",-8051.61906)</f>
        <v>-8051.61906</v>
      </c>
      <c r="D24" s="24">
        <f>IF(OR(-7012.05406="",-8051.61906="",-7012.05406=0),"-",-8051.61906/-7012.05406*100)</f>
        <v>114.82539910709131</v>
      </c>
    </row>
    <row r="25" spans="1:4" ht="15.75">
      <c r="A25" s="39" t="s">
        <v>136</v>
      </c>
      <c r="B25" s="24">
        <f>IF(-5967.46656="","-",-5967.46656)</f>
        <v>-5967.46656</v>
      </c>
      <c r="C25" s="24">
        <f>IF(-6570.50646="","-",-6570.50646)</f>
        <v>-6570.50646</v>
      </c>
      <c r="D25" s="24">
        <f>IF(OR(-5967.46656="",-6570.50646="",-5967.46656=0),"-",-6570.50646/-5967.46656*100)</f>
        <v>110.10545922522941</v>
      </c>
    </row>
    <row r="26" spans="1:4" ht="15.75">
      <c r="A26" s="39" t="s">
        <v>126</v>
      </c>
      <c r="B26" s="24">
        <f>IF(-6717.74492="","-",-6717.74492)</f>
        <v>-6717.74492</v>
      </c>
      <c r="C26" s="24">
        <f>IF(-3319.8342="","-",-3319.8342)</f>
        <v>-3319.8342</v>
      </c>
      <c r="D26" s="24">
        <f>IF(OR(-6717.74492="",-3319.8342="",-6717.74492=0),"-",-3319.8342/-6717.74492*100)</f>
        <v>49.418878500674005</v>
      </c>
    </row>
    <row r="27" spans="1:4" ht="15.75">
      <c r="A27" s="39" t="s">
        <v>128</v>
      </c>
      <c r="B27" s="24">
        <f>IF(-3533.50733="","-",-3533.50733)</f>
        <v>-3533.50733</v>
      </c>
      <c r="C27" s="24">
        <f>IF(-2449.29535="","-",-2449.29535)</f>
        <v>-2449.29535</v>
      </c>
      <c r="D27" s="24">
        <f>IF(OR(-3533.50733="",-2449.29535="",-3533.50733=0),"-",-2449.29535/-3533.50733*100)</f>
        <v>69.3162662832229</v>
      </c>
    </row>
    <row r="28" spans="1:4" ht="15.75">
      <c r="A28" s="39" t="s">
        <v>137</v>
      </c>
      <c r="B28" s="24">
        <f>IF(-2330.93956="","-",-2330.93956)</f>
        <v>-2330.93956</v>
      </c>
      <c r="C28" s="24">
        <f>IF(-2331.56204="","-",-2331.56204)</f>
        <v>-2331.56204</v>
      </c>
      <c r="D28" s="24">
        <f>IF(OR(-2330.93956="",-2331.56204="",-2330.93956=0),"-",-2331.56204/-2330.93956*100)</f>
        <v>100.02670511113554</v>
      </c>
    </row>
    <row r="29" spans="1:4" ht="15.75">
      <c r="A29" s="39" t="s">
        <v>129</v>
      </c>
      <c r="B29" s="24">
        <f>IF(-851.15589="","-",-851.15589)</f>
        <v>-851.15589</v>
      </c>
      <c r="C29" s="24">
        <f>IF(-1615.63863="","-",-1615.63863)</f>
        <v>-1615.63863</v>
      </c>
      <c r="D29" s="24" t="s">
        <v>215</v>
      </c>
    </row>
    <row r="30" spans="1:4" ht="15.75">
      <c r="A30" s="39" t="s">
        <v>200</v>
      </c>
      <c r="B30" s="24">
        <f>IF(-1743.17962="","-",-1743.17962)</f>
        <v>-1743.17962</v>
      </c>
      <c r="C30" s="24">
        <f>IF(-1235.68823="","-",-1235.68823)</f>
        <v>-1235.68823</v>
      </c>
      <c r="D30" s="24">
        <f>IF(OR(-1743.17962="",-1235.68823="",-1743.17962=0),"-",-1235.68823/-1743.17962*100)</f>
        <v>70.88702826849249</v>
      </c>
    </row>
    <row r="31" spans="1:4" ht="15.75">
      <c r="A31" s="39" t="s">
        <v>138</v>
      </c>
      <c r="B31" s="24">
        <f>IF(-280.81323="","-",-280.81323)</f>
        <v>-280.81323</v>
      </c>
      <c r="C31" s="24">
        <f>IF(-220.772="","-",-220.772)</f>
        <v>-220.772</v>
      </c>
      <c r="D31" s="24">
        <f>IF(OR(-280.81323="",-220.772="",-280.81323=0),"-",-220.772/-280.81323*100)</f>
        <v>78.61880296736732</v>
      </c>
    </row>
    <row r="32" spans="1:4" ht="15.75">
      <c r="A32" s="39" t="s">
        <v>12</v>
      </c>
      <c r="B32" s="24">
        <f>IF(9950.26096="","-",9950.26096)</f>
        <v>9950.26096</v>
      </c>
      <c r="C32" s="24">
        <f>IF(3953.56946="","-",3953.56946)</f>
        <v>3953.56946</v>
      </c>
      <c r="D32" s="24">
        <f>IF(OR(9950.26096="",3953.56946="",9950.26096=0),"-",3953.56946/9950.26096*100)</f>
        <v>39.733324340872365</v>
      </c>
    </row>
    <row r="33" spans="1:4" ht="15.75">
      <c r="A33" s="39" t="s">
        <v>9</v>
      </c>
      <c r="B33" s="24">
        <f>IF(18393.82615="","-",18393.82615)</f>
        <v>18393.82615</v>
      </c>
      <c r="C33" s="24">
        <f>IF(4002.24722="","-",4002.24722)</f>
        <v>4002.24722</v>
      </c>
      <c r="D33" s="24">
        <f>IF(OR(18393.82615="",4002.24722="",18393.82615=0),"-",4002.24722/18393.82615*100)</f>
        <v>21.758644380794042</v>
      </c>
    </row>
    <row r="34" spans="1:4" ht="15.75">
      <c r="A34" s="39" t="s">
        <v>130</v>
      </c>
      <c r="B34" s="24">
        <f>IF(3125.0438="","-",3125.0438)</f>
        <v>3125.0438</v>
      </c>
      <c r="C34" s="24">
        <f>IF(6758.04962="","-",6758.04962)</f>
        <v>6758.04962</v>
      </c>
      <c r="D34" s="24" t="s">
        <v>193</v>
      </c>
    </row>
    <row r="35" spans="1:4" ht="15.75">
      <c r="A35" s="39" t="s">
        <v>208</v>
      </c>
      <c r="B35" s="24">
        <f>IF(52313.42233="","-",52313.42233)</f>
        <v>52313.42233</v>
      </c>
      <c r="C35" s="24">
        <f>IF(79027.50993="","-",79027.50993)</f>
        <v>79027.50993</v>
      </c>
      <c r="D35" s="24">
        <f>IF(OR(52313.42233="",79027.50993="",52313.42233=0),"-",79027.50993/52313.42233*100)</f>
        <v>151.0654558814447</v>
      </c>
    </row>
    <row r="36" spans="1:4" ht="15.75">
      <c r="A36" s="37" t="s">
        <v>14</v>
      </c>
      <c r="B36" s="23">
        <f>IF(-613256.85737="","-",-613256.85737)</f>
        <v>-613256.85737</v>
      </c>
      <c r="C36" s="23">
        <f>IF(-743153.69144="","-",-743153.69144)</f>
        <v>-743153.69144</v>
      </c>
      <c r="D36" s="23">
        <f>IF(-613256.85737="","-",-743153.69144/-613256.85737*100)</f>
        <v>121.18147273999882</v>
      </c>
    </row>
    <row r="37" spans="1:4" ht="15.75">
      <c r="A37" s="39" t="s">
        <v>16</v>
      </c>
      <c r="B37" s="24">
        <f>IF(-334185.96329="","-",-334185.96329)</f>
        <v>-334185.96329</v>
      </c>
      <c r="C37" s="24">
        <f>IF(-445574.77276="","-",-445574.77276)</f>
        <v>-445574.77276</v>
      </c>
      <c r="D37" s="24">
        <f>IF(OR(-334185.96329="",-445574.77276="",-334185.96329=0),"-",-445574.77276/-334185.96329*100)</f>
        <v>133.33138482939185</v>
      </c>
    </row>
    <row r="38" spans="1:4" ht="15.75">
      <c r="A38" s="39" t="s">
        <v>209</v>
      </c>
      <c r="B38" s="24">
        <f>IF(-302023.68263="","-",-302023.68263)</f>
        <v>-302023.68263</v>
      </c>
      <c r="C38" s="24">
        <f>IF(-317171.92388="","-",-317171.92388)</f>
        <v>-317171.92388</v>
      </c>
      <c r="D38" s="24">
        <f>IF(OR(-302023.68263="",-317171.92388="",-302023.68263=0),"-",-317171.92388/-302023.68263*100)</f>
        <v>105.01558060549765</v>
      </c>
    </row>
    <row r="39" spans="1:4" ht="15.75">
      <c r="A39" s="39" t="s">
        <v>15</v>
      </c>
      <c r="B39" s="24">
        <f>IF(2250.65607="","-",2250.65607)</f>
        <v>2250.65607</v>
      </c>
      <c r="C39" s="24">
        <f>IF(-4514.52311="","-",-4514.52311)</f>
        <v>-4514.52311</v>
      </c>
      <c r="D39" s="24" t="s">
        <v>33</v>
      </c>
    </row>
    <row r="40" spans="1:4" ht="15.75">
      <c r="A40" s="39" t="s">
        <v>19</v>
      </c>
      <c r="B40" s="24">
        <f>IF(2786.88657="","-",2786.88657)</f>
        <v>2786.88657</v>
      </c>
      <c r="C40" s="24">
        <f>IF(-212.30046="","-",-212.30046)</f>
        <v>-212.30046</v>
      </c>
      <c r="D40" s="24" t="s">
        <v>33</v>
      </c>
    </row>
    <row r="41" spans="1:4" ht="15.75">
      <c r="A41" s="39" t="s">
        <v>23</v>
      </c>
      <c r="B41" s="24">
        <f>IF(546.861="","-",546.861)</f>
        <v>546.861</v>
      </c>
      <c r="C41" s="24">
        <f>IF(404.70983="","-",404.70983)</f>
        <v>404.70983</v>
      </c>
      <c r="D41" s="24">
        <f>IF(OR(546.861="",404.70983="",546.861=0),"-",404.70983/546.861*100)</f>
        <v>74.00597775303048</v>
      </c>
    </row>
    <row r="42" spans="1:4" ht="15.75">
      <c r="A42" s="39" t="s">
        <v>22</v>
      </c>
      <c r="B42" s="24">
        <f>IF(569.90825="","-",569.90825)</f>
        <v>569.90825</v>
      </c>
      <c r="C42" s="24">
        <f>IF(602.1422="","-",602.1422)</f>
        <v>602.1422</v>
      </c>
      <c r="D42" s="24">
        <f>IF(OR(569.90825="",602.1422="",569.90825=0),"-",602.1422/569.90825*100)</f>
        <v>105.65598936320013</v>
      </c>
    </row>
    <row r="43" spans="1:4" ht="15.75">
      <c r="A43" s="39" t="s">
        <v>21</v>
      </c>
      <c r="B43" s="24">
        <f>IF(1034.70165="","-",1034.70165)</f>
        <v>1034.70165</v>
      </c>
      <c r="C43" s="24">
        <f>IF(628.62694="","-",628.62694)</f>
        <v>628.62694</v>
      </c>
      <c r="D43" s="24">
        <f>IF(OR(1034.70165="",628.62694="",1034.70165=0),"-",628.62694/1034.70165*100)</f>
        <v>60.7544155361113</v>
      </c>
    </row>
    <row r="44" spans="1:4" ht="15.75">
      <c r="A44" s="39" t="s">
        <v>20</v>
      </c>
      <c r="B44" s="24">
        <f>IF(1664.69606="","-",1664.69606)</f>
        <v>1664.69606</v>
      </c>
      <c r="C44" s="24">
        <f>IF(1009.15427="","-",1009.15427)</f>
        <v>1009.15427</v>
      </c>
      <c r="D44" s="24">
        <f>IF(OR(1664.69606="",1009.15427="",1664.69606=0),"-",1009.15427/1664.69606*100)</f>
        <v>60.62093220788904</v>
      </c>
    </row>
    <row r="45" spans="1:4" ht="15.75">
      <c r="A45" s="39" t="s">
        <v>18</v>
      </c>
      <c r="B45" s="24">
        <f>IF(4070.23606="","-",4070.23606)</f>
        <v>4070.23606</v>
      </c>
      <c r="C45" s="24">
        <f>IF(6371.25406="","-",6371.25406)</f>
        <v>6371.25406</v>
      </c>
      <c r="D45" s="24" t="s">
        <v>214</v>
      </c>
    </row>
    <row r="46" spans="1:4" ht="15.75">
      <c r="A46" s="39" t="s">
        <v>17</v>
      </c>
      <c r="B46" s="24">
        <f>IF(10028.84289="","-",10028.84289)</f>
        <v>10028.84289</v>
      </c>
      <c r="C46" s="24">
        <f>IF(15303.94147="","-",15303.94147)</f>
        <v>15303.94147</v>
      </c>
      <c r="D46" s="24">
        <f>IF(OR(10028.84289="",15303.94147="",10028.84289=0),"-",15303.94147/10028.84289*100)</f>
        <v>152.5992742917523</v>
      </c>
    </row>
    <row r="47" spans="1:4" ht="15.75">
      <c r="A47" s="9" t="s">
        <v>24</v>
      </c>
      <c r="B47" s="23">
        <f>IF(-720676.25204="","-",-720676.25204)</f>
        <v>-720676.25204</v>
      </c>
      <c r="C47" s="23">
        <f>IF(-870930.52864="","-",-870930.52864)</f>
        <v>-870930.52864</v>
      </c>
      <c r="D47" s="23">
        <f>IF(-720676.25204="","-",-870930.52864/-720676.25204*100)</f>
        <v>120.84906727184072</v>
      </c>
    </row>
    <row r="48" spans="1:4" ht="15.75">
      <c r="A48" s="39" t="s">
        <v>142</v>
      </c>
      <c r="B48" s="24">
        <f>IF(-379175.7303="","-",-379175.7303)</f>
        <v>-379175.7303</v>
      </c>
      <c r="C48" s="24">
        <f>IF(-486377.07334="","-",-486377.07334)</f>
        <v>-486377.07334</v>
      </c>
      <c r="D48" s="24">
        <f>IF(OR(-379175.7303="",-486377.07334="",-379175.7303=0),"-",-486377.07334/-379175.7303*100)</f>
        <v>128.2722058595848</v>
      </c>
    </row>
    <row r="49" spans="1:4" ht="15.75">
      <c r="A49" s="39" t="s">
        <v>139</v>
      </c>
      <c r="B49" s="24">
        <f>IF(-210511.93941="","-",-210511.93941)</f>
        <v>-210511.93941</v>
      </c>
      <c r="C49" s="24">
        <f>IF(-200274.91532="","-",-200274.91532)</f>
        <v>-200274.91532</v>
      </c>
      <c r="D49" s="24">
        <f>IF(OR(-210511.93941="",-200274.91532="",-210511.93941=0),"-",-200274.91532/-210511.93941*100)</f>
        <v>95.13708147923047</v>
      </c>
    </row>
    <row r="50" spans="1:4" ht="15.75">
      <c r="A50" s="39" t="s">
        <v>25</v>
      </c>
      <c r="B50" s="24">
        <f>IF(-36275.88363="","-",-36275.88363)</f>
        <v>-36275.88363</v>
      </c>
      <c r="C50" s="24">
        <f>IF(-51393.15144="","-",-51393.15144)</f>
        <v>-51393.15144</v>
      </c>
      <c r="D50" s="24">
        <f>IF(OR(-36275.88363="",-51393.15144="",-36275.88363=0),"-",-51393.15144/-36275.88363*100)</f>
        <v>141.6730518936225</v>
      </c>
    </row>
    <row r="51" spans="1:4" ht="15.75">
      <c r="A51" s="39" t="s">
        <v>161</v>
      </c>
      <c r="B51" s="24">
        <f>IF(-27301.61852="","-",-27301.61852)</f>
        <v>-27301.61852</v>
      </c>
      <c r="C51" s="24">
        <f>IF(-36465.68033="","-",-36465.68033)</f>
        <v>-36465.68033</v>
      </c>
      <c r="D51" s="24">
        <f>IF(OR(-27301.61852="",-36465.68033="",-27301.61852=0),"-",-36465.68033/-27301.61852*100)</f>
        <v>133.56600196902906</v>
      </c>
    </row>
    <row r="52" spans="1:4" ht="15.75">
      <c r="A52" s="39" t="s">
        <v>157</v>
      </c>
      <c r="B52" s="24">
        <f>IF(-21059.13789="","-",-21059.13789)</f>
        <v>-21059.13789</v>
      </c>
      <c r="C52" s="24">
        <f>IF(-35402.14133="","-",-35402.14133)</f>
        <v>-35402.14133</v>
      </c>
      <c r="D52" s="24" t="s">
        <v>213</v>
      </c>
    </row>
    <row r="53" spans="1:4" ht="15.75">
      <c r="A53" s="39" t="s">
        <v>154</v>
      </c>
      <c r="B53" s="24">
        <f>IF(-20482.19539="","-",-20482.19539)</f>
        <v>-20482.19539</v>
      </c>
      <c r="C53" s="24">
        <f>IF(-25818.10645="","-",-25818.10645)</f>
        <v>-25818.10645</v>
      </c>
      <c r="D53" s="24">
        <f>IF(OR(-20482.19539="",-25818.10645="",-20482.19539=0),"-",-25818.10645/-20482.19539*100)</f>
        <v>126.05146059003589</v>
      </c>
    </row>
    <row r="54" spans="1:4" ht="15.75">
      <c r="A54" s="39" t="s">
        <v>114</v>
      </c>
      <c r="B54" s="24">
        <f>IF(-21111.74549="","-",-21111.74549)</f>
        <v>-21111.74549</v>
      </c>
      <c r="C54" s="24">
        <f>IF(-25719.37465="","-",-25719.37465)</f>
        <v>-25719.37465</v>
      </c>
      <c r="D54" s="24">
        <f>IF(OR(-21111.74549="",-25719.37465="",-21111.74549=0),"-",-25719.37465/-21111.74549*100)</f>
        <v>121.82495598093723</v>
      </c>
    </row>
    <row r="55" spans="1:4" ht="15.75">
      <c r="A55" s="39" t="s">
        <v>155</v>
      </c>
      <c r="B55" s="24">
        <f>IF(-13335.80654="","-",-13335.80654)</f>
        <v>-13335.80654</v>
      </c>
      <c r="C55" s="24">
        <f>IF(-17628.02197="","-",-17628.02197)</f>
        <v>-17628.02197</v>
      </c>
      <c r="D55" s="24">
        <f>IF(OR(-13335.80654="",-17628.02197="",-13335.80654=0),"-",-17628.02197/-13335.80654*100)</f>
        <v>132.18564559350605</v>
      </c>
    </row>
    <row r="56" spans="1:4" ht="15.75">
      <c r="A56" s="39" t="s">
        <v>166</v>
      </c>
      <c r="B56" s="24">
        <f>IF(-10192.60806="","-",-10192.60806)</f>
        <v>-10192.60806</v>
      </c>
      <c r="C56" s="24">
        <f>IF(-12495.45573="","-",-12495.45573)</f>
        <v>-12495.45573</v>
      </c>
      <c r="D56" s="24">
        <f>IF(OR(-10192.60806="",-12495.45573="",-10192.60806=0),"-",-12495.45573/-10192.60806*100)</f>
        <v>122.59331131388565</v>
      </c>
    </row>
    <row r="57" spans="1:4" ht="15.75">
      <c r="A57" s="39" t="s">
        <v>156</v>
      </c>
      <c r="B57" s="24">
        <f>IF(-5458.21995="","-",-5458.21995)</f>
        <v>-5458.21995</v>
      </c>
      <c r="C57" s="24">
        <f>IF(-8750.45072="","-",-8750.45072)</f>
        <v>-8750.45072</v>
      </c>
      <c r="D57" s="24" t="s">
        <v>214</v>
      </c>
    </row>
    <row r="58" spans="1:4" ht="15.75">
      <c r="A58" s="39" t="s">
        <v>167</v>
      </c>
      <c r="B58" s="24">
        <f>IF(-6506.68352="","-",-6506.68352)</f>
        <v>-6506.68352</v>
      </c>
      <c r="C58" s="24">
        <f>IF(-8437.39043="","-",-8437.39043)</f>
        <v>-8437.39043</v>
      </c>
      <c r="D58" s="24">
        <f>IF(OR(-6506.68352="",-8437.39043="",-6506.68352=0),"-",-8437.39043/-6506.68352*100)</f>
        <v>129.67267278430657</v>
      </c>
    </row>
    <row r="59" spans="1:4" ht="15.75">
      <c r="A59" s="39" t="s">
        <v>147</v>
      </c>
      <c r="B59" s="24">
        <f>IF(-1730.4645="","-",-1730.4645)</f>
        <v>-1730.4645</v>
      </c>
      <c r="C59" s="24">
        <f>IF(-8114.64409="","-",-8114.64409)</f>
        <v>-8114.64409</v>
      </c>
      <c r="D59" s="24" t="s">
        <v>264</v>
      </c>
    </row>
    <row r="60" spans="1:4" ht="15.75">
      <c r="A60" s="39" t="s">
        <v>163</v>
      </c>
      <c r="B60" s="24">
        <f>IF(-5804.62561="","-",-5804.62561)</f>
        <v>-5804.62561</v>
      </c>
      <c r="C60" s="24">
        <f>IF(-7637.74279="","-",-7637.74279)</f>
        <v>-7637.74279</v>
      </c>
      <c r="D60" s="24">
        <f>IF(OR(-5804.62561="",-7637.74279="",-5804.62561=0),"-",-7637.74279/-5804.62561*100)</f>
        <v>131.58028274626312</v>
      </c>
    </row>
    <row r="61" spans="1:7" ht="15.75">
      <c r="A61" s="39" t="s">
        <v>169</v>
      </c>
      <c r="B61" s="24">
        <f>IF(-5232.71911="","-",-5232.71911)</f>
        <v>-5232.71911</v>
      </c>
      <c r="C61" s="24">
        <f>IF(-7215.27622="","-",-7215.27622)</f>
        <v>-7215.27622</v>
      </c>
      <c r="D61" s="24">
        <f>IF(OR(-5232.71911="",-7215.27622="",-5232.71911=0),"-",-7215.27622/-5232.71911*100)</f>
        <v>137.88770366464405</v>
      </c>
      <c r="E61" s="1"/>
      <c r="F61" s="1"/>
      <c r="G61" s="1"/>
    </row>
    <row r="62" spans="1:4" ht="15.75">
      <c r="A62" s="39" t="s">
        <v>151</v>
      </c>
      <c r="B62" s="24">
        <f>IF(-13772.35146="","-",-13772.35146)</f>
        <v>-13772.35146</v>
      </c>
      <c r="C62" s="24">
        <f>IF(-7072.94839="","-",-7072.94839)</f>
        <v>-7072.94839</v>
      </c>
      <c r="D62" s="24">
        <f>IF(OR(-13772.35146="",-7072.94839="",-13772.35146=0),"-",-7072.94839/-13772.35146*100)</f>
        <v>51.35614212679989</v>
      </c>
    </row>
    <row r="63" spans="1:4" ht="15.75">
      <c r="A63" s="39" t="s">
        <v>168</v>
      </c>
      <c r="B63" s="24">
        <f>IF(-5917.21233="","-",-5917.21233)</f>
        <v>-5917.21233</v>
      </c>
      <c r="C63" s="24">
        <f>IF(-6050.84319="","-",-6050.84319)</f>
        <v>-6050.84319</v>
      </c>
      <c r="D63" s="24">
        <f>IF(OR(-5917.21233="",-6050.84319="",-5917.21233=0),"-",-6050.84319/-5917.21233*100)</f>
        <v>102.25834147141377</v>
      </c>
    </row>
    <row r="64" spans="1:4" ht="15.75">
      <c r="A64" s="39" t="s">
        <v>170</v>
      </c>
      <c r="B64" s="24">
        <f>IF(-3905.7516="","-",-3905.7516)</f>
        <v>-3905.7516</v>
      </c>
      <c r="C64" s="24">
        <f>IF(-5521.02098="","-",-5521.02098)</f>
        <v>-5521.02098</v>
      </c>
      <c r="D64" s="24">
        <f>IF(OR(-3905.7516="",-5521.02098="",-3905.7516=0),"-",-5521.02098/-3905.7516*100)</f>
        <v>141.3561727786273</v>
      </c>
    </row>
    <row r="65" spans="1:4" ht="15.75">
      <c r="A65" s="39" t="s">
        <v>145</v>
      </c>
      <c r="B65" s="24">
        <f>IF(-3603.07903="","-",-3603.07903)</f>
        <v>-3603.07903</v>
      </c>
      <c r="C65" s="24">
        <f>IF(-5111.40346="","-",-5111.40346)</f>
        <v>-5111.40346</v>
      </c>
      <c r="D65" s="24">
        <f>IF(OR(-3603.07903="",-5111.40346="",-3603.07903=0),"-",-5111.40346/-3603.07903*100)</f>
        <v>141.86209676338964</v>
      </c>
    </row>
    <row r="66" spans="1:4" ht="15.75">
      <c r="A66" s="39" t="s">
        <v>171</v>
      </c>
      <c r="B66" s="24">
        <f>IF(-3329.4156="","-",-3329.4156)</f>
        <v>-3329.4156</v>
      </c>
      <c r="C66" s="24">
        <f>IF(-4669.74085="","-",-4669.74085)</f>
        <v>-4669.74085</v>
      </c>
      <c r="D66" s="24">
        <f>IF(OR(-3329.4156="",-4669.74085="",-3329.4156=0),"-",-4669.74085/-3329.4156*100)</f>
        <v>140.257072442383</v>
      </c>
    </row>
    <row r="67" spans="1:4" ht="15.75">
      <c r="A67" s="39" t="s">
        <v>174</v>
      </c>
      <c r="B67" s="24">
        <f>IF(-1666.15235="","-",-1666.15235)</f>
        <v>-1666.15235</v>
      </c>
      <c r="C67" s="24">
        <f>IF(-3911.9923="","-",-3911.9923)</f>
        <v>-3911.9923</v>
      </c>
      <c r="D67" s="24" t="s">
        <v>236</v>
      </c>
    </row>
    <row r="68" spans="1:7" ht="15.75">
      <c r="A68" s="39" t="s">
        <v>172</v>
      </c>
      <c r="B68" s="24">
        <f>IF(-3242.88886="","-",-3242.88886)</f>
        <v>-3242.88886</v>
      </c>
      <c r="C68" s="24">
        <f>IF(-3197.79783="","-",-3197.79783)</f>
        <v>-3197.79783</v>
      </c>
      <c r="D68" s="24">
        <f>IF(OR(-3242.88886="",-3197.79783="",-3242.88886=0),"-",-3197.79783/-3242.88886*100)</f>
        <v>98.60954130879465</v>
      </c>
      <c r="E68" s="1"/>
      <c r="F68" s="1"/>
      <c r="G68" s="1"/>
    </row>
    <row r="69" spans="1:4" ht="15.75">
      <c r="A69" s="39" t="s">
        <v>149</v>
      </c>
      <c r="B69" s="24">
        <f>IF(-1203.70516="","-",-1203.70516)</f>
        <v>-1203.70516</v>
      </c>
      <c r="C69" s="24">
        <f>IF(-2417.8644="","-",-2417.8644)</f>
        <v>-2417.8644</v>
      </c>
      <c r="D69" s="24" t="s">
        <v>26</v>
      </c>
    </row>
    <row r="70" spans="1:4" ht="15.75">
      <c r="A70" s="39" t="s">
        <v>121</v>
      </c>
      <c r="B70" s="24">
        <f>IF(-2704.57539="","-",-2704.57539)</f>
        <v>-2704.57539</v>
      </c>
      <c r="C70" s="24">
        <f>IF(-2349.84358="","-",-2349.84358)</f>
        <v>-2349.84358</v>
      </c>
      <c r="D70" s="24">
        <f>IF(OR(-2704.57539="",-2349.84358="",-2704.57539=0),"-",-2349.84358/-2704.57539*100)</f>
        <v>86.88401102400034</v>
      </c>
    </row>
    <row r="71" spans="1:4" ht="15.75">
      <c r="A71" s="39" t="s">
        <v>175</v>
      </c>
      <c r="B71" s="24">
        <f>IF(-1437.78395="","-",-1437.78395)</f>
        <v>-1437.78395</v>
      </c>
      <c r="C71" s="24">
        <f>IF(-2108.33905="","-",-2108.33905)</f>
        <v>-2108.33905</v>
      </c>
      <c r="D71" s="24">
        <f>IF(OR(-1437.78395="",-2108.33905="",-1437.78395=0),"-",-2108.33905/-1437.78395*100)</f>
        <v>146.6380988604025</v>
      </c>
    </row>
    <row r="72" spans="1:4" ht="15.75">
      <c r="A72" s="39" t="s">
        <v>159</v>
      </c>
      <c r="B72" s="24">
        <f>IF(-1244.62651="","-",-1244.62651)</f>
        <v>-1244.62651</v>
      </c>
      <c r="C72" s="24">
        <f>IF(-2016.01556="","-",-2016.01556)</f>
        <v>-2016.01556</v>
      </c>
      <c r="D72" s="24" t="s">
        <v>214</v>
      </c>
    </row>
    <row r="73" spans="1:4" ht="15.75">
      <c r="A73" s="39" t="s">
        <v>180</v>
      </c>
      <c r="B73" s="24">
        <f>IF(-906.60197="","-",-906.60197)</f>
        <v>-906.60197</v>
      </c>
      <c r="C73" s="24">
        <f>IF(-1952.934="","-",-1952.934)</f>
        <v>-1952.934</v>
      </c>
      <c r="D73" s="24" t="s">
        <v>193</v>
      </c>
    </row>
    <row r="74" spans="1:4" ht="15.75">
      <c r="A74" s="39" t="s">
        <v>144</v>
      </c>
      <c r="B74" s="24">
        <f>IF(3813.59563="","-",3813.59563)</f>
        <v>3813.59563</v>
      </c>
      <c r="C74" s="24">
        <f>IF(-1867.81559="","-",-1867.81559)</f>
        <v>-1867.81559</v>
      </c>
      <c r="D74" s="24" t="s">
        <v>33</v>
      </c>
    </row>
    <row r="75" spans="1:4" ht="15.75">
      <c r="A75" s="39" t="s">
        <v>158</v>
      </c>
      <c r="B75" s="24">
        <f>IF(-650.58164="","-",-650.58164)</f>
        <v>-650.58164</v>
      </c>
      <c r="C75" s="24">
        <f>IF(-1690.87895="","-",-1690.87895)</f>
        <v>-1690.87895</v>
      </c>
      <c r="D75" s="24" t="s">
        <v>197</v>
      </c>
    </row>
    <row r="76" spans="1:7" ht="15.75">
      <c r="A76" s="39" t="s">
        <v>153</v>
      </c>
      <c r="B76" s="24">
        <f>IF(-1861.43305="","-",-1861.43305)</f>
        <v>-1861.43305</v>
      </c>
      <c r="C76" s="24">
        <f>IF(-1550.01886="","-",-1550.01886)</f>
        <v>-1550.01886</v>
      </c>
      <c r="D76" s="24">
        <f>IF(OR(-1861.43305="",-1550.01886="",-1861.43305=0),"-",-1550.01886/-1861.43305*100)</f>
        <v>83.27019121101347</v>
      </c>
      <c r="E76" s="21"/>
      <c r="F76" s="21"/>
      <c r="G76" s="21"/>
    </row>
    <row r="77" spans="1:4" ht="15.75">
      <c r="A77" s="39" t="s">
        <v>204</v>
      </c>
      <c r="B77" s="24">
        <f>IF(-1136.15356="","-",-1136.15356)</f>
        <v>-1136.15356</v>
      </c>
      <c r="C77" s="24">
        <f>IF(-1539.56624="","-",-1539.56624)</f>
        <v>-1539.56624</v>
      </c>
      <c r="D77" s="24">
        <f>IF(OR(-1136.15356="",-1539.56624="",-1136.15356=0),"-",-1539.56624/-1136.15356*100)</f>
        <v>135.5068798974674</v>
      </c>
    </row>
    <row r="78" spans="1:4" ht="15.75">
      <c r="A78" s="39" t="s">
        <v>173</v>
      </c>
      <c r="B78" s="24">
        <f>IF(-1695.40596="","-",-1695.40596)</f>
        <v>-1695.40596</v>
      </c>
      <c r="C78" s="24">
        <f>IF(-1330.78747="","-",-1330.78747)</f>
        <v>-1330.78747</v>
      </c>
      <c r="D78" s="24">
        <f>IF(OR(-1695.40596="",-1330.78747="",-1695.40596=0),"-",-1330.78747/-1695.40596*100)</f>
        <v>78.49373550627367</v>
      </c>
    </row>
    <row r="79" spans="1:4" ht="15.75">
      <c r="A79" s="39" t="s">
        <v>176</v>
      </c>
      <c r="B79" s="24">
        <f>IF(-1481.19033="","-",-1481.19033)</f>
        <v>-1481.19033</v>
      </c>
      <c r="C79" s="24">
        <f>IF(-1274.5882="","-",-1274.5882)</f>
        <v>-1274.5882</v>
      </c>
      <c r="D79" s="24">
        <f>IF(OR(-1481.19033="",-1274.5882="",-1481.19033=0),"-",-1274.5882/-1481.19033*100)</f>
        <v>86.0516149872515</v>
      </c>
    </row>
    <row r="80" spans="1:4" ht="15.75">
      <c r="A80" s="39" t="s">
        <v>181</v>
      </c>
      <c r="B80" s="24">
        <f>IF(-821.00673="","-",-821.00673)</f>
        <v>-821.00673</v>
      </c>
      <c r="C80" s="24">
        <f>IF(-1074.94165="","-",-1074.94165)</f>
        <v>-1074.94165</v>
      </c>
      <c r="D80" s="24">
        <f>IF(OR(-821.00673="",-1074.94165="",-821.00673=0),"-",-1074.94165/-821.00673*100)</f>
        <v>130.92970017432134</v>
      </c>
    </row>
    <row r="81" spans="1:4" ht="15.75">
      <c r="A81" s="39" t="s">
        <v>177</v>
      </c>
      <c r="B81" s="24">
        <f>IF(-1273.81657="","-",-1273.81657)</f>
        <v>-1273.81657</v>
      </c>
      <c r="C81" s="24">
        <f>IF(-897.46841="","-",-897.46841)</f>
        <v>-897.46841</v>
      </c>
      <c r="D81" s="24">
        <f>IF(OR(-1273.81657="",-897.46841="",-1273.81657=0),"-",-897.46841/-1273.81657*100)</f>
        <v>70.45507423411834</v>
      </c>
    </row>
    <row r="82" spans="1:4" ht="15.75">
      <c r="A82" s="39" t="s">
        <v>165</v>
      </c>
      <c r="B82" s="24">
        <f>IF(-390.31651="","-",-390.31651)</f>
        <v>-390.31651</v>
      </c>
      <c r="C82" s="24">
        <f>IF(-703.56265="","-",-703.56265)</f>
        <v>-703.56265</v>
      </c>
      <c r="D82" s="24" t="s">
        <v>212</v>
      </c>
    </row>
    <row r="83" spans="1:4" ht="15.75">
      <c r="A83" s="39" t="s">
        <v>183</v>
      </c>
      <c r="B83" s="24">
        <f>IF(-662.85003="","-",-662.85003)</f>
        <v>-662.85003</v>
      </c>
      <c r="C83" s="24">
        <f>IF(-606.58357="","-",-606.58357)</f>
        <v>-606.58357</v>
      </c>
      <c r="D83" s="24">
        <f>IF(OR(-662.85003="",-606.58357="",-662.85003=0),"-",-606.58357/-662.85003*100)</f>
        <v>91.51143434360259</v>
      </c>
    </row>
    <row r="84" spans="1:4" ht="15.75">
      <c r="A84" s="39" t="s">
        <v>150</v>
      </c>
      <c r="B84" s="24">
        <f>IF(-774.87379="","-",-774.87379)</f>
        <v>-774.87379</v>
      </c>
      <c r="C84" s="24">
        <f>IF(-593.30912="","-",-593.30912)</f>
        <v>-593.30912</v>
      </c>
      <c r="D84" s="24">
        <f>IF(OR(-774.87379="",-593.30912="",-774.87379=0),"-",-593.30912/-774.87379*100)</f>
        <v>76.56848478511579</v>
      </c>
    </row>
    <row r="85" spans="1:4" ht="15.75">
      <c r="A85" s="39" t="s">
        <v>191</v>
      </c>
      <c r="B85" s="24">
        <f>IF(-377.60404="","-",-377.60404)</f>
        <v>-377.60404</v>
      </c>
      <c r="C85" s="24">
        <f>IF(-581.96968="","-",-581.96968)</f>
        <v>-581.96968</v>
      </c>
      <c r="D85" s="24">
        <f>IF(OR(-377.60404="",-581.96968="",-377.60404=0),"-",-581.96968/-377.60404*100)</f>
        <v>154.12167729985094</v>
      </c>
    </row>
    <row r="86" spans="1:4" ht="15.75">
      <c r="A86" s="39" t="s">
        <v>178</v>
      </c>
      <c r="B86" s="24">
        <f>IF(-1212.67484="","-",-1212.67484)</f>
        <v>-1212.67484</v>
      </c>
      <c r="C86" s="24">
        <f>IF(-561.66514="","-",-561.66514)</f>
        <v>-561.66514</v>
      </c>
      <c r="D86" s="24">
        <f>IF(OR(-1212.67484="",-561.66514="",-1212.67484=0),"-",-561.66514/-1212.67484*100)</f>
        <v>46.31621944098387</v>
      </c>
    </row>
    <row r="87" spans="1:4" ht="15.75">
      <c r="A87" s="39" t="s">
        <v>182</v>
      </c>
      <c r="B87" s="24">
        <f>IF(-426.86313="","-",-426.86313)</f>
        <v>-426.86313</v>
      </c>
      <c r="C87" s="24">
        <f>IF(-546.04018="","-",-546.04018)</f>
        <v>-546.04018</v>
      </c>
      <c r="D87" s="24">
        <f>IF(OR(-426.86313="",-546.04018="",-426.86313=0),"-",-546.04018/-426.86313*100)</f>
        <v>127.9192653626468</v>
      </c>
    </row>
    <row r="88" spans="1:4" ht="15.75">
      <c r="A88" s="39" t="s">
        <v>179</v>
      </c>
      <c r="B88" s="24">
        <f>IF(-1010.61832="","-",-1010.61832)</f>
        <v>-1010.61832</v>
      </c>
      <c r="C88" s="24">
        <f>IF(-458.22039="","-",-458.22039)</f>
        <v>-458.22039</v>
      </c>
      <c r="D88" s="24">
        <f>IF(OR(-1010.61832="",-458.22039="",-1010.61832=0),"-",-458.22039/-1010.61832*100)</f>
        <v>45.34059802121932</v>
      </c>
    </row>
    <row r="89" spans="1:4" ht="15.75">
      <c r="A89" s="39" t="s">
        <v>192</v>
      </c>
      <c r="B89" s="24">
        <f>IF(-59.10695="","-",-59.10695)</f>
        <v>-59.10695</v>
      </c>
      <c r="C89" s="24">
        <f>IF(-305.87592="","-",-305.87592)</f>
        <v>-305.87592</v>
      </c>
      <c r="D89" s="24" t="s">
        <v>265</v>
      </c>
    </row>
    <row r="90" spans="1:4" ht="15.75">
      <c r="A90" s="39" t="s">
        <v>210</v>
      </c>
      <c r="B90" s="24">
        <f>IF(55.6236="","-",55.6236)</f>
        <v>55.6236</v>
      </c>
      <c r="C90" s="24">
        <f>IF(-295.36413="","-",-295.36413)</f>
        <v>-295.36413</v>
      </c>
      <c r="D90" s="24" t="s">
        <v>33</v>
      </c>
    </row>
    <row r="91" spans="1:4" ht="15.75">
      <c r="A91" s="39" t="s">
        <v>190</v>
      </c>
      <c r="B91" s="24">
        <f>IF(-147.65425="","-",-147.65425)</f>
        <v>-147.65425</v>
      </c>
      <c r="C91" s="24">
        <f>IF(-236.33804="","-",-236.33804)</f>
        <v>-236.33804</v>
      </c>
      <c r="D91" s="24" t="s">
        <v>214</v>
      </c>
    </row>
    <row r="92" spans="1:4" ht="15.75">
      <c r="A92" s="39" t="s">
        <v>120</v>
      </c>
      <c r="B92" s="24">
        <f>IF(-3073.48271="","-",-3073.48271)</f>
        <v>-3073.48271</v>
      </c>
      <c r="C92" s="24">
        <f>IF(-224.46998="","-",-224.46998)</f>
        <v>-224.46998</v>
      </c>
      <c r="D92" s="24">
        <f>IF(OR(-3073.48271="",-224.46998="",-3073.48271=0),"-",-224.46998/-3073.48271*100)</f>
        <v>7.303440467377803</v>
      </c>
    </row>
    <row r="93" spans="1:4" ht="15.75">
      <c r="A93" s="39" t="s">
        <v>227</v>
      </c>
      <c r="B93" s="24">
        <f>IF(-214.64455="","-",-214.64455)</f>
        <v>-214.64455</v>
      </c>
      <c r="C93" s="24">
        <f>IF(-165.98013="","-",-165.98013)</f>
        <v>-165.98013</v>
      </c>
      <c r="D93" s="24">
        <f>IF(OR(-214.64455="",-165.98013="",-214.64455=0),"-",-165.98013/-214.64455*100)</f>
        <v>77.32790327077953</v>
      </c>
    </row>
    <row r="94" spans="1:4" ht="15.75">
      <c r="A94" s="39" t="s">
        <v>238</v>
      </c>
      <c r="B94" s="24">
        <f>IF(-121.6256="","-",-121.6256)</f>
        <v>-121.6256</v>
      </c>
      <c r="C94" s="24">
        <f>IF(-117.37388="","-",-117.37388)</f>
        <v>-117.37388</v>
      </c>
      <c r="D94" s="24">
        <f>IF(OR(-121.6256="",-117.37388="",-121.6256=0),"-",-117.37388/-121.6256*100)</f>
        <v>96.5042556830141</v>
      </c>
    </row>
    <row r="95" spans="1:4" ht="15.75">
      <c r="A95" s="39" t="s">
        <v>237</v>
      </c>
      <c r="B95" s="24">
        <f>IF(-60.05673="","-",-60.05673)</f>
        <v>-60.05673</v>
      </c>
      <c r="C95" s="24">
        <f>IF(-113.67282="","-",-113.67282)</f>
        <v>-113.67282</v>
      </c>
      <c r="D95" s="24" t="s">
        <v>215</v>
      </c>
    </row>
    <row r="96" spans="1:7" ht="15.75">
      <c r="A96" s="39" t="s">
        <v>222</v>
      </c>
      <c r="B96" s="24">
        <f>IF(-75.27633="","-",-75.27633)</f>
        <v>-75.27633</v>
      </c>
      <c r="C96" s="24">
        <f>IF(-100.53531="","-",-100.53531)</f>
        <v>-100.53531</v>
      </c>
      <c r="D96" s="24">
        <f>IF(OR(-75.27633="",-100.53531="",-75.27633=0),"-",-100.53531/-75.27633*100)</f>
        <v>133.55500992144542</v>
      </c>
      <c r="E96" s="21"/>
      <c r="F96" s="21"/>
      <c r="G96" s="21"/>
    </row>
    <row r="97" spans="1:7" ht="15.75">
      <c r="A97" s="39" t="s">
        <v>234</v>
      </c>
      <c r="B97" s="24">
        <f>IF(-70.83744="","-",-70.83744)</f>
        <v>-70.83744</v>
      </c>
      <c r="C97" s="24">
        <f>IF(-87.49618="","-",-87.49618)</f>
        <v>-87.49618</v>
      </c>
      <c r="D97" s="24">
        <f>IF(OR(-70.83744="",-87.49618="",-70.83744=0),"-",-87.49618/-70.83744*100)</f>
        <v>123.51685775205878</v>
      </c>
      <c r="E97" s="21"/>
      <c r="F97" s="21"/>
      <c r="G97" s="21"/>
    </row>
    <row r="98" spans="1:4" ht="15.75">
      <c r="A98" s="39" t="s">
        <v>254</v>
      </c>
      <c r="B98" s="24">
        <f>IF(-96.92064="","-",-96.92064)</f>
        <v>-96.92064</v>
      </c>
      <c r="C98" s="24">
        <f>IF(-82.98357="","-",-82.98357)</f>
        <v>-82.98357</v>
      </c>
      <c r="D98" s="24">
        <f>IF(OR(-96.92064="",-82.98357="",-96.92064=0),"-",-82.98357/-96.92064*100)</f>
        <v>85.62012178210956</v>
      </c>
    </row>
    <row r="99" spans="1:4" ht="15.75">
      <c r="A99" s="39" t="s">
        <v>241</v>
      </c>
      <c r="B99" s="24">
        <f>IF(-77.30398="","-",-77.30398)</f>
        <v>-77.30398</v>
      </c>
      <c r="C99" s="24">
        <f>IF(-72.40416="","-",-72.40416)</f>
        <v>-72.40416</v>
      </c>
      <c r="D99" s="24">
        <f>IF(OR(-77.30398="",-72.40416="",-77.30398=0),"-",-72.40416/-77.30398*100)</f>
        <v>93.66162000973301</v>
      </c>
    </row>
    <row r="100" spans="1:7" ht="15.75">
      <c r="A100" s="39" t="s">
        <v>242</v>
      </c>
      <c r="B100" s="24">
        <f>IF(-59.43215="","-",-59.43215)</f>
        <v>-59.43215</v>
      </c>
      <c r="C100" s="24">
        <f>IF(-60.11432="","-",-60.11432)</f>
        <v>-60.11432</v>
      </c>
      <c r="D100" s="24">
        <f>IF(OR(-59.43215="",-60.11432="",-59.43215=0),"-",-60.11432/-59.43215*100)</f>
        <v>101.14781309442785</v>
      </c>
      <c r="E100" s="20"/>
      <c r="F100" s="20"/>
      <c r="G100" s="20"/>
    </row>
    <row r="101" spans="1:4" ht="15.75">
      <c r="A101" s="39" t="s">
        <v>251</v>
      </c>
      <c r="B101" s="24">
        <f>IF(-7.00998="","-",-7.00998)</f>
        <v>-7.00998</v>
      </c>
      <c r="C101" s="24">
        <f>IF(-55.56506="","-",-55.56506)</f>
        <v>-55.56506</v>
      </c>
      <c r="D101" s="24" t="s">
        <v>263</v>
      </c>
    </row>
    <row r="102" spans="1:7" ht="15.75">
      <c r="A102" s="39" t="s">
        <v>246</v>
      </c>
      <c r="B102" s="24">
        <f>IF(-52.71306="","-",-52.71306)</f>
        <v>-52.71306</v>
      </c>
      <c r="C102" s="24">
        <f>IF(-52.75044="","-",-52.75044)</f>
        <v>-52.75044</v>
      </c>
      <c r="D102" s="24">
        <f>IF(OR(-52.71306="",-52.75044="",-52.71306=0),"-",-52.75044/-52.71306*100)</f>
        <v>100.07091221795889</v>
      </c>
      <c r="E102" s="20"/>
      <c r="F102" s="20"/>
      <c r="G102" s="20"/>
    </row>
    <row r="103" spans="1:7" ht="15.75">
      <c r="A103" s="39" t="s">
        <v>260</v>
      </c>
      <c r="B103" s="24">
        <f>IF(-10.07476="","-",-10.07476)</f>
        <v>-10.07476</v>
      </c>
      <c r="C103" s="24">
        <f>IF(-51.33211="","-",-51.33211)</f>
        <v>-51.33211</v>
      </c>
      <c r="D103" s="24" t="s">
        <v>266</v>
      </c>
      <c r="E103" s="1"/>
      <c r="F103" s="1"/>
      <c r="G103" s="1"/>
    </row>
    <row r="104" spans="1:4" ht="15.75">
      <c r="A104" s="39" t="s">
        <v>164</v>
      </c>
      <c r="B104" s="24">
        <f>IF(-967.26587="","-",-967.26587)</f>
        <v>-967.26587</v>
      </c>
      <c r="C104" s="24">
        <f>IF(-45.29229="","-",-45.29229)</f>
        <v>-45.29229</v>
      </c>
      <c r="D104" s="24">
        <f>IF(OR(-967.26587="",-45.29229="",-967.26587=0),"-",-45.29229/-967.26587*100)</f>
        <v>4.682506785854028</v>
      </c>
    </row>
    <row r="105" spans="1:4" ht="15.75">
      <c r="A105" s="39" t="s">
        <v>235</v>
      </c>
      <c r="B105" s="24">
        <f>IF(0="","-",0)</f>
        <v>0</v>
      </c>
      <c r="C105" s="24">
        <f>IF(55.12314="","-",55.12314)</f>
        <v>55.12314</v>
      </c>
      <c r="D105" s="24" t="s">
        <v>33</v>
      </c>
    </row>
    <row r="106" spans="1:4" ht="15.75">
      <c r="A106" s="39" t="s">
        <v>221</v>
      </c>
      <c r="B106" s="24">
        <f>IF(14.606="","-",14.606)</f>
        <v>14.606</v>
      </c>
      <c r="C106" s="24">
        <f>IF(64.15896="","-",64.15896)</f>
        <v>64.15896</v>
      </c>
      <c r="D106" s="24" t="s">
        <v>240</v>
      </c>
    </row>
    <row r="107" spans="1:7" ht="15.75">
      <c r="A107" s="39" t="s">
        <v>206</v>
      </c>
      <c r="B107" s="24">
        <f>IF(-504.97635="","-",-504.97635)</f>
        <v>-504.97635</v>
      </c>
      <c r="C107" s="24">
        <f>IF(109.98972="","-",109.98972)</f>
        <v>109.98972</v>
      </c>
      <c r="D107" s="24" t="s">
        <v>33</v>
      </c>
      <c r="E107" s="21"/>
      <c r="F107" s="21"/>
      <c r="G107" s="21"/>
    </row>
    <row r="108" spans="1:7" ht="15.75">
      <c r="A108" s="39" t="s">
        <v>203</v>
      </c>
      <c r="B108" s="24">
        <f>IF(50.57699="","-",50.57699)</f>
        <v>50.57699</v>
      </c>
      <c r="C108" s="24">
        <f>IF(174.27736="","-",174.27736)</f>
        <v>174.27736</v>
      </c>
      <c r="D108" s="24" t="s">
        <v>250</v>
      </c>
      <c r="E108" s="17"/>
      <c r="F108" s="17"/>
      <c r="G108" s="17"/>
    </row>
    <row r="109" spans="1:4" ht="15.75">
      <c r="A109" s="39" t="s">
        <v>230</v>
      </c>
      <c r="B109" s="24">
        <f>IF(-0.0213="","-",-0.0213)</f>
        <v>-0.0213</v>
      </c>
      <c r="C109" s="24">
        <f>IF(177.77219="","-",177.77219)</f>
        <v>177.77219</v>
      </c>
      <c r="D109" s="24" t="s">
        <v>33</v>
      </c>
    </row>
    <row r="110" spans="1:7" ht="15.75">
      <c r="A110" s="39" t="s">
        <v>187</v>
      </c>
      <c r="B110" s="24">
        <f>IF(-0.6022="","-",-0.6022)</f>
        <v>-0.6022</v>
      </c>
      <c r="C110" s="24">
        <f>IF(186.33116="","-",186.33116)</f>
        <v>186.33116</v>
      </c>
      <c r="D110" s="24" t="s">
        <v>33</v>
      </c>
      <c r="E110" s="21"/>
      <c r="F110" s="21"/>
      <c r="G110" s="21"/>
    </row>
    <row r="111" spans="1:4" ht="15.75">
      <c r="A111" s="39" t="s">
        <v>232</v>
      </c>
      <c r="B111" s="24">
        <f>IF(211.66665="","-",211.66665)</f>
        <v>211.66665</v>
      </c>
      <c r="C111" s="24">
        <f>IF(239.07536="","-",239.07536)</f>
        <v>239.07536</v>
      </c>
      <c r="D111" s="24">
        <f>IF(OR(211.66665="",239.07536="",211.66665=0),"-",239.07536/211.66665*100)</f>
        <v>112.94899786999983</v>
      </c>
    </row>
    <row r="112" spans="1:4" ht="15.75">
      <c r="A112" s="39" t="s">
        <v>243</v>
      </c>
      <c r="B112" s="24">
        <f>IF(26.02171="","-",26.02171)</f>
        <v>26.02171</v>
      </c>
      <c r="C112" s="24">
        <f>IF(260.93082="","-",260.93082)</f>
        <v>260.93082</v>
      </c>
      <c r="D112" s="24" t="s">
        <v>267</v>
      </c>
    </row>
    <row r="113" spans="1:4" ht="15.75">
      <c r="A113" s="39" t="s">
        <v>188</v>
      </c>
      <c r="B113" s="24">
        <f>IF(257.57164="","-",257.57164)</f>
        <v>257.57164</v>
      </c>
      <c r="C113" s="24">
        <f>IF(372.47912="","-",372.47912)</f>
        <v>372.47912</v>
      </c>
      <c r="D113" s="24">
        <f>IF(OR(257.57164="",372.47912="",257.57164=0),"-",372.47912/257.57164*100)</f>
        <v>144.61185245394253</v>
      </c>
    </row>
    <row r="114" spans="1:4" ht="15.75">
      <c r="A114" s="39" t="s">
        <v>231</v>
      </c>
      <c r="B114" s="24">
        <f>IF(97.84462="","-",97.84462)</f>
        <v>97.84462</v>
      </c>
      <c r="C114" s="24">
        <f>IF(443.30909="","-",443.30909)</f>
        <v>443.30909</v>
      </c>
      <c r="D114" s="24" t="s">
        <v>268</v>
      </c>
    </row>
    <row r="115" spans="1:4" ht="15.75">
      <c r="A115" s="39" t="s">
        <v>160</v>
      </c>
      <c r="B115" s="24">
        <f>IF(-288.21494="","-",-288.21494)</f>
        <v>-288.21494</v>
      </c>
      <c r="C115" s="24">
        <f>IF(575.48017="","-",575.48017)</f>
        <v>575.48017</v>
      </c>
      <c r="D115" s="24" t="s">
        <v>33</v>
      </c>
    </row>
    <row r="116" spans="1:4" ht="15.75">
      <c r="A116" s="39" t="s">
        <v>202</v>
      </c>
      <c r="B116" s="24">
        <f>IF(760.32673="","-",760.32673)</f>
        <v>760.32673</v>
      </c>
      <c r="C116" s="24">
        <f>IF(619.11188="","-",619.11188)</f>
        <v>619.11188</v>
      </c>
      <c r="D116" s="24">
        <f>IF(OR(760.32673="",619.11188="",760.32673=0),"-",619.11188/760.32673*100)</f>
        <v>81.42708332771623</v>
      </c>
    </row>
    <row r="117" spans="1:4" ht="15.75">
      <c r="A117" s="39" t="s">
        <v>152</v>
      </c>
      <c r="B117" s="24">
        <f>IF(666.15048="","-",666.15048)</f>
        <v>666.15048</v>
      </c>
      <c r="C117" s="24">
        <f>IF(641.1737="","-",641.1737)</f>
        <v>641.1737</v>
      </c>
      <c r="D117" s="24">
        <f>IF(OR(666.15048="",641.1737="",666.15048=0),"-",641.1737/666.15048*100)</f>
        <v>96.25057989900421</v>
      </c>
    </row>
    <row r="118" spans="1:4" ht="15.75">
      <c r="A118" s="39" t="s">
        <v>220</v>
      </c>
      <c r="B118" s="24">
        <f>IF(381.87909="","-",381.87909)</f>
        <v>381.87909</v>
      </c>
      <c r="C118" s="24">
        <f>IF(827.4645="","-",827.4645)</f>
        <v>827.4645</v>
      </c>
      <c r="D118" s="24" t="s">
        <v>193</v>
      </c>
    </row>
    <row r="119" spans="1:7" s="1" customFormat="1" ht="15.75">
      <c r="A119" s="39" t="s">
        <v>162</v>
      </c>
      <c r="B119" s="24">
        <f>IF(774.64648="","-",774.64648)</f>
        <v>774.64648</v>
      </c>
      <c r="C119" s="24">
        <f>IF(916.05773="","-",916.05773)</f>
        <v>916.05773</v>
      </c>
      <c r="D119" s="24">
        <f>IF(OR(774.64648="",916.05773="",774.64648=0),"-",916.05773/774.64648*100)</f>
        <v>118.25493998242915</v>
      </c>
      <c r="E119" s="21"/>
      <c r="F119" s="21"/>
      <c r="G119" s="21"/>
    </row>
    <row r="120" spans="1:7" ht="15.75">
      <c r="A120" s="39" t="s">
        <v>223</v>
      </c>
      <c r="B120" s="24">
        <f>IF(-202.80663="","-",-202.80663)</f>
        <v>-202.80663</v>
      </c>
      <c r="C120" s="24">
        <f>IF(922.6256="","-",922.6256)</f>
        <v>922.6256</v>
      </c>
      <c r="D120" s="24" t="s">
        <v>33</v>
      </c>
      <c r="E120" s="1"/>
      <c r="F120" s="1"/>
      <c r="G120" s="1"/>
    </row>
    <row r="121" spans="1:7" ht="15.75">
      <c r="A121" s="39" t="s">
        <v>226</v>
      </c>
      <c r="B121" s="24">
        <f>IF(402.40741="","-",402.40741)</f>
        <v>402.40741</v>
      </c>
      <c r="C121" s="24">
        <f>IF(1034.74032="","-",1034.74032)</f>
        <v>1034.74032</v>
      </c>
      <c r="D121" s="24" t="s">
        <v>197</v>
      </c>
      <c r="E121" s="21"/>
      <c r="F121" s="21"/>
      <c r="G121" s="21"/>
    </row>
    <row r="122" spans="1:7" ht="15.75">
      <c r="A122" s="39" t="s">
        <v>224</v>
      </c>
      <c r="B122" s="24">
        <f>IF(31.89643="","-",31.89643)</f>
        <v>31.89643</v>
      </c>
      <c r="C122" s="24">
        <f>IF(1196.2642="","-",1196.2642)</f>
        <v>1196.2642</v>
      </c>
      <c r="D122" s="24" t="s">
        <v>269</v>
      </c>
      <c r="E122" s="1"/>
      <c r="F122" s="1"/>
      <c r="G122" s="1"/>
    </row>
    <row r="123" spans="1:4" ht="15.75">
      <c r="A123" s="39" t="s">
        <v>239</v>
      </c>
      <c r="B123" s="24">
        <f>IF(160.26442="","-",160.26442)</f>
        <v>160.26442</v>
      </c>
      <c r="C123" s="24">
        <f>IF(1250.70222="","-",1250.70222)</f>
        <v>1250.70222</v>
      </c>
      <c r="D123" s="24" t="s">
        <v>253</v>
      </c>
    </row>
    <row r="124" spans="1:9" ht="15.75">
      <c r="A124" s="39" t="s">
        <v>219</v>
      </c>
      <c r="B124" s="24">
        <f>IF(400.4952="","-",400.4952)</f>
        <v>400.4952</v>
      </c>
      <c r="C124" s="24">
        <f>IF(1868.51353="","-",1868.51353)</f>
        <v>1868.51353</v>
      </c>
      <c r="D124" s="24" t="s">
        <v>264</v>
      </c>
      <c r="E124" s="21"/>
      <c r="F124" s="21"/>
      <c r="G124" s="21"/>
      <c r="H124" s="1"/>
      <c r="I124" s="1"/>
    </row>
    <row r="125" spans="1:4" ht="15.75">
      <c r="A125" s="39" t="s">
        <v>119</v>
      </c>
      <c r="B125" s="24">
        <f>IF(993.03775="","-",993.03775)</f>
        <v>993.03775</v>
      </c>
      <c r="C125" s="24">
        <f>IF(3060.61279="","-",3060.61279)</f>
        <v>3060.61279</v>
      </c>
      <c r="D125" s="24" t="s">
        <v>207</v>
      </c>
    </row>
    <row r="126" spans="1:4" ht="15.75">
      <c r="A126" s="39" t="s">
        <v>148</v>
      </c>
      <c r="B126" s="24">
        <f>IF(4541.73666="","-",4541.73666)</f>
        <v>4541.73666</v>
      </c>
      <c r="C126" s="24">
        <f>IF(4349.13641="","-",4349.13641)</f>
        <v>4349.13641</v>
      </c>
      <c r="D126" s="24">
        <f>IF(OR(4541.73666="",4349.13641="",4541.73666=0),"-",4349.13641/4541.73666*100)</f>
        <v>95.75932590508232</v>
      </c>
    </row>
    <row r="127" spans="1:4" ht="15.75">
      <c r="A127" s="39" t="s">
        <v>146</v>
      </c>
      <c r="B127" s="24">
        <f>IF(5567.02674="","-",5567.02674)</f>
        <v>5567.02674</v>
      </c>
      <c r="C127" s="24">
        <f>IF(4987.31993="","-",4987.31993)</f>
        <v>4987.31993</v>
      </c>
      <c r="D127" s="24">
        <f>IF(OR(5567.02674="",4987.31993="",5567.02674=0),"-",4987.31993/5567.02674*100)</f>
        <v>89.5867787766365</v>
      </c>
    </row>
    <row r="128" spans="1:4" ht="15.75">
      <c r="A128" s="39" t="s">
        <v>143</v>
      </c>
      <c r="B128" s="24">
        <f>IF(10358.60385="","-",10358.60385)</f>
        <v>10358.60385</v>
      </c>
      <c r="C128" s="24">
        <f>IF(7416.21166="","-",7416.21166)</f>
        <v>7416.21166</v>
      </c>
      <c r="D128" s="24">
        <f>IF(OR(10358.60385="",7416.21166="",10358.60385=0),"-",7416.21166/10358.60385*100)</f>
        <v>71.59470298692811</v>
      </c>
    </row>
    <row r="129" spans="1:4" ht="15.75">
      <c r="A129" s="39" t="s">
        <v>201</v>
      </c>
      <c r="B129" s="24">
        <f>IF(-553.40197="","-",-553.40197)</f>
        <v>-553.40197</v>
      </c>
      <c r="C129" s="24">
        <f>IF(10665.35757="","-",10665.35757)</f>
        <v>10665.35757</v>
      </c>
      <c r="D129" s="24" t="s">
        <v>33</v>
      </c>
    </row>
    <row r="130" spans="1:4" ht="15.75">
      <c r="A130" s="39" t="s">
        <v>205</v>
      </c>
      <c r="B130" s="24">
        <f>IF(13916.22299="","-",13916.22299)</f>
        <v>13916.22299</v>
      </c>
      <c r="C130" s="24">
        <f>IF(12278.43708="","-",12278.43708)</f>
        <v>12278.43708</v>
      </c>
      <c r="D130" s="24">
        <f>IF(OR(13916.22299="",12278.43708="",13916.22299=0),"-",12278.43708/13916.22299*100)</f>
        <v>88.23110328731516</v>
      </c>
    </row>
    <row r="131" spans="1:7" s="1" customFormat="1" ht="15.75">
      <c r="A131" s="39" t="s">
        <v>140</v>
      </c>
      <c r="B131" s="24">
        <f>IF(26275.5896="","-",26275.5896)</f>
        <v>26275.5896</v>
      </c>
      <c r="C131" s="24">
        <f>IF(13176.34272="","-",13176.34272)</f>
        <v>13176.34272</v>
      </c>
      <c r="D131" s="24">
        <f>IF(OR(26275.5896="",13176.34272="",26275.5896=0),"-",13176.34272/26275.5896*100)</f>
        <v>50.146706203692574</v>
      </c>
      <c r="E131" s="21"/>
      <c r="F131" s="21"/>
      <c r="G131" s="21"/>
    </row>
    <row r="132" spans="1:7" ht="15.75">
      <c r="A132" s="39" t="s">
        <v>141</v>
      </c>
      <c r="B132" s="24">
        <f>IF(15375.28463="","-",15375.28463)</f>
        <v>15375.28463</v>
      </c>
      <c r="C132" s="24">
        <f>IF(16105.6319="","-",16105.6319)</f>
        <v>16105.6319</v>
      </c>
      <c r="D132" s="24">
        <f>IF(OR(15375.28463="",16105.6319="",15375.28463=0),"-",16105.6319/15375.28463*100)</f>
        <v>104.75013820931132</v>
      </c>
      <c r="E132" s="21"/>
      <c r="F132" s="21"/>
      <c r="G132" s="21"/>
    </row>
    <row r="133" spans="1:7" ht="15.75">
      <c r="A133" s="65" t="s">
        <v>27</v>
      </c>
      <c r="B133" s="65"/>
      <c r="C133" s="65"/>
      <c r="D133" s="65"/>
      <c r="E133" s="21"/>
      <c r="F133" s="21"/>
      <c r="G133" s="21"/>
    </row>
  </sheetData>
  <sheetProtection/>
  <mergeCells count="6">
    <mergeCell ref="A133:D133"/>
    <mergeCell ref="A1:D1"/>
    <mergeCell ref="A3:A4"/>
    <mergeCell ref="D3:D4"/>
    <mergeCell ref="B3:B4"/>
    <mergeCell ref="C3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74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8.1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625" style="0" customWidth="1"/>
    <col min="7" max="7" width="9.875" style="0" customWidth="1"/>
  </cols>
  <sheetData>
    <row r="1" spans="1:7" ht="15.75">
      <c r="A1" s="58" t="s">
        <v>115</v>
      </c>
      <c r="B1" s="58"/>
      <c r="C1" s="58"/>
      <c r="D1" s="58"/>
      <c r="E1" s="58"/>
      <c r="F1" s="58"/>
      <c r="G1" s="58"/>
    </row>
    <row r="2" spans="1:7" ht="15.75">
      <c r="A2" s="58" t="s">
        <v>35</v>
      </c>
      <c r="B2" s="58"/>
      <c r="C2" s="58"/>
      <c r="D2" s="58"/>
      <c r="E2" s="58"/>
      <c r="F2" s="58"/>
      <c r="G2" s="58"/>
    </row>
    <row r="3" ht="15.75">
      <c r="A3" s="6"/>
    </row>
    <row r="4" spans="1:7" ht="57" customHeight="1">
      <c r="A4" s="59"/>
      <c r="B4" s="62">
        <v>2017</v>
      </c>
      <c r="C4" s="63"/>
      <c r="D4" s="62" t="s">
        <v>0</v>
      </c>
      <c r="E4" s="63"/>
      <c r="F4" s="62" t="s">
        <v>216</v>
      </c>
      <c r="G4" s="64"/>
    </row>
    <row r="5" spans="1:7" ht="15.75">
      <c r="A5" s="60"/>
      <c r="B5" s="53" t="s">
        <v>194</v>
      </c>
      <c r="C5" s="55" t="s">
        <v>274</v>
      </c>
      <c r="D5" s="53">
        <v>2016</v>
      </c>
      <c r="E5" s="53">
        <v>2017</v>
      </c>
      <c r="F5" s="53" t="s">
        <v>2</v>
      </c>
      <c r="G5" s="51" t="s">
        <v>186</v>
      </c>
    </row>
    <row r="6" spans="1:7" ht="15.75">
      <c r="A6" s="61"/>
      <c r="B6" s="54"/>
      <c r="C6" s="56"/>
      <c r="D6" s="54"/>
      <c r="E6" s="54"/>
      <c r="F6" s="54"/>
      <c r="G6" s="57"/>
    </row>
    <row r="7" spans="1:7" ht="16.5" customHeight="1">
      <c r="A7" s="7" t="s">
        <v>195</v>
      </c>
      <c r="B7" s="43">
        <f>IF(2425118.34307="","-",2425118.34307)</f>
        <v>2425118.34307</v>
      </c>
      <c r="C7" s="43">
        <f>IF(2044610.75747="","-",2425118.34307/2044610.75747*100)</f>
        <v>118.6102701558139</v>
      </c>
      <c r="D7" s="43">
        <v>100</v>
      </c>
      <c r="E7" s="43">
        <v>100</v>
      </c>
      <c r="F7" s="43">
        <f>IF(1966837.29975="","-",(2044610.75747-1966837.29975)/1966837.29975*100)</f>
        <v>3.954239515891104</v>
      </c>
      <c r="G7" s="43">
        <f>IF(2044610.75747="","-",(2425118.34307-2044610.75747)/2044610.75747*100)</f>
        <v>18.610270155813897</v>
      </c>
    </row>
    <row r="8" spans="1:7" ht="13.5" customHeight="1">
      <c r="A8" s="8" t="s">
        <v>108</v>
      </c>
      <c r="B8" s="25"/>
      <c r="C8" s="25"/>
      <c r="D8" s="25"/>
      <c r="E8" s="25"/>
      <c r="F8" s="25"/>
      <c r="G8" s="25"/>
    </row>
    <row r="9" spans="1:10" ht="13.5" customHeight="1">
      <c r="A9" s="9" t="s">
        <v>36</v>
      </c>
      <c r="B9" s="23">
        <f>IF(609577.27054="","-",609577.27054)</f>
        <v>609577.27054</v>
      </c>
      <c r="C9" s="23">
        <f>IF(498453.7609="","-",609577.27054/498453.7609*100)</f>
        <v>122.29364453773151</v>
      </c>
      <c r="D9" s="23">
        <f>IF(498453.7609="","-",498453.7609/2044610.75747*100)</f>
        <v>24.37890728486562</v>
      </c>
      <c r="E9" s="23">
        <f>IF(609577.27054="","-",609577.27054/2425118.34307*100)</f>
        <v>25.13598036491388</v>
      </c>
      <c r="F9" s="23">
        <f>IF(1966837.29975="","-",(498453.7609-488996.69734)/1966837.29975*100)</f>
        <v>0.4808259209443529</v>
      </c>
      <c r="G9" s="23">
        <f>IF(2044610.75747="","-",(609577.27054-498453.7609)/2044610.75747*100)</f>
        <v>5.43494693227107</v>
      </c>
      <c r="J9" s="29"/>
    </row>
    <row r="10" spans="1:10" s="16" customFormat="1" ht="13.5" customHeight="1">
      <c r="A10" s="14" t="s">
        <v>37</v>
      </c>
      <c r="B10" s="24">
        <f>IF(7795.87671="","-",7795.87671)</f>
        <v>7795.87671</v>
      </c>
      <c r="C10" s="24">
        <f>IF(OR(10080.02738="",7795.87671=""),"-",7795.87671/10080.02738*100)</f>
        <v>77.33983665032466</v>
      </c>
      <c r="D10" s="24">
        <f>IF(10080.02738="","-",10080.02738/2044610.75747*100)</f>
        <v>0.4930047121767577</v>
      </c>
      <c r="E10" s="24">
        <f>IF(7795.87671="","-",7795.87671/2425118.34307*100)</f>
        <v>0.32146376412010735</v>
      </c>
      <c r="F10" s="24">
        <f>IF(OR(1966837.29975="",10130.93882="",10080.02738=""),"-",(10080.02738-10130.93882)/1966837.29975*100)</f>
        <v>-0.0025884927038180073</v>
      </c>
      <c r="G10" s="24">
        <f>IF(OR(2044610.75747="",7795.87671="",10080.02738=""),"-",(7795.87671-10080.02738)/2044610.75747*100)</f>
        <v>-0.1117156731008501</v>
      </c>
      <c r="J10" s="29"/>
    </row>
    <row r="11" spans="1:10" s="16" customFormat="1" ht="14.25" customHeight="1">
      <c r="A11" s="14" t="s">
        <v>38</v>
      </c>
      <c r="B11" s="24">
        <f>IF(10837.86423="","-",10837.86423)</f>
        <v>10837.86423</v>
      </c>
      <c r="C11" s="24">
        <f>IF(OR(8487.41361="",10837.86423=""),"-",10837.86423/8487.41361*100)</f>
        <v>127.69336723770199</v>
      </c>
      <c r="D11" s="24">
        <f>IF(8487.41361="","-",8487.41361/2044610.75747*100)</f>
        <v>0.41511146212016997</v>
      </c>
      <c r="E11" s="24">
        <f>IF(10837.86423="","-",10837.86423/2425118.34307*100)</f>
        <v>0.4469004269820563</v>
      </c>
      <c r="F11" s="24">
        <f>IF(OR(1966837.29975="",8927.64623="",8487.41361=""),"-",(8487.41361-8927.64623)/1966837.29975*100)</f>
        <v>-0.022382767504762983</v>
      </c>
      <c r="G11" s="24">
        <f>IF(OR(2044610.75747="",10837.86423="",8487.41361=""),"-",(10837.86423-8487.41361)/2044610.75747*100)</f>
        <v>0.11495834165073286</v>
      </c>
      <c r="J11" s="29"/>
    </row>
    <row r="12" spans="1:10" s="16" customFormat="1" ht="15.75">
      <c r="A12" s="14" t="s">
        <v>39</v>
      </c>
      <c r="B12" s="24">
        <f>IF(20376.82389="","-",20376.82389)</f>
        <v>20376.82389</v>
      </c>
      <c r="C12" s="24">
        <f>IF(OR(18577.12832="",20376.82389=""),"-",20376.82389/18577.12832*100)</f>
        <v>109.68769520778116</v>
      </c>
      <c r="D12" s="24">
        <f>IF(18577.12832="","-",18577.12832/2044610.75747*100)</f>
        <v>0.9085899725475046</v>
      </c>
      <c r="E12" s="24">
        <f>IF(20376.82389="","-",20376.82389/2425118.34307*100)</f>
        <v>0.8402403927308809</v>
      </c>
      <c r="F12" s="24">
        <f>IF(OR(1966837.29975="",14351.88678="",18577.12832=""),"-",(18577.12832-14351.88678)/1966837.29975*100)</f>
        <v>0.21482415147084402</v>
      </c>
      <c r="G12" s="24">
        <f>IF(OR(2044610.75747="",20376.82389="",18577.12832=""),"-",(20376.82389-18577.12832)/2044610.75747*100)</f>
        <v>0.08802142722886491</v>
      </c>
      <c r="J12" s="29"/>
    </row>
    <row r="13" spans="1:10" s="16" customFormat="1" ht="15.75">
      <c r="A13" s="14" t="s">
        <v>41</v>
      </c>
      <c r="B13" s="24">
        <f>IF(198743.35926="","-",198743.35926)</f>
        <v>198743.35926</v>
      </c>
      <c r="C13" s="24">
        <f>IF(OR(172509.4319="",198743.35926=""),"-",198743.35926/172509.4319*100)</f>
        <v>115.20724233513636</v>
      </c>
      <c r="D13" s="24">
        <f>IF(172509.4319="","-",172509.4319/2044610.75747*100)</f>
        <v>8.4372749810562</v>
      </c>
      <c r="E13" s="24">
        <f>IF(198743.35926="","-",198743.35926/2425118.34307*100)</f>
        <v>8.195202507454018</v>
      </c>
      <c r="F13" s="24">
        <f>IF(OR(1966837.29975="",128710.25485="",172509.4319=""),"-",(172509.4319-128710.25485)/1966837.29975*100)</f>
        <v>2.2268835889764347</v>
      </c>
      <c r="G13" s="24">
        <f>IF(OR(2044610.75747="",198743.35926="",172509.4319=""),"-",(198743.35926-172509.4319)/2044610.75747*100)</f>
        <v>1.2830768528510454</v>
      </c>
      <c r="J13" s="29"/>
    </row>
    <row r="14" spans="1:10" s="16" customFormat="1" ht="15" customHeight="1">
      <c r="A14" s="14" t="s">
        <v>42</v>
      </c>
      <c r="B14" s="24">
        <f>IF(301103.59172="","-",301103.59172)</f>
        <v>301103.59172</v>
      </c>
      <c r="C14" s="24">
        <f>IF(OR(206048.11428="",301103.59172=""),"-",301103.59172/206048.11428*100)</f>
        <v>146.13266070022294</v>
      </c>
      <c r="D14" s="24">
        <f>IF(206048.11428="","-",206048.11428/2044610.75747*100)</f>
        <v>10.077620570428955</v>
      </c>
      <c r="E14" s="24">
        <f>IF(301103.59172="","-",301103.59172/2425118.34307*100)</f>
        <v>12.416037039199814</v>
      </c>
      <c r="F14" s="24">
        <f>IF(OR(1966837.29975="",253811.06175="",206048.11428=""),"-",(206048.11428-253811.06175)/1966837.29975*100)</f>
        <v>-2.4284137521731473</v>
      </c>
      <c r="G14" s="24">
        <f>IF(OR(2044610.75747="",301103.59172="",206048.11428=""),"-",(301103.59172-206048.11428)/2044610.75747*100)</f>
        <v>4.649074504411862</v>
      </c>
      <c r="J14" s="29"/>
    </row>
    <row r="15" spans="1:10" s="16" customFormat="1" ht="15.75" customHeight="1">
      <c r="A15" s="14" t="s">
        <v>43</v>
      </c>
      <c r="B15" s="24">
        <f>IF(41156.88695="","-",41156.88695)</f>
        <v>41156.88695</v>
      </c>
      <c r="C15" s="24">
        <f>IF(OR(52764.58241="",41156.88695=""),"-",41156.88695/52764.58241*100)</f>
        <v>78.0009716180373</v>
      </c>
      <c r="D15" s="24">
        <f>IF(52764.58241="","-",52764.58241/2044610.75747*100)</f>
        <v>2.5806663795162095</v>
      </c>
      <c r="E15" s="24">
        <f>IF(41156.88695="","-",41156.88695/2425118.34307*100)</f>
        <v>1.6971083933948878</v>
      </c>
      <c r="F15" s="24">
        <f>IF(OR(1966837.29975="",48043.70897="",52764.58241=""),"-",(52764.58241-48043.70897)/1966837.29975*100)</f>
        <v>0.24002358713657007</v>
      </c>
      <c r="G15" s="24">
        <f>IF(OR(2044610.75747="",41156.88695="",52764.58241=""),"-",(41156.88695-52764.58241)/2044610.75747*100)</f>
        <v>-0.5677215292735404</v>
      </c>
      <c r="J15" s="29"/>
    </row>
    <row r="16" spans="1:10" s="16" customFormat="1" ht="25.5">
      <c r="A16" s="14" t="s">
        <v>44</v>
      </c>
      <c r="B16" s="24">
        <f>IF(10186.05917="","-",10186.05917)</f>
        <v>10186.05917</v>
      </c>
      <c r="C16" s="24">
        <f>IF(OR(8327.45022="",10186.05917=""),"-",10186.05917/8327.45022*100)</f>
        <v>122.31906407001014</v>
      </c>
      <c r="D16" s="24">
        <f>IF(8327.45022="","-",8327.45022/2044610.75747*100)</f>
        <v>0.4072878023152134</v>
      </c>
      <c r="E16" s="24">
        <f>IF(10186.05917="","-",10186.05917/2425118.34307*100)</f>
        <v>0.4200231794505042</v>
      </c>
      <c r="F16" s="24">
        <f>IF(OR(1966837.29975="",7187.14277="",8327.45022=""),"-",(8327.45022-7187.14277)/1966837.29975*100)</f>
        <v>0.05797670453702205</v>
      </c>
      <c r="G16" s="24">
        <f>IF(OR(2044610.75747="",10186.05917="",8327.45022=""),"-",(10186.05917-8327.45022)/2044610.75747*100)</f>
        <v>0.09090282554806868</v>
      </c>
      <c r="J16" s="29"/>
    </row>
    <row r="17" spans="1:10" s="16" customFormat="1" ht="25.5">
      <c r="A17" s="14" t="s">
        <v>45</v>
      </c>
      <c r="B17" s="24">
        <f>IF(16204.28226="","-",16204.28226)</f>
        <v>16204.28226</v>
      </c>
      <c r="C17" s="24">
        <f>IF(OR(15873.10716="",16204.28226=""),"-",16204.28226/15873.10716*100)</f>
        <v>102.08639113099768</v>
      </c>
      <c r="D17" s="24">
        <f>IF(15873.10716="","-",15873.10716/2044610.75747*100)</f>
        <v>0.7763388264493615</v>
      </c>
      <c r="E17" s="24">
        <f>IF(16204.28226="","-",16204.28226/2425118.34307*100)</f>
        <v>0.6681852168701472</v>
      </c>
      <c r="F17" s="24">
        <f>IF(OR(1966837.29975="",15866.89641="",15873.10716=""),"-",(15873.10716-15866.89641)/1966837.29975*100)</f>
        <v>0.0003157734501369088</v>
      </c>
      <c r="G17" s="24">
        <f>IF(OR(2044610.75747="",16204.28226="",15873.10716=""),"-",(16204.28226-15873.10716)/2044610.75747*100)</f>
        <v>0.01619746442153108</v>
      </c>
      <c r="J17" s="29"/>
    </row>
    <row r="18" spans="1:10" s="16" customFormat="1" ht="15.75">
      <c r="A18" s="14" t="s">
        <v>46</v>
      </c>
      <c r="B18" s="24">
        <f>IF(3143.66329="","-",3143.66329)</f>
        <v>3143.66329</v>
      </c>
      <c r="C18" s="24">
        <f>IF(OR(5764.83948="",3143.66329=""),"-",3143.66329/5764.83948*100)</f>
        <v>54.531670845412684</v>
      </c>
      <c r="D18" s="24">
        <f>IF(5764.83948="","-",5764.83948/2044610.75747*100)</f>
        <v>0.2819529076103174</v>
      </c>
      <c r="E18" s="24">
        <f>IF(3143.66329="","-",3143.66329/2425118.34307*100)</f>
        <v>0.12962927351497336</v>
      </c>
      <c r="F18" s="24">
        <f>IF(OR(1966837.29975="",1903.24782="",5764.83948=""),"-",(5764.83948-1903.24782)/1966837.29975*100)</f>
        <v>0.1963350837657409</v>
      </c>
      <c r="G18" s="24">
        <f>IF(OR(2044610.75747="",3143.66329="",5764.83948=""),"-",(3143.66329-5764.83948)/2044610.75747*100)</f>
        <v>-0.12819927609318857</v>
      </c>
      <c r="J18" s="29"/>
    </row>
    <row r="19" spans="1:7" s="16" customFormat="1" ht="15.75">
      <c r="A19" s="15" t="s">
        <v>47</v>
      </c>
      <c r="B19" s="23">
        <f>IF(201310.41098="","-",201310.41098)</f>
        <v>201310.41098</v>
      </c>
      <c r="C19" s="23">
        <f>IF(171660.56328="","-",201310.41098/171660.56328*100)</f>
        <v>117.27237003856112</v>
      </c>
      <c r="D19" s="23">
        <f>IF(171660.56328="","-",171660.56328/2044610.75747*100)</f>
        <v>8.395757610725509</v>
      </c>
      <c r="E19" s="23">
        <f>IF(201310.41098="","-",201310.41098/2425118.34307*100)</f>
        <v>8.301055144597917</v>
      </c>
      <c r="F19" s="23">
        <f>IF(1966837.29975="","-",(171660.56328-167454.33466)/1966837.29975*100)</f>
        <v>0.21385747669797864</v>
      </c>
      <c r="G19" s="23">
        <f>IF(2044610.75747="","-",(201310.41098-171660.56328)/2044610.75747*100)</f>
        <v>1.4501463220651685</v>
      </c>
    </row>
    <row r="20" spans="1:7" s="16" customFormat="1" ht="15.75">
      <c r="A20" s="14" t="s">
        <v>48</v>
      </c>
      <c r="B20" s="24">
        <f>IF(182685.47504="","-",182685.47504)</f>
        <v>182685.47504</v>
      </c>
      <c r="C20" s="24">
        <f>IF(OR(158092.06618="",182685.47504=""),"-",182685.47504/158092.06618*100)</f>
        <v>115.55638398197574</v>
      </c>
      <c r="D20" s="24">
        <f>IF(158092.06618="","-",158092.06618/2044610.75747*100)</f>
        <v>7.732135107007997</v>
      </c>
      <c r="E20" s="24">
        <f>IF(182685.47504="","-",182685.47504/2425118.34307*100)</f>
        <v>7.533054028560736</v>
      </c>
      <c r="F20" s="24">
        <f>IF(OR(1966837.29975="",154777.48168="",158092.06618=""),"-",(158092.06618-154777.48168)/1966837.29975*100)</f>
        <v>0.16852357337443755</v>
      </c>
      <c r="G20" s="24">
        <f>IF(OR(2044610.75747="",182685.47504="",158092.06618=""),"-",(182685.47504-158092.06618)/2044610.75747*100)</f>
        <v>1.2028406272513141</v>
      </c>
    </row>
    <row r="21" spans="1:7" s="16" customFormat="1" ht="15.75">
      <c r="A21" s="14" t="s">
        <v>49</v>
      </c>
      <c r="B21" s="24">
        <f>IF(18624.93594="","-",18624.93594)</f>
        <v>18624.93594</v>
      </c>
      <c r="C21" s="24">
        <f>IF(OR(13568.4971="",18624.93594=""),"-",18624.93594/13568.4971*100)</f>
        <v>137.26601997799742</v>
      </c>
      <c r="D21" s="24">
        <f>IF(13568.4971="","-",13568.4971/2044610.75747*100)</f>
        <v>0.663622503717512</v>
      </c>
      <c r="E21" s="24">
        <f>IF(18624.93594="","-",18624.93594/2425118.34307*100)</f>
        <v>0.7680011160371814</v>
      </c>
      <c r="F21" s="24">
        <f>IF(OR(1966837.29975="",12676.85298="",13568.4971=""),"-",(13568.4971-12676.85298)/1966837.29975*100)</f>
        <v>0.045333903323540564</v>
      </c>
      <c r="G21" s="24">
        <f>IF(OR(2044610.75747="",18624.93594="",13568.4971=""),"-",(18624.93594-13568.4971)/2044610.75747*100)</f>
        <v>0.2473056948138546</v>
      </c>
    </row>
    <row r="22" spans="1:7" s="16" customFormat="1" ht="25.5">
      <c r="A22" s="15" t="s">
        <v>50</v>
      </c>
      <c r="B22" s="23">
        <f>IF(276824.62098="","-",276824.62098)</f>
        <v>276824.62098</v>
      </c>
      <c r="C22" s="23">
        <f>IF(231690.36679="","-",276824.62098/231690.36679*100)</f>
        <v>119.48041898129883</v>
      </c>
      <c r="D22" s="23">
        <f>IF(231690.36679="","-",231690.36679/2044610.75747*100)</f>
        <v>11.331759159708888</v>
      </c>
      <c r="E22" s="23">
        <f>IF(276824.62098="","-",276824.62098/2425118.34307*100)</f>
        <v>11.414891226692173</v>
      </c>
      <c r="F22" s="23">
        <f>IF(1966837.29975="","-",(231690.36679-219497.32203)/1966837.29975*100)</f>
        <v>0.6199315399168919</v>
      </c>
      <c r="G22" s="23">
        <f>IF(2044610.75747="","-",(276824.62098-231690.36679)/2044610.75747*100)</f>
        <v>2.207474162262997</v>
      </c>
    </row>
    <row r="23" spans="1:8" s="16" customFormat="1" ht="15.75">
      <c r="A23" s="14" t="s">
        <v>51</v>
      </c>
      <c r="B23" s="24">
        <f>IF(3653.74889="","-",3653.74889)</f>
        <v>3653.74889</v>
      </c>
      <c r="C23" s="24">
        <f>IF(OR(3578.16014="",3653.74889=""),"-",3653.74889/3578.16014*100)</f>
        <v>102.11250327102464</v>
      </c>
      <c r="D23" s="24">
        <f>IF(3578.16014="","-",3578.16014/2044610.75747*100)</f>
        <v>0.17500446610325052</v>
      </c>
      <c r="E23" s="24">
        <f>IF(3653.74889="","-",3653.74889/2425118.34307*100)</f>
        <v>0.15066270478885804</v>
      </c>
      <c r="F23" s="24">
        <f>IF(OR(1966837.29975="",4135.07431="",3578.16014=""),"-",(3578.16014-4135.07431)/1966837.29975*100)</f>
        <v>-0.02831521295995292</v>
      </c>
      <c r="G23" s="24">
        <f>IF(OR(2044610.75747="",3653.74889="",3578.16014=""),"-",(3653.74889-3578.16014)/2044610.75747*100)</f>
        <v>0.0036969750708703768</v>
      </c>
      <c r="H23" s="12"/>
    </row>
    <row r="24" spans="1:8" s="16" customFormat="1" ht="15.75">
      <c r="A24" s="14" t="s">
        <v>52</v>
      </c>
      <c r="B24" s="24">
        <f>IF(240737.581="","-",240737.581)</f>
        <v>240737.581</v>
      </c>
      <c r="C24" s="24">
        <f>IF(OR(201499.9007="",240737.581=""),"-",240737.581/201499.9007*100)</f>
        <v>119.47280378982342</v>
      </c>
      <c r="D24" s="24">
        <f>IF(201499.9007="","-",201499.9007/2044610.75747*100)</f>
        <v>9.855171697782508</v>
      </c>
      <c r="E24" s="24">
        <f>IF(240737.581="","-",240737.581/2425118.34307*100)</f>
        <v>9.926838485549784</v>
      </c>
      <c r="F24" s="24">
        <f>IF(OR(1966837.29975="",177410.61675="",201499.9007=""),"-",(201499.9007-177410.61675)/1966837.29975*100)</f>
        <v>1.2247725804804466</v>
      </c>
      <c r="G24" s="24">
        <f>IF(OR(2044610.75747="",240737.581="",201499.9007=""),"-",(240737.581-201499.9007)/2044610.75747*100)</f>
        <v>1.9190782478593964</v>
      </c>
      <c r="H24" s="13"/>
    </row>
    <row r="25" spans="1:8" s="16" customFormat="1" ht="15.75">
      <c r="A25" s="14" t="s">
        <v>54</v>
      </c>
      <c r="B25" s="24">
        <f>IF(553.28088="","-",553.28088)</f>
        <v>553.28088</v>
      </c>
      <c r="C25" s="24">
        <f>IF(OR(1933.30242="",553.28088=""),"-",553.28088/1933.30242*100)</f>
        <v>28.618434150617784</v>
      </c>
      <c r="D25" s="24">
        <f>IF(1933.30242="","-",1933.30242/2044610.75747*100)</f>
        <v>0.09455601331141714</v>
      </c>
      <c r="E25" s="24">
        <f>IF(553.28088="","-",553.28088/2425118.34307*100)</f>
        <v>0.02281459301073085</v>
      </c>
      <c r="F25" s="24">
        <f>IF(OR(1966837.29975="",2067.81614="",1933.30242=""),"-",(1933.30242-2067.81614)/1966837.29975*100)</f>
        <v>-0.006839087301074555</v>
      </c>
      <c r="G25" s="24">
        <f>IF(OR(2044610.75747="",553.28088="",1933.30242=""),"-",(553.28088-1933.30242)/2044610.75747*100)</f>
        <v>-0.06749556290643985</v>
      </c>
      <c r="H25" s="13"/>
    </row>
    <row r="26" spans="1:8" s="16" customFormat="1" ht="15.75">
      <c r="A26" s="14" t="s">
        <v>55</v>
      </c>
      <c r="B26" s="24">
        <f>IF(3012.18274="","-",3012.18274)</f>
        <v>3012.18274</v>
      </c>
      <c r="C26" s="24">
        <f>IF(OR(2635.26976="",3012.18274=""),"-",3012.18274/2635.26976*100)</f>
        <v>114.30263367041407</v>
      </c>
      <c r="D26" s="24">
        <f>IF(2635.26976="","-",2635.26976/2044610.75747*100)</f>
        <v>0.1288885794213898</v>
      </c>
      <c r="E26" s="24">
        <f>IF(3012.18274="","-",3012.18274/2425118.34307*100)</f>
        <v>0.12420765974607346</v>
      </c>
      <c r="F26" s="24">
        <f>IF(OR(1966837.29975="",2047.37992="",2635.26976=""),"-",(2635.26976-2047.37992)/1966837.29975*100)</f>
        <v>0.029890110385578175</v>
      </c>
      <c r="G26" s="24">
        <f>IF(OR(2044610.75747="",3012.18274="",2635.26976=""),"-",(3012.18274-2635.26976)/2044610.75747*100)</f>
        <v>0.018434461357642075</v>
      </c>
      <c r="H26" s="13"/>
    </row>
    <row r="27" spans="1:8" s="16" customFormat="1" ht="38.25">
      <c r="A27" s="14" t="s">
        <v>56</v>
      </c>
      <c r="B27" s="24">
        <f>IF(385.93626="","-",385.93626)</f>
        <v>385.93626</v>
      </c>
      <c r="C27" s="24">
        <f>IF(OR(788.7385="",385.93626=""),"-",385.93626/788.7385*100)</f>
        <v>48.93082561584099</v>
      </c>
      <c r="D27" s="24">
        <f>IF(788.7385="","-",788.7385/2044610.75747*100)</f>
        <v>0.03857646239600072</v>
      </c>
      <c r="E27" s="24">
        <f>IF(385.93626="","-",385.93626/2425118.34307*100)</f>
        <v>0.015914120690350992</v>
      </c>
      <c r="F27" s="24">
        <f>IF(OR(1966837.29975="",3854.09943="",788.7385=""),"-",(788.7385-3854.09943)/1966837.29975*100)</f>
        <v>-0.1558522878526674</v>
      </c>
      <c r="G27" s="24">
        <f>IF(OR(2044610.75747="",385.93626="",788.7385=""),"-",(385.93626-788.7385)/2044610.75747*100)</f>
        <v>-0.01970068085225313</v>
      </c>
      <c r="H27" s="13"/>
    </row>
    <row r="28" spans="1:8" s="16" customFormat="1" ht="38.25">
      <c r="A28" s="14" t="s">
        <v>57</v>
      </c>
      <c r="B28" s="24">
        <f>IF(10087.23866="","-",10087.23866)</f>
        <v>10087.23866</v>
      </c>
      <c r="C28" s="24">
        <f>IF(OR(7545.5741="",10087.23866=""),"-",10087.23866/7545.5741*100)</f>
        <v>133.68417732455907</v>
      </c>
      <c r="D28" s="24">
        <f>IF(7545.5741="","-",7545.5741/2044610.75747*100)</f>
        <v>0.3690469725072213</v>
      </c>
      <c r="E28" s="24">
        <f>IF(10087.23866="","-",10087.23866/2425118.34307*100)</f>
        <v>0.41594830573218083</v>
      </c>
      <c r="F28" s="24">
        <f>IF(OR(1966837.29975="",6821.49569="",7545.5741=""),"-",(7545.5741-6821.49569)/1966837.29975*100)</f>
        <v>0.03681435216283706</v>
      </c>
      <c r="G28" s="24">
        <f>IF(OR(2044610.75747="",10087.23866="",7545.5741=""),"-",(10087.23866-7545.5741)/2044610.75747*100)</f>
        <v>0.12431043663024913</v>
      </c>
      <c r="H28" s="13"/>
    </row>
    <row r="29" spans="1:8" s="16" customFormat="1" ht="14.25" customHeight="1">
      <c r="A29" s="14" t="s">
        <v>58</v>
      </c>
      <c r="B29" s="24">
        <f>IF(15049.39127="","-",15049.39127)</f>
        <v>15049.39127</v>
      </c>
      <c r="C29" s="24">
        <f>IF(OR(10724.32964="",15049.39127=""),"-",15049.39127/10724.32964*100)</f>
        <v>140.32943573338352</v>
      </c>
      <c r="D29" s="24">
        <f>IF(10724.32964="","-",10724.32964/2044610.75747*100)</f>
        <v>0.5245169331530994</v>
      </c>
      <c r="E29" s="24">
        <f>IF(15049.39127="","-",15049.39127/2425118.34307*100)</f>
        <v>0.6205631701646656</v>
      </c>
      <c r="F29" s="24">
        <f>IF(OR(1966837.29975="",17657.2588="",10724.32964=""),"-",(10724.32964-17657.2588)/1966837.29975*100)</f>
        <v>-0.35249123864395027</v>
      </c>
      <c r="G29" s="24">
        <f>IF(OR(2044610.75747="",15049.39127="",10724.32964=""),"-",(15049.39127-10724.32964)/2044610.75747*100)</f>
        <v>0.21153471946669342</v>
      </c>
      <c r="H29" s="13"/>
    </row>
    <row r="30" spans="1:8" s="16" customFormat="1" ht="25.5">
      <c r="A30" s="14" t="s">
        <v>59</v>
      </c>
      <c r="B30" s="24">
        <f>IF(3344.79703="","-",3344.79703)</f>
        <v>3344.79703</v>
      </c>
      <c r="C30" s="24">
        <f>IF(OR(2868.32694="",3344.79703=""),"-",3344.79703/2868.32694*100)</f>
        <v>116.61142889101757</v>
      </c>
      <c r="D30" s="24">
        <f>IF(2868.32694="","-",2868.32694/2044610.75747*100)</f>
        <v>0.14028718813693739</v>
      </c>
      <c r="E30" s="24">
        <f>IF(3344.79703="","-",3344.79703/2425118.34307*100)</f>
        <v>0.13792304361385363</v>
      </c>
      <c r="F30" s="24">
        <f>IF(OR(1966837.29975="",3515.53938="",2868.32694=""),"-",(2868.32694-3515.53938)/1966837.29975*100)</f>
        <v>-0.03290625208715871</v>
      </c>
      <c r="G30" s="24">
        <f>IF(OR(2044610.75747="",3344.79703="",2868.32694=""),"-",(3344.79703-2868.32694)/2044610.75747*100)</f>
        <v>0.023303706500575398</v>
      </c>
      <c r="H30" s="13"/>
    </row>
    <row r="31" spans="1:8" s="16" customFormat="1" ht="25.5">
      <c r="A31" s="15" t="s">
        <v>60</v>
      </c>
      <c r="B31" s="23">
        <f>IF(18245.1815="","-",18245.1815)</f>
        <v>18245.1815</v>
      </c>
      <c r="C31" s="23" t="s">
        <v>244</v>
      </c>
      <c r="D31" s="23">
        <f>IF(6697.10618="","-",6697.10618/2044610.75747*100)</f>
        <v>0.3275492000387885</v>
      </c>
      <c r="E31" s="23">
        <f>IF(18245.1815="","-",18245.1815/2425118.34307*100)</f>
        <v>0.7523419033193697</v>
      </c>
      <c r="F31" s="23">
        <f>IF(1966837.29975="","-",(6697.10618-10067.32496)/1966837.29975*100)</f>
        <v>-0.1713521896512935</v>
      </c>
      <c r="G31" s="23">
        <f>IF(2044610.75747="","-",(18245.1815-6697.10618)/2044610.75747*100)</f>
        <v>0.5648055639837081</v>
      </c>
      <c r="H31" s="13"/>
    </row>
    <row r="32" spans="1:8" s="16" customFormat="1" ht="25.5">
      <c r="A32" s="14" t="s">
        <v>62</v>
      </c>
      <c r="B32" s="24">
        <f>IF(18222.52386="","-",18222.52386)</f>
        <v>18222.52386</v>
      </c>
      <c r="C32" s="24" t="s">
        <v>244</v>
      </c>
      <c r="D32" s="24">
        <f>IF(6690.52587="","-",6690.52587/2044610.75747*100)</f>
        <v>0.3272273632306842</v>
      </c>
      <c r="E32" s="24">
        <f>IF(18222.52386="","-",18222.52386/2425118.34307*100)</f>
        <v>0.7514076132438051</v>
      </c>
      <c r="F32" s="24">
        <f>IF(OR(1966837.29975="",9987.69292="",6690.52587=""),"-",(6690.52587-9987.69292)/1966837.29975*100)</f>
        <v>-0.16763801715673657</v>
      </c>
      <c r="G32" s="24">
        <f>IF(OR(2044610.75747="",18222.52386="",6690.52587=""),"-",(18222.52386-6690.52587)/2044610.75747*100)</f>
        <v>0.5640192368091463</v>
      </c>
      <c r="H32" s="13"/>
    </row>
    <row r="33" spans="1:7" s="16" customFormat="1" ht="27" customHeight="1">
      <c r="A33" s="15" t="s">
        <v>65</v>
      </c>
      <c r="B33" s="23">
        <f>IF(53689.18063="","-",53689.18063)</f>
        <v>53689.18063</v>
      </c>
      <c r="C33" s="23">
        <f>IF(54310.39029="","-",53689.18063/54310.39029*100)</f>
        <v>98.85618634540658</v>
      </c>
      <c r="D33" s="23">
        <f>IF(54310.39029="","-",54310.39029/2044610.75747*100)</f>
        <v>2.656270397266404</v>
      </c>
      <c r="E33" s="23">
        <f>IF(53689.18063="","-",53689.18063/2425118.34307*100)</f>
        <v>2.213878790015415</v>
      </c>
      <c r="F33" s="23">
        <f>IF(1966837.29975="","-",(54310.39029-71945.54959)/1966837.29975*100)</f>
        <v>-0.8966252217324512</v>
      </c>
      <c r="G33" s="23">
        <f>IF(2044610.75747="","-",(53689.18063-54310.39029)/2044610.75747*100)</f>
        <v>-0.030382783506856085</v>
      </c>
    </row>
    <row r="34" spans="1:7" s="16" customFormat="1" ht="25.5">
      <c r="A34" s="14" t="s">
        <v>67</v>
      </c>
      <c r="B34" s="24">
        <f>IF(53562.85513="","-",53562.85513)</f>
        <v>53562.85513</v>
      </c>
      <c r="C34" s="24">
        <f>IF(OR(54100.62913="",53562.85513=""),"-",53562.85513/54100.62913*100)</f>
        <v>99.00597459096498</v>
      </c>
      <c r="D34" s="24">
        <f>IF(54100.62913="","-",54100.62913/2044610.75747*100)</f>
        <v>2.6460111751023008</v>
      </c>
      <c r="E34" s="24">
        <f>IF(53562.85513="","-",53562.85513/2425118.34307*100)</f>
        <v>2.2086697452543222</v>
      </c>
      <c r="F34" s="24">
        <f>IF(OR(1966837.29975="",71923.6206="",54100.62913=""),"-",(54100.62913-71923.6206)/1966837.29975*100)</f>
        <v>-0.906175181458346</v>
      </c>
      <c r="G34" s="24">
        <f>IF(OR(2044610.75747="",53562.85513="",54100.62913=""),"-",(53562.85513-54100.62913)/2044610.75747*100)</f>
        <v>-0.026302023406422785</v>
      </c>
    </row>
    <row r="35" spans="1:7" s="16" customFormat="1" ht="25.5">
      <c r="A35" s="15" t="s">
        <v>69</v>
      </c>
      <c r="B35" s="23">
        <f>IF(127741.01565="","-",127741.01565)</f>
        <v>127741.01565</v>
      </c>
      <c r="C35" s="23">
        <f>IF(113350.5433="","-",127741.01565/113350.5433*100)</f>
        <v>112.69554775040942</v>
      </c>
      <c r="D35" s="23">
        <f>IF(113350.5433="","-",113350.5433/2044610.75747*100)</f>
        <v>5.5438690658294245</v>
      </c>
      <c r="E35" s="23">
        <f>IF(127741.01565="","-",127741.01565/2425118.34307*100)</f>
        <v>5.267413691997002</v>
      </c>
      <c r="F35" s="23">
        <f>IF(1966837.29975="","-",(113350.5433-130871.44999)/1966837.29975*100)</f>
        <v>-0.8908162709862697</v>
      </c>
      <c r="G35" s="23">
        <f>IF(2044610.75747="","-",(127741.01565-113350.5433)/2044610.75747*100)</f>
        <v>0.7038245444725507</v>
      </c>
    </row>
    <row r="36" spans="1:7" s="16" customFormat="1" ht="15.75">
      <c r="A36" s="14" t="s">
        <v>70</v>
      </c>
      <c r="B36" s="24">
        <f>IF(23240.18381="","-",23240.18381)</f>
        <v>23240.18381</v>
      </c>
      <c r="C36" s="24">
        <f>IF(OR(17932.04113="",23240.18381=""),"-",23240.18381/17932.04113*100)</f>
        <v>129.6014415844695</v>
      </c>
      <c r="D36" s="24">
        <f>IF(17932.04113="","-",17932.04113/2044610.75747*100)</f>
        <v>0.8770393613789402</v>
      </c>
      <c r="E36" s="24">
        <f>IF(23240.18381="","-",23240.18381/2425118.34307*100)</f>
        <v>0.9583113284517011</v>
      </c>
      <c r="F36" s="24">
        <f>IF(OR(1966837.29975="",6212.0403="",17932.04113=""),"-",(17932.04113-6212.0403)/1966837.29975*100)</f>
        <v>0.5958805454568968</v>
      </c>
      <c r="G36" s="24">
        <f>IF(OR(2044610.75747="",23240.18381="",17932.04113=""),"-",(23240.18381-17932.04113)/2044610.75747*100)</f>
        <v>0.2596162942313915</v>
      </c>
    </row>
    <row r="37" spans="1:7" s="16" customFormat="1" ht="15.75">
      <c r="A37" s="14" t="s">
        <v>71</v>
      </c>
      <c r="B37" s="24">
        <f>IF(1132.73="","-",1132.73)</f>
        <v>1132.73</v>
      </c>
      <c r="C37" s="24">
        <f>IF(OR(899.85629="",1132.73=""),"-",1132.73/899.85629*100)</f>
        <v>125.87898896611591</v>
      </c>
      <c r="D37" s="24">
        <f>IF(899.85629="","-",899.85629/2044610.75747*100)</f>
        <v>0.044011129586028465</v>
      </c>
      <c r="E37" s="24">
        <f>IF(1132.73="","-",1132.73/2425118.34307*100)</f>
        <v>0.046708236042866974</v>
      </c>
      <c r="F37" s="24">
        <f>IF(OR(1966837.29975="",187.55495="",899.85629=""),"-",(899.85629-187.55495)/1966837.29975*100)</f>
        <v>0.036215570046924515</v>
      </c>
      <c r="G37" s="24">
        <f>IF(OR(2044610.75747="",1132.73="",899.85629=""),"-",(1132.73-899.85629)/2044610.75747*100)</f>
        <v>0.011389635369431288</v>
      </c>
    </row>
    <row r="38" spans="1:7" s="16" customFormat="1" ht="15.75">
      <c r="A38" s="14" t="s">
        <v>72</v>
      </c>
      <c r="B38" s="24">
        <f>IF(1098.02213="","-",1098.02213)</f>
        <v>1098.02213</v>
      </c>
      <c r="C38" s="24">
        <f>IF(OR(1418.11717="",1098.02213=""),"-",1098.02213/1418.11717*100)</f>
        <v>77.42816695463888</v>
      </c>
      <c r="D38" s="24">
        <f>IF(1418.11717="","-",1418.11717/2044610.75747*100)</f>
        <v>0.06935878454218725</v>
      </c>
      <c r="E38" s="24">
        <f>IF(1098.02213="","-",1098.02213/2425118.34307*100)</f>
        <v>0.04527705351525215</v>
      </c>
      <c r="F38" s="24">
        <f>IF(OR(1966837.29975="",1212.71829="",1418.11717=""),"-",(1418.11717-1212.71829)/1966837.29975*100)</f>
        <v>0.010443104776694427</v>
      </c>
      <c r="G38" s="24">
        <f>IF(OR(2044610.75747="",1098.02213="",1418.11717=""),"-",(1098.02213-1418.11717)/2044610.75747*100)</f>
        <v>-0.01565554904915424</v>
      </c>
    </row>
    <row r="39" spans="1:7" s="16" customFormat="1" ht="15.75">
      <c r="A39" s="14" t="s">
        <v>73</v>
      </c>
      <c r="B39" s="24">
        <f>IF(62581.23693="","-",62581.23693)</f>
        <v>62581.23693</v>
      </c>
      <c r="C39" s="24">
        <f>IF(OR(48873.23855="",62581.23693=""),"-",62581.23693/48873.23855*100)</f>
        <v>128.04806635839358</v>
      </c>
      <c r="D39" s="24">
        <f>IF(48873.23855="","-",48873.23855/2044610.75747*100)</f>
        <v>2.3903443905614443</v>
      </c>
      <c r="E39" s="24">
        <f>IF(62581.23693="","-",62581.23693/2425118.34307*100)</f>
        <v>2.5805436303276363</v>
      </c>
      <c r="F39" s="24">
        <f>IF(OR(1966837.29975="",75843.5446="",48873.23855=""),"-",(48873.23855-75843.5446)/1966837.29975*100)</f>
        <v>-1.371252520654765</v>
      </c>
      <c r="G39" s="24">
        <f>IF(OR(2044610.75747="",62581.23693="",48873.23855=""),"-",(62581.23693-48873.23855)/2044610.75747*100)</f>
        <v>0.6704453808588127</v>
      </c>
    </row>
    <row r="40" spans="1:7" s="16" customFormat="1" ht="38.25">
      <c r="A40" s="14" t="s">
        <v>74</v>
      </c>
      <c r="B40" s="24">
        <f>IF(27973.09051="","-",27973.09051)</f>
        <v>27973.09051</v>
      </c>
      <c r="C40" s="24">
        <f>IF(OR(34970.92367="",27973.09051=""),"-",27973.09051/34970.92367*100)</f>
        <v>79.98956725869061</v>
      </c>
      <c r="D40" s="24">
        <f>IF(34970.92367="","-",34970.92367/2044610.75747*100)</f>
        <v>1.7103951714150714</v>
      </c>
      <c r="E40" s="24">
        <f>IF(27973.09051="","-",27973.09051/2425118.34307*100)</f>
        <v>1.153473214613864</v>
      </c>
      <c r="F40" s="24">
        <f>IF(OR(1966837.29975="",38422.28818="",34970.92367=""),"-",(34970.92367-38422.28818)/1966837.29975*100)</f>
        <v>-0.17547788576303192</v>
      </c>
      <c r="G40" s="24">
        <f>IF(OR(2044610.75747="",27973.09051="",34970.92367=""),"-",(27973.09051-34970.92367)/2044610.75747*100)</f>
        <v>-0.34225747538661627</v>
      </c>
    </row>
    <row r="41" spans="1:7" s="16" customFormat="1" ht="15.75">
      <c r="A41" s="14" t="s">
        <v>76</v>
      </c>
      <c r="B41" s="24">
        <f>IF(3475.78661="","-",3475.78661)</f>
        <v>3475.78661</v>
      </c>
      <c r="C41" s="24">
        <f>IF(OR(2980.15044="",3475.78661=""),"-",3475.78661/2980.15044*100)</f>
        <v>116.63124664270306</v>
      </c>
      <c r="D41" s="24">
        <f>IF(2980.15044="","-",2980.15044/2044610.75747*100)</f>
        <v>0.14575637094307556</v>
      </c>
      <c r="E41" s="24">
        <f>IF(3475.78661="","-",3475.78661/2425118.34307*100)</f>
        <v>0.14332441218517775</v>
      </c>
      <c r="F41" s="24">
        <f>IF(OR(1966837.29975="",4753.07147="",2980.15044=""),"-",(2980.15044-4753.07147)/1966837.29975*100)</f>
        <v>-0.09014070610849977</v>
      </c>
      <c r="G41" s="24">
        <f>IF(OR(2044610.75747="",3475.78661="",2980.15044=""),"-",(3475.78661-2980.15044)/2044610.75747*100)</f>
        <v>0.024241101548996058</v>
      </c>
    </row>
    <row r="42" spans="1:7" s="16" customFormat="1" ht="15.75">
      <c r="A42" s="14" t="s">
        <v>77</v>
      </c>
      <c r="B42" s="24">
        <f>IF(3261.40073="","-",3261.40073)</f>
        <v>3261.40073</v>
      </c>
      <c r="C42" s="24">
        <f>IF(OR(3288.50089="",3261.40073=""),"-",3261.40073/3288.50089*100)</f>
        <v>99.17591142874831</v>
      </c>
      <c r="D42" s="24">
        <f>IF(3288.50089="","-",3288.50089/2044610.75747*100)</f>
        <v>0.16083750307903047</v>
      </c>
      <c r="E42" s="24">
        <f>IF(3261.40073="","-",3261.40073/2425118.34307*100)</f>
        <v>0.1344841887539119</v>
      </c>
      <c r="F42" s="24">
        <f>IF(OR(1966837.29975="",2098.06202="",3288.50089=""),"-",(3288.50089-2098.06202)/1966837.29975*100)</f>
        <v>0.060525538647823784</v>
      </c>
      <c r="G42" s="24">
        <f>IF(OR(2044610.75747="",3261.40073="",3288.50089=""),"-",(3261.40073-3288.50089)/2044610.75747*100)</f>
        <v>-0.001325443481160868</v>
      </c>
    </row>
    <row r="43" spans="1:7" s="16" customFormat="1" ht="15.75">
      <c r="A43" s="14" t="s">
        <v>78</v>
      </c>
      <c r="B43" s="24">
        <f>IF(4924.0549="","-",4924.0549)</f>
        <v>4924.0549</v>
      </c>
      <c r="C43" s="24" t="s">
        <v>213</v>
      </c>
      <c r="D43" s="24">
        <f>IF(2966.26883="","-",2966.26883/2044610.75747*100)</f>
        <v>0.1450774343802465</v>
      </c>
      <c r="E43" s="24">
        <f>IF(4924.0549="","-",4924.0549/2425118.34307*100)</f>
        <v>0.20304390150983528</v>
      </c>
      <c r="F43" s="24">
        <f>IF(OR(1966837.29975="",2060.65057="",2966.26883=""),"-",(2966.26883-2060.65057)/1966837.29975*100)</f>
        <v>0.04604439117130386</v>
      </c>
      <c r="G43" s="24">
        <f>IF(OR(2044610.75747="",4924.0549="",2966.26883=""),"-",(4924.0549-2966.26883)/2044610.75747*100)</f>
        <v>0.09575348573547385</v>
      </c>
    </row>
    <row r="44" spans="1:7" s="16" customFormat="1" ht="25.5">
      <c r="A44" s="15" t="s">
        <v>79</v>
      </c>
      <c r="B44" s="23">
        <f>IF(168502.21348="","-",168502.21348)</f>
        <v>168502.21348</v>
      </c>
      <c r="C44" s="23">
        <f>IF(171874.9415="","-",168502.21348/171874.9415*100)</f>
        <v>98.03768484773565</v>
      </c>
      <c r="D44" s="23">
        <f>IF(171874.9415="","-",171874.9415/2044610.75747*100)</f>
        <v>8.406242648976274</v>
      </c>
      <c r="E44" s="23">
        <f>IF(168502.21348="","-",168502.21348/2425118.34307*100)</f>
        <v>6.94820580453365</v>
      </c>
      <c r="F44" s="23">
        <f>IF(1966837.29975="","-",(171874.9415-137402.6055)/1966837.29975*100)</f>
        <v>1.7526785771442142</v>
      </c>
      <c r="G44" s="23">
        <f>IF(2044610.75747="","-",(168502.21348-171874.9415)/2044610.75747*100)</f>
        <v>-0.16495697323696917</v>
      </c>
    </row>
    <row r="45" spans="1:7" s="16" customFormat="1" ht="15.75">
      <c r="A45" s="14" t="s">
        <v>80</v>
      </c>
      <c r="B45" s="24">
        <f>IF(2278.43551="","-",2278.43551)</f>
        <v>2278.43551</v>
      </c>
      <c r="C45" s="24">
        <f>IF(OR(2350.56899="",2278.43551=""),"-",2278.43551/2350.56899*100)</f>
        <v>96.93123323302243</v>
      </c>
      <c r="D45" s="24">
        <f>IF(2350.56899="","-",2350.56899/2044610.75747*100)</f>
        <v>0.11496413101673164</v>
      </c>
      <c r="E45" s="24">
        <f>IF(2278.43551="","-",2278.43551/2425118.34307*100)</f>
        <v>0.0939515185521086</v>
      </c>
      <c r="F45" s="24">
        <f>IF(OR(1966837.29975="",1445.23757="",2350.56899=""),"-",(2350.56899-1445.23757)/1966837.29975*100)</f>
        <v>0.04602980735188796</v>
      </c>
      <c r="G45" s="24">
        <f>IF(OR(2044610.75747="",2278.43551="",2350.56899=""),"-",(2278.43551-2350.56899)/2044610.75747*100)</f>
        <v>-0.003527981046586018</v>
      </c>
    </row>
    <row r="46" spans="1:7" s="16" customFormat="1" ht="15.75">
      <c r="A46" s="14" t="s">
        <v>81</v>
      </c>
      <c r="B46" s="24">
        <f>IF(2176.49645="","-",2176.49645)</f>
        <v>2176.49645</v>
      </c>
      <c r="C46" s="24">
        <f>IF(OR(12359.37123="",2176.49645=""),"-",2176.49645/12359.37123*100)</f>
        <v>17.61009042852417</v>
      </c>
      <c r="D46" s="24">
        <f>IF(12359.37123="","-",12359.37123/2044610.75747*100)</f>
        <v>0.6044852882068115</v>
      </c>
      <c r="E46" s="24">
        <f>IF(2176.49645="","-",2176.49645/2425118.34307*100)</f>
        <v>0.08974805110932174</v>
      </c>
      <c r="F46" s="24">
        <f>IF(OR(1966837.29975="",11491.58753="",12359.37123=""),"-",(12359.37123-11491.58753)/1966837.29975*100)</f>
        <v>0.044120766883478456</v>
      </c>
      <c r="G46" s="24">
        <f>IF(OR(2044610.75747="",2176.49645="",12359.37123=""),"-",(2176.49645-12359.37123)/2044610.75747*100)</f>
        <v>-0.498034882326467</v>
      </c>
    </row>
    <row r="47" spans="1:7" s="16" customFormat="1" ht="15.75">
      <c r="A47" s="14" t="s">
        <v>82</v>
      </c>
      <c r="B47" s="24">
        <f>IF(9966.44148="","-",9966.44148)</f>
        <v>9966.44148</v>
      </c>
      <c r="C47" s="24">
        <f>IF(OR(7733.8581="",9966.44148=""),"-",9966.44148/7733.8581*100)</f>
        <v>128.86765377813177</v>
      </c>
      <c r="D47" s="24">
        <f>IF(7733.8581="","-",7733.8581/2044610.75747*100)</f>
        <v>0.37825576686145734</v>
      </c>
      <c r="E47" s="24">
        <f>IF(9966.44148="","-",9966.44148/2425118.34307*100)</f>
        <v>0.4109672218050731</v>
      </c>
      <c r="F47" s="24">
        <f>IF(OR(1966837.29975="",5918.42382="",7733.8581=""),"-",(7733.8581-5918.42382)/1966837.29975*100)</f>
        <v>0.09230220924886648</v>
      </c>
      <c r="G47" s="24">
        <f>IF(OR(2044610.75747="",9966.44148="",7733.8581=""),"-",(9966.44148-7733.8581)/2044610.75747*100)</f>
        <v>0.10919356517338276</v>
      </c>
    </row>
    <row r="48" spans="1:7" s="16" customFormat="1" ht="25.5">
      <c r="A48" s="14" t="s">
        <v>83</v>
      </c>
      <c r="B48" s="24">
        <f>IF(7437.19929="","-",7437.19929)</f>
        <v>7437.19929</v>
      </c>
      <c r="C48" s="24">
        <f>IF(OR(6495.12913="",7437.19929=""),"-",7437.19929/6495.12913*100)</f>
        <v>114.50425605318179</v>
      </c>
      <c r="D48" s="24">
        <f>IF(6495.12913="","-",6495.12913/2044610.75747*100)</f>
        <v>0.3176706914149796</v>
      </c>
      <c r="E48" s="24">
        <f>IF(7437.19929="","-",7437.19929/2425118.34307*100)</f>
        <v>0.30667366445239613</v>
      </c>
      <c r="F48" s="24">
        <f>IF(OR(1966837.29975="",6071.49328="",6495.12913=""),"-",(6495.12913-6071.49328)/1966837.29975*100)</f>
        <v>0.021538937158342885</v>
      </c>
      <c r="G48" s="24">
        <f>IF(OR(2044610.75747="",7437.19929="",6495.12913=""),"-",(7437.19929-6495.12913)/2044610.75747*100)</f>
        <v>0.046075770488741646</v>
      </c>
    </row>
    <row r="49" spans="1:7" s="16" customFormat="1" ht="25.5">
      <c r="A49" s="14" t="s">
        <v>84</v>
      </c>
      <c r="B49" s="24">
        <f>IF(80412.13727="","-",80412.13727)</f>
        <v>80412.13727</v>
      </c>
      <c r="C49" s="24">
        <f>IF(OR(75270.19446="",80412.13727=""),"-",80412.13727/75270.19446*100)</f>
        <v>106.83131330653401</v>
      </c>
      <c r="D49" s="24">
        <f>IF(75270.19446="","-",75270.19446/2044610.75747*100)</f>
        <v>3.6813948173264666</v>
      </c>
      <c r="E49" s="24">
        <f>IF(80412.13727="","-",80412.13727/2425118.34307*100)</f>
        <v>3.31580260814014</v>
      </c>
      <c r="F49" s="24">
        <f>IF(OR(1966837.29975="",53165.08215="",75270.19446=""),"-",(75270.19446-53165.08215)/1966837.29975*100)</f>
        <v>1.1238912498156164</v>
      </c>
      <c r="G49" s="24">
        <f>IF(OR(2044610.75747="",80412.13727="",75270.19446=""),"-",(80412.13727-75270.19446)/2044610.75747*100)</f>
        <v>0.2514876140220765</v>
      </c>
    </row>
    <row r="50" spans="1:7" s="16" customFormat="1" ht="15.75">
      <c r="A50" s="14" t="s">
        <v>85</v>
      </c>
      <c r="B50" s="24">
        <f>IF(33118.2327="","-",33118.2327)</f>
        <v>33118.2327</v>
      </c>
      <c r="C50" s="24">
        <f>IF(OR(35023.66856="",33118.2327=""),"-",33118.2327/35023.66856*100)</f>
        <v>94.55957659964791</v>
      </c>
      <c r="D50" s="24">
        <f>IF(35023.66856="","-",35023.66856/2044610.75747*100)</f>
        <v>1.712974874657231</v>
      </c>
      <c r="E50" s="24">
        <f>IF(33118.2327="","-",33118.2327/2425118.34307*100)</f>
        <v>1.3656336728736729</v>
      </c>
      <c r="F50" s="24">
        <f>IF(OR(1966837.29975="",33730.62638="",35023.66856=""),"-",(35023.66856-33730.62638)/1966837.29975*100)</f>
        <v>0.06574220349412492</v>
      </c>
      <c r="G50" s="24">
        <f>IF(OR(2044610.75747="",33118.2327="",35023.66856=""),"-",(33118.2327-35023.66856)/2044610.75747*100)</f>
        <v>-0.09319308592300389</v>
      </c>
    </row>
    <row r="51" spans="1:7" s="16" customFormat="1" ht="15.75">
      <c r="A51" s="14" t="s">
        <v>86</v>
      </c>
      <c r="B51" s="24">
        <f>IF(3015.43258="","-",3015.43258)</f>
        <v>3015.43258</v>
      </c>
      <c r="C51" s="24">
        <f>IF(OR(3369.09362="",3015.43258=""),"-",3015.43258/3369.09362*100)</f>
        <v>89.50278383774922</v>
      </c>
      <c r="D51" s="24">
        <f>IF(3369.09362="","-",3369.09362/2044610.75747*100)</f>
        <v>0.16477921813191054</v>
      </c>
      <c r="E51" s="24">
        <f>IF(3015.43258="","-",3015.43258/2425118.34307*100)</f>
        <v>0.12434166722695732</v>
      </c>
      <c r="F51" s="24">
        <f>IF(OR(1966837.29975="",2450.56295="",3369.09362=""),"-",(3369.09362-2450.56295)/1966837.29975*100)</f>
        <v>0.0467008974314628</v>
      </c>
      <c r="G51" s="24">
        <f>IF(OR(2044610.75747="",3015.43258="",3369.09362=""),"-",(3015.43258-3369.09362)/2044610.75747*100)</f>
        <v>-0.017297230717773386</v>
      </c>
    </row>
    <row r="52" spans="1:7" s="16" customFormat="1" ht="15.75">
      <c r="A52" s="14" t="s">
        <v>87</v>
      </c>
      <c r="B52" s="24">
        <f>IF(3442.22184="","-",3442.22184)</f>
        <v>3442.22184</v>
      </c>
      <c r="C52" s="24" t="s">
        <v>214</v>
      </c>
      <c r="D52" s="24">
        <f>IF(2104.18423="","-",2104.18423/2044610.75747*100)</f>
        <v>0.10291368282751852</v>
      </c>
      <c r="E52" s="24">
        <f>IF(3442.22184="","-",3442.22184/2425118.34307*100)</f>
        <v>0.14194036550160397</v>
      </c>
      <c r="F52" s="24">
        <f>IF(OR(1966837.29975="",3196.72744="",2104.18423=""),"-",(2104.18423-3196.72744)/1966837.29975*100)</f>
        <v>-0.0555482250686862</v>
      </c>
      <c r="G52" s="24">
        <f>IF(OR(2044610.75747="",3442.22184="",2104.18423=""),"-",(3442.22184-2104.18423)/2044610.75747*100)</f>
        <v>0.06544216815408362</v>
      </c>
    </row>
    <row r="53" spans="1:7" s="16" customFormat="1" ht="15.75">
      <c r="A53" s="14" t="s">
        <v>88</v>
      </c>
      <c r="B53" s="24">
        <f>IF(26655.61636="","-",26655.61636)</f>
        <v>26655.61636</v>
      </c>
      <c r="C53" s="24">
        <f>IF(OR(27168.87318="",26655.61636=""),"-",26655.61636/27168.87318*100)</f>
        <v>98.11086453015716</v>
      </c>
      <c r="D53" s="24">
        <f>IF(27168.87318="","-",27168.87318/2044610.75747*100)</f>
        <v>1.328804178533167</v>
      </c>
      <c r="E53" s="24">
        <f>IF(26655.61636="","-",26655.61636/2425118.34307*100)</f>
        <v>1.099147034872376</v>
      </c>
      <c r="F53" s="24">
        <f>IF(OR(1966837.29975="",19932.86438="",27168.87318=""),"-",(27168.87318-19932.86438)/1966837.29975*100)</f>
        <v>0.367900730829121</v>
      </c>
      <c r="G53" s="24">
        <f>IF(OR(2044610.75747="",26655.61636="",27168.87318=""),"-",(26655.61636-27168.87318)/2044610.75747*100)</f>
        <v>-0.02510291106142385</v>
      </c>
    </row>
    <row r="54" spans="1:7" s="16" customFormat="1" ht="14.25" customHeight="1">
      <c r="A54" s="15" t="s">
        <v>89</v>
      </c>
      <c r="B54" s="23">
        <f>IF(431388.81351="","-",431388.81351)</f>
        <v>431388.81351</v>
      </c>
      <c r="C54" s="23">
        <f>IF(325027.23554="","-",431388.81351/325027.23554*100)</f>
        <v>132.7238970584391</v>
      </c>
      <c r="D54" s="23">
        <f>IF(325027.23554="","-",325027.23554/2044610.75747*100)</f>
        <v>15.896778120359128</v>
      </c>
      <c r="E54" s="23">
        <f>IF(431388.81351="","-",431388.81351/2425118.34307*100)</f>
        <v>17.788361328540255</v>
      </c>
      <c r="F54" s="23">
        <f>IF(1966837.29975="","-",(325027.23554-313503.46756)/1966837.29975*100)</f>
        <v>0.5859034695683656</v>
      </c>
      <c r="G54" s="23">
        <f>IF(2044610.75747="","-",(431388.81351-325027.23554)/2044610.75747*100)</f>
        <v>5.202045307714791</v>
      </c>
    </row>
    <row r="55" spans="1:7" s="16" customFormat="1" ht="27.75" customHeight="1">
      <c r="A55" s="14" t="s">
        <v>90</v>
      </c>
      <c r="B55" s="24">
        <f>IF(3206.37417="","-",3206.37417)</f>
        <v>3206.37417</v>
      </c>
      <c r="C55" s="24">
        <f>IF(OR(2518.32372="",3206.37417=""),"-",3206.37417/2518.32372*100)</f>
        <v>127.32176346256232</v>
      </c>
      <c r="D55" s="24">
        <f>IF(2518.32372="","-",2518.32372/2044610.75747*100)</f>
        <v>0.12316885797452087</v>
      </c>
      <c r="E55" s="24">
        <f>IF(3206.37417="","-",3206.37417/2425118.34307*100)</f>
        <v>0.13221516299039635</v>
      </c>
      <c r="F55" s="24">
        <f>IF(OR(1966837.29975="",6377.47739="",2518.32372=""),"-",(2518.32372-6377.47739)/1966837.29975*100)</f>
        <v>-0.19621112892716283</v>
      </c>
      <c r="G55" s="24">
        <f>IF(OR(2044610.75747="",3206.37417="",2518.32372=""),"-",(3206.37417-2518.32372)/2044610.75747*100)</f>
        <v>0.033651904035337916</v>
      </c>
    </row>
    <row r="56" spans="1:7" s="16" customFormat="1" ht="25.5">
      <c r="A56" s="14" t="s">
        <v>91</v>
      </c>
      <c r="B56" s="24">
        <f>IF(10081.25088="","-",10081.25088)</f>
        <v>10081.25088</v>
      </c>
      <c r="C56" s="24">
        <f>IF(OR(10694.26136="",10081.25088=""),"-",10081.25088/10694.26136*100)</f>
        <v>94.2678558213206</v>
      </c>
      <c r="D56" s="24">
        <f>IF(10694.26136="","-",10694.26136/2044610.75747*100)</f>
        <v>0.5230463216985648</v>
      </c>
      <c r="E56" s="24">
        <f>IF(10081.25088="","-",10081.25088/2425118.34307*100)</f>
        <v>0.4157013990186543</v>
      </c>
      <c r="F56" s="24">
        <f>IF(OR(1966837.29975="",11544.56614="",10694.26136=""),"-",(10694.26136-11544.56614)/1966837.29975*100)</f>
        <v>-0.043232085343718085</v>
      </c>
      <c r="G56" s="24">
        <f>IF(OR(2044610.75747="",10081.25088="",10694.26136=""),"-",(10081.25088-10694.26136)/2044610.75747*100)</f>
        <v>-0.02998176928104103</v>
      </c>
    </row>
    <row r="57" spans="1:7" s="16" customFormat="1" ht="25.5">
      <c r="A57" s="14" t="s">
        <v>92</v>
      </c>
      <c r="B57" s="24">
        <f>IF(1526.46676="","-",1526.46676)</f>
        <v>1526.46676</v>
      </c>
      <c r="C57" s="24">
        <f>IF(OR(2161.84939="",1526.46676=""),"-",1526.46676/2161.84939*100)</f>
        <v>70.609301788595</v>
      </c>
      <c r="D57" s="24">
        <f>IF(2161.84939="","-",2161.84939/2044610.75747*100)</f>
        <v>0.10573403187387465</v>
      </c>
      <c r="E57" s="24">
        <f>IF(1526.46676="","-",1526.46676/2425118.34307*100)</f>
        <v>0.06294401113916853</v>
      </c>
      <c r="F57" s="24">
        <f>IF(OR(1966837.29975="",2169.25174="",2161.84939=""),"-",(2161.84939-2169.25174)/1966837.29975*100)</f>
        <v>-0.00037635802417114987</v>
      </c>
      <c r="G57" s="24">
        <f>IF(OR(2044610.75747="",1526.46676="",2161.84939=""),"-",(1526.46676-2161.84939)/2044610.75747*100)</f>
        <v>-0.031075970214801272</v>
      </c>
    </row>
    <row r="58" spans="1:7" s="16" customFormat="1" ht="39" customHeight="1">
      <c r="A58" s="14" t="s">
        <v>93</v>
      </c>
      <c r="B58" s="24">
        <f>IF(29619.13826="","-",29619.13826)</f>
        <v>29619.13826</v>
      </c>
      <c r="C58" s="24">
        <f>IF(OR(28456.66281="",29619.13826=""),"-",29619.13826/28456.66281*100)</f>
        <v>104.08507300297873</v>
      </c>
      <c r="D58" s="24">
        <f>IF(28456.66281="","-",28456.66281/2044610.75747*100)</f>
        <v>1.3917887649780467</v>
      </c>
      <c r="E58" s="24">
        <f>IF(29619.13826="","-",29619.13826/2425118.34307*100)</f>
        <v>1.2213481599625613</v>
      </c>
      <c r="F58" s="24">
        <f>IF(OR(1966837.29975="",36261.95439="",28456.66281=""),"-",(28456.66281-36261.95439)/1966837.29975*100)</f>
        <v>-0.396844801600626</v>
      </c>
      <c r="G58" s="24">
        <f>IF(OR(2044610.75747="",29619.13826="",28456.66281=""),"-",(29619.13826-28456.66281)/2044610.75747*100)</f>
        <v>0.056855587096609254</v>
      </c>
    </row>
    <row r="59" spans="1:7" s="16" customFormat="1" ht="27" customHeight="1">
      <c r="A59" s="14" t="s">
        <v>94</v>
      </c>
      <c r="B59" s="24">
        <f>IF(1008.13373="","-",1008.13373)</f>
        <v>1008.13373</v>
      </c>
      <c r="C59" s="24">
        <f>IF(OR(2252.19203="",1008.13373=""),"-",1008.13373/2252.19203*100)</f>
        <v>44.76233449773819</v>
      </c>
      <c r="D59" s="24">
        <f>IF(2252.19203="","-",2252.19203/2044610.75747*100)</f>
        <v>0.11015260590660596</v>
      </c>
      <c r="E59" s="24">
        <f>IF(1008.13373="","-",1008.13373/2425118.34307*100)</f>
        <v>0.04157049625560894</v>
      </c>
      <c r="F59" s="24">
        <f>IF(OR(1966837.29975="",923.312="",2252.19203=""),"-",(2252.19203-923.312)/1966837.29975*100)</f>
        <v>0.06756430896286698</v>
      </c>
      <c r="G59" s="24">
        <f>IF(OR(2044610.75747="",1008.13373="",2252.19203=""),"-",(1008.13373-2252.19203)/2044610.75747*100)</f>
        <v>-0.0608457279927157</v>
      </c>
    </row>
    <row r="60" spans="1:7" s="16" customFormat="1" ht="39" customHeight="1">
      <c r="A60" s="14" t="s">
        <v>95</v>
      </c>
      <c r="B60" s="24">
        <f>IF(3820.90403="","-",3820.90403)</f>
        <v>3820.90403</v>
      </c>
      <c r="C60" s="24">
        <f>IF(OR(2962.75578="",3820.90403=""),"-",3820.90403/2962.75578*100)</f>
        <v>128.96452876045018</v>
      </c>
      <c r="D60" s="24">
        <f>IF(2962.75578="","-",2962.75578/2044610.75747*100)</f>
        <v>0.14490561439019875</v>
      </c>
      <c r="E60" s="24">
        <f>IF(3820.90403="","-",3820.90403/2425118.34307*100)</f>
        <v>0.15755536388228586</v>
      </c>
      <c r="F60" s="24">
        <f>IF(OR(1966837.29975="",3762.56874="",2962.75578=""),"-",(2962.75578-3762.56874)/1966837.29975*100)</f>
        <v>-0.04066492739901071</v>
      </c>
      <c r="G60" s="24">
        <f>IF(OR(2044610.75747="",3820.90403="",2962.75578=""),"-",(3820.90403-2962.75578)/2044610.75747*100)</f>
        <v>0.04197122835555615</v>
      </c>
    </row>
    <row r="61" spans="1:7" s="16" customFormat="1" ht="40.5" customHeight="1">
      <c r="A61" s="14" t="s">
        <v>96</v>
      </c>
      <c r="B61" s="24">
        <f>IF(341493.45954="","-",341493.45954)</f>
        <v>341493.45954</v>
      </c>
      <c r="C61" s="24">
        <f>IF(OR(249090.03869="",341493.45954=""),"-",341493.45954/249090.03869*100)</f>
        <v>137.0963934711973</v>
      </c>
      <c r="D61" s="24">
        <f>IF(249090.03869="","-",249090.03869/2044610.75747*100)</f>
        <v>12.18276083992749</v>
      </c>
      <c r="E61" s="24">
        <f>IF(341493.45954="","-",341493.45954/2425118.34307*100)</f>
        <v>14.081517321241217</v>
      </c>
      <c r="F61" s="24">
        <f>IF(OR(1966837.29975="",235549.8574="",249090.03869=""),"-",(249090.03869-235549.8574)/1966837.29975*100)</f>
        <v>0.6884240649555018</v>
      </c>
      <c r="G61" s="24">
        <f>IF(OR(2044610.75747="",341493.45954="",249090.03869=""),"-",(341493.45954-249090.03869)/2044610.75747*100)</f>
        <v>4.519364896834444</v>
      </c>
    </row>
    <row r="62" spans="1:7" s="16" customFormat="1" ht="25.5">
      <c r="A62" s="14" t="s">
        <v>97</v>
      </c>
      <c r="B62" s="24">
        <f>IF(25060.18287="","-",25060.18287)</f>
        <v>25060.18287</v>
      </c>
      <c r="C62" s="24">
        <f>IF(OR(26344.99128="",25060.18287=""),"-",25060.18287/26344.99128*100)</f>
        <v>95.1231397408912</v>
      </c>
      <c r="D62" s="24">
        <f>IF(26344.99128="","-",26344.99128/2044610.75747*100)</f>
        <v>1.288508885309753</v>
      </c>
      <c r="E62" s="24">
        <f>IF(25060.18287="","-",25060.18287/2425118.34307*100)</f>
        <v>1.0333591736507124</v>
      </c>
      <c r="F62" s="24">
        <f>IF(OR(1966837.29975="",11520.77959="",26344.99128=""),"-",(26344.99128-11520.77959)/1966837.29975*100)</f>
        <v>0.753708082101365</v>
      </c>
      <c r="G62" s="24">
        <f>IF(OR(2044610.75747="",25060.18287="",26344.99128=""),"-",(25060.18287-26344.99128)/2044610.75747*100)</f>
        <v>-0.06283877776275709</v>
      </c>
    </row>
    <row r="63" spans="1:7" s="16" customFormat="1" ht="15.75">
      <c r="A63" s="14" t="s">
        <v>98</v>
      </c>
      <c r="B63" s="24">
        <f>IF(15572.90327="","-",15572.90327)</f>
        <v>15572.90327</v>
      </c>
      <c r="C63" s="24" t="s">
        <v>270</v>
      </c>
      <c r="D63" s="24">
        <f>IF(546.16048="","-",546.16048/2044610.75747*100)</f>
        <v>0.02671219830007246</v>
      </c>
      <c r="E63" s="24">
        <f>IF(15572.90327="","-",15572.90327/2425118.34307*100)</f>
        <v>0.6421502403996495</v>
      </c>
      <c r="F63" s="24">
        <f>IF(OR(1966837.29975="",5393.70017="",546.16048=""),"-",(546.16048-5393.70017)/1966837.29975*100)</f>
        <v>-0.24646368515668068</v>
      </c>
      <c r="G63" s="24">
        <f>IF(OR(2044610.75747="",15572.90327="",546.16048=""),"-",(15572.90327-546.16048)/2044610.75747*100)</f>
        <v>0.7349439366441601</v>
      </c>
    </row>
    <row r="64" spans="1:7" s="16" customFormat="1" ht="15.75">
      <c r="A64" s="15" t="s">
        <v>99</v>
      </c>
      <c r="B64" s="23">
        <f>IF(537196.48="","-",537196.48)</f>
        <v>537196.48</v>
      </c>
      <c r="C64" s="23">
        <f>IF(471159.79683="","-",537196.48/471159.79683*100)</f>
        <v>114.01577206168692</v>
      </c>
      <c r="D64" s="23">
        <f>IF(471159.79683="","-",471159.79683/2044610.75747*100)</f>
        <v>23.04398502788926</v>
      </c>
      <c r="E64" s="23">
        <f>IF(537196.48="","-",537196.48/2425118.34307*100)</f>
        <v>22.15135115096913</v>
      </c>
      <c r="F64" s="23">
        <f>IF(1966837.29975="","-",(471159.79683-426636.58462)/1966837.29975*100)</f>
        <v>2.2636957421775183</v>
      </c>
      <c r="G64" s="23">
        <f>IF(2044610.75747="","-",(537196.48-471159.79683)/2044610.75747*100)</f>
        <v>3.2297924154382187</v>
      </c>
    </row>
    <row r="65" spans="1:7" s="16" customFormat="1" ht="39.75" customHeight="1">
      <c r="A65" s="14" t="s">
        <v>100</v>
      </c>
      <c r="B65" s="24">
        <f>IF(9100.55684="","-",9100.55684)</f>
        <v>9100.55684</v>
      </c>
      <c r="C65" s="24">
        <f>IF(OR(6215.65646="",9100.55684=""),"-",9100.55684/6215.65646*100)</f>
        <v>146.41344640852304</v>
      </c>
      <c r="D65" s="24">
        <f>IF(6215.65646="","-",6215.65646/2044610.75747*100)</f>
        <v>0.304001944491931</v>
      </c>
      <c r="E65" s="24">
        <f>IF(9100.55684="","-",9100.55684/2425118.34307*100)</f>
        <v>0.3752623811537149</v>
      </c>
      <c r="F65" s="24">
        <f>IF(OR(1966837.29975="",3330.51684="",6215.65646=""),"-",(6215.65646-3330.51684)/1966837.29975*100)</f>
        <v>0.14668928743453885</v>
      </c>
      <c r="G65" s="24">
        <f>IF(OR(2044610.75747="",9100.55684="",6215.65646=""),"-",(9100.55684-6215.65646)/2044610.75747*100)</f>
        <v>0.1410977795876303</v>
      </c>
    </row>
    <row r="66" spans="1:7" s="16" customFormat="1" ht="15.75">
      <c r="A66" s="14" t="s">
        <v>101</v>
      </c>
      <c r="B66" s="24">
        <f>IF(135013.25102="","-",135013.25102)</f>
        <v>135013.25102</v>
      </c>
      <c r="C66" s="24">
        <f>IF(OR(122319.53766="",135013.25102=""),"-",135013.25102/122319.53766*100)</f>
        <v>110.37750273000827</v>
      </c>
      <c r="D66" s="24">
        <f>IF(122319.53766="","-",122319.53766/2044610.75747*100)</f>
        <v>5.98253419205121</v>
      </c>
      <c r="E66" s="24">
        <f>IF(135013.25102="","-",135013.25102/2425118.34307*100)</f>
        <v>5.567285052534151</v>
      </c>
      <c r="F66" s="24">
        <f>IF(OR(1966837.29975="",97778.6279="",122319.53766=""),"-",(122319.53766-97778.6279)/1966837.29975*100)</f>
        <v>1.2477346124724873</v>
      </c>
      <c r="G66" s="24">
        <f>IF(OR(2044610.75747="",135013.25102="",122319.53766=""),"-",(135013.25102-122319.53766)/2044610.75747*100)</f>
        <v>0.6208376491037926</v>
      </c>
    </row>
    <row r="67" spans="1:7" s="16" customFormat="1" ht="15.75">
      <c r="A67" s="14" t="s">
        <v>102</v>
      </c>
      <c r="B67" s="24">
        <f>IF(12454.89035="","-",12454.89035)</f>
        <v>12454.89035</v>
      </c>
      <c r="C67" s="24">
        <f>IF(OR(14667.92031="",12454.89035=""),"-",12454.89035/14667.92031*100)</f>
        <v>84.91244898234656</v>
      </c>
      <c r="D67" s="24">
        <f>IF(14667.92031="","-",14667.92031/2044610.75747*100)</f>
        <v>0.7173942647230358</v>
      </c>
      <c r="E67" s="24">
        <f>IF(12454.89035="","-",12454.89035/2425118.34307*100)</f>
        <v>0.5135786624842866</v>
      </c>
      <c r="F67" s="24">
        <f>IF(OR(1966837.29975="",15274.50914="",14667.92031=""),"-",(14667.92031-15274.50914)/1966837.29975*100)</f>
        <v>-0.030840824000902496</v>
      </c>
      <c r="G67" s="24">
        <f>IF(OR(2044610.75747="",12454.89035="",14667.92031=""),"-",(12454.89035-14667.92031)/2044610.75747*100)</f>
        <v>-0.10823722568780778</v>
      </c>
    </row>
    <row r="68" spans="1:7" s="16" customFormat="1" ht="15.75">
      <c r="A68" s="14" t="s">
        <v>103</v>
      </c>
      <c r="B68" s="24">
        <f>IF(278119.17697="","-",278119.17697)</f>
        <v>278119.17697</v>
      </c>
      <c r="C68" s="24">
        <f>IF(OR(243970.50286="",278119.17697=""),"-",278119.17697/243970.50286*100)</f>
        <v>113.99705034407206</v>
      </c>
      <c r="D68" s="24">
        <f>IF(243970.50286="","-",243970.50286/2044610.75747*100)</f>
        <v>11.9323691303419</v>
      </c>
      <c r="E68" s="24">
        <f>IF(278119.17697="","-",278119.17697/2425118.34307*100)</f>
        <v>11.468272373789562</v>
      </c>
      <c r="F68" s="24">
        <f>IF(OR(1966837.29975="",229184.36112="",243970.50286=""),"-",(243970.50286-229184.36112)/1966837.29975*100)</f>
        <v>0.7517724898688597</v>
      </c>
      <c r="G68" s="24">
        <f>IF(OR(2044610.75747="",278119.17697="",243970.50286=""),"-",(278119.17697-243970.50286)/2044610.75747*100)</f>
        <v>1.6701797144144694</v>
      </c>
    </row>
    <row r="69" spans="1:7" s="16" customFormat="1" ht="14.25" customHeight="1">
      <c r="A69" s="14" t="s">
        <v>104</v>
      </c>
      <c r="B69" s="24">
        <f>IF(33292.61498="","-",33292.61498)</f>
        <v>33292.61498</v>
      </c>
      <c r="C69" s="24">
        <f>IF(OR(28907.08592="",33292.61498=""),"-",33292.61498/28907.08592*100)</f>
        <v>115.17112126811016</v>
      </c>
      <c r="D69" s="24">
        <f>IF(28907.08592="","-",28907.08592/2044610.75747*100)</f>
        <v>1.413818538046313</v>
      </c>
      <c r="E69" s="24">
        <f>IF(33292.61498="","-",33292.61498/2425118.34307*100)</f>
        <v>1.3728243438154977</v>
      </c>
      <c r="F69" s="24">
        <f>IF(OR(1966837.29975="",23755.59779="",28907.08592=""),"-",(28907.08592-23755.59779)/1966837.29975*100)</f>
        <v>0.261917349780523</v>
      </c>
      <c r="G69" s="24">
        <f>IF(OR(2044610.75747="",33292.61498="",28907.08592=""),"-",(33292.61498-28907.08592)/2044610.75747*100)</f>
        <v>0.2144921249180283</v>
      </c>
    </row>
    <row r="70" spans="1:7" ht="27.75" customHeight="1">
      <c r="A70" s="8" t="s">
        <v>109</v>
      </c>
      <c r="B70" s="24">
        <f>IF(23712.04119="","-",23712.04119)</f>
        <v>23712.04119</v>
      </c>
      <c r="C70" s="24">
        <f>IF(OR(24337.48544="",23712.04119=""),"-",23712.04119/24337.48544*100)</f>
        <v>97.43011967468074</v>
      </c>
      <c r="D70" s="24">
        <f>IF(24337.48544="","-",24337.48544/2044610.75747*100)</f>
        <v>1.1903236521221863</v>
      </c>
      <c r="E70" s="24">
        <f>IF(23712.04119="","-",23712.04119/2425118.34307*100)</f>
        <v>0.9777684152098948</v>
      </c>
      <c r="F70" s="24">
        <f>IF(OR(1966837.29975="",24234.06664="",24337.48544=""),"-",(24337.48544-24234.06664)/1966837.29975*100)</f>
        <v>0.005258126842171682</v>
      </c>
      <c r="G70" s="24">
        <f>IF(OR(2044610.75747="",23712.04119="",24337.48544=""),"-",(23712.04119-24337.48544)/2044610.75747*100)</f>
        <v>-0.03058989334350978</v>
      </c>
    </row>
    <row r="71" spans="1:7" ht="25.5">
      <c r="A71" s="10" t="s">
        <v>106</v>
      </c>
      <c r="B71" s="24">
        <f>IF(3128.31851="","-",3128.31851)</f>
        <v>3128.31851</v>
      </c>
      <c r="C71" s="24">
        <f>IF(OR(2045.31728="",3128.31851=""),"-",3128.31851/2045.31728*100)</f>
        <v>152.95028016386777</v>
      </c>
      <c r="D71" s="24">
        <f>IF(2045.31728="","-",2045.31728/2044610.75747*100)</f>
        <v>0.1000345553561928</v>
      </c>
      <c r="E71" s="24">
        <f>IF(3128.31851="","-",3128.31851/2425118.34307*100)</f>
        <v>0.12899652996067015</v>
      </c>
      <c r="F71" s="24">
        <f>IF(OR(1966837.29975="",1845.8964="",2045.31728=""),"-",(2045.31728-1845.8964)/1966837.29975*100)</f>
        <v>0.010139165045596187</v>
      </c>
      <c r="G71" s="24">
        <f>IF(OR(2044610.75747="",3128.31851="",2045.31728=""),"-",(3128.31851-2045.31728)/2044610.75747*100)</f>
        <v>0.05296857732178349</v>
      </c>
    </row>
    <row r="72" spans="1:7" ht="15.75">
      <c r="A72" s="11" t="s">
        <v>107</v>
      </c>
      <c r="B72" s="24">
        <f>IF(42375.63014="","-",42375.63014)</f>
        <v>42375.63014</v>
      </c>
      <c r="C72" s="24">
        <f>IF(OR(28696.2909="",42375.63014=""),"-",42375.63014/28696.2909*100)</f>
        <v>147.66936356921306</v>
      </c>
      <c r="D72" s="24">
        <f>IF(28696.2909="","-",28696.2909/2044610.75747*100)</f>
        <v>1.4035087507564898</v>
      </c>
      <c r="E72" s="24">
        <f>IF(42375.63014="","-",42375.63014/2425118.34307*100)</f>
        <v>1.7473633920213536</v>
      </c>
      <c r="F72" s="24">
        <f>IF(OR(1966837.29975="",31233.00879="",28696.2909=""),"-",(28696.2909-31233.00879)/1966837.29975*100)</f>
        <v>-0.12897446526575615</v>
      </c>
      <c r="G72" s="24">
        <f>IF(OR(2044610.75747="",42375.63014="",28696.2909=""),"-",(42375.63014-28696.2909)/2044610.75747*100)</f>
        <v>0.6690436891238314</v>
      </c>
    </row>
    <row r="73" spans="1:7" ht="15.75">
      <c r="A73" s="73" t="s">
        <v>27</v>
      </c>
      <c r="B73" s="73"/>
      <c r="C73" s="73"/>
      <c r="D73" s="73"/>
      <c r="E73" s="73"/>
      <c r="F73" s="73"/>
      <c r="G73" s="73"/>
    </row>
    <row r="74" spans="2:7" ht="15.75">
      <c r="B74" s="18"/>
      <c r="C74" s="19"/>
      <c r="D74" s="19"/>
      <c r="E74" s="19"/>
      <c r="F74" s="19"/>
      <c r="G74" s="19"/>
    </row>
  </sheetData>
  <sheetProtection/>
  <mergeCells count="13">
    <mergeCell ref="A73:G73"/>
    <mergeCell ref="A1:G1"/>
    <mergeCell ref="A2:G2"/>
    <mergeCell ref="A4:A6"/>
    <mergeCell ref="B4:C4"/>
    <mergeCell ref="D4:E4"/>
    <mergeCell ref="F4:G4"/>
    <mergeCell ref="B5:B6"/>
    <mergeCell ref="C5:C6"/>
    <mergeCell ref="D5:D6"/>
    <mergeCell ref="E5:E6"/>
    <mergeCell ref="F5:F6"/>
    <mergeCell ref="G5:G6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8.25390625" style="0" customWidth="1"/>
    <col min="2" max="2" width="11.50390625" style="0" customWidth="1"/>
    <col min="3" max="3" width="10.5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58" t="s">
        <v>116</v>
      </c>
      <c r="B1" s="58"/>
      <c r="C1" s="58"/>
      <c r="D1" s="58"/>
      <c r="E1" s="58"/>
      <c r="F1" s="58"/>
      <c r="G1" s="58"/>
    </row>
    <row r="2" spans="1:7" ht="15.75">
      <c r="A2" s="58" t="s">
        <v>35</v>
      </c>
      <c r="B2" s="58"/>
      <c r="C2" s="58"/>
      <c r="D2" s="58"/>
      <c r="E2" s="58"/>
      <c r="F2" s="58"/>
      <c r="G2" s="58"/>
    </row>
    <row r="3" ht="15.75">
      <c r="A3" s="5"/>
    </row>
    <row r="4" spans="1:7" ht="55.5" customHeight="1">
      <c r="A4" s="59"/>
      <c r="B4" s="62">
        <v>2017</v>
      </c>
      <c r="C4" s="63"/>
      <c r="D4" s="62" t="s">
        <v>0</v>
      </c>
      <c r="E4" s="63"/>
      <c r="F4" s="62" t="s">
        <v>217</v>
      </c>
      <c r="G4" s="64"/>
    </row>
    <row r="5" spans="1:7" ht="15.75">
      <c r="A5" s="60"/>
      <c r="B5" s="53" t="s">
        <v>194</v>
      </c>
      <c r="C5" s="55" t="s">
        <v>274</v>
      </c>
      <c r="D5" s="53">
        <v>2016</v>
      </c>
      <c r="E5" s="53">
        <v>2017</v>
      </c>
      <c r="F5" s="53" t="s">
        <v>2</v>
      </c>
      <c r="G5" s="51" t="s">
        <v>186</v>
      </c>
    </row>
    <row r="6" spans="1:7" ht="15.75">
      <c r="A6" s="61"/>
      <c r="B6" s="54"/>
      <c r="C6" s="56"/>
      <c r="D6" s="54"/>
      <c r="E6" s="54"/>
      <c r="F6" s="54"/>
      <c r="G6" s="57"/>
    </row>
    <row r="7" spans="1:7" ht="15.75">
      <c r="A7" s="7" t="s">
        <v>196</v>
      </c>
      <c r="B7" s="43">
        <f>IF(4831412.23329="","-",4831412.23329)</f>
        <v>4831412.23329</v>
      </c>
      <c r="C7" s="43">
        <f>IF(4020356.96103="","-",4831412.23329/4020356.96103*100)</f>
        <v>120.17371293449055</v>
      </c>
      <c r="D7" s="43">
        <v>100</v>
      </c>
      <c r="E7" s="43">
        <v>100</v>
      </c>
      <c r="F7" s="43">
        <f>IF(3986820.02566="","-",(4020356.96103-3986820.02566)/3986820.02566*100)</f>
        <v>0.8411951167634709</v>
      </c>
      <c r="G7" s="43">
        <f>IF(4020356.96103="","-",(4831412.23329-4020356.96103)/4020356.96103*100)</f>
        <v>20.173712934490542</v>
      </c>
    </row>
    <row r="8" spans="1:7" ht="12" customHeight="1">
      <c r="A8" s="8" t="s">
        <v>110</v>
      </c>
      <c r="B8" s="25"/>
      <c r="C8" s="25"/>
      <c r="D8" s="25"/>
      <c r="E8" s="25"/>
      <c r="F8" s="25"/>
      <c r="G8" s="25"/>
    </row>
    <row r="9" spans="1:7" ht="12.75" customHeight="1">
      <c r="A9" s="9" t="s">
        <v>36</v>
      </c>
      <c r="B9" s="23">
        <f>IF(509911.82839="","-",509911.82839)</f>
        <v>509911.82839</v>
      </c>
      <c r="C9" s="23">
        <f>IF(440645.31271="","-",509911.82839/440645.31271*100)</f>
        <v>115.71933563845396</v>
      </c>
      <c r="D9" s="23">
        <f>IF(440645.31271="","-",440645.31271/4020356.96103*100)</f>
        <v>10.96035294828916</v>
      </c>
      <c r="E9" s="23">
        <f>IF(509911.82839="","-",509911.82839/4831412.23329*100)</f>
        <v>10.554094822970017</v>
      </c>
      <c r="F9" s="23">
        <f>IF(3986820.02566="","-",(440645.31271-430800.09832)/3986820.02566*100)</f>
        <v>0.24694403877361398</v>
      </c>
      <c r="G9" s="23">
        <f>IF(4020356.96103="","-",(509911.82839-440645.31271)/4020356.96103*100)</f>
        <v>1.722894667100758</v>
      </c>
    </row>
    <row r="10" spans="1:7" ht="14.25" customHeight="1">
      <c r="A10" s="8" t="s">
        <v>37</v>
      </c>
      <c r="B10" s="24">
        <f>IF(6318.23115="","-",6318.23115)</f>
        <v>6318.23115</v>
      </c>
      <c r="C10" s="24">
        <f>IF(OR(6619.23672="",6318.23115=""),"-",6318.23115/6619.23672*100)</f>
        <v>95.4525637511873</v>
      </c>
      <c r="D10" s="24">
        <f>IF(6619.23672="","-",6619.23672/4020356.96103*100)</f>
        <v>0.16464301016455457</v>
      </c>
      <c r="E10" s="24">
        <f>IF(6318.23115="","-",6318.23115/4831412.23329*100)</f>
        <v>0.13077400240172704</v>
      </c>
      <c r="F10" s="24">
        <f>IF(OR(3986820.02566="",8207.25418="",6619.23672=""),"-",(6619.23672-8207.25418)/3986820.02566*100)</f>
        <v>-0.03983168163546864</v>
      </c>
      <c r="G10" s="24">
        <f>IF(OR(4020356.96103="",6318.23115="",6619.23672=""),"-",(6318.23115-6619.23672)/4020356.96103*100)</f>
        <v>-0.007487035925359319</v>
      </c>
    </row>
    <row r="11" spans="1:7" s="16" customFormat="1" ht="13.5" customHeight="1">
      <c r="A11" s="14" t="s">
        <v>38</v>
      </c>
      <c r="B11" s="24">
        <f>IF(36930.39198="","-",36930.39198)</f>
        <v>36930.39198</v>
      </c>
      <c r="C11" s="24">
        <f>IF(OR(25283.15744="",36930.39198=""),"-",36930.39198/25283.15744*100)</f>
        <v>146.06716770893945</v>
      </c>
      <c r="D11" s="24">
        <f>IF(25283.15744="","-",25283.15744/4020356.96103*100)</f>
        <v>0.6288784226145568</v>
      </c>
      <c r="E11" s="24">
        <f>IF(36930.39198="","-",36930.39198/4831412.23329*100)</f>
        <v>0.7643808931379856</v>
      </c>
      <c r="F11" s="24">
        <f>IF(OR(3986820.02566="",28447.93365="",25283.15744=""),"-",(25283.15744-28447.93365)/3986820.02566*100)</f>
        <v>-0.0793809650205137</v>
      </c>
      <c r="G11" s="24">
        <f>IF(OR(4020356.96103="",36930.39198="",25283.15744=""),"-",(36930.39198-25283.15744)/4020356.96103*100)</f>
        <v>0.2897064776311809</v>
      </c>
    </row>
    <row r="12" spans="1:7" s="16" customFormat="1" ht="13.5" customHeight="1">
      <c r="A12" s="14" t="s">
        <v>39</v>
      </c>
      <c r="B12" s="24">
        <f>IF(50766.26852="","-",50766.26852)</f>
        <v>50766.26852</v>
      </c>
      <c r="C12" s="24">
        <f>IF(OR(39716.62916="",50766.26852=""),"-",50766.26852/39716.62916*100)</f>
        <v>127.82119125841747</v>
      </c>
      <c r="D12" s="24">
        <f>IF(39716.62916="","-",39716.62916/4020356.96103*100)</f>
        <v>0.9878881289641692</v>
      </c>
      <c r="E12" s="24">
        <f>IF(50766.26852="","-",50766.26852/4831412.23329*100)</f>
        <v>1.0507542322761017</v>
      </c>
      <c r="F12" s="24">
        <f>IF(OR(3986820.02566="",34592.20913="",39716.62916=""),"-",(39716.62916-34592.20913)/3986820.02566*100)</f>
        <v>0.12853401951977175</v>
      </c>
      <c r="G12" s="24">
        <f>IF(OR(4020356.96103="",50766.26852="",39716.62916=""),"-",(50766.26852-39716.62916)/4020356.96103*100)</f>
        <v>0.2748422457783233</v>
      </c>
    </row>
    <row r="13" spans="1:7" s="16" customFormat="1" ht="14.25" customHeight="1">
      <c r="A13" s="14" t="s">
        <v>40</v>
      </c>
      <c r="B13" s="24">
        <f>IF(47191.62739="","-",47191.62739)</f>
        <v>47191.62739</v>
      </c>
      <c r="C13" s="24">
        <f>IF(OR(43170.21679="",47191.62739=""),"-",47191.62739/43170.21679*100)</f>
        <v>109.31524300552395</v>
      </c>
      <c r="D13" s="24">
        <f>IF(43170.21679="","-",43170.21679/4020356.96103*100)</f>
        <v>1.0737906411907254</v>
      </c>
      <c r="E13" s="24">
        <f>IF(47191.62739="","-",47191.62739/4831412.23329*100)</f>
        <v>0.9767667321954925</v>
      </c>
      <c r="F13" s="24">
        <f>IF(OR(3986820.02566="",36653.56001="",43170.21679=""),"-",(43170.21679-36653.56001)/3986820.02566*100)</f>
        <v>0.16345500268528412</v>
      </c>
      <c r="G13" s="24">
        <f>IF(OR(4020356.96103="",47191.62739="",43170.21679=""),"-",(47191.62739-43170.21679)/4020356.96103*100)</f>
        <v>0.10002620759748987</v>
      </c>
    </row>
    <row r="14" spans="1:7" s="16" customFormat="1" ht="15.75" customHeight="1">
      <c r="A14" s="14" t="s">
        <v>41</v>
      </c>
      <c r="B14" s="24">
        <f>IF(64809.78872="","-",64809.78872)</f>
        <v>64809.78872</v>
      </c>
      <c r="C14" s="24">
        <f>IF(OR(58188.63086="",64809.78872=""),"-",64809.78872/58188.63086*100)</f>
        <v>111.37878269713941</v>
      </c>
      <c r="D14" s="24">
        <f>IF(58188.63086="","-",58188.63086/4020356.96103*100)</f>
        <v>1.4473498603241515</v>
      </c>
      <c r="E14" s="24">
        <f>IF(64809.78872="","-",64809.78872/4831412.23329*100)</f>
        <v>1.3414253553741389</v>
      </c>
      <c r="F14" s="24">
        <f>IF(OR(3986820.02566="",58101.75355="",58188.63086=""),"-",(58188.63086-58101.75355)/3986820.02566*100)</f>
        <v>0.00217911291306946</v>
      </c>
      <c r="G14" s="24">
        <f>IF(OR(4020356.96103="",64809.78872="",58188.63086=""),"-",(64809.78872-58188.63086)/4020356.96103*100)</f>
        <v>0.16469079547363585</v>
      </c>
    </row>
    <row r="15" spans="1:7" s="16" customFormat="1" ht="14.25" customHeight="1">
      <c r="A15" s="14" t="s">
        <v>42</v>
      </c>
      <c r="B15" s="24">
        <f>IF(109944.80418="","-",109944.80418)</f>
        <v>109944.80418</v>
      </c>
      <c r="C15" s="24">
        <f>IF(OR(95022.22207="",109944.80418=""),"-",109944.80418/95022.22207*100)</f>
        <v>115.70430767132238</v>
      </c>
      <c r="D15" s="24">
        <f>IF(95022.22207="","-",95022.22207/4020356.96103*100)</f>
        <v>2.36352699501727</v>
      </c>
      <c r="E15" s="24">
        <f>IF(109944.80418="","-",109944.80418/4831412.23329*100)</f>
        <v>2.2756245766495478</v>
      </c>
      <c r="F15" s="24">
        <f>IF(OR(3986820.02566="",117147.28054="",95022.22207=""),"-",(95022.22207-117147.28054)/3986820.02566*100)</f>
        <v>-0.5549550350303887</v>
      </c>
      <c r="G15" s="24">
        <f>IF(OR(4020356.96103="",109944.80418="",95022.22207=""),"-",(109944.80418-95022.22207)/4020356.96103*100)</f>
        <v>0.37117555119227263</v>
      </c>
    </row>
    <row r="16" spans="1:7" s="16" customFormat="1" ht="14.25" customHeight="1">
      <c r="A16" s="14" t="s">
        <v>43</v>
      </c>
      <c r="B16" s="24">
        <f>IF(36156.28057="","-",36156.28057)</f>
        <v>36156.28057</v>
      </c>
      <c r="C16" s="24">
        <f>IF(OR(26358.48825="",36156.28057=""),"-",36156.28057/26358.48825*100)</f>
        <v>137.17129839568855</v>
      </c>
      <c r="D16" s="24">
        <f>IF(26358.48825="","-",26358.48825/4020356.96103*100)</f>
        <v>0.65562557020427</v>
      </c>
      <c r="E16" s="24">
        <f>IF(36156.28057="","-",36156.28057/4831412.23329*100)</f>
        <v>0.7483584265666978</v>
      </c>
      <c r="F16" s="24">
        <f>IF(OR(3986820.02566="",13365.59715="",26358.48825=""),"-",(26358.48825-13365.59715)/3986820.02566*100)</f>
        <v>0.3258961030689888</v>
      </c>
      <c r="G16" s="24">
        <f>IF(OR(4020356.96103="",36156.28057="",26358.48825=""),"-",(36156.28057-26358.48825)/4020356.96103*100)</f>
        <v>0.24370453705906372</v>
      </c>
    </row>
    <row r="17" spans="1:7" s="16" customFormat="1" ht="25.5">
      <c r="A17" s="14" t="s">
        <v>44</v>
      </c>
      <c r="B17" s="24">
        <f>IF(53573.52462="","-",53573.52462)</f>
        <v>53573.52462</v>
      </c>
      <c r="C17" s="24">
        <f>IF(OR(49570.5642="",53573.52462=""),"-",53573.52462/49570.5642*100)</f>
        <v>108.07527710164734</v>
      </c>
      <c r="D17" s="24">
        <f>IF(49570.5642="","-",49570.5642/4020356.96103*100)</f>
        <v>1.2329891270973166</v>
      </c>
      <c r="E17" s="24">
        <f>IF(53573.52462="","-",53573.52462/4831412.23329*100)</f>
        <v>1.1088584876045353</v>
      </c>
      <c r="F17" s="24">
        <f>IF(OR(3986820.02566="",44127.02414="",49570.5642=""),"-",(49570.5642-44127.02414)/3986820.02566*100)</f>
        <v>0.1365383946344266</v>
      </c>
      <c r="G17" s="24">
        <f>IF(OR(4020356.96103="",53573.52462="",49570.5642=""),"-",(53573.52462-49570.5642)/4020356.96103*100)</f>
        <v>0.09956728864629107</v>
      </c>
    </row>
    <row r="18" spans="1:7" s="16" customFormat="1" ht="25.5">
      <c r="A18" s="14" t="s">
        <v>45</v>
      </c>
      <c r="B18" s="24">
        <f>IF(31892.69203="","-",31892.69203)</f>
        <v>31892.69203</v>
      </c>
      <c r="C18" s="24">
        <f>IF(OR(27448.83442="",31892.69203=""),"-",31892.69203/27448.83442*100)</f>
        <v>116.1896040538686</v>
      </c>
      <c r="D18" s="24">
        <f>IF(27448.83442="","-",27448.83442/4020356.96103*100)</f>
        <v>0.6827462010479715</v>
      </c>
      <c r="E18" s="24">
        <f>IF(31892.69203="","-",31892.69203/4831412.23329*100)</f>
        <v>0.6601111743321961</v>
      </c>
      <c r="F18" s="24">
        <f>IF(OR(3986820.02566="",26209.54297="",27448.83442=""),"-",(27448.83442-26209.54297)/3986820.02566*100)</f>
        <v>0.03108471017060374</v>
      </c>
      <c r="G18" s="24">
        <f>IF(OR(4020356.96103="",31892.69203="",27448.83442=""),"-",(31892.69203-27448.83442)/4020356.96103*100)</f>
        <v>0.11053390664249624</v>
      </c>
    </row>
    <row r="19" spans="1:7" s="16" customFormat="1" ht="13.5" customHeight="1">
      <c r="A19" s="14" t="s">
        <v>46</v>
      </c>
      <c r="B19" s="24">
        <f>IF(72328.21923="","-",72328.21923)</f>
        <v>72328.21923</v>
      </c>
      <c r="C19" s="24">
        <f>IF(OR(69267.3328="",72328.21923=""),"-",72328.21923/69267.3328*100)</f>
        <v>104.41894657448105</v>
      </c>
      <c r="D19" s="24">
        <f>IF(69267.3328="","-",69267.3328/4020356.96103*100)</f>
        <v>1.7229149916641726</v>
      </c>
      <c r="E19" s="24">
        <f>IF(72328.21923="","-",72328.21923/4831412.23329*100)</f>
        <v>1.4970409424315954</v>
      </c>
      <c r="F19" s="24">
        <f>IF(OR(3986820.02566="",63947.943="",69267.3328=""),"-",(69267.3328-63947.943)/3986820.02566*100)</f>
        <v>0.13342437746783928</v>
      </c>
      <c r="G19" s="24">
        <f>IF(OR(4020356.96103="",72328.21923="",69267.3328=""),"-",(72328.21923-69267.3328)/4020356.96103*100)</f>
        <v>0.07613469300536466</v>
      </c>
    </row>
    <row r="20" spans="1:7" s="16" customFormat="1" ht="13.5" customHeight="1">
      <c r="A20" s="15" t="s">
        <v>47</v>
      </c>
      <c r="B20" s="23">
        <f>IF(123438.38416="","-",123438.38416)</f>
        <v>123438.38416</v>
      </c>
      <c r="C20" s="23">
        <f>IF(108817.02552="","-",123438.38416/108817.02552*100)</f>
        <v>113.43664612235949</v>
      </c>
      <c r="D20" s="23">
        <f>IF(108817.02552="","-",108817.02552/4020356.96103*100)</f>
        <v>2.706650841574065</v>
      </c>
      <c r="E20" s="23">
        <f>IF(123438.38416="","-",123438.38416/4831412.23329*100)</f>
        <v>2.5549131020008895</v>
      </c>
      <c r="F20" s="23">
        <f>IF(3986820.02566="","-",(108817.02552-99318.17563)/3986820.02566*100)</f>
        <v>0.2382563002308464</v>
      </c>
      <c r="G20" s="23">
        <f>IF(4020356.96103="","-",(123438.38416-108817.02552)/4020356.96103*100)</f>
        <v>0.36368309535017185</v>
      </c>
    </row>
    <row r="21" spans="1:7" s="16" customFormat="1" ht="15" customHeight="1">
      <c r="A21" s="14" t="s">
        <v>48</v>
      </c>
      <c r="B21" s="24">
        <f>IF(55563.36552="","-",55563.36552)</f>
        <v>55563.36552</v>
      </c>
      <c r="C21" s="24">
        <f>IF(OR(49916.4362="",55563.36552=""),"-",55563.36552/49916.4362*100)</f>
        <v>111.31276539329545</v>
      </c>
      <c r="D21" s="24">
        <f>IF(49916.4362="","-",49916.4362/4020356.96103*100)</f>
        <v>1.241592144275955</v>
      </c>
      <c r="E21" s="24">
        <f>IF(55563.36552="","-",55563.36552/4831412.23329*100)</f>
        <v>1.1500439796287794</v>
      </c>
      <c r="F21" s="24">
        <f>IF(OR(3986820.02566="",39652.03777="",49916.4362=""),"-",(49916.4362-39652.03777)/3986820.02566*100)</f>
        <v>0.2574582841446616</v>
      </c>
      <c r="G21" s="24">
        <f>IF(OR(4020356.96103="",55563.36552="",49916.4362=""),"-",(55563.36552-49916.4362)/4020356.96103*100)</f>
        <v>0.1404584064235252</v>
      </c>
    </row>
    <row r="22" spans="1:7" s="16" customFormat="1" ht="14.25" customHeight="1">
      <c r="A22" s="14" t="s">
        <v>49</v>
      </c>
      <c r="B22" s="24">
        <f>IF(67875.01864="","-",67875.01864)</f>
        <v>67875.01864</v>
      </c>
      <c r="C22" s="24">
        <f>IF(OR(58900.58932="",67875.01864=""),"-",67875.01864/58900.58932*100)</f>
        <v>115.23656965678725</v>
      </c>
      <c r="D22" s="24">
        <f>IF(58900.58932="","-",58900.58932/4020356.96103*100)</f>
        <v>1.4650586972981101</v>
      </c>
      <c r="E22" s="24">
        <f>IF(67875.01864="","-",67875.01864/4831412.23329*100)</f>
        <v>1.4048691223721104</v>
      </c>
      <c r="F22" s="24">
        <f>IF(OR(3986820.02566="",59666.13786="",58900.58932=""),"-",(58900.58932-59666.13786)/3986820.02566*100)</f>
        <v>-0.01920198391381538</v>
      </c>
      <c r="G22" s="24">
        <f>IF(OR(4020356.96103="",67875.01864="",58900.58932=""),"-",(67875.01864-58900.58932)/4020356.96103*100)</f>
        <v>0.2232246889266465</v>
      </c>
    </row>
    <row r="23" spans="1:7" s="16" customFormat="1" ht="25.5">
      <c r="A23" s="15" t="s">
        <v>50</v>
      </c>
      <c r="B23" s="23">
        <f>IF(111085.18974="","-",111085.18974)</f>
        <v>111085.18974</v>
      </c>
      <c r="C23" s="23">
        <f>IF(96278.52435="","-",111085.18974/96278.52435*100)</f>
        <v>115.37899078736761</v>
      </c>
      <c r="D23" s="23">
        <f>IF(96278.52435="","-",96278.52435/4020356.96103*100)</f>
        <v>2.3947755207620625</v>
      </c>
      <c r="E23" s="23">
        <f>IF(111085.18974="","-",111085.18974/4831412.23329*100)</f>
        <v>2.2992281423345946</v>
      </c>
      <c r="F23" s="23">
        <f>IF(3986820.02566="","-",(96278.52435-99818.51935)/3986820.02566*100)</f>
        <v>-0.08879244553844554</v>
      </c>
      <c r="G23" s="23">
        <f>IF(4020356.96103="","-",(111085.18974-96278.52435)/4020356.96103*100)</f>
        <v>0.36829230671613256</v>
      </c>
    </row>
    <row r="24" spans="1:7" s="16" customFormat="1" ht="14.25" customHeight="1">
      <c r="A24" s="14" t="s">
        <v>52</v>
      </c>
      <c r="B24" s="24">
        <f>IF(28318.42946="","-",28318.42946)</f>
        <v>28318.42946</v>
      </c>
      <c r="C24" s="24">
        <f>IF(OR(25536.22187="",28318.42946=""),"-",28318.42946/25536.22187*100)</f>
        <v>110.8951418270239</v>
      </c>
      <c r="D24" s="24">
        <f>IF(25536.22187="","-",25536.22187/4020356.96103*100)</f>
        <v>0.6351729987542629</v>
      </c>
      <c r="E24" s="24">
        <f>IF(28318.42946="","-",28318.42946/4831412.23329*100)</f>
        <v>0.5861315096417735</v>
      </c>
      <c r="F24" s="24">
        <f>IF(OR(3986820.02566="",23607.82565="",25536.22187=""),"-",(25536.22187-23607.82565)/3986820.02566*100)</f>
        <v>0.048369281973814834</v>
      </c>
      <c r="G24" s="24">
        <f>IF(OR(4020356.96103="",28318.42946="",25536.22187=""),"-",(28318.42946-25536.22187)/4020356.96103*100)</f>
        <v>0.06920299906123777</v>
      </c>
    </row>
    <row r="25" spans="1:7" s="16" customFormat="1" ht="25.5">
      <c r="A25" s="14" t="s">
        <v>53</v>
      </c>
      <c r="B25" s="24">
        <f>IF(745.99706="","-",745.99706)</f>
        <v>745.99706</v>
      </c>
      <c r="C25" s="24">
        <f>IF(OR(712.59639="",745.99706=""),"-",745.99706/712.59639*100)</f>
        <v>104.68717923199134</v>
      </c>
      <c r="D25" s="24">
        <f>IF(712.59639="","-",712.59639/4020356.96103*100)</f>
        <v>0.017724704470456664</v>
      </c>
      <c r="E25" s="24">
        <f>IF(745.99706="","-",745.99706/4831412.23329*100)</f>
        <v>0.015440559074215153</v>
      </c>
      <c r="F25" s="24">
        <f>IF(OR(3986820.02566="",2925.17503="",712.59639=""),"-",(712.59639-2925.17503)/3986820.02566*100)</f>
        <v>-0.05549732934417368</v>
      </c>
      <c r="G25" s="24">
        <f>IF(OR(4020356.96103="",745.99706="",712.59639=""),"-",(745.99706-712.59639)/4020356.96103*100)</f>
        <v>0.0008307886668710847</v>
      </c>
    </row>
    <row r="26" spans="1:7" s="16" customFormat="1" ht="13.5" customHeight="1">
      <c r="A26" s="14" t="s">
        <v>54</v>
      </c>
      <c r="B26" s="24">
        <f>IF(33149.95737="","-",33149.95737)</f>
        <v>33149.95737</v>
      </c>
      <c r="C26" s="24">
        <f>IF(OR(27320.34833="",33149.95737=""),"-",33149.95737/27320.34833*100)</f>
        <v>121.33797479294437</v>
      </c>
      <c r="D26" s="24">
        <f>IF(27320.34833="","-",27320.34833/4020356.96103*100)</f>
        <v>0.6795503134378554</v>
      </c>
      <c r="E26" s="24">
        <f>IF(33149.95737="","-",33149.95737/4831412.23329*100)</f>
        <v>0.68613390390466</v>
      </c>
      <c r="F26" s="24">
        <f>IF(OR(3986820.02566="",26938.1329499999="",27320.34833=""),"-",(27320.34833-26938.1329499999)/3986820.02566*100)</f>
        <v>0.009586973516238063</v>
      </c>
      <c r="G26" s="24">
        <f>IF(OR(4020356.96103="",33149.95737="",27320.34833=""),"-",(33149.95737-27320.34833)/4020356.96103*100)</f>
        <v>0.14500227458674397</v>
      </c>
    </row>
    <row r="27" spans="1:7" s="16" customFormat="1" ht="15" customHeight="1">
      <c r="A27" s="14" t="s">
        <v>55</v>
      </c>
      <c r="B27" s="24">
        <f>IF(548.38923="","-",548.38923)</f>
        <v>548.38923</v>
      </c>
      <c r="C27" s="24">
        <f>IF(OR(637.92254="",548.38923=""),"-",548.38923/637.92254*100)</f>
        <v>85.96486181535457</v>
      </c>
      <c r="D27" s="24">
        <f>IF(637.92254="","-",637.92254/4020356.96103*100)</f>
        <v>0.015867310942373803</v>
      </c>
      <c r="E27" s="24">
        <f>IF(548.38923="","-",548.38923/4831412.23329*100)</f>
        <v>0.01135049553878719</v>
      </c>
      <c r="F27" s="24">
        <f>IF(OR(3986820.02566="",375.61329="",637.92254=""),"-",(637.92254-375.61329)/3986820.02566*100)</f>
        <v>0.006579410364945579</v>
      </c>
      <c r="G27" s="24">
        <f>IF(OR(4020356.96103="",548.38923="",637.92254=""),"-",(548.38923-637.92254)/4020356.96103*100)</f>
        <v>-0.002226999016949528</v>
      </c>
    </row>
    <row r="28" spans="1:7" s="16" customFormat="1" ht="38.25">
      <c r="A28" s="14" t="s">
        <v>56</v>
      </c>
      <c r="B28" s="24">
        <f>IF(9139.5173="","-",9139.5173)</f>
        <v>9139.5173</v>
      </c>
      <c r="C28" s="24">
        <f>IF(OR(7894.84155="",9139.5173=""),"-",9139.5173/7894.84155*100)</f>
        <v>115.76568373306996</v>
      </c>
      <c r="D28" s="24">
        <f>IF(7894.84155="","-",7894.84155/4020356.96103*100)</f>
        <v>0.1963716562117751</v>
      </c>
      <c r="E28" s="24">
        <f>IF(9139.5173="","-",9139.5173/4831412.23329*100)</f>
        <v>0.18916865004864947</v>
      </c>
      <c r="F28" s="24">
        <f>IF(OR(3986820.02566="",11459.20916="",7894.84155=""),"-",(7894.84155-11459.20916)/3986820.02566*100)</f>
        <v>-0.08940377511548031</v>
      </c>
      <c r="G28" s="24">
        <f>IF(OR(4020356.96103="",9139.5173="",7894.84155=""),"-",(9139.5173-7894.84155)/4020356.96103*100)</f>
        <v>0.030959334259739915</v>
      </c>
    </row>
    <row r="29" spans="1:7" s="16" customFormat="1" ht="38.25">
      <c r="A29" s="14" t="s">
        <v>57</v>
      </c>
      <c r="B29" s="24">
        <f>IF(11395.24789="","-",11395.24789)</f>
        <v>11395.24789</v>
      </c>
      <c r="C29" s="24">
        <f>IF(OR(11410.20505="",11395.24789=""),"-",11395.24789/11410.20505*100)</f>
        <v>99.86891418747992</v>
      </c>
      <c r="D29" s="24">
        <f>IF(11410.20505="","-",11410.20505/4020356.96103*100)</f>
        <v>0.2838107451801183</v>
      </c>
      <c r="E29" s="24">
        <f>IF(11395.24789="","-",11395.24789/4831412.23329*100)</f>
        <v>0.23585749548513044</v>
      </c>
      <c r="F29" s="24">
        <f>IF(OR(3986820.02566="",10497.49395="",11410.20505=""),"-",(11410.20505-10497.49395)/3986820.02566*100)</f>
        <v>0.022893210481677192</v>
      </c>
      <c r="G29" s="24">
        <f>IF(OR(4020356.96103="",11395.24789="",11410.20505=""),"-",(11395.24789-11410.20505)/4020356.96103*100)</f>
        <v>-0.00037203562133865755</v>
      </c>
    </row>
    <row r="30" spans="1:7" s="16" customFormat="1" ht="14.25" customHeight="1">
      <c r="A30" s="14" t="s">
        <v>58</v>
      </c>
      <c r="B30" s="24">
        <f>IF(1236.6805="","-",1236.6805)</f>
        <v>1236.6805</v>
      </c>
      <c r="C30" s="24" t="s">
        <v>214</v>
      </c>
      <c r="D30" s="24">
        <f>IF(766.53044="","-",766.53044/4020356.96103*100)</f>
        <v>0.019066228382954777</v>
      </c>
      <c r="E30" s="24">
        <f>IF(1236.6805="","-",1236.6805/4831412.23329*100)</f>
        <v>0.02559666698442475</v>
      </c>
      <c r="F30" s="24">
        <f>IF(OR(3986820.02566="",854.61389="",766.53044=""),"-",(766.53044-854.61389)/3986820.02566*100)</f>
        <v>-0.002209366097116916</v>
      </c>
      <c r="G30" s="24">
        <f>IF(OR(4020356.96103="",1236.6805="",766.53044=""),"-",(1236.6805-766.53044)/4020356.96103*100)</f>
        <v>0.011694236719705339</v>
      </c>
    </row>
    <row r="31" spans="1:7" s="16" customFormat="1" ht="25.5">
      <c r="A31" s="14" t="s">
        <v>59</v>
      </c>
      <c r="B31" s="24">
        <f>IF(26490.26448="","-",26490.26448)</f>
        <v>26490.26448</v>
      </c>
      <c r="C31" s="24">
        <f>IF(OR(21864.90511="",26490.26448=""),"-",26490.26448/21864.90511*100)</f>
        <v>121.15426226059667</v>
      </c>
      <c r="D31" s="24">
        <f>IF(21864.90511="","-",21864.90511/4020356.96103*100)</f>
        <v>0.5438548199062975</v>
      </c>
      <c r="E31" s="24">
        <f>IF(26490.26448="","-",26490.26448/4831412.23329*100)</f>
        <v>0.5482923667219591</v>
      </c>
      <c r="F31" s="24">
        <f>IF(OR(3986820.02566="",23151.02443="",21864.90511=""),"-",(21864.90511-23151.02443)/3986820.02566*100)</f>
        <v>-0.03225927711113798</v>
      </c>
      <c r="G31" s="24">
        <f>IF(OR(4020356.96103="",26490.26448="",21864.90511=""),"-",(26490.26448-21864.90511)/4020356.96103*100)</f>
        <v>0.11504847491987384</v>
      </c>
    </row>
    <row r="32" spans="1:7" s="16" customFormat="1" ht="25.5">
      <c r="A32" s="15" t="s">
        <v>60</v>
      </c>
      <c r="B32" s="23">
        <f>IF(760589.63943="","-",760589.63943)</f>
        <v>760589.63943</v>
      </c>
      <c r="C32" s="23">
        <f>IF(615073.31472="","-",760589.63943/615073.31472*100)</f>
        <v>123.65837067346084</v>
      </c>
      <c r="D32" s="23">
        <f>IF(615073.31472="","-",615073.31472/4020356.96103*100)</f>
        <v>15.2989727201343</v>
      </c>
      <c r="E32" s="23">
        <f>IF(760589.63943="","-",760589.63943/4831412.23329*100)</f>
        <v>15.742594560432874</v>
      </c>
      <c r="F32" s="23">
        <f>IF(3986820.02566="","-",(615073.31472-717695.59945)/3986820.02566*100)</f>
        <v>-2.5740385587887507</v>
      </c>
      <c r="G32" s="23">
        <f>IF(4020356.96103="","-",(760589.63943-615073.31472)/4020356.96103*100)</f>
        <v>3.6194876753610266</v>
      </c>
    </row>
    <row r="33" spans="1:7" s="16" customFormat="1" ht="14.25" customHeight="1">
      <c r="A33" s="14" t="s">
        <v>61</v>
      </c>
      <c r="B33" s="24">
        <f>IF(24814.82926="","-",24814.82926)</f>
        <v>24814.82926</v>
      </c>
      <c r="C33" s="24" t="s">
        <v>189</v>
      </c>
      <c r="D33" s="24">
        <f>IF(9790.2002="","-",9790.2002/4020356.96103*100)</f>
        <v>0.2435156951210568</v>
      </c>
      <c r="E33" s="24">
        <f>IF(24814.82926="","-",24814.82926/4831412.23329*100)</f>
        <v>0.5136144063430929</v>
      </c>
      <c r="F33" s="24">
        <f>IF(OR(3986820.02566="",19704.75461="",9790.2002=""),"-",(9790.2002-19704.75461)/3986820.02566*100)</f>
        <v>-0.24868327002944388</v>
      </c>
      <c r="G33" s="24">
        <f>IF(OR(4020356.96103="",24814.82926="",9790.2002=""),"-",(24814.82926-9790.2002)/4020356.96103*100)</f>
        <v>0.37371380714787944</v>
      </c>
    </row>
    <row r="34" spans="1:7" s="16" customFormat="1" ht="25.5">
      <c r="A34" s="14" t="s">
        <v>62</v>
      </c>
      <c r="B34" s="24">
        <f>IF(476503.05214="","-",476503.05214)</f>
        <v>476503.05214</v>
      </c>
      <c r="C34" s="24">
        <f>IF(OR(375600.60473="",476503.05214=""),"-",476503.05214/375600.60473*100)</f>
        <v>126.86429311862624</v>
      </c>
      <c r="D34" s="24">
        <f>IF(375600.60473="","-",375600.60473/4020356.96103*100)</f>
        <v>9.342469048663096</v>
      </c>
      <c r="E34" s="24">
        <f>IF(476503.05214="","-",476503.05214/4831412.23329*100)</f>
        <v>9.862603916443708</v>
      </c>
      <c r="F34" s="24">
        <f>IF(OR(3986820.02566="",407810.7156="",375600.60473=""),"-",(375600.60473-407810.7156)/3986820.02566*100)</f>
        <v>-0.8079148459847455</v>
      </c>
      <c r="G34" s="24">
        <f>IF(OR(4020356.96103="",476503.05214="",375600.60473=""),"-",(476503.05214-375600.60473)/4020356.96103*100)</f>
        <v>2.5097882697497873</v>
      </c>
    </row>
    <row r="35" spans="1:7" s="16" customFormat="1" ht="25.5">
      <c r="A35" s="14" t="s">
        <v>63</v>
      </c>
      <c r="B35" s="24">
        <f>IF(202292.47374="","-",202292.47374)</f>
        <v>202292.47374</v>
      </c>
      <c r="C35" s="24">
        <f>IF(OR(229428.99489="",202292.47374=""),"-",202292.47374/229428.99489*100)</f>
        <v>88.17214835334538</v>
      </c>
      <c r="D35" s="24">
        <f>IF(229428.99489="","-",229428.99489/4020356.96103*100)</f>
        <v>5.706682195483984</v>
      </c>
      <c r="E35" s="24">
        <f>IF(202292.47374="","-",202292.47374/4831412.23329*100)</f>
        <v>4.187025738481579</v>
      </c>
      <c r="F35" s="24">
        <f>IF(OR(3986820.02566="",288986.74596="",229428.99489=""),"-",(229428.99489-288986.74596)/3986820.02566*100)</f>
        <v>-1.493866055820778</v>
      </c>
      <c r="G35" s="24">
        <f>IF(OR(4020356.96103="",202292.47374="",229428.99489=""),"-",(202292.47374-229428.99489)/4020356.96103*100)</f>
        <v>-0.6749779040278987</v>
      </c>
    </row>
    <row r="36" spans="1:7" s="16" customFormat="1" ht="13.5" customHeight="1">
      <c r="A36" s="14" t="s">
        <v>64</v>
      </c>
      <c r="B36" s="24">
        <f>IF(56979.28429="","-",56979.28429)</f>
        <v>56979.28429</v>
      </c>
      <c r="C36" s="24" t="s">
        <v>271</v>
      </c>
      <c r="D36" s="24">
        <f>IF(253.5149="","-",253.5149/4020356.96103*100)</f>
        <v>0.006305780866160961</v>
      </c>
      <c r="E36" s="24">
        <f>IF(56979.28429="","-",56979.28429/4831412.23329*100)</f>
        <v>1.1793504991644932</v>
      </c>
      <c r="F36" s="24">
        <f>IF(OR(3986820.02566="",1193.38328="",253.5149=""),"-",(253.5149-1193.38328)/3986820.02566*100)</f>
        <v>-0.023574386953783024</v>
      </c>
      <c r="G36" s="24">
        <f>IF(OR(4020356.96103="",56979.28429="",253.5149=""),"-",(56979.28429-253.5149)/4020356.96103*100)</f>
        <v>1.4109635024912583</v>
      </c>
    </row>
    <row r="37" spans="1:7" s="16" customFormat="1" ht="28.5" customHeight="1">
      <c r="A37" s="15" t="s">
        <v>65</v>
      </c>
      <c r="B37" s="23">
        <f>IF(15742.55525="","-",15742.55525)</f>
        <v>15742.55525</v>
      </c>
      <c r="C37" s="23">
        <f>IF(10126.5447="","-",15742.55525/10126.5447*100)</f>
        <v>155.45830998010604</v>
      </c>
      <c r="D37" s="23">
        <f>IF(10126.5447="","-",10126.5447/4020356.96103*100)</f>
        <v>0.25188173085520293</v>
      </c>
      <c r="E37" s="23">
        <f>IF(15742.55525="","-",15742.55525/4831412.23329*100)</f>
        <v>0.32583754997200776</v>
      </c>
      <c r="F37" s="23">
        <f>IF(3986820.02566="","-",(10126.5447-8964.73277)/3986820.02566*100)</f>
        <v>0.029141318708201965</v>
      </c>
      <c r="G37" s="23">
        <f>IF(4020356.96103="","-",(15742.55525-10126.5447)/4020356.96103*100)</f>
        <v>0.13968935108093483</v>
      </c>
    </row>
    <row r="38" spans="1:7" s="16" customFormat="1" ht="15" customHeight="1">
      <c r="A38" s="14" t="s">
        <v>66</v>
      </c>
      <c r="B38" s="24">
        <f>IF(1411.58629="","-",1411.58629)</f>
        <v>1411.58629</v>
      </c>
      <c r="C38" s="24">
        <f>IF(OR(1009.5764="",1411.58629=""),"-",1411.58629/1009.5764*100)</f>
        <v>139.81966000790032</v>
      </c>
      <c r="D38" s="24">
        <f>IF(1009.5764="","-",1009.5764/4020356.96103*100)</f>
        <v>0.025111610978477656</v>
      </c>
      <c r="E38" s="24">
        <f>IF(1411.58629="","-",1411.58629/4831412.23329*100)</f>
        <v>0.029216846376173656</v>
      </c>
      <c r="F38" s="24">
        <f>IF(OR(3986820.02566="",850.4554="",1009.5764=""),"-",(1009.5764-850.4554)/3986820.02566*100)</f>
        <v>0.003991175898983758</v>
      </c>
      <c r="G38" s="24">
        <f>IF(OR(4020356.96103="",1411.58629="",1009.5764=""),"-",(1411.58629-1009.5764)/4020356.96103*100)</f>
        <v>0.009999358114136377</v>
      </c>
    </row>
    <row r="39" spans="1:7" s="16" customFormat="1" ht="25.5">
      <c r="A39" s="14" t="s">
        <v>111</v>
      </c>
      <c r="B39" s="24">
        <f>IF(11573.92989="","-",11573.92989)</f>
        <v>11573.92989</v>
      </c>
      <c r="C39" s="24" t="s">
        <v>214</v>
      </c>
      <c r="D39" s="24">
        <f>IF(7196.25526="","-",7196.25526/4020356.96103*100)</f>
        <v>0.1789954307479291</v>
      </c>
      <c r="E39" s="24">
        <f>IF(11573.92989="","-",11573.92989/4831412.23329*100)</f>
        <v>0.2395558344256336</v>
      </c>
      <c r="F39" s="24">
        <f>IF(OR(3986820.02566="",6383.17493="",7196.25526=""),"-",(7196.25526-6383.17493)/3986820.02566*100)</f>
        <v>0.02039420703133942</v>
      </c>
      <c r="G39" s="24">
        <f>IF(OR(4020356.96103="",11573.92989="",7196.25526=""),"-",(11573.92989-7196.25526)/4020356.96103*100)</f>
        <v>0.10888771003255532</v>
      </c>
    </row>
    <row r="40" spans="1:7" s="16" customFormat="1" ht="25.5">
      <c r="A40" s="14" t="s">
        <v>112</v>
      </c>
      <c r="B40" s="24">
        <f>IF(2757.03907="","-",2757.03907)</f>
        <v>2757.03907</v>
      </c>
      <c r="C40" s="24">
        <f>IF(OR(1920.71304="",2757.03907=""),"-",2757.03907/1920.71304*100)</f>
        <v>143.54247680850855</v>
      </c>
      <c r="D40" s="24">
        <f>IF(1920.71304="","-",1920.71304/4020356.96103*100)</f>
        <v>0.047774689128796184</v>
      </c>
      <c r="E40" s="24">
        <f>IF(2757.03907="","-",2757.03907/4831412.23329*100)</f>
        <v>0.05706486917020048</v>
      </c>
      <c r="F40" s="24">
        <f>IF(OR(3986820.02566="",1731.10244="",1920.71304=""),"-",(1920.71304-1731.10244)/3986820.02566*100)</f>
        <v>0.0047559357778787885</v>
      </c>
      <c r="G40" s="24">
        <f>IF(OR(4020356.96103="",2757.03907="",1920.71304=""),"-",(2757.03907-1920.71304)/4020356.96103*100)</f>
        <v>0.02080228293424314</v>
      </c>
    </row>
    <row r="41" spans="1:7" s="16" customFormat="1" ht="27" customHeight="1">
      <c r="A41" s="15" t="s">
        <v>69</v>
      </c>
      <c r="B41" s="23">
        <f>IF(718680.51721="","-",718680.51721)</f>
        <v>718680.51721</v>
      </c>
      <c r="C41" s="23">
        <f>IF(629414.91948="","-",718680.51721/629414.91948*100)</f>
        <v>114.18231360066073</v>
      </c>
      <c r="D41" s="23">
        <f>IF(629414.91948="","-",629414.91948/4020356.96103*100)</f>
        <v>15.65569738162619</v>
      </c>
      <c r="E41" s="23">
        <f>IF(718680.51721="","-",718680.51721/4831412.23329*100)</f>
        <v>14.875164496584617</v>
      </c>
      <c r="F41" s="23">
        <f>IF(3986820.02566="","-",(629414.91948-626043.13056)/3986820.02566*100)</f>
        <v>0.08457339178338995</v>
      </c>
      <c r="G41" s="23">
        <f>IF(4020356.96103="","-",(718680.51721-629414.91948)/4020356.96103*100)</f>
        <v>2.2203400990326596</v>
      </c>
    </row>
    <row r="42" spans="1:7" s="16" customFormat="1" ht="14.25" customHeight="1">
      <c r="A42" s="14" t="s">
        <v>70</v>
      </c>
      <c r="B42" s="24">
        <f>IF(21186.84487="","-",21186.84487)</f>
        <v>21186.84487</v>
      </c>
      <c r="C42" s="24">
        <f>IF(OR(17596.68019="",21186.84487=""),"-",21186.84487/17596.68019*100)</f>
        <v>120.40251138984873</v>
      </c>
      <c r="D42" s="24">
        <f>IF(17596.68019="","-",17596.68019/4020356.96103*100)</f>
        <v>0.43768949773782767</v>
      </c>
      <c r="E42" s="24">
        <f>IF(21186.84487="","-",21186.84487/4831412.23329*100)</f>
        <v>0.43852281376479857</v>
      </c>
      <c r="F42" s="24">
        <f>IF(OR(3986820.02566="",18963.13947="",17596.68019=""),"-",(17596.68019-18963.13947)/3986820.02566*100)</f>
        <v>-0.034274415980786295</v>
      </c>
      <c r="G42" s="24">
        <f>IF(OR(4020356.96103="",21186.84487="",17596.68019=""),"-",(21186.84487-17596.68019)/4020356.96103*100)</f>
        <v>0.0892996496281319</v>
      </c>
    </row>
    <row r="43" spans="1:7" s="16" customFormat="1" ht="14.25" customHeight="1">
      <c r="A43" s="14" t="s">
        <v>71</v>
      </c>
      <c r="B43" s="24">
        <f>IF(14048.62865="","-",14048.62865)</f>
        <v>14048.62865</v>
      </c>
      <c r="C43" s="24">
        <f>IF(OR(12924.56457="",14048.62865=""),"-",14048.62865/12924.56457*100)</f>
        <v>108.6971137318555</v>
      </c>
      <c r="D43" s="24">
        <f>IF(12924.56457="","-",12924.56457/4020356.96103*100)</f>
        <v>0.3214780352908956</v>
      </c>
      <c r="E43" s="24">
        <f>IF(14048.62865="","-",14048.62865/4831412.23329*100)</f>
        <v>0.29077685719302493</v>
      </c>
      <c r="F43" s="24">
        <f>IF(OR(3986820.02566="",12791.79049="",12924.56457=""),"-",(12924.56457-12791.79049)/3986820.02566*100)</f>
        <v>0.0033303254008317292</v>
      </c>
      <c r="G43" s="24">
        <f>IF(OR(4020356.96103="",14048.62865="",12924.56457=""),"-",(14048.62865-12924.56457)/4020356.96103*100)</f>
        <v>0.027959310352183735</v>
      </c>
    </row>
    <row r="44" spans="1:7" s="16" customFormat="1" ht="15" customHeight="1">
      <c r="A44" s="14" t="s">
        <v>72</v>
      </c>
      <c r="B44" s="24">
        <f>IF(32917.09979="","-",32917.09979)</f>
        <v>32917.09979</v>
      </c>
      <c r="C44" s="24">
        <f>IF(OR(29036.98256="",32917.09979=""),"-",32917.09979/29036.98256*100)</f>
        <v>113.36267369373658</v>
      </c>
      <c r="D44" s="24">
        <f>IF(29036.98256="","-",29036.98256/4020356.96103*100)</f>
        <v>0.7222488659952433</v>
      </c>
      <c r="E44" s="24">
        <f>IF(32917.09979="","-",32917.09979/4831412.23329*100)</f>
        <v>0.6813142452053768</v>
      </c>
      <c r="F44" s="24">
        <f>IF(OR(3986820.02566="",27668.9323="",29036.98256=""),"-",(29036.98256-27668.9323)/3986820.02566*100)</f>
        <v>0.0343143219707673</v>
      </c>
      <c r="G44" s="24">
        <f>IF(OR(4020356.96103="",32917.09979="",29036.98256=""),"-",(32917.09979-29036.98256)/4020356.96103*100)</f>
        <v>0.09651175921965717</v>
      </c>
    </row>
    <row r="45" spans="1:7" s="16" customFormat="1" ht="15" customHeight="1">
      <c r="A45" s="14" t="s">
        <v>73</v>
      </c>
      <c r="B45" s="24">
        <f>IF(219795.30097="","-",219795.30097)</f>
        <v>219795.30097</v>
      </c>
      <c r="C45" s="24">
        <f>IF(OR(184964.57407="",219795.30097=""),"-",219795.30097/184964.57407*100)</f>
        <v>118.83102592760184</v>
      </c>
      <c r="D45" s="24">
        <f>IF(184964.57407="","-",184964.57407/4020356.96103*100)</f>
        <v>4.600700282658801</v>
      </c>
      <c r="E45" s="24">
        <f>IF(219795.30097="","-",219795.30097/4831412.23329*100)</f>
        <v>4.549297190074963</v>
      </c>
      <c r="F45" s="24">
        <f>IF(OR(3986820.02566="",186829.05429="",184964.57407=""),"-",(184964.57407-186829.05429)/3986820.02566*100)</f>
        <v>-0.0467660994978408</v>
      </c>
      <c r="G45" s="24">
        <f>IF(OR(4020356.96103="",219795.30097="",184964.57407=""),"-",(219795.30097-184964.57407)/4020356.96103*100)</f>
        <v>0.86635906307873</v>
      </c>
    </row>
    <row r="46" spans="1:7" s="16" customFormat="1" ht="38.25">
      <c r="A46" s="14" t="s">
        <v>74</v>
      </c>
      <c r="B46" s="24">
        <f>IF(111320.4523="","-",111320.4523)</f>
        <v>111320.4523</v>
      </c>
      <c r="C46" s="24">
        <f>IF(OR(110811.91286="",111320.4523=""),"-",111320.4523/110811.91286*100)</f>
        <v>100.45892127197777</v>
      </c>
      <c r="D46" s="24">
        <f>IF(110811.91286="","-",110811.91286/4020356.96103*100)</f>
        <v>2.756270498717368</v>
      </c>
      <c r="E46" s="24">
        <f>IF(111320.4523="","-",111320.4523/4831412.23329*100)</f>
        <v>2.304097579025982</v>
      </c>
      <c r="F46" s="24">
        <f>IF(OR(3986820.02566="",111241.36097="",110811.91286=""),"-",(110811.91286-111241.36097)/3986820.02566*100)</f>
        <v>-0.010771695417299514</v>
      </c>
      <c r="G46" s="24">
        <f>IF(OR(4020356.96103="",111320.4523="",110811.91286=""),"-",(111320.4523-110811.91286)/4020356.96103*100)</f>
        <v>0.012649111631861713</v>
      </c>
    </row>
    <row r="47" spans="1:7" s="16" customFormat="1" ht="15.75">
      <c r="A47" s="14" t="s">
        <v>75</v>
      </c>
      <c r="B47" s="24">
        <f>IF(63500.49494="","-",63500.49494)</f>
        <v>63500.49494</v>
      </c>
      <c r="C47" s="24">
        <f>IF(OR(51436.8692="",63500.49494=""),"-",63500.49494/51436.8692*100)</f>
        <v>123.4532659697725</v>
      </c>
      <c r="D47" s="24">
        <f>IF(51436.8692="","-",51436.8692/4020356.96103*100)</f>
        <v>1.2794105025644806</v>
      </c>
      <c r="E47" s="24">
        <f>IF(63500.49494="","-",63500.49494/4831412.23329*100)</f>
        <v>1.3143257472931198</v>
      </c>
      <c r="F47" s="24">
        <f>IF(OR(3986820.02566="",51210.2415299999="",51436.8692=""),"-",(51436.8692-51210.2415299999)/3986820.02566*100)</f>
        <v>0.005684421883643628</v>
      </c>
      <c r="G47" s="24">
        <f>IF(OR(4020356.96103="",63500.49494="",51436.8692=""),"-",(63500.49494-51436.8692)/4020356.96103*100)</f>
        <v>0.3000635480116507</v>
      </c>
    </row>
    <row r="48" spans="1:7" s="16" customFormat="1" ht="14.25" customHeight="1">
      <c r="A48" s="14" t="s">
        <v>76</v>
      </c>
      <c r="B48" s="24">
        <f>IF(51454.69013="","-",51454.69013)</f>
        <v>51454.69013</v>
      </c>
      <c r="C48" s="24">
        <f>IF(OR(45200.42954="",51454.69013=""),"-",51454.69013/45200.42954*100)</f>
        <v>113.83672822061416</v>
      </c>
      <c r="D48" s="24">
        <f>IF(45200.42954="","-",45200.42954/4020356.96103*100)</f>
        <v>1.1242889618542684</v>
      </c>
      <c r="E48" s="24">
        <f>IF(51454.69013="","-",51454.69013/4831412.23329*100)</f>
        <v>1.0650031014836712</v>
      </c>
      <c r="F48" s="24">
        <f>IF(OR(3986820.02566="",49402.85484="",45200.42954=""),"-",(45200.42954-49402.85484)/3986820.02566*100)</f>
        <v>-0.10540795102242696</v>
      </c>
      <c r="G48" s="24">
        <f>IF(OR(4020356.96103="",51454.69013="",45200.42954=""),"-",(51454.69013-45200.42954)/4020356.96103*100)</f>
        <v>0.15556480806613968</v>
      </c>
    </row>
    <row r="49" spans="1:7" s="16" customFormat="1" ht="13.5" customHeight="1">
      <c r="A49" s="14" t="s">
        <v>77</v>
      </c>
      <c r="B49" s="24">
        <f>IF(98642.99429="","-",98642.99429)</f>
        <v>98642.99429</v>
      </c>
      <c r="C49" s="24">
        <f>IF(OR(85571.61887="",98642.99429=""),"-",98642.99429/85571.61887*100)</f>
        <v>115.27536301476073</v>
      </c>
      <c r="D49" s="24">
        <f>IF(85571.61887="","-",85571.61887/4020356.96103*100)</f>
        <v>2.1284582364068707</v>
      </c>
      <c r="E49" s="24">
        <f>IF(98642.99429="","-",98642.99429/4831412.23329*100)</f>
        <v>2.04170104985697</v>
      </c>
      <c r="F49" s="24">
        <f>IF(OR(3986820.02566="",85031.62904="",85571.61887=""),"-",(85571.61887-85031.62904)/3986820.02566*100)</f>
        <v>0.013544374376684161</v>
      </c>
      <c r="G49" s="24">
        <f>IF(OR(4020356.96103="",98642.99429="",85571.61887=""),"-",(98642.99429-85571.61887)/4020356.96103*100)</f>
        <v>0.3251297222287237</v>
      </c>
    </row>
    <row r="50" spans="1:7" s="16" customFormat="1" ht="16.5" customHeight="1">
      <c r="A50" s="14" t="s">
        <v>78</v>
      </c>
      <c r="B50" s="24">
        <f>IF(105814.01127="","-",105814.01127)</f>
        <v>105814.01127</v>
      </c>
      <c r="C50" s="24">
        <f>IF(OR(91871.28762="",105814.01127=""),"-",105814.01127/91871.28762*100)</f>
        <v>115.17636686194079</v>
      </c>
      <c r="D50" s="24">
        <f>IF(91871.28762="","-",91871.28762/4020356.96103*100)</f>
        <v>2.2851525004004354</v>
      </c>
      <c r="E50" s="24">
        <f>IF(105814.01127="","-",105814.01127/4831412.23329*100)</f>
        <v>2.1901259126867108</v>
      </c>
      <c r="F50" s="24">
        <f>IF(OR(3986820.02566="",82904.12763="",91871.28762=""),"-",(91871.28762-82904.12763)/3986820.02566*100)</f>
        <v>0.22492011006981757</v>
      </c>
      <c r="G50" s="24">
        <f>IF(OR(4020356.96103="",105814.01127="",91871.28762=""),"-",(105814.01127-91871.28762)/4020356.96103*100)</f>
        <v>0.34680312681558323</v>
      </c>
    </row>
    <row r="51" spans="1:7" s="16" customFormat="1" ht="27.75" customHeight="1">
      <c r="A51" s="15" t="s">
        <v>79</v>
      </c>
      <c r="B51" s="23">
        <f>IF(993527.91343="","-",993527.91343)</f>
        <v>993527.91343</v>
      </c>
      <c r="C51" s="23">
        <f>IF(853256.39973="","-",993527.91343/853256.39973*100)</f>
        <v>116.43955014511309</v>
      </c>
      <c r="D51" s="23">
        <f>IF(853256.39973="","-",853256.39973/4020356.96103*100)</f>
        <v>21.223399016573865</v>
      </c>
      <c r="E51" s="23">
        <f>IF(993527.91343="","-",993527.91343/4831412.23329*100)</f>
        <v>20.563923454601323</v>
      </c>
      <c r="F51" s="23">
        <f>IF(3986820.02566="","-",(853256.39973-807838.44107)/3986820.02566*100)</f>
        <v>1.1392026318640072</v>
      </c>
      <c r="G51" s="23">
        <f>IF(4020356.96103="","-",(993527.91343-853256.39973)/4020356.96103*100)</f>
        <v>3.4890313238271005</v>
      </c>
    </row>
    <row r="52" spans="1:7" s="16" customFormat="1" ht="15.75">
      <c r="A52" s="14" t="s">
        <v>80</v>
      </c>
      <c r="B52" s="24">
        <f>IF(45495.29858="","-",45495.29858)</f>
        <v>45495.29858</v>
      </c>
      <c r="C52" s="24">
        <f>IF(OR(39373.28529="",45495.29858=""),"-",45495.29858/39373.28529*100)</f>
        <v>115.54864737577503</v>
      </c>
      <c r="D52" s="24">
        <f>IF(39373.28529="","-",39373.28529/4020356.96103*100)</f>
        <v>0.9793479950077049</v>
      </c>
      <c r="E52" s="24">
        <f>IF(45495.29858="","-",45495.29858/4831412.23329*100)</f>
        <v>0.9416563187575386</v>
      </c>
      <c r="F52" s="24">
        <f>IF(OR(3986820.02566="",32481.37855="",39373.28529=""),"-",(39373.28529-32481.37855)/3986820.02566*100)</f>
        <v>0.1728672650293281</v>
      </c>
      <c r="G52" s="24">
        <f>IF(OR(4020356.96103="",45495.29858="",39373.28529=""),"-",(45495.29858-39373.28529)/4020356.96103*100)</f>
        <v>0.15227536632547092</v>
      </c>
    </row>
    <row r="53" spans="1:7" s="16" customFormat="1" ht="15" customHeight="1">
      <c r="A53" s="14" t="s">
        <v>81</v>
      </c>
      <c r="B53" s="24">
        <f>IF(58872.67813="","-",58872.67813)</f>
        <v>58872.67813</v>
      </c>
      <c r="C53" s="24">
        <f>IF(OR(59546.32513="",58872.67813=""),"-",58872.67813/59546.32513*100)</f>
        <v>98.86870096764274</v>
      </c>
      <c r="D53" s="24">
        <f>IF(59546.32513="","-",59546.32513/4020356.96103*100)</f>
        <v>1.481120350933825</v>
      </c>
      <c r="E53" s="24">
        <f>IF(58872.67813="","-",58872.67813/4831412.23329*100)</f>
        <v>1.2185397413275587</v>
      </c>
      <c r="F53" s="24">
        <f>IF(OR(3986820.02566="",53095.19702="",59546.32513=""),"-",(59546.32513-53095.19702)/3986820.02566*100)</f>
        <v>0.16181137017671227</v>
      </c>
      <c r="G53" s="24">
        <f>IF(OR(4020356.96103="",58872.67813="",59546.32513=""),"-",(58872.67813-59546.32513)/4020356.96103*100)</f>
        <v>-0.016755900198160797</v>
      </c>
    </row>
    <row r="54" spans="1:7" s="16" customFormat="1" ht="13.5" customHeight="1">
      <c r="A54" s="14" t="s">
        <v>82</v>
      </c>
      <c r="B54" s="24">
        <f>IF(72504.83678="","-",72504.83678)</f>
        <v>72504.83678</v>
      </c>
      <c r="C54" s="24">
        <f>IF(OR(57709.19674="",72504.83678=""),"-",72504.83678/57709.19674*100)</f>
        <v>125.63827063242536</v>
      </c>
      <c r="D54" s="24">
        <f>IF(57709.19674="","-",57709.19674/4020356.96103*100)</f>
        <v>1.4354246973436688</v>
      </c>
      <c r="E54" s="24">
        <f>IF(72504.83678="","-",72504.83678/4831412.23329*100)</f>
        <v>1.500696551629731</v>
      </c>
      <c r="F54" s="24">
        <f>IF(OR(3986820.02566="",57224.7351="",57709.19674=""),"-",(57709.19674-57224.7351)/3986820.02566*100)</f>
        <v>0.012151580379397762</v>
      </c>
      <c r="G54" s="24">
        <f>IF(OR(4020356.96103="",72504.83678="",57709.19674=""),"-",(72504.83678-57709.19674)/4020356.96103*100)</f>
        <v>0.3680180686296426</v>
      </c>
    </row>
    <row r="55" spans="1:7" s="16" customFormat="1" ht="25.5">
      <c r="A55" s="14" t="s">
        <v>83</v>
      </c>
      <c r="B55" s="24">
        <f>IF(89104.68438="","-",89104.68438)</f>
        <v>89104.68438</v>
      </c>
      <c r="C55" s="24">
        <f>IF(OR(80363.59938="",89104.68438=""),"-",89104.68438/80363.59938*100)</f>
        <v>110.87692072958019</v>
      </c>
      <c r="D55" s="24">
        <f>IF(80363.59938="","-",80363.59938/4020356.96103*100)</f>
        <v>1.9989170155530458</v>
      </c>
      <c r="E55" s="24">
        <f>IF(89104.68438="","-",89104.68438/4831412.23329*100)</f>
        <v>1.844278237448665</v>
      </c>
      <c r="F55" s="24">
        <f>IF(OR(3986820.02566="",79052.93277="",80363.59938=""),"-",(80363.59938-79052.93277)/3986820.02566*100)</f>
        <v>0.032874988124978764</v>
      </c>
      <c r="G55" s="24">
        <f>IF(OR(4020356.96103="",89104.68438="",80363.59938=""),"-",(89104.68438-80363.59938)/4020356.96103*100)</f>
        <v>0.21742061923179512</v>
      </c>
    </row>
    <row r="56" spans="1:7" s="16" customFormat="1" ht="25.5">
      <c r="A56" s="14" t="s">
        <v>84</v>
      </c>
      <c r="B56" s="24">
        <f>IF(276181.61833="","-",276181.61833)</f>
        <v>276181.61833</v>
      </c>
      <c r="C56" s="24">
        <f>IF(OR(249583.96706="",276181.61833=""),"-",276181.61833/249583.96706*100)</f>
        <v>110.65679481871764</v>
      </c>
      <c r="D56" s="24">
        <f>IF(249583.96706="","-",249583.96706/4020356.96103*100)</f>
        <v>6.208005146788198</v>
      </c>
      <c r="E56" s="24">
        <f>IF(276181.61833="","-",276181.61833/4831412.23329*100)</f>
        <v>5.716374529728988</v>
      </c>
      <c r="F56" s="24">
        <f>IF(OR(3986820.02566="",207750.79546="",249583.96706=""),"-",(249583.96706-207750.79546)/3986820.02566*100)</f>
        <v>1.049286682888945</v>
      </c>
      <c r="G56" s="24">
        <f>IF(OR(4020356.96103="",276181.61833="",249583.96706=""),"-",(276181.61833-249583.96706)/4020356.96103*100)</f>
        <v>0.6615743708286494</v>
      </c>
    </row>
    <row r="57" spans="1:7" s="16" customFormat="1" ht="13.5" customHeight="1">
      <c r="A57" s="14" t="s">
        <v>85</v>
      </c>
      <c r="B57" s="24">
        <f>IF(115307.92109="","-",115307.92109)</f>
        <v>115307.92109</v>
      </c>
      <c r="C57" s="24">
        <f>IF(OR(99543.18411="",115307.92109=""),"-",115307.92109/99543.18411*100)</f>
        <v>115.83708329299493</v>
      </c>
      <c r="D57" s="24">
        <f>IF(99543.18411="","-",99543.18411/4020356.96103*100)</f>
        <v>2.4759787520085634</v>
      </c>
      <c r="E57" s="24">
        <f>IF(115307.92109="","-",115307.92109/4831412.23329*100)</f>
        <v>2.3866297372741445</v>
      </c>
      <c r="F57" s="24">
        <f>IF(OR(3986820.02566="",98999.82526="",99543.18411=""),"-",(99543.18411-98999.82526)/3986820.02566*100)</f>
        <v>0.013628878316624125</v>
      </c>
      <c r="G57" s="24">
        <f>IF(OR(4020356.96103="",115307.92109="",99543.18411=""),"-",(115307.92109-99543.18411)/4020356.96103*100)</f>
        <v>0.3921228172724528</v>
      </c>
    </row>
    <row r="58" spans="1:7" s="16" customFormat="1" ht="14.25" customHeight="1">
      <c r="A58" s="14" t="s">
        <v>86</v>
      </c>
      <c r="B58" s="24">
        <f>IF(110210.18461="","-",110210.18461)</f>
        <v>110210.18461</v>
      </c>
      <c r="C58" s="24">
        <f>IF(OR(91100.397="",110210.18461=""),"-",110210.18461/91100.397*100)</f>
        <v>120.97662385598605</v>
      </c>
      <c r="D58" s="24">
        <f>IF(91100.397="","-",91100.397/4020356.96103*100)</f>
        <v>2.2659778194586093</v>
      </c>
      <c r="E58" s="24">
        <f>IF(110210.18461="","-",110210.18461/4831412.23329*100)</f>
        <v>2.2811173894584282</v>
      </c>
      <c r="F58" s="24">
        <f>IF(OR(3986820.02566="",100612.36918="",91100.397=""),"-",(91100.397-100612.36918)/3986820.02566*100)</f>
        <v>-0.23858544200086718</v>
      </c>
      <c r="G58" s="24">
        <f>IF(OR(4020356.96103="",110210.18461="",91100.397=""),"-",(110210.18461-91100.397)/4020356.96103*100)</f>
        <v>0.47532564384790715</v>
      </c>
    </row>
    <row r="59" spans="1:7" s="16" customFormat="1" ht="14.25" customHeight="1">
      <c r="A59" s="14" t="s">
        <v>87</v>
      </c>
      <c r="B59" s="24">
        <f>IF(85198.07894="","-",85198.07894)</f>
        <v>85198.07894</v>
      </c>
      <c r="C59" s="24" t="s">
        <v>214</v>
      </c>
      <c r="D59" s="24">
        <f>IF(53939.03176="","-",53939.03176/4020356.96103*100)</f>
        <v>1.3416478258731788</v>
      </c>
      <c r="E59" s="24">
        <f>IF(85198.07894="","-",85198.07894/4831412.23329*100)</f>
        <v>1.7634197792719397</v>
      </c>
      <c r="F59" s="24">
        <f>IF(OR(3986820.02566="",66090.65033="",53939.03176=""),"-",(53939.03176-66090.65033)/3986820.02566*100)</f>
        <v>-0.3047947610323433</v>
      </c>
      <c r="G59" s="24">
        <f>IF(OR(4020356.96103="",85198.07894="",53939.03176=""),"-",(85198.07894-53939.03176)/4020356.96103*100)</f>
        <v>0.7775191974991087</v>
      </c>
    </row>
    <row r="60" spans="1:7" s="16" customFormat="1" ht="15" customHeight="1">
      <c r="A60" s="14" t="s">
        <v>88</v>
      </c>
      <c r="B60" s="24">
        <f>IF(140652.61259="","-",140652.61259)</f>
        <v>140652.61259</v>
      </c>
      <c r="C60" s="24">
        <f>IF(OR(122097.41326="",140652.61259=""),"-",140652.61259/122097.41326*100)</f>
        <v>115.19704540381022</v>
      </c>
      <c r="D60" s="24">
        <f>IF(122097.41326="","-",122097.41326/4020356.96103*100)</f>
        <v>3.0369794136070722</v>
      </c>
      <c r="E60" s="24">
        <f>IF(140652.61259="","-",140652.61259/4831412.23329*100)</f>
        <v>2.911211169704332</v>
      </c>
      <c r="F60" s="24">
        <f>IF(OR(3986820.02566="",112530.5574="",122097.41326=""),"-",(122097.41326-112530.5574)/3986820.02566*100)</f>
        <v>0.23996206998123137</v>
      </c>
      <c r="G60" s="24">
        <f>IF(OR(4020356.96103="",140652.61259="",122097.41326=""),"-",(140652.61259-122097.41326)/4020356.96103*100)</f>
        <v>0.46153114039023624</v>
      </c>
    </row>
    <row r="61" spans="1:7" s="16" customFormat="1" ht="15" customHeight="1">
      <c r="A61" s="15" t="s">
        <v>89</v>
      </c>
      <c r="B61" s="23">
        <f>IF(1079745.89691="","-",1079745.89691)</f>
        <v>1079745.89691</v>
      </c>
      <c r="C61" s="23">
        <f>IF(864398.83783="","-",1079745.89691/864398.83783*100)</f>
        <v>124.91292788183411</v>
      </c>
      <c r="D61" s="23">
        <f>IF(864398.83783="","-",864398.83783/4020356.96103*100)</f>
        <v>21.50054948375888</v>
      </c>
      <c r="E61" s="23">
        <f>IF(1079745.89691="","-",1079745.89691/4831412.23329*100)</f>
        <v>22.348453097630543</v>
      </c>
      <c r="F61" s="23">
        <f>IF(3986820.02566="","-",(864398.83783-821046.11918)/3986820.02566*100)</f>
        <v>1.0874009453893794</v>
      </c>
      <c r="G61" s="23">
        <f>IF(4020356.96103="","-",(1079745.89691-864398.83783)/4020356.96103*100)</f>
        <v>5.356416387086902</v>
      </c>
    </row>
    <row r="62" spans="1:7" s="16" customFormat="1" ht="25.5">
      <c r="A62" s="14" t="s">
        <v>113</v>
      </c>
      <c r="B62" s="24">
        <f>IF(17917.45082="","-",17917.45082)</f>
        <v>17917.45082</v>
      </c>
      <c r="C62" s="24">
        <f>IF(OR(12158.03221="",17917.45082=""),"-",17917.45082/12158.03221*100)</f>
        <v>147.37130573862825</v>
      </c>
      <c r="D62" s="24">
        <f>IF(12158.03221="","-",12158.03221/4020356.96103*100)</f>
        <v>0.3024117591509874</v>
      </c>
      <c r="E62" s="24">
        <f>IF(17917.45082="","-",17917.45082/4831412.23329*100)</f>
        <v>0.3708532817080468</v>
      </c>
      <c r="F62" s="24">
        <f>IF(OR(3986820.02566="",13290.30671="",12158.03221=""),"-",(12158.03221-13290.30671)/3986820.02566*100)</f>
        <v>-0.028400441773454733</v>
      </c>
      <c r="G62" s="24">
        <f>IF(OR(4020356.96103="",17917.45082="",12158.03221=""),"-",(17917.45082-12158.03221)/4020356.96103*100)</f>
        <v>0.1432563990169783</v>
      </c>
    </row>
    <row r="63" spans="1:7" s="16" customFormat="1" ht="25.5">
      <c r="A63" s="14" t="s">
        <v>91</v>
      </c>
      <c r="B63" s="24">
        <f>IF(156442.26041="","-",156442.26041)</f>
        <v>156442.26041</v>
      </c>
      <c r="C63" s="24">
        <f>IF(OR(125196.21107="",156442.26041=""),"-",156442.26041/125196.21107*100)</f>
        <v>124.95766371278569</v>
      </c>
      <c r="D63" s="24">
        <f>IF(125196.21107="","-",125196.21107/4020356.96103*100)</f>
        <v>3.114057092033072</v>
      </c>
      <c r="E63" s="24">
        <f>IF(156442.26041="","-",156442.26041/4831412.23329*100)</f>
        <v>3.238023436130372</v>
      </c>
      <c r="F63" s="24">
        <f>IF(OR(3986820.02566="",117517.13219="",125196.21107=""),"-",(125196.21107-117517.13219)/3986820.02566*100)</f>
        <v>0.1926116260723047</v>
      </c>
      <c r="G63" s="24">
        <f>IF(OR(4020356.96103="",156442.26041="",125196.21107=""),"-",(156442.26041-125196.21107)/4020356.96103*100)</f>
        <v>0.7771958968537676</v>
      </c>
    </row>
    <row r="64" spans="1:7" s="16" customFormat="1" ht="25.5">
      <c r="A64" s="14" t="s">
        <v>92</v>
      </c>
      <c r="B64" s="24">
        <f>IF(9977.52895="","-",9977.52895)</f>
        <v>9977.52895</v>
      </c>
      <c r="C64" s="24">
        <f>IF(OR(6899.5461="",9977.52895=""),"-",9977.52895/6899.5461*100)</f>
        <v>144.61138175451862</v>
      </c>
      <c r="D64" s="24">
        <f>IF(6899.5461="","-",6899.5461/4020356.96103*100)</f>
        <v>0.17161526120387982</v>
      </c>
      <c r="E64" s="24">
        <f>IF(9977.52895="","-",9977.52895/4831412.23329*100)</f>
        <v>0.20651371624328768</v>
      </c>
      <c r="F64" s="24">
        <f>IF(OR(3986820.02566="",7889.73716="",6899.5461=""),"-",(6899.5461-7889.73716)/3986820.02566*100)</f>
        <v>-0.024836612980443692</v>
      </c>
      <c r="G64" s="24">
        <f>IF(OR(4020356.96103="",9977.52895="",6899.5461=""),"-",(9977.52895-6899.5461)/4020356.96103*100)</f>
        <v>0.0765599393246771</v>
      </c>
    </row>
    <row r="65" spans="1:7" s="16" customFormat="1" ht="38.25">
      <c r="A65" s="14" t="s">
        <v>93</v>
      </c>
      <c r="B65" s="24">
        <f>IF(146345.71882="","-",146345.71882)</f>
        <v>146345.71882</v>
      </c>
      <c r="C65" s="24">
        <f>IF(OR(117956.66697="",146345.71882=""),"-",146345.71882/117956.66697*100)</f>
        <v>124.06735674993277</v>
      </c>
      <c r="D65" s="24">
        <f>IF(117956.66697="","-",117956.66697/4020356.96103*100)</f>
        <v>2.933984920079832</v>
      </c>
      <c r="E65" s="24">
        <f>IF(146345.71882="","-",146345.71882/4831412.23329*100)</f>
        <v>3.0290464103151966</v>
      </c>
      <c r="F65" s="24">
        <f>IF(OR(3986820.02566="",132600.47894="",117956.66697=""),"-",(117956.66697-132600.47894)/3986820.02566*100)</f>
        <v>-0.367305568742742</v>
      </c>
      <c r="G65" s="24">
        <f>IF(OR(4020356.96103="",146345.71882="",117956.66697=""),"-",(146345.71882-117956.66697)/4020356.96103*100)</f>
        <v>0.7061326177048428</v>
      </c>
    </row>
    <row r="66" spans="1:7" s="16" customFormat="1" ht="25.5">
      <c r="A66" s="14" t="s">
        <v>94</v>
      </c>
      <c r="B66" s="24">
        <f>IF(47546.0984="","-",47546.0984)</f>
        <v>47546.0984</v>
      </c>
      <c r="C66" s="24">
        <f>IF(OR(38009.11303="",47546.0984=""),"-",47546.0984/38009.11303*100)</f>
        <v>125.09131260830162</v>
      </c>
      <c r="D66" s="24">
        <f>IF(38009.11303="","-",38009.11303/4020356.96103*100)</f>
        <v>0.9454163746758998</v>
      </c>
      <c r="E66" s="24">
        <f>IF(47546.0984="","-",47546.0984/4831412.23329*100)</f>
        <v>0.9841035313110303</v>
      </c>
      <c r="F66" s="24">
        <f>IF(OR(3986820.02566="",30282.70151="",38009.11303=""),"-",(38009.11303-30282.70151)/3986820.02566*100)</f>
        <v>0.19379885398064664</v>
      </c>
      <c r="G66" s="24">
        <f>IF(OR(4020356.96103="",47546.0984="",38009.11303=""),"-",(47546.0984-38009.11303)/4020356.96103*100)</f>
        <v>0.2372173780200021</v>
      </c>
    </row>
    <row r="67" spans="1:7" s="16" customFormat="1" ht="38.25">
      <c r="A67" s="14" t="s">
        <v>95</v>
      </c>
      <c r="B67" s="24">
        <f>IF(123519.33669="","-",123519.33669)</f>
        <v>123519.33669</v>
      </c>
      <c r="C67" s="24">
        <f>IF(OR(91080.4613="",123519.33669=""),"-",123519.33669/91080.4613*100)</f>
        <v>135.6156248299546</v>
      </c>
      <c r="D67" s="24">
        <f>IF(91080.4613="","-",91080.4613/4020356.96103*100)</f>
        <v>2.265481950554598</v>
      </c>
      <c r="E67" s="24">
        <f>IF(123519.33669="","-",123519.33669/4831412.23329*100)</f>
        <v>2.556588647909438</v>
      </c>
      <c r="F67" s="24">
        <f>IF(OR(3986820.02566="",85841.05139="",91080.4613=""),"-",(91080.4613-85841.05139)/3986820.02566*100)</f>
        <v>0.13141827010695428</v>
      </c>
      <c r="G67" s="24">
        <f>IF(OR(4020356.96103="",123519.33669="",91080.4613=""),"-",(123519.33669-91080.4613)/4020356.96103*100)</f>
        <v>0.8068655520998634</v>
      </c>
    </row>
    <row r="68" spans="1:7" s="16" customFormat="1" ht="38.25" customHeight="1">
      <c r="A68" s="14" t="s">
        <v>96</v>
      </c>
      <c r="B68" s="24">
        <f>IF(322839.83074="","-",322839.83074)</f>
        <v>322839.83074</v>
      </c>
      <c r="C68" s="24">
        <f>IF(OR(268141.97104="",322839.83074=""),"-",322839.83074/268141.97104*100)</f>
        <v>120.39884300389532</v>
      </c>
      <c r="D68" s="24">
        <f>IF(268141.97104="","-",268141.97104/4020356.96103*100)</f>
        <v>6.669606048396832</v>
      </c>
      <c r="E68" s="24">
        <f>IF(322839.83074="","-",322839.83074/4831412.23329*100)</f>
        <v>6.682100701644308</v>
      </c>
      <c r="F68" s="24">
        <f>IF(OR(3986820.02566="",263923.0111="",268141.97104=""),"-",(268141.97104-263923.0111)/3986820.02566*100)</f>
        <v>0.10582268356348846</v>
      </c>
      <c r="G68" s="24">
        <f>IF(OR(4020356.96103="",322839.83074="",268141.97104=""),"-",(322839.83074-268141.97104)/4020356.96103*100)</f>
        <v>1.360522466790776</v>
      </c>
    </row>
    <row r="69" spans="1:7" s="16" customFormat="1" ht="25.5">
      <c r="A69" s="14" t="s">
        <v>97</v>
      </c>
      <c r="B69" s="24">
        <f>IF(252768.79866="","-",252768.79866)</f>
        <v>252768.79866</v>
      </c>
      <c r="C69" s="24">
        <f>IF(OR(203856.41797="",252768.79866=""),"-",252768.79866/203856.41797*100)</f>
        <v>123.9935446610261</v>
      </c>
      <c r="D69" s="24">
        <f>IF(203856.41797="","-",203856.41797/4020356.96103*100)</f>
        <v>5.07060492254829</v>
      </c>
      <c r="E69" s="24">
        <f>IF(252768.79866="","-",252768.79866/4831412.23329*100)</f>
        <v>5.231778752356109</v>
      </c>
      <c r="F69" s="24">
        <f>IF(OR(3986820.02566="",165182.0047="",203856.41797=""),"-",(203856.41797-165182.0047)/3986820.02566*100)</f>
        <v>0.970056662229132</v>
      </c>
      <c r="G69" s="24">
        <f>IF(OR(4020356.96103="",252768.79866="",203856.41797=""),"-",(252768.79866-203856.41797)/4020356.96103*100)</f>
        <v>1.216617856675812</v>
      </c>
    </row>
    <row r="70" spans="1:7" s="16" customFormat="1" ht="14.25" customHeight="1">
      <c r="A70" s="14" t="s">
        <v>98</v>
      </c>
      <c r="B70" s="24">
        <f>IF(2388.87342="","-",2388.87342)</f>
        <v>2388.87342</v>
      </c>
      <c r="C70" s="24" t="s">
        <v>193</v>
      </c>
      <c r="D70" s="24">
        <f>IF(1100.41814="","-",1100.41814/4020356.96103*100)</f>
        <v>0.02737115511549196</v>
      </c>
      <c r="E70" s="24">
        <f>IF(2388.87342="","-",2388.87342/4831412.23329*100)</f>
        <v>0.049444620012754986</v>
      </c>
      <c r="F70" s="24">
        <f>IF(OR(3986820.02566="",4519.69548="",1100.41814=""),"-",(1100.41814-4519.69548)/3986820.02566*100)</f>
        <v>-0.08576452706650471</v>
      </c>
      <c r="G70" s="24">
        <f>IF(OR(4020356.96103="",2388.87342="",1100.41814=""),"-",(2388.87342-1100.41814)/4020356.96103*100)</f>
        <v>0.03204828060018588</v>
      </c>
    </row>
    <row r="71" spans="1:7" s="16" customFormat="1" ht="13.5" customHeight="1">
      <c r="A71" s="15" t="s">
        <v>99</v>
      </c>
      <c r="B71" s="23">
        <f>IF(517502.14414="","-",517502.14414)</f>
        <v>517502.14414</v>
      </c>
      <c r="C71" s="23">
        <f>IF(398266.80566="","-",517502.14414/398266.80566*100)</f>
        <v>129.93855796804493</v>
      </c>
      <c r="D71" s="23">
        <f>IF(398266.80566="","-",398266.80566/4020356.96103*100)</f>
        <v>9.906254830614982</v>
      </c>
      <c r="E71" s="23">
        <f>IF(517502.14414="","-",517502.14414/4831412.23329*100)</f>
        <v>10.711198282238103</v>
      </c>
      <c r="F71" s="23">
        <f>IF(3986820.02566="","-",(398266.80566-370915.69053)/3986820.02566*100)</f>
        <v>0.6860383702791334</v>
      </c>
      <c r="G71" s="23">
        <f>IF(4020356.96103="","-",(517502.14414-398266.80566)/4020356.96103*100)</f>
        <v>2.9657898449259177</v>
      </c>
    </row>
    <row r="72" spans="1:7" s="16" customFormat="1" ht="38.25">
      <c r="A72" s="14" t="s">
        <v>100</v>
      </c>
      <c r="B72" s="24">
        <f>IF(41196.20925="","-",41196.20925)</f>
        <v>41196.20925</v>
      </c>
      <c r="C72" s="24">
        <f>IF(OR(34118.19459="",41196.20925=""),"-",41196.20925/34118.19459*100)</f>
        <v>120.74557210619392</v>
      </c>
      <c r="D72" s="24">
        <f>IF(34118.19459="","-",34118.19459/4020356.96103*100)</f>
        <v>0.8486359524965925</v>
      </c>
      <c r="E72" s="24">
        <f>IF(41196.20925="","-",41196.20925/4831412.23329*100)</f>
        <v>0.8526742753628999</v>
      </c>
      <c r="F72" s="24">
        <f>IF(OR(3986820.02566="",35102.31773="",34118.19459=""),"-",(34118.19459-35102.31773)/3986820.02566*100)</f>
        <v>-0.024684413484079615</v>
      </c>
      <c r="G72" s="24">
        <f>IF(OR(4020356.96103="",41196.20925="",34118.19459=""),"-",(41196.20925-34118.19459)/4020356.96103*100)</f>
        <v>0.17605438344426613</v>
      </c>
    </row>
    <row r="73" spans="1:7" s="16" customFormat="1" ht="14.25" customHeight="1">
      <c r="A73" s="14" t="s">
        <v>101</v>
      </c>
      <c r="B73" s="24">
        <f>IF(48145.08879="","-",48145.08879)</f>
        <v>48145.08879</v>
      </c>
      <c r="C73" s="24">
        <f>IF(OR(42848.3926="",48145.08879=""),"-",48145.08879/42848.3926*100)</f>
        <v>112.3614816533398</v>
      </c>
      <c r="D73" s="24">
        <f>IF(42848.3926="","-",42848.3926/4020356.96103*100)</f>
        <v>1.065785775127351</v>
      </c>
      <c r="E73" s="24">
        <f>IF(48145.08879="","-",48145.08879/4831412.23329*100)</f>
        <v>0.9965013636854395</v>
      </c>
      <c r="F73" s="24">
        <f>IF(OR(3986820.02566="",41903.1894="",42848.3926=""),"-",(42848.3926-41903.1894)/3986820.02566*100)</f>
        <v>0.023708198361513</v>
      </c>
      <c r="G73" s="24">
        <f>IF(OR(4020356.96103="",48145.08879="",42848.3926=""),"-",(48145.08879-42848.3926)/4020356.96103*100)</f>
        <v>0.13174691305627273</v>
      </c>
    </row>
    <row r="74" spans="1:7" s="16" customFormat="1" ht="15.75">
      <c r="A74" s="14" t="s">
        <v>102</v>
      </c>
      <c r="B74" s="24">
        <f>IF(13169.35926="","-",13169.35926)</f>
        <v>13169.35926</v>
      </c>
      <c r="C74" s="24" t="s">
        <v>185</v>
      </c>
      <c r="D74" s="24">
        <f>IF(4782.64284="","-",4782.64284/4020356.96103*100)</f>
        <v>0.11896065166250078</v>
      </c>
      <c r="E74" s="24">
        <f>IF(13169.35926="","-",13169.35926/4831412.23329*100)</f>
        <v>0.2725778431668247</v>
      </c>
      <c r="F74" s="24">
        <f>IF(OR(3986820.02566="",3679.51119="",4782.64284=""),"-",(4782.64284-3679.51119)/3986820.02566*100)</f>
        <v>0.02766946194962442</v>
      </c>
      <c r="G74" s="24">
        <f>IF(OR(4020356.96103="",13169.35926="",4782.64284=""),"-",(13169.35926-4782.64284)/4020356.96103*100)</f>
        <v>0.208606263107825</v>
      </c>
    </row>
    <row r="75" spans="1:7" s="16" customFormat="1" ht="14.25" customHeight="1">
      <c r="A75" s="14" t="s">
        <v>103</v>
      </c>
      <c r="B75" s="24">
        <f>IF(129300.93513="","-",129300.93513)</f>
        <v>129300.93513</v>
      </c>
      <c r="C75" s="24">
        <f>IF(OR(100887.00417="",129300.93513=""),"-",129300.93513/100887.00417*100)</f>
        <v>128.1641140935467</v>
      </c>
      <c r="D75" s="24">
        <f>IF(100887.00417="","-",100887.00417/4020356.96103*100)</f>
        <v>2.5094041436597494</v>
      </c>
      <c r="E75" s="24">
        <f>IF(129300.93513="","-",129300.93513/4831412.23329*100)</f>
        <v>2.6762554898353432</v>
      </c>
      <c r="F75" s="24">
        <f>IF(OR(3986820.02566="",77544.61586="",100887.00417=""),"-",(100887.00417-77544.61586)/3986820.02566*100)</f>
        <v>0.5854888898862639</v>
      </c>
      <c r="G75" s="24">
        <f>IF(OR(4020356.96103="",129300.93513="",100887.00417=""),"-",(129300.93513-100887.00417)/4020356.96103*100)</f>
        <v>0.7067514460885199</v>
      </c>
    </row>
    <row r="76" spans="1:7" s="16" customFormat="1" ht="15" customHeight="1">
      <c r="A76" s="14" t="s">
        <v>104</v>
      </c>
      <c r="B76" s="24">
        <f>IF(40448.17403="","-",40448.17403)</f>
        <v>40448.17403</v>
      </c>
      <c r="C76" s="24" t="s">
        <v>214</v>
      </c>
      <c r="D76" s="24">
        <f>IF(24991.21201="","-",24991.21201/4020356.96103*100)</f>
        <v>0.6216167432952856</v>
      </c>
      <c r="E76" s="24">
        <f>IF(40448.17403="","-",40448.17403/4831412.23329*100)</f>
        <v>0.8371915306936333</v>
      </c>
      <c r="F76" s="24">
        <f>IF(OR(3986820.02566="",16895.305="",24991.21201=""),"-",(24991.21201-16895.305)/3986820.02566*100)</f>
        <v>0.20306677898407913</v>
      </c>
      <c r="G76" s="24">
        <f>IF(OR(4020356.96103="",40448.17403="",24991.21201=""),"-",(40448.17403-24991.21201)/4020356.96103*100)</f>
        <v>0.38446740351234854</v>
      </c>
    </row>
    <row r="77" spans="1:7" s="16" customFormat="1" ht="25.5">
      <c r="A77" s="14" t="s">
        <v>105</v>
      </c>
      <c r="B77" s="24">
        <f>IF(51385.90378="","-",51385.90378)</f>
        <v>51385.90378</v>
      </c>
      <c r="C77" s="24">
        <f>IF(OR(38803.98702="",51385.90378=""),"-",51385.90378/38803.98702*100)</f>
        <v>132.42428865238807</v>
      </c>
      <c r="D77" s="24">
        <f>IF(38803.98702="","-",38803.98702/4020356.96103*100)</f>
        <v>0.9651876038902418</v>
      </c>
      <c r="E77" s="24">
        <f>IF(51385.90378="","-",51385.90378/4831412.23329*100)</f>
        <v>1.0635793697324032</v>
      </c>
      <c r="F77" s="24">
        <f>IF(OR(3986820.02566="",52680.66863="",38803.98702=""),"-",(38803.98702-52680.66863)/3986820.02566*100)</f>
        <v>-0.34806390859599384</v>
      </c>
      <c r="G77" s="24">
        <f>IF(OR(4020356.96103="",51385.90378="",38803.98702=""),"-",(51385.90378-38803.98702)/4020356.96103*100)</f>
        <v>0.31295521472244003</v>
      </c>
    </row>
    <row r="78" spans="1:7" ht="25.5">
      <c r="A78" s="10" t="s">
        <v>106</v>
      </c>
      <c r="B78" s="24">
        <f>IF(10589.65753="","-",10589.65753)</f>
        <v>10589.65753</v>
      </c>
      <c r="C78" s="24">
        <f>IF(OR(7975.52279="",10589.65753=""),"-",10589.65753/7975.52279*100)</f>
        <v>132.7769703482974</v>
      </c>
      <c r="D78" s="24">
        <f>IF(7975.52279="","-",7975.52279/4020356.96103*100)</f>
        <v>0.19837847403372613</v>
      </c>
      <c r="E78" s="24">
        <f>IF(10589.65753="","-",10589.65753/4831412.23329*100)</f>
        <v>0.21918348132320026</v>
      </c>
      <c r="F78" s="24">
        <f>IF(OR(3986820.02566="",8001.66005="",7975.52279=""),"-",(7975.52279-8001.66005)/3986820.02566*100)</f>
        <v>-0.0006555916703481873</v>
      </c>
      <c r="G78" s="24">
        <f>IF(OR(4020356.96103="",10589.65753="",7975.52279=""),"-",(10589.65753-7975.52279)/4020356.96103*100)</f>
        <v>0.06502245361143925</v>
      </c>
    </row>
    <row r="79" spans="1:7" ht="13.5" customHeight="1">
      <c r="A79" s="11" t="s">
        <v>107</v>
      </c>
      <c r="B79" s="24">
        <f>IF(183266.81637="","-",183266.81637)</f>
        <v>183266.81637</v>
      </c>
      <c r="C79" s="24">
        <f>IF(OR(143859.84964="",183266.81637=""),"-",183266.81637/143859.84964*100)</f>
        <v>127.392609424112</v>
      </c>
      <c r="D79" s="24">
        <f>IF(143859.84964="","-",143859.84964/4020356.96103*100)</f>
        <v>3.5782854864495333</v>
      </c>
      <c r="E79" s="24">
        <f>IF(183266.81637="","-",183266.81637/4831412.23329*100)</f>
        <v>3.7932349284383577</v>
      </c>
      <c r="F79" s="24">
        <f>IF(OR(3986820.02566="",135108.42267="",143859.84964=""),"-",(143859.84964-135108.42267)/3986820.02566*100)</f>
        <v>0.21950895484807448</v>
      </c>
      <c r="G79" s="24">
        <f>IF(OR(4020356.96103="",183266.81637="",143859.84964=""),"-",(183266.81637-143859.84964)/4020356.96103*100)</f>
        <v>0.9801857673828065</v>
      </c>
    </row>
    <row r="80" spans="1:7" ht="15.75">
      <c r="A80" s="74" t="s">
        <v>117</v>
      </c>
      <c r="B80" s="74"/>
      <c r="C80" s="74"/>
      <c r="D80" s="74"/>
      <c r="E80" s="74"/>
      <c r="F80" s="74"/>
      <c r="G80" s="74"/>
    </row>
  </sheetData>
  <sheetProtection/>
  <mergeCells count="13">
    <mergeCell ref="A80:G80"/>
    <mergeCell ref="A1:G1"/>
    <mergeCell ref="A2:G2"/>
    <mergeCell ref="A4:A6"/>
    <mergeCell ref="B4:C4"/>
    <mergeCell ref="D4:E4"/>
    <mergeCell ref="F4:G4"/>
    <mergeCell ref="B5:B6"/>
    <mergeCell ref="C5:C6"/>
    <mergeCell ref="D5:D6"/>
    <mergeCell ref="E5:E6"/>
    <mergeCell ref="F5:F6"/>
    <mergeCell ref="G5:G6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84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4.875" style="0" customWidth="1"/>
    <col min="2" max="3" width="13.625" style="0" customWidth="1"/>
    <col min="4" max="4" width="12.75390625" style="0" customWidth="1"/>
    <col min="6" max="6" width="12.125" style="0" bestFit="1" customWidth="1"/>
  </cols>
  <sheetData>
    <row r="1" spans="1:4" ht="15.75">
      <c r="A1" s="58" t="s">
        <v>118</v>
      </c>
      <c r="B1" s="58"/>
      <c r="C1" s="58"/>
      <c r="D1" s="58"/>
    </row>
    <row r="2" spans="1:4" ht="15.75">
      <c r="A2" s="58" t="s">
        <v>35</v>
      </c>
      <c r="B2" s="58"/>
      <c r="C2" s="58"/>
      <c r="D2" s="58"/>
    </row>
    <row r="3" ht="15.75">
      <c r="A3" s="5"/>
    </row>
    <row r="4" spans="1:5" ht="21.75" customHeight="1">
      <c r="A4" s="66"/>
      <c r="B4" s="68">
        <v>2016</v>
      </c>
      <c r="C4" s="71">
        <v>2017</v>
      </c>
      <c r="D4" s="68" t="s">
        <v>276</v>
      </c>
      <c r="E4" s="1"/>
    </row>
    <row r="5" spans="1:5" ht="21.75" customHeight="1">
      <c r="A5" s="67"/>
      <c r="B5" s="70"/>
      <c r="C5" s="72"/>
      <c r="D5" s="69"/>
      <c r="E5" s="1"/>
    </row>
    <row r="6" spans="1:6" ht="15.75">
      <c r="A6" s="7" t="s">
        <v>198</v>
      </c>
      <c r="B6" s="43">
        <f>IF(-1975746.20356="","-",-1975746.20356)</f>
        <v>-1975746.20356</v>
      </c>
      <c r="C6" s="43">
        <f>IF(-2406293.89022="","-",-2406293.89022)</f>
        <v>-2406293.89022</v>
      </c>
      <c r="D6" s="43">
        <f>IF(-1975746.20356="","-",-2406293.89022/-1975746.20356*100)</f>
        <v>121.7916494479006</v>
      </c>
      <c r="F6" s="42"/>
    </row>
    <row r="7" spans="1:4" ht="15.75">
      <c r="A7" s="8" t="s">
        <v>32</v>
      </c>
      <c r="B7" s="25"/>
      <c r="C7" s="25"/>
      <c r="D7" s="25"/>
    </row>
    <row r="8" spans="1:4" ht="15.75">
      <c r="A8" s="9" t="s">
        <v>36</v>
      </c>
      <c r="B8" s="23">
        <f>IF(57808.44819="","-",57808.44819)</f>
        <v>57808.44819</v>
      </c>
      <c r="C8" s="23">
        <f>IF(99665.44215="","-",99665.44215)</f>
        <v>99665.44215</v>
      </c>
      <c r="D8" s="23" t="s">
        <v>213</v>
      </c>
    </row>
    <row r="9" spans="1:4" ht="15.75">
      <c r="A9" s="8" t="s">
        <v>37</v>
      </c>
      <c r="B9" s="24">
        <f>IF(OR(3460.79066="",3460.79066=0),"-",3460.79066)</f>
        <v>3460.79066</v>
      </c>
      <c r="C9" s="24">
        <f>IF(OR(1477.64556="",1477.64556=0),"-",1477.64556)</f>
        <v>1477.64556</v>
      </c>
      <c r="D9" s="24">
        <f>IF(OR(3460.79066="",1477.64556="",3460.79066=0,1477.64556=0),"-",1477.64556/3460.79066*100)</f>
        <v>42.69676224796561</v>
      </c>
    </row>
    <row r="10" spans="1:4" ht="15.75">
      <c r="A10" s="8" t="s">
        <v>38</v>
      </c>
      <c r="B10" s="24">
        <f>IF(OR(-16795.74383="",-16795.74383=0),"-",-16795.74383)</f>
        <v>-16795.74383</v>
      </c>
      <c r="C10" s="24">
        <f>IF(OR(-26092.52775="",-26092.52775=0),"-",-26092.52775)</f>
        <v>-26092.52775</v>
      </c>
      <c r="D10" s="24" t="s">
        <v>214</v>
      </c>
    </row>
    <row r="11" spans="1:4" ht="15.75">
      <c r="A11" s="8" t="s">
        <v>39</v>
      </c>
      <c r="B11" s="24">
        <f>IF(OR(-21139.50084="",-21139.50084=0),"-",-21139.50084)</f>
        <v>-21139.50084</v>
      </c>
      <c r="C11" s="24">
        <f>IF(OR(-30389.44463="",-30389.44463=0),"-",-30389.44463)</f>
        <v>-30389.44463</v>
      </c>
      <c r="D11" s="24">
        <f>IF(OR(-21139.50084="",-30389.44463="",-21139.50084=0,-30389.44463=0),"-",-30389.44463/-21139.50084*100)</f>
        <v>143.75668025470748</v>
      </c>
    </row>
    <row r="12" spans="1:4" ht="15.75">
      <c r="A12" s="8" t="s">
        <v>40</v>
      </c>
      <c r="B12" s="24">
        <f>IF(OR(-43148.55065="",-43148.55065=0),"-",-43148.55065)</f>
        <v>-43148.55065</v>
      </c>
      <c r="C12" s="24">
        <f>IF(OR(-47162.76433="",-47162.76433=0),"-",-47162.76433)</f>
        <v>-47162.76433</v>
      </c>
      <c r="D12" s="24">
        <f>IF(OR(-43148.55065="",-47162.76433="",-43148.55065=0,-47162.76433=0),"-",-47162.76433/-43148.55065*100)</f>
        <v>109.30324105799369</v>
      </c>
    </row>
    <row r="13" spans="1:4" ht="15.75">
      <c r="A13" s="8" t="s">
        <v>41</v>
      </c>
      <c r="B13" s="24">
        <f>IF(OR(114320.80104="",114320.80104=0),"-",114320.80104)</f>
        <v>114320.80104</v>
      </c>
      <c r="C13" s="24">
        <f>IF(OR(133933.57054="",133933.57054=0),"-",133933.57054)</f>
        <v>133933.57054</v>
      </c>
      <c r="D13" s="24">
        <f>IF(OR(114320.80104="",133933.57054="",114320.80104=0,133933.57054=0),"-",133933.57054/114320.80104*100)</f>
        <v>117.15590629314924</v>
      </c>
    </row>
    <row r="14" spans="1:4" ht="15.75">
      <c r="A14" s="8" t="s">
        <v>42</v>
      </c>
      <c r="B14" s="24">
        <f>IF(OR(111025.89221="",111025.89221=0),"-",111025.89221)</f>
        <v>111025.89221</v>
      </c>
      <c r="C14" s="24">
        <f>IF(OR(191158.78754="",191158.78754=0),"-",191158.78754)</f>
        <v>191158.78754</v>
      </c>
      <c r="D14" s="24" t="s">
        <v>213</v>
      </c>
    </row>
    <row r="15" spans="1:4" ht="15.75">
      <c r="A15" s="8" t="s">
        <v>43</v>
      </c>
      <c r="B15" s="24">
        <f>IF(OR(26406.09416="",26406.09416=0),"-",26406.09416)</f>
        <v>26406.09416</v>
      </c>
      <c r="C15" s="24">
        <f>IF(OR(5000.60638="",5000.60638=0),"-",5000.60638)</f>
        <v>5000.60638</v>
      </c>
      <c r="D15" s="24">
        <f>IF(OR(26406.09416="",5000.60638="",26406.09416=0,5000.60638=0),"-",5000.60638/26406.09416*100)</f>
        <v>18.937319354010818</v>
      </c>
    </row>
    <row r="16" spans="1:4" ht="15.75">
      <c r="A16" s="8" t="s">
        <v>44</v>
      </c>
      <c r="B16" s="24">
        <f>IF(OR(-41243.11398="",-41243.11398=0),"-",-41243.11398)</f>
        <v>-41243.11398</v>
      </c>
      <c r="C16" s="24">
        <f>IF(OR(-43387.46545="",-43387.46545=0),"-",-43387.46545)</f>
        <v>-43387.46545</v>
      </c>
      <c r="D16" s="24">
        <f>IF(OR(-41243.11398="",-43387.46545="",-41243.11398=0,-43387.46545=0),"-",-43387.46545/-41243.11398*100)</f>
        <v>105.19929574435108</v>
      </c>
    </row>
    <row r="17" spans="1:4" ht="15.75">
      <c r="A17" s="8" t="s">
        <v>45</v>
      </c>
      <c r="B17" s="24">
        <f>IF(OR(-11575.72726="",-11575.72726=0),"-",-11575.72726)</f>
        <v>-11575.72726</v>
      </c>
      <c r="C17" s="24">
        <f>IF(OR(-15688.40977="",-15688.40977=0),"-",-15688.40977)</f>
        <v>-15688.40977</v>
      </c>
      <c r="D17" s="24">
        <f>IF(OR(-11575.72726="",-15688.40977="",-11575.72726=0,-15688.40977=0),"-",-15688.40977/-11575.72726*100)</f>
        <v>135.52850216341398</v>
      </c>
    </row>
    <row r="18" spans="1:4" ht="15.75">
      <c r="A18" s="8" t="s">
        <v>46</v>
      </c>
      <c r="B18" s="24">
        <f>IF(OR(-63502.49332="",-63502.49332=0),"-",-63502.49332)</f>
        <v>-63502.49332</v>
      </c>
      <c r="C18" s="24">
        <f>IF(OR(-69184.55594="",-69184.55594=0),"-",-69184.55594)</f>
        <v>-69184.55594</v>
      </c>
      <c r="D18" s="24">
        <f>IF(OR(-63502.49332="",-69184.55594="",-63502.49332=0,-69184.55594=0),"-",-69184.55594/-63502.49332*100)</f>
        <v>108.94777877675938</v>
      </c>
    </row>
    <row r="19" spans="1:4" ht="15.75">
      <c r="A19" s="9" t="s">
        <v>47</v>
      </c>
      <c r="B19" s="23">
        <f>IF(62843.53776="","-",62843.53776)</f>
        <v>62843.53776</v>
      </c>
      <c r="C19" s="23">
        <f>IF(77872.02682="","-",77872.02682)</f>
        <v>77872.02682</v>
      </c>
      <c r="D19" s="23">
        <f>IF(62843.53776="","-",77872.02682/62843.53776*100)</f>
        <v>123.91413595681695</v>
      </c>
    </row>
    <row r="20" spans="1:4" ht="15.75">
      <c r="A20" s="8" t="s">
        <v>48</v>
      </c>
      <c r="B20" s="24">
        <f>IF(OR(108175.62998="",108175.62998=0),"-",108175.62998)</f>
        <v>108175.62998</v>
      </c>
      <c r="C20" s="24">
        <f>IF(OR(127122.10952="",127122.10952=0),"-",127122.10952)</f>
        <v>127122.10952</v>
      </c>
      <c r="D20" s="24">
        <f>IF(OR(108175.62998="",127122.10952="",108175.62998=0,127122.10952=0),"-",127122.10952/108175.62998*100)</f>
        <v>117.51455438115119</v>
      </c>
    </row>
    <row r="21" spans="1:4" ht="15.75">
      <c r="A21" s="8" t="s">
        <v>49</v>
      </c>
      <c r="B21" s="24">
        <f>IF(OR(-45332.09222="",-45332.09222=0),"-",-45332.09222)</f>
        <v>-45332.09222</v>
      </c>
      <c r="C21" s="24">
        <f>IF(OR(-49250.0827="",-49250.0827=0),"-",-49250.0827)</f>
        <v>-49250.0827</v>
      </c>
      <c r="D21" s="24">
        <f>IF(OR(-45332.09222="",-49250.0827="",-45332.09222=0,-49250.0827=0),"-",-49250.0827/-45332.09222*100)</f>
        <v>108.64286267879652</v>
      </c>
    </row>
    <row r="22" spans="1:4" ht="15.75">
      <c r="A22" s="9" t="s">
        <v>50</v>
      </c>
      <c r="B22" s="23">
        <f>IF(135411.84244="","-",135411.84244)</f>
        <v>135411.84244</v>
      </c>
      <c r="C22" s="23">
        <f>IF(165739.43124="","-",165739.43124)</f>
        <v>165739.43124</v>
      </c>
      <c r="D22" s="23">
        <f>IF(135411.84244="","-",165739.43124/135411.84244*100)</f>
        <v>122.39655576168526</v>
      </c>
    </row>
    <row r="23" spans="1:4" ht="15.75">
      <c r="A23" s="8" t="s">
        <v>51</v>
      </c>
      <c r="B23" s="24">
        <f>IF(OR(3443.20707="",3443.20707=0),"-",3443.20707)</f>
        <v>3443.20707</v>
      </c>
      <c r="C23" s="24">
        <f>IF(OR(3593.04244="",3593.04244=0),"-",3593.04244)</f>
        <v>3593.04244</v>
      </c>
      <c r="D23" s="24">
        <f>IF(OR(3443.20707="",3593.04244="",3443.20707=0,3593.04244=0),"-",3593.04244/3443.20707*100)</f>
        <v>104.35162239603557</v>
      </c>
    </row>
    <row r="24" spans="1:4" ht="15.75">
      <c r="A24" s="8" t="s">
        <v>52</v>
      </c>
      <c r="B24" s="24">
        <f>IF(OR(175963.67883="",175963.67883=0),"-",175963.67883)</f>
        <v>175963.67883</v>
      </c>
      <c r="C24" s="24">
        <f>IF(OR(212419.15154="",212419.15154=0),"-",212419.15154)</f>
        <v>212419.15154</v>
      </c>
      <c r="D24" s="24">
        <f>IF(OR(175963.67883="",212419.15154="",175963.67883=0,212419.15154=0),"-",212419.15154/175963.67883*100)</f>
        <v>120.7176122665746</v>
      </c>
    </row>
    <row r="25" spans="1:4" ht="15.75">
      <c r="A25" s="8" t="s">
        <v>53</v>
      </c>
      <c r="B25" s="24">
        <f>IF(OR(-595.8318="",-595.8318=0),"-",-595.8318)</f>
        <v>-595.8318</v>
      </c>
      <c r="C25" s="24">
        <f>IF(OR(-745.53281="",-745.53281=0),"-",-745.53281)</f>
        <v>-745.53281</v>
      </c>
      <c r="D25" s="24">
        <f>IF(OR(-595.8318="",-745.53281="",-595.8318=0,-745.53281=0),"-",-745.53281/-595.8318*100)</f>
        <v>125.1247096915606</v>
      </c>
    </row>
    <row r="26" spans="1:4" ht="15.75">
      <c r="A26" s="8" t="s">
        <v>54</v>
      </c>
      <c r="B26" s="24">
        <f>IF(OR(-25387.04591="",-25387.04591=0),"-",-25387.04591)</f>
        <v>-25387.04591</v>
      </c>
      <c r="C26" s="24">
        <f>IF(OR(-32596.67649="",-32596.67649=0),"-",-32596.67649)</f>
        <v>-32596.67649</v>
      </c>
      <c r="D26" s="24">
        <f>IF(OR(-25387.04591="",-32596.67649="",-25387.04591=0,-32596.67649=0),"-",-32596.67649/-25387.04591*100)</f>
        <v>128.39885587932903</v>
      </c>
    </row>
    <row r="27" spans="1:4" ht="15.75">
      <c r="A27" s="8" t="s">
        <v>55</v>
      </c>
      <c r="B27" s="24">
        <f>IF(OR(1997.34722="",1997.34722=0),"-",1997.34722)</f>
        <v>1997.34722</v>
      </c>
      <c r="C27" s="24">
        <f>IF(OR(2463.79351="",2463.79351=0),"-",2463.79351)</f>
        <v>2463.79351</v>
      </c>
      <c r="D27" s="24">
        <f>IF(OR(1997.34722="",2463.79351="",1997.34722=0,2463.79351=0),"-",2463.79351/1997.34722*100)</f>
        <v>123.35329007041649</v>
      </c>
    </row>
    <row r="28" spans="1:4" ht="25.5">
      <c r="A28" s="8" t="s">
        <v>56</v>
      </c>
      <c r="B28" s="24">
        <f>IF(OR(-7106.10305="",-7106.10305=0),"-",-7106.10305)</f>
        <v>-7106.10305</v>
      </c>
      <c r="C28" s="24">
        <f>IF(OR(-8753.58104="",-8753.58104=0),"-",-8753.58104)</f>
        <v>-8753.58104</v>
      </c>
      <c r="D28" s="24">
        <f>IF(OR(-7106.10305="",-8753.58104="",-7106.10305=0,-8753.58104=0),"-",-8753.58104/-7106.10305*100)</f>
        <v>123.1839867562855</v>
      </c>
    </row>
    <row r="29" spans="1:4" ht="25.5">
      <c r="A29" s="8" t="s">
        <v>57</v>
      </c>
      <c r="B29" s="24">
        <f>IF(OR(-3864.63095="",-3864.63095=0),"-",-3864.63095)</f>
        <v>-3864.63095</v>
      </c>
      <c r="C29" s="24">
        <f>IF(OR(-1308.00923="",-1308.00923=0),"-",-1308.00923)</f>
        <v>-1308.00923</v>
      </c>
      <c r="D29" s="24">
        <f>IF(OR(-3864.63095="",-1308.00923="",-3864.63095=0,-1308.00923=0),"-",-1308.00923/-3864.63095*100)</f>
        <v>33.84564391588283</v>
      </c>
    </row>
    <row r="30" spans="1:4" ht="15.75">
      <c r="A30" s="8" t="s">
        <v>58</v>
      </c>
      <c r="B30" s="24">
        <f>IF(OR(9957.7992="",9957.7992=0),"-",9957.7992)</f>
        <v>9957.7992</v>
      </c>
      <c r="C30" s="24">
        <f>IF(OR(13812.71077="",13812.71077=0),"-",13812.71077)</f>
        <v>13812.71077</v>
      </c>
      <c r="D30" s="24">
        <f>IF(OR(9957.7992="",13812.71077="",9957.7992=0,13812.71077=0),"-",13812.71077/9957.7992*100)</f>
        <v>138.71248548574872</v>
      </c>
    </row>
    <row r="31" spans="1:4" ht="15.75">
      <c r="A31" s="8" t="s">
        <v>59</v>
      </c>
      <c r="B31" s="24">
        <f>IF(OR(-18996.57817="",-18996.57817=0),"-",-18996.57817)</f>
        <v>-18996.57817</v>
      </c>
      <c r="C31" s="24">
        <f>IF(OR(-23145.46745="",-23145.46745=0),"-",-23145.46745)</f>
        <v>-23145.46745</v>
      </c>
      <c r="D31" s="24">
        <f>IF(OR(-18996.57817="",-23145.46745="",-18996.57817=0,-23145.46745=0),"-",-23145.46745/-18996.57817*100)</f>
        <v>121.84019270666364</v>
      </c>
    </row>
    <row r="32" spans="1:4" ht="15.75">
      <c r="A32" s="9" t="s">
        <v>60</v>
      </c>
      <c r="B32" s="23">
        <f>IF(-608376.20854="","-",-608376.20854)</f>
        <v>-608376.20854</v>
      </c>
      <c r="C32" s="23">
        <f>IF(-742344.45793="","-",-742344.45793)</f>
        <v>-742344.45793</v>
      </c>
      <c r="D32" s="23">
        <f>IF(-608376.20854="","-",-742344.45793/-608376.20854*100)</f>
        <v>122.02062597278436</v>
      </c>
    </row>
    <row r="33" spans="1:4" ht="15.75">
      <c r="A33" s="8" t="s">
        <v>61</v>
      </c>
      <c r="B33" s="24">
        <f>IF(OR(-9790.2002="",-9790.2002=0),"-",-9790.2002)</f>
        <v>-9790.2002</v>
      </c>
      <c r="C33" s="24">
        <f>IF(OR(-24799.40482="",-24799.40482=0),"-",-24799.40482)</f>
        <v>-24799.40482</v>
      </c>
      <c r="D33" s="24" t="s">
        <v>189</v>
      </c>
    </row>
    <row r="34" spans="1:4" ht="15.75">
      <c r="A34" s="8" t="s">
        <v>62</v>
      </c>
      <c r="B34" s="24">
        <f>IF(OR(-368910.07886="",-368910.07886=0),"-",-368910.07886)</f>
        <v>-368910.07886</v>
      </c>
      <c r="C34" s="24">
        <f>IF(OR(-458280.52828="",-458280.52828=0),"-",-458280.52828)</f>
        <v>-458280.52828</v>
      </c>
      <c r="D34" s="24">
        <f>IF(OR(-368910.07886="",-458280.52828="",-368910.07886=0,-458280.52828=0),"-",-458280.52828/-368910.07886*100)</f>
        <v>124.22553747953191</v>
      </c>
    </row>
    <row r="35" spans="1:4" ht="15.75">
      <c r="A35" s="8" t="s">
        <v>63</v>
      </c>
      <c r="B35" s="24">
        <f>IF(OR(-229428.99489="",-229428.99489=0),"-",-229428.99489)</f>
        <v>-229428.99489</v>
      </c>
      <c r="C35" s="24">
        <f>IF(OR(-202292.47374="",-202292.47374=0),"-",-202292.47374)</f>
        <v>-202292.47374</v>
      </c>
      <c r="D35" s="24">
        <f>IF(OR(-229428.99489="",-202292.47374="",-229428.99489=0,-202292.47374=0),"-",-202292.47374/-229428.99489*100)</f>
        <v>88.17214835334538</v>
      </c>
    </row>
    <row r="36" spans="1:4" ht="15.75">
      <c r="A36" s="8" t="s">
        <v>64</v>
      </c>
      <c r="B36" s="24">
        <f>IF(OR(-246.93459="",-246.93459=0),"-",-246.93459)</f>
        <v>-246.93459</v>
      </c>
      <c r="C36" s="24">
        <f>IF(OR(-56972.05109="",-56972.05109=0),"-",-56972.05109)</f>
        <v>-56972.05109</v>
      </c>
      <c r="D36" s="24" t="s">
        <v>272</v>
      </c>
    </row>
    <row r="37" spans="1:4" ht="15.75">
      <c r="A37" s="9" t="s">
        <v>65</v>
      </c>
      <c r="B37" s="23">
        <f>IF(44183.84559="","-",44183.84559)</f>
        <v>44183.84559</v>
      </c>
      <c r="C37" s="23">
        <f>IF(37946.62538="","-",37946.62538)</f>
        <v>37946.62538</v>
      </c>
      <c r="D37" s="23">
        <f>IF(44183.84559="","-",37946.62538/44183.84559*100)</f>
        <v>85.88348269211848</v>
      </c>
    </row>
    <row r="38" spans="1:4" ht="15.75">
      <c r="A38" s="8" t="s">
        <v>66</v>
      </c>
      <c r="B38" s="24">
        <f>IF(OR(-983.93843="",-983.93843=0),"-",-983.93843)</f>
        <v>-983.93843</v>
      </c>
      <c r="C38" s="24">
        <f>IF(OR(-1411.58629="",-1411.58629=0),"-",-1411.58629)</f>
        <v>-1411.58629</v>
      </c>
      <c r="D38" s="24">
        <f>IF(OR(-983.93843="",-1411.58629="",-983.93843=0,-1411.58629=0),"-",-1411.58629/-983.93843*100)</f>
        <v>143.46286789509784</v>
      </c>
    </row>
    <row r="39" spans="1:4" ht="15.75">
      <c r="A39" s="8" t="s">
        <v>67</v>
      </c>
      <c r="B39" s="24">
        <f>IF(OR(46904.37387="",46904.37387=0),"-",46904.37387)</f>
        <v>46904.37387</v>
      </c>
      <c r="C39" s="24">
        <f>IF(OR(41988.92524="",41988.92524=0),"-",41988.92524)</f>
        <v>41988.92524</v>
      </c>
      <c r="D39" s="24">
        <f>IF(OR(46904.37387="",41988.92524="",46904.37387=0,41988.92524=0),"-",41988.92524/46904.37387*100)</f>
        <v>89.52027663001398</v>
      </c>
    </row>
    <row r="40" spans="1:4" ht="25.5">
      <c r="A40" s="8" t="s">
        <v>68</v>
      </c>
      <c r="B40" s="24">
        <f>IF(OR(-1736.58985="",-1736.58985=0),"-",-1736.58985)</f>
        <v>-1736.58985</v>
      </c>
      <c r="C40" s="24">
        <f>IF(OR(-2630.71357="",-2630.71357=0),"-",-2630.71357)</f>
        <v>-2630.71357</v>
      </c>
      <c r="D40" s="24">
        <f>IF(OR(-1736.58985="",-2630.71357="",-1736.58985=0,-2630.71357=0),"-",-2630.71357/-1736.58985*100)</f>
        <v>151.4873284558239</v>
      </c>
    </row>
    <row r="41" spans="1:4" ht="15.75" customHeight="1">
      <c r="A41" s="9" t="s">
        <v>69</v>
      </c>
      <c r="B41" s="23">
        <f>IF(-516064.37618="","-",-516064.37618)</f>
        <v>-516064.37618</v>
      </c>
      <c r="C41" s="23">
        <f>IF(-590939.50156="","-",-590939.50156)</f>
        <v>-590939.50156</v>
      </c>
      <c r="D41" s="23">
        <f>IF(-516064.37618="","-",-590939.50156/-516064.37618*100)</f>
        <v>114.50887308560978</v>
      </c>
    </row>
    <row r="42" spans="1:4" ht="15.75">
      <c r="A42" s="8" t="s">
        <v>70</v>
      </c>
      <c r="B42" s="24">
        <f>IF(OR(335.36094="",335.36094=0),"-",335.36094)</f>
        <v>335.36094</v>
      </c>
      <c r="C42" s="24">
        <f>IF(OR(2053.33894="",2053.33894=0),"-",2053.33894)</f>
        <v>2053.33894</v>
      </c>
      <c r="D42" s="24" t="s">
        <v>273</v>
      </c>
    </row>
    <row r="43" spans="1:4" ht="15.75">
      <c r="A43" s="8" t="s">
        <v>71</v>
      </c>
      <c r="B43" s="24">
        <f>IF(OR(-12024.70828="",-12024.70828=0),"-",-12024.70828)</f>
        <v>-12024.70828</v>
      </c>
      <c r="C43" s="24">
        <f>IF(OR(-12915.89865="",-12915.89865=0),"-",-12915.89865)</f>
        <v>-12915.89865</v>
      </c>
      <c r="D43" s="24">
        <f>IF(OR(-12024.70828="",-12915.89865="",-12024.70828=0,-12915.89865=0),"-",-12915.89865/-12024.70828*100)</f>
        <v>107.41132632283698</v>
      </c>
    </row>
    <row r="44" spans="1:4" ht="15.75">
      <c r="A44" s="8" t="s">
        <v>72</v>
      </c>
      <c r="B44" s="24">
        <f>IF(OR(-27618.86539="",-27618.86539=0),"-",-27618.86539)</f>
        <v>-27618.86539</v>
      </c>
      <c r="C44" s="24">
        <f>IF(OR(-31819.07766="",-31819.07766=0),"-",-31819.07766)</f>
        <v>-31819.07766</v>
      </c>
      <c r="D44" s="24">
        <f>IF(OR(-27618.86539="",-31819.07766="",-27618.86539=0,-31819.07766=0),"-",-31819.07766/-27618.86539*100)</f>
        <v>115.2077654555671</v>
      </c>
    </row>
    <row r="45" spans="1:4" ht="15.75">
      <c r="A45" s="8" t="s">
        <v>73</v>
      </c>
      <c r="B45" s="24">
        <f>IF(OR(-136091.33552="",-136091.33552=0),"-",-136091.33552)</f>
        <v>-136091.33552</v>
      </c>
      <c r="C45" s="24">
        <f>IF(OR(-157214.06404="",-157214.06404=0),"-",-157214.06404)</f>
        <v>-157214.06404</v>
      </c>
      <c r="D45" s="24">
        <f>IF(OR(-136091.33552="",-157214.06404="",-136091.33552=0,-157214.06404=0),"-",-157214.06404/-136091.33552*100)</f>
        <v>115.52099436697483</v>
      </c>
    </row>
    <row r="46" spans="1:4" ht="25.5">
      <c r="A46" s="8" t="s">
        <v>74</v>
      </c>
      <c r="B46" s="24">
        <f>IF(OR(-75840.98919="",-75840.98919=0),"-",-75840.98919)</f>
        <v>-75840.98919</v>
      </c>
      <c r="C46" s="24">
        <f>IF(OR(-83347.36179="",-83347.36179=0),"-",-83347.36179)</f>
        <v>-83347.36179</v>
      </c>
      <c r="D46" s="24">
        <f>IF(OR(-75840.98919="",-83347.36179="",-75840.98919=0,-83347.36179=0),"-",-83347.36179/-75840.98919*100)</f>
        <v>109.89751410176723</v>
      </c>
    </row>
    <row r="47" spans="1:4" ht="15.75">
      <c r="A47" s="8" t="s">
        <v>75</v>
      </c>
      <c r="B47" s="24">
        <f>IF(OR(-51415.42287="",-51415.42287=0),"-",-51415.42287)</f>
        <v>-51415.42287</v>
      </c>
      <c r="C47" s="24">
        <f>IF(OR(-63445.98491="",-63445.98491=0),"-",-63445.98491)</f>
        <v>-63445.98491</v>
      </c>
      <c r="D47" s="24">
        <f>IF(OR(-51415.42287="",-63445.98491="",-51415.42287=0,-63445.98491=0),"-",-63445.98491/-51415.42287*100)</f>
        <v>123.39874179469138</v>
      </c>
    </row>
    <row r="48" spans="1:4" ht="15.75">
      <c r="A48" s="8" t="s">
        <v>76</v>
      </c>
      <c r="B48" s="24">
        <f>IF(OR(-42220.2791="",-42220.2791=0),"-",-42220.2791)</f>
        <v>-42220.2791</v>
      </c>
      <c r="C48" s="24">
        <f>IF(OR(-47978.90352="",-47978.90352=0),"-",-47978.90352)</f>
        <v>-47978.90352</v>
      </c>
      <c r="D48" s="24">
        <f>IF(OR(-42220.2791="",-47978.90352="",-42220.2791=0,-47978.90352=0),"-",-47978.90352/-42220.2791*100)</f>
        <v>113.63947501711328</v>
      </c>
    </row>
    <row r="49" spans="1:4" ht="15.75">
      <c r="A49" s="8" t="s">
        <v>77</v>
      </c>
      <c r="B49" s="24">
        <f>IF(OR(-82283.11798="",-82283.11798=0),"-",-82283.11798)</f>
        <v>-82283.11798</v>
      </c>
      <c r="C49" s="24">
        <f>IF(OR(-95381.59356="",-95381.59356=0),"-",-95381.59356)</f>
        <v>-95381.59356</v>
      </c>
      <c r="D49" s="24">
        <f>IF(OR(-82283.11798="",-95381.59356="",-82283.11798=0,-95381.59356=0),"-",-95381.59356/-82283.11798*100)</f>
        <v>115.91878856995157</v>
      </c>
    </row>
    <row r="50" spans="1:4" ht="15.75">
      <c r="A50" s="8" t="s">
        <v>78</v>
      </c>
      <c r="B50" s="24">
        <f>IF(OR(-88905.01879="",-88905.01879=0),"-",-88905.01879)</f>
        <v>-88905.01879</v>
      </c>
      <c r="C50" s="24">
        <f>IF(OR(-100889.95637="",-100889.95637=0),"-",-100889.95637)</f>
        <v>-100889.95637</v>
      </c>
      <c r="D50" s="24">
        <f>IF(OR(-88905.01879="",-100889.95637="",-88905.01879=0,-100889.95637=0),"-",-100889.95637/-88905.01879*100)</f>
        <v>113.48060856756499</v>
      </c>
    </row>
    <row r="51" spans="1:4" ht="17.25" customHeight="1">
      <c r="A51" s="9" t="s">
        <v>79</v>
      </c>
      <c r="B51" s="23">
        <f>IF(-681381.45823="","-",-681381.45823)</f>
        <v>-681381.45823</v>
      </c>
      <c r="C51" s="23">
        <f>IF(-825025.69995="","-",-825025.69995)</f>
        <v>-825025.69995</v>
      </c>
      <c r="D51" s="23">
        <f>IF(-681381.45823="","-",-825025.69995/-681381.45823*100)</f>
        <v>121.08132529657316</v>
      </c>
    </row>
    <row r="52" spans="1:4" ht="15.75">
      <c r="A52" s="8" t="s">
        <v>80</v>
      </c>
      <c r="B52" s="24">
        <f>IF(OR(-37022.7163="",-37022.7163=0),"-",-37022.7163)</f>
        <v>-37022.7163</v>
      </c>
      <c r="C52" s="24">
        <f>IF(OR(-43216.86307="",-43216.86307=0),"-",-43216.86307)</f>
        <v>-43216.86307</v>
      </c>
      <c r="D52" s="24">
        <f>IF(OR(-37022.7163="",-43216.86307="",-37022.7163=0,-43216.86307=0),"-",-43216.86307/-37022.7163*100)</f>
        <v>116.73066535639363</v>
      </c>
    </row>
    <row r="53" spans="1:4" ht="15.75">
      <c r="A53" s="8" t="s">
        <v>81</v>
      </c>
      <c r="B53" s="24">
        <f>IF(OR(-47186.9539="",-47186.9539=0),"-",-47186.9539)</f>
        <v>-47186.9539</v>
      </c>
      <c r="C53" s="24">
        <f>IF(OR(-56696.18168="",-56696.18168=0),"-",-56696.18168)</f>
        <v>-56696.18168</v>
      </c>
      <c r="D53" s="24">
        <f>IF(OR(-47186.9539="",-56696.18168="",-47186.9539=0,-56696.18168=0),"-",-56696.18168/-47186.9539*100)</f>
        <v>120.1522391128536</v>
      </c>
    </row>
    <row r="54" spans="1:4" ht="15.75">
      <c r="A54" s="8" t="s">
        <v>82</v>
      </c>
      <c r="B54" s="24">
        <f>IF(OR(-49975.33864="",-49975.33864=0),"-",-49975.33864)</f>
        <v>-49975.33864</v>
      </c>
      <c r="C54" s="24">
        <f>IF(OR(-62538.3953="",-62538.3953=0),"-",-62538.3953)</f>
        <v>-62538.3953</v>
      </c>
      <c r="D54" s="24">
        <f>IF(OR(-49975.33864="",-62538.3953="",-49975.33864=0,-62538.3953=0),"-",-62538.3953/-49975.33864*100)</f>
        <v>125.13851231804279</v>
      </c>
    </row>
    <row r="55" spans="1:4" ht="25.5">
      <c r="A55" s="8" t="s">
        <v>83</v>
      </c>
      <c r="B55" s="24">
        <f>IF(OR(-73868.47025="",-73868.47025=0),"-",-73868.47025)</f>
        <v>-73868.47025</v>
      </c>
      <c r="C55" s="24">
        <f>IF(OR(-81667.48509="",-81667.48509=0),"-",-81667.48509)</f>
        <v>-81667.48509</v>
      </c>
      <c r="D55" s="24">
        <f>IF(OR(-73868.47025="",-81667.48509="",-73868.47025=0,-81667.48509=0),"-",-81667.48509/-73868.47025*100)</f>
        <v>110.55797529528508</v>
      </c>
    </row>
    <row r="56" spans="1:4" ht="25.5">
      <c r="A56" s="8" t="s">
        <v>84</v>
      </c>
      <c r="B56" s="24">
        <f>IF(OR(-174313.7726="",-174313.7726=0),"-",-174313.7726)</f>
        <v>-174313.7726</v>
      </c>
      <c r="C56" s="24">
        <f>IF(OR(-195769.48106="",-195769.48106=0),"-",-195769.48106)</f>
        <v>-195769.48106</v>
      </c>
      <c r="D56" s="24">
        <f>IF(OR(-174313.7726="",-195769.48106="",-174313.7726=0,-195769.48106=0),"-",-195769.48106/-174313.7726*100)</f>
        <v>112.30867081813132</v>
      </c>
    </row>
    <row r="57" spans="1:4" ht="15.75">
      <c r="A57" s="8" t="s">
        <v>85</v>
      </c>
      <c r="B57" s="24">
        <f>IF(OR(-64519.51555="",-64519.51555=0),"-",-64519.51555)</f>
        <v>-64519.51555</v>
      </c>
      <c r="C57" s="24">
        <f>IF(OR(-82189.68839="",-82189.68839=0),"-",-82189.68839)</f>
        <v>-82189.68839</v>
      </c>
      <c r="D57" s="24">
        <f>IF(OR(-64519.51555="",-82189.68839="",-64519.51555=0,-82189.68839=0),"-",-82189.68839/-64519.51555*100)</f>
        <v>127.38733031295986</v>
      </c>
    </row>
    <row r="58" spans="1:4" ht="15.75">
      <c r="A58" s="8" t="s">
        <v>86</v>
      </c>
      <c r="B58" s="24">
        <f>IF(OR(-87731.30338="",-87731.30338=0),"-",-87731.30338)</f>
        <v>-87731.30338</v>
      </c>
      <c r="C58" s="24">
        <f>IF(OR(-107194.75203="",-107194.75203=0),"-",-107194.75203)</f>
        <v>-107194.75203</v>
      </c>
      <c r="D58" s="24">
        <f>IF(OR(-87731.30338="",-107194.75203="",-87731.30338=0,-107194.75203=0),"-",-107194.75203/-87731.30338*100)</f>
        <v>122.18529521406502</v>
      </c>
    </row>
    <row r="59" spans="1:4" ht="15.75">
      <c r="A59" s="8" t="s">
        <v>87</v>
      </c>
      <c r="B59" s="24">
        <f>IF(OR(-51834.84753="",-51834.84753=0),"-",-51834.84753)</f>
        <v>-51834.84753</v>
      </c>
      <c r="C59" s="24">
        <f>IF(OR(-81755.8571="",-81755.8571=0),"-",-81755.8571)</f>
        <v>-81755.8571</v>
      </c>
      <c r="D59" s="24" t="s">
        <v>214</v>
      </c>
    </row>
    <row r="60" spans="1:4" ht="15.75">
      <c r="A60" s="8" t="s">
        <v>88</v>
      </c>
      <c r="B60" s="24">
        <f>IF(OR(-94928.54008="",-94928.54008=0),"-",-94928.54008)</f>
        <v>-94928.54008</v>
      </c>
      <c r="C60" s="24">
        <f>IF(OR(-113996.99623="",-113996.99623=0),"-",-113996.99623)</f>
        <v>-113996.99623</v>
      </c>
      <c r="D60" s="24">
        <f>IF(OR(-94928.54008="",-113996.99623="",-94928.54008=0,-113996.99623=0),"-",-113996.99623/-94928.54008*100)</f>
        <v>120.0871688682142</v>
      </c>
    </row>
    <row r="61" spans="1:4" ht="15.75">
      <c r="A61" s="9" t="s">
        <v>89</v>
      </c>
      <c r="B61" s="23">
        <f>IF(-539371.60229="","-",-539371.60229)</f>
        <v>-539371.60229</v>
      </c>
      <c r="C61" s="23">
        <f>IF(-648357.0834="","-",-648357.0834)</f>
        <v>-648357.0834</v>
      </c>
      <c r="D61" s="23">
        <f>IF(-539371.60229="","-",-648357.0834/-539371.60229*100)</f>
        <v>120.20601022509942</v>
      </c>
    </row>
    <row r="62" spans="1:4" ht="15.75">
      <c r="A62" s="8" t="s">
        <v>90</v>
      </c>
      <c r="B62" s="24">
        <f>IF(OR(-9639.70849="",-9639.70849=0),"-",-9639.70849)</f>
        <v>-9639.70849</v>
      </c>
      <c r="C62" s="24">
        <f>IF(OR(-14711.07665="",-14711.07665=0),"-",-14711.07665)</f>
        <v>-14711.07665</v>
      </c>
      <c r="D62" s="24">
        <f>IF(OR(-9639.70849="",-14711.07665="",-9639.70849=0,-14711.07665=0),"-",-14711.07665/-9639.70849*100)</f>
        <v>152.60914440785126</v>
      </c>
    </row>
    <row r="63" spans="1:4" ht="15.75">
      <c r="A63" s="8" t="s">
        <v>91</v>
      </c>
      <c r="B63" s="24">
        <f>IF(OR(-114501.94971="",-114501.94971=0),"-",-114501.94971)</f>
        <v>-114501.94971</v>
      </c>
      <c r="C63" s="24">
        <f>IF(OR(-146361.00953="",-146361.00953=0),"-",-146361.00953)</f>
        <v>-146361.00953</v>
      </c>
      <c r="D63" s="24">
        <f>IF(OR(-114501.94971="",-146361.00953="",-114501.94971=0,-146361.00953=0),"-",-146361.00953/-114501.94971*100)</f>
        <v>127.8240326044139</v>
      </c>
    </row>
    <row r="64" spans="1:4" ht="15.75">
      <c r="A64" s="8" t="s">
        <v>92</v>
      </c>
      <c r="B64" s="24">
        <f>IF(OR(-4737.69671="",-4737.69671=0),"-",-4737.69671)</f>
        <v>-4737.69671</v>
      </c>
      <c r="C64" s="24">
        <f>IF(OR(-8451.06219="",-8451.06219=0),"-",-8451.06219)</f>
        <v>-8451.06219</v>
      </c>
      <c r="D64" s="24" t="s">
        <v>212</v>
      </c>
    </row>
    <row r="65" spans="1:4" ht="25.5">
      <c r="A65" s="8" t="s">
        <v>93</v>
      </c>
      <c r="B65" s="24">
        <f>IF(OR(-89500.00416="",-89500.00416=0),"-",-89500.00416)</f>
        <v>-89500.00416</v>
      </c>
      <c r="C65" s="24">
        <f>IF(OR(-116726.58056="",-116726.58056=0),"-",-116726.58056)</f>
        <v>-116726.58056</v>
      </c>
      <c r="D65" s="24">
        <f>IF(OR(-89500.00416="",-116726.58056="",-89500.00416=0,-116726.58056=0),"-",-116726.58056/-89500.00416*100)</f>
        <v>130.4207543402197</v>
      </c>
    </row>
    <row r="66" spans="1:4" ht="25.5">
      <c r="A66" s="8" t="s">
        <v>94</v>
      </c>
      <c r="B66" s="24">
        <f>IF(OR(-35756.921="",-35756.921=0),"-",-35756.921)</f>
        <v>-35756.921</v>
      </c>
      <c r="C66" s="24">
        <f>IF(OR(-46537.96467="",-46537.96467=0),"-",-46537.96467)</f>
        <v>-46537.96467</v>
      </c>
      <c r="D66" s="24">
        <f>IF(OR(-35756.921="",-46537.96467="",-35756.921=0,-46537.96467=0),"-",-46537.96467/-35756.921*100)</f>
        <v>130.1509284594163</v>
      </c>
    </row>
    <row r="67" spans="1:4" ht="25.5">
      <c r="A67" s="8" t="s">
        <v>95</v>
      </c>
      <c r="B67" s="24">
        <f>IF(OR(-88117.70552="",-88117.70552=0),"-",-88117.70552)</f>
        <v>-88117.70552</v>
      </c>
      <c r="C67" s="24">
        <f>IF(OR(-119698.43266="",-119698.43266=0),"-",-119698.43266)</f>
        <v>-119698.43266</v>
      </c>
      <c r="D67" s="24">
        <f>IF(OR(-88117.70552="",-119698.43266="",-88117.70552=0,-119698.43266=0),"-",-119698.43266/-88117.70552*100)</f>
        <v>135.83925268325575</v>
      </c>
    </row>
    <row r="68" spans="1:4" ht="25.5">
      <c r="A68" s="8" t="s">
        <v>96</v>
      </c>
      <c r="B68" s="24">
        <f>IF(OR(-19051.93235="",-19051.93235=0),"-",-19051.93235)</f>
        <v>-19051.93235</v>
      </c>
      <c r="C68" s="24">
        <f>IF(OR(18653.6288="",18653.6288=0),"-",18653.6288)</f>
        <v>18653.6288</v>
      </c>
      <c r="D68" s="24" t="s">
        <v>33</v>
      </c>
    </row>
    <row r="69" spans="1:4" ht="15.75">
      <c r="A69" s="8" t="s">
        <v>97</v>
      </c>
      <c r="B69" s="24">
        <f>IF(OR(-177511.42669="",-177511.42669=0),"-",-177511.42669)</f>
        <v>-177511.42669</v>
      </c>
      <c r="C69" s="24">
        <f>IF(OR(-227708.61579="",-227708.61579=0),"-",-227708.61579)</f>
        <v>-227708.61579</v>
      </c>
      <c r="D69" s="24">
        <f>IF(OR(-177511.42669="",-227708.61579="",-177511.42669=0,-227708.61579=0),"-",-227708.61579/-177511.42669*100)</f>
        <v>128.27828610023099</v>
      </c>
    </row>
    <row r="70" spans="1:4" ht="15.75">
      <c r="A70" s="8" t="s">
        <v>98</v>
      </c>
      <c r="B70" s="24">
        <f>IF(OR(-554.25766="",-554.25766=0),"-",-554.25766)</f>
        <v>-554.25766</v>
      </c>
      <c r="C70" s="24">
        <f>IF(OR(13184.02985="",13184.02985=0),"-",13184.02985)</f>
        <v>13184.02985</v>
      </c>
      <c r="D70" s="24" t="s">
        <v>33</v>
      </c>
    </row>
    <row r="71" spans="1:4" ht="15.75">
      <c r="A71" s="9" t="s">
        <v>99</v>
      </c>
      <c r="B71" s="23">
        <f>IF(72892.99117="","-",72892.99117)</f>
        <v>72892.99117</v>
      </c>
      <c r="C71" s="23">
        <f>IF(19694.33586="","-",19694.33586)</f>
        <v>19694.33586</v>
      </c>
      <c r="D71" s="23">
        <f>IF(72892.99117="","-",19694.33586/72892.99117*100)</f>
        <v>27.018147484261075</v>
      </c>
    </row>
    <row r="72" spans="1:4" ht="25.5">
      <c r="A72" s="8" t="s">
        <v>100</v>
      </c>
      <c r="B72" s="24">
        <f>IF(OR(-27902.53813="",-27902.53813=0),"-",-27902.53813)</f>
        <v>-27902.53813</v>
      </c>
      <c r="C72" s="24">
        <f>IF(OR(-32095.65241="",-32095.65241=0),"-",-32095.65241)</f>
        <v>-32095.65241</v>
      </c>
      <c r="D72" s="24">
        <f>IF(OR(-27902.53813="",-32095.65241="",-27902.53813=0,-32095.65241=0),"-",-32095.65241/-27902.53813*100)</f>
        <v>115.02771633341729</v>
      </c>
    </row>
    <row r="73" spans="1:4" ht="15.75">
      <c r="A73" s="8" t="s">
        <v>101</v>
      </c>
      <c r="B73" s="24">
        <f>IF(OR(79471.14506="",79471.14506=0),"-",79471.14506)</f>
        <v>79471.14506</v>
      </c>
      <c r="C73" s="24">
        <f>IF(OR(86868.16223="",86868.16223=0),"-",86868.16223)</f>
        <v>86868.16223</v>
      </c>
      <c r="D73" s="24">
        <f>IF(OR(79471.14506="",86868.16223="",79471.14506=0,86868.16223=0),"-",86868.16223/79471.14506*100)</f>
        <v>109.30780242868694</v>
      </c>
    </row>
    <row r="74" spans="1:4" ht="15.75">
      <c r="A74" s="8" t="s">
        <v>102</v>
      </c>
      <c r="B74" s="24">
        <f>IF(OR(9885.27747="",9885.27747=0),"-",9885.27747)</f>
        <v>9885.27747</v>
      </c>
      <c r="C74" s="24">
        <f>IF(OR(-714.46891="",-714.46891=0),"-",-714.46891)</f>
        <v>-714.46891</v>
      </c>
      <c r="D74" s="24" t="s">
        <v>33</v>
      </c>
    </row>
    <row r="75" spans="1:4" ht="15.75">
      <c r="A75" s="8" t="s">
        <v>103</v>
      </c>
      <c r="B75" s="24">
        <f>IF(OR(143083.49869="",143083.49869=0),"-",143083.49869)</f>
        <v>143083.49869</v>
      </c>
      <c r="C75" s="24">
        <f>IF(OR(148818.24184="",148818.24184=0),"-",148818.24184)</f>
        <v>148818.24184</v>
      </c>
      <c r="D75" s="24">
        <f>IF(OR(143083.49869="",148818.24184="",143083.49869=0,148818.24184=0),"-",148818.24184/143083.49869*100)</f>
        <v>104.00796961389985</v>
      </c>
    </row>
    <row r="76" spans="1:4" ht="15.75">
      <c r="A76" s="8" t="s">
        <v>104</v>
      </c>
      <c r="B76" s="24">
        <f>IF(OR(3915.87391="",3915.87391=0),"-",3915.87391)</f>
        <v>3915.87391</v>
      </c>
      <c r="C76" s="24">
        <f>IF(OR(-7155.55905="",-7155.55905=0),"-",-7155.55905)</f>
        <v>-7155.55905</v>
      </c>
      <c r="D76" s="24" t="s">
        <v>33</v>
      </c>
    </row>
    <row r="77" spans="1:4" ht="15.75">
      <c r="A77" s="8" t="s">
        <v>105</v>
      </c>
      <c r="B77" s="24">
        <f>IF(OR(-14466.50158="",-14466.50158=0),"-",-14466.50158)</f>
        <v>-14466.50158</v>
      </c>
      <c r="C77" s="24">
        <f>IF(OR(-27673.86259="",-27673.86259=0),"-",-27673.86259)</f>
        <v>-27673.86259</v>
      </c>
      <c r="D77" s="24" t="s">
        <v>215</v>
      </c>
    </row>
    <row r="78" spans="1:4" ht="25.5">
      <c r="A78" s="8" t="s">
        <v>106</v>
      </c>
      <c r="B78" s="24">
        <f>IF(OR(-5930.20550999999="",-5930.20550999999=0),"-",-5930.20550999999)</f>
        <v>-5930.20550999999</v>
      </c>
      <c r="C78" s="24">
        <f>IF(OR(-7461.33902="",-7461.33902=0),"-",-7461.33902)</f>
        <v>-7461.33902</v>
      </c>
      <c r="D78" s="24">
        <f>IF(OR(-5930.20550999999="",-7461.33902="",-5930.20550999999=0,-7461.33902=0),"-",-7461.33902/-5930.20550999999*100)</f>
        <v>125.81923185323156</v>
      </c>
    </row>
    <row r="79" spans="1:4" ht="15.75">
      <c r="A79" s="11" t="s">
        <v>107</v>
      </c>
      <c r="B79" s="24">
        <f>IF(OR(-115163.55874="",-115163.55874=0),"-",-115163.55874)</f>
        <v>-115163.55874</v>
      </c>
      <c r="C79" s="24">
        <f>IF(OR(-140891.18623="",-140891.18623=0),"-",-140891.18623)</f>
        <v>-140891.18623</v>
      </c>
      <c r="D79" s="24">
        <f>IF(OR(-115163.55874="",-140891.18623="",-115163.55874=0,-140891.18623=0),"-",-140891.18623/-115163.55874*100)</f>
        <v>122.34007681899115</v>
      </c>
    </row>
    <row r="80" spans="1:4" ht="15.75">
      <c r="A80" s="75" t="s">
        <v>27</v>
      </c>
      <c r="B80" s="75"/>
      <c r="C80" s="75"/>
      <c r="D80" s="75"/>
    </row>
    <row r="81" spans="2:4" ht="15.75">
      <c r="B81" s="18"/>
      <c r="C81" s="41"/>
      <c r="D81" s="19"/>
    </row>
    <row r="82" spans="2:4" ht="15.75">
      <c r="B82" s="18"/>
      <c r="C82" s="18"/>
      <c r="D82" s="19"/>
    </row>
    <row r="83" spans="2:4" ht="15.75">
      <c r="B83" s="18"/>
      <c r="C83" s="18"/>
      <c r="D83" s="19"/>
    </row>
    <row r="84" ht="15.75">
      <c r="C84" s="18"/>
    </row>
  </sheetData>
  <sheetProtection/>
  <mergeCells count="7">
    <mergeCell ref="A80:D80"/>
    <mergeCell ref="A1:D1"/>
    <mergeCell ref="A2:D2"/>
    <mergeCell ref="A4:A5"/>
    <mergeCell ref="D4:D5"/>
    <mergeCell ref="B4:B5"/>
    <mergeCell ref="C4:C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2018-02-13T14:59:51Z</cp:lastPrinted>
  <dcterms:created xsi:type="dcterms:W3CDTF">2016-09-01T07:59:47Z</dcterms:created>
  <dcterms:modified xsi:type="dcterms:W3CDTF">2018-02-14T13:38:18Z</dcterms:modified>
  <cp:category/>
  <cp:version/>
  <cp:contentType/>
  <cp:contentStatus/>
</cp:coreProperties>
</file>