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<sst xmlns="http://schemas.openxmlformats.org/spreadsheetml/2006/main" count="774" uniqueCount="294">
  <si>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</si>
  <si>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</si>
  <si>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</si>
  <si>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</si>
  <si>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</si>
  <si>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</si>
  <si>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</si>
  <si>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</si>
  <si>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</si>
  <si>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</si>
  <si>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</si>
  <si>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</si>
  <si>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</si>
  <si>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</si>
  <si>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</si>
  <si>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</si>
  <si>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</si>
  <si>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</si>
  <si>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</si>
  <si>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</si>
  <si>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</si>
  <si>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</si>
  <si>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</si>
  <si>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</si>
  <si>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</si>
  <si>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Zahăr, preparate pe bază de zahăr; miere</t>
  </si>
  <si>
    <t>Hrană destinată animalelor (exclusiv cereale nemăcinate)</t>
  </si>
  <si>
    <t>Materiale brute necomestibile, exclusiv combustibili</t>
  </si>
  <si>
    <t>Alte materii brute de origine animală sau vegetală</t>
  </si>
  <si>
    <t>Energie electrică</t>
  </si>
  <si>
    <t>Produse chimice organice</t>
  </si>
  <si>
    <t>Produse chimice anorganice</t>
  </si>
  <si>
    <t>Materiale plastice sub forme primare</t>
  </si>
  <si>
    <t>Materiale plastice prelucrate</t>
  </si>
  <si>
    <t>Mărfuri manufacturate, clasificate mai ales după materia primă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</si>
  <si>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</si>
  <si>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</si>
  <si>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</si>
  <si>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</si>
  <si>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</si>
  <si>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Vehicule rutiere (inclusiv vehicule cu pernă de aer)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</si>
  <si>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</si>
  <si>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</si>
  <si>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</si>
  <si>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</si>
  <si>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</si>
  <si>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</si>
  <si>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</si>
  <si>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</si>
  <si>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</si>
  <si>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</si>
  <si>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</si>
  <si>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</si>
  <si>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</si>
  <si>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</si>
  <si>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</si>
  <si>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</si>
  <si>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</si>
  <si>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</si>
  <si>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</si>
  <si>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</si>
  <si>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</si>
  <si>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</si>
  <si>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</si>
  <si>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</si>
  <si>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</si>
  <si>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</si>
  <si>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</si>
  <si>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</si>
  <si>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</si>
  <si>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</si>
  <si>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</si>
  <si>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</si>
  <si>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</si>
  <si>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</si>
  <si>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</si>
  <si>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</si>
  <si>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</si>
  <si>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</si>
  <si>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</si>
  <si>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</si>
  <si>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</si>
  <si>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</si>
  <si>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</si>
  <si>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</si>
  <si>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</si>
  <si>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</si>
  <si>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</si>
  <si>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</si>
  <si>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</si>
  <si>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</si>
  <si>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</si>
  <si>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</si>
  <si>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</si>
  <si>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</si>
  <si>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</si>
  <si>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</si>
  <si>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</si>
  <si>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</si>
  <si>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</si>
  <si>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</si>
  <si>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</si>
  <si>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</si>
  <si>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</si>
  <si>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</si>
  <si>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</si>
  <si>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</si>
  <si>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</si>
  <si>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</si>
  <si>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</si>
  <si>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BALANŢA COMERCIALĂ – total, mii dolari SUA</t>
  </si>
  <si>
    <t>Oman</t>
  </si>
  <si>
    <t>Ghana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</si>
  <si>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</si>
  <si>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</si>
  <si>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</si>
  <si>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</si>
  <si>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</si>
  <si>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</si>
  <si>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</si>
  <si>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</si>
  <si>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</si>
  <si>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</si>
  <si>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2018¹</t>
  </si>
  <si>
    <t>mii dolari         SUA</t>
  </si>
  <si>
    <t>Belize</t>
  </si>
  <si>
    <t>de 3,2 ori</t>
  </si>
  <si>
    <t>de 3,6 ori</t>
  </si>
  <si>
    <t>-</t>
  </si>
  <si>
    <t>Transport maritim</t>
  </si>
  <si>
    <t>Transport feroviar</t>
  </si>
  <si>
    <t>Transport rutier</t>
  </si>
  <si>
    <t>Transport aerian</t>
  </si>
  <si>
    <t>Celelalte țări ale lumii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</si>
  <si>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</si>
  <si>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</si>
  <si>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</si>
  <si>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</si>
  <si>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</si>
  <si>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</si>
  <si>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</si>
  <si>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</si>
  <si>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</si>
  <si>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</si>
  <si>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</si>
  <si>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</si>
  <si>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</si>
  <si>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</si>
  <si>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</si>
  <si>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</si>
  <si>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</si>
  <si>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</si>
  <si>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</si>
  <si>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</si>
  <si>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</si>
  <si>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</si>
  <si>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</si>
  <si>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</si>
  <si>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</si>
  <si>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</si>
  <si>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</si>
  <si>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</si>
  <si>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</si>
  <si>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 xml:space="preserve">Ţările CSI </t>
  </si>
  <si>
    <t xml:space="preserve">Celelalte ţări ale lumii </t>
  </si>
  <si>
    <t>Bahrain</t>
  </si>
  <si>
    <t>Senegal</t>
  </si>
  <si>
    <t xml:space="preserve">   din care:</t>
  </si>
  <si>
    <t xml:space="preserve">IMPORT - total      </t>
  </si>
  <si>
    <t>Țările Uniunii Europene (UE-28)</t>
  </si>
  <si>
    <t xml:space="preserve">Țările CSI </t>
  </si>
  <si>
    <t xml:space="preserve">Celelalte țări ale lumii </t>
  </si>
  <si>
    <t xml:space="preserve">EXPORT - total      </t>
  </si>
  <si>
    <t>BALANŢA COMERCIALĂ - total, mii dolari SUA</t>
  </si>
  <si>
    <t>Cote D'Ivoire</t>
  </si>
  <si>
    <t>de 9,0 ori</t>
  </si>
  <si>
    <t>de 2,6 ori</t>
  </si>
  <si>
    <t>de 3,3 ori</t>
  </si>
  <si>
    <t>de 73,7 ori</t>
  </si>
  <si>
    <t>de 12,6 ori</t>
  </si>
  <si>
    <t>Madagascar</t>
  </si>
  <si>
    <t>de 7,4 ori</t>
  </si>
  <si>
    <t>de 2,5 ori</t>
  </si>
  <si>
    <t>Ţările Uniunii Europene  (UE-28)</t>
  </si>
  <si>
    <t>Băuturi (alcoolice și nealcoolice)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</si>
  <si>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</si>
  <si>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</si>
  <si>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</si>
  <si>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</si>
  <si>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</si>
  <si>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</si>
  <si>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de 9,5 ori</t>
  </si>
  <si>
    <t>Elveţia</t>
  </si>
  <si>
    <t>în % faţă de ianuarie-aprilie 2018¹</t>
  </si>
  <si>
    <t>ianuarie-aprilie</t>
  </si>
  <si>
    <t>Ianuarie-aprilie 2019</t>
  </si>
  <si>
    <t>Ianuarie-aprilie</t>
  </si>
  <si>
    <t>Ianuarie-aprilie 2019    în % faţă de                          ianuarie-aprilie 2018¹</t>
  </si>
  <si>
    <t>Gibraltar</t>
  </si>
  <si>
    <t>Bosnia şi Herţegovina</t>
  </si>
  <si>
    <t>Mali</t>
  </si>
  <si>
    <t>Somalia</t>
  </si>
  <si>
    <t>de 38,9 ori</t>
  </si>
  <si>
    <t>de 2,7 ori</t>
  </si>
  <si>
    <t>de 7,0 ori</t>
  </si>
  <si>
    <t>de 2,8 ori</t>
  </si>
  <si>
    <t>de 10,3 ori</t>
  </si>
  <si>
    <t>de 2891,7 ori</t>
  </si>
  <si>
    <t>de 6,1 ori</t>
  </si>
  <si>
    <t>de 34,8 ori</t>
  </si>
  <si>
    <t>de 4,1 ori</t>
  </si>
  <si>
    <t>de 9,7 ori</t>
  </si>
  <si>
    <t>de 11,1 ori</t>
  </si>
  <si>
    <t>Macedonia de Nord</t>
  </si>
  <si>
    <t>de 2093,4 ori</t>
  </si>
  <si>
    <t>de 2,3 ori</t>
  </si>
  <si>
    <t>de 3,4 ori</t>
  </si>
  <si>
    <t>de 399,0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</si>
  <si>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</si>
  <si>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</si>
  <si>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</si>
  <si>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</si>
  <si>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</si>
  <si>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</si>
  <si>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</si>
  <si>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</si>
  <si>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</si>
  <si>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Tutun brut şi prelucrat</t>
  </si>
  <si>
    <t>Piei crude, piei tăbăcite şi blănuri brute</t>
  </si>
  <si>
    <t>Seminte şi fructe oleaginoase</t>
  </si>
  <si>
    <t>Lemn şi plută</t>
  </si>
  <si>
    <t>Pasta de hârtie şi deşeuri de hârtie</t>
  </si>
  <si>
    <t>Fibre textile (cu excepţia lânii în fuior şi a lânii pieptănate) şi deseurile lor (neprelucrate în fire sau ţesături)</t>
  </si>
  <si>
    <t>Îngrăşăminte naturale şi minerale naturale (exclusiv cărbune, petrol şi pietre preţioase)</t>
  </si>
  <si>
    <t>Minereuri metalifere şi deşeuri de metale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</si>
  <si>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</si>
  <si>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</si>
  <si>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</si>
  <si>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</si>
  <si>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</si>
  <si>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</si>
  <si>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</si>
  <si>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</si>
  <si>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</si>
  <si>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</si>
  <si>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</si>
  <si>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</si>
  <si>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</si>
  <si>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</si>
  <si>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</si>
  <si>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</si>
  <si>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Masini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</si>
  <si>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</si>
  <si>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</si>
  <si>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</si>
  <si>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</si>
  <si>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părti ale acestora (inclusiv echivalente neelectrice ale maşinilor şi aparatelor de uz casnic)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</si>
  <si>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</si>
  <si>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</si>
  <si>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</si>
  <si>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</si>
  <si>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</si>
  <si>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</si>
  <si>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</si>
  <si>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</si>
  <si>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Aur nemonetar</t>
  </si>
  <si>
    <t>de 34,3 ori</t>
  </si>
  <si>
    <t>Seminţe şi fructe oleaginoase</t>
  </si>
  <si>
    <t>Cauciuc brut (inclusiv cauciuc sintetic şi regenerat)</t>
  </si>
  <si>
    <t>Fibre textile (cu excepţia lânii în fuior şi a lânii pieptănate) şi deşeurile lor (neprelucrate în fire sau ţesături)</t>
  </si>
  <si>
    <t>Cărbune, cocs şi brichete</t>
  </si>
  <si>
    <t>Gaz şi produse industriale obţinute din gaz</t>
  </si>
  <si>
    <t>Uleiuri şi grăsimi de origine animală</t>
  </si>
  <si>
    <t>Alte uleiuri şi grăsimi animale sau vegetale prelucrate; ceară de origine animală sau vegetală, amestecuri sau preparate necomestibile din uleiuri animale sau vegetale</t>
  </si>
  <si>
    <t>Ingrasaminte minerale sau chimice</t>
  </si>
  <si>
    <t>Alte materiale si produse chimice</t>
  </si>
  <si>
    <t>Maşini şi aparate specializate pentru industriile specifice</t>
  </si>
  <si>
    <t>Maşini şi aparate electrice şi părţi ale acestora (inclusiv echivalente neelectrice ale maşinilor şi aparatelor de uz casnic)</t>
  </si>
  <si>
    <t>Operaţiuni neidentificate (ajutor umanitar)</t>
  </si>
  <si>
    <t>de 4,5 ori</t>
  </si>
  <si>
    <t>Monede, care nu au curs legal (cu excepţia monedelor de aur)</t>
  </si>
  <si>
    <t>de 23,0 ori</t>
  </si>
  <si>
    <t>de 4,8 ori</t>
  </si>
  <si>
    <t>de 2,9 ori</t>
  </si>
  <si>
    <t>de 58,4 ori</t>
  </si>
  <si>
    <t>de 678,6 ori</t>
  </si>
  <si>
    <t>de 46,3 ori</t>
  </si>
  <si>
    <t xml:space="preserve">Ţările Uniunii Europene (UE-28) </t>
  </si>
  <si>
    <t>de 8,0 ori</t>
  </si>
  <si>
    <t>de 3,8 ori</t>
  </si>
  <si>
    <t>Kirgizstan</t>
  </si>
  <si>
    <t>de 11,7 ori</t>
  </si>
  <si>
    <t>de 10,0 ori</t>
  </si>
  <si>
    <t>de 7,3 ori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</si>
</sst>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3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5" fontId="12" fillId="0" borderId="0" xfId="0" applyNumberFormat="1" applyFont="1" applyFill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38" fontId="10" fillId="0" borderId="14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4" fontId="57" fillId="0" borderId="0" xfId="0" applyNumberFormat="1" applyFont="1" applyAlignment="1">
      <alignment horizontal="right" vertical="top" wrapText="1"/>
    </xf>
    <xf numFmtId="4" fontId="61" fillId="0" borderId="0" xfId="0" applyNumberFormat="1" applyFont="1" applyFill="1" applyAlignment="1" applyProtection="1">
      <alignment horizontal="right" vertical="top" wrapText="1"/>
      <protection/>
    </xf>
    <xf numFmtId="4" fontId="62" fillId="0" borderId="0" xfId="0" applyNumberFormat="1" applyFont="1" applyAlignment="1">
      <alignment horizontal="right" vertical="top" wrapText="1"/>
    </xf>
    <xf numFmtId="4" fontId="61" fillId="0" borderId="0" xfId="0" applyNumberFormat="1" applyFont="1" applyAlignment="1">
      <alignment horizontal="right" vertical="top" wrapText="1"/>
    </xf>
    <xf numFmtId="4" fontId="61" fillId="0" borderId="0" xfId="0" applyNumberFormat="1" applyFont="1" applyFill="1" applyBorder="1" applyAlignment="1" applyProtection="1">
      <alignment horizontal="right" vertical="top" wrapText="1"/>
      <protection/>
    </xf>
    <xf numFmtId="4" fontId="21" fillId="0" borderId="13" xfId="0" applyNumberFormat="1" applyFont="1" applyFill="1" applyBorder="1" applyAlignment="1" applyProtection="1">
      <alignment horizontal="righ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10" fillId="0" borderId="14" xfId="0" applyNumberFormat="1" applyFont="1" applyFill="1" applyBorder="1" applyAlignment="1" applyProtection="1">
      <alignment horizontal="right" vertical="top" wrapTex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4" fontId="21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63" fillId="0" borderId="0" xfId="0" applyNumberFormat="1" applyFont="1" applyFill="1" applyAlignment="1" applyProtection="1">
      <alignment horizontal="right" vertical="top" wrapText="1"/>
      <protection/>
    </xf>
    <xf numFmtId="4" fontId="21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8"/>
  <sheetViews>
    <sheetView tabSelected="1" zoomScalePageLayoutView="0" workbookViewId="0" topLeftCell="A1">
      <selection activeCell="C79" sqref="C79"/>
    </sheetView>
  </sheetViews>
  <sheetFormatPr defaultColWidth="9.00390625" defaultRowHeight="15.75"/>
  <cols>
    <col min="1" max="1" width="33.37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58" t="s">
        <v>137</v>
      </c>
      <c r="B1" s="58"/>
      <c r="C1" s="58"/>
      <c r="D1" s="58"/>
      <c r="E1" s="58"/>
      <c r="F1" s="58"/>
      <c r="G1" s="58"/>
    </row>
    <row r="2" ht="9" customHeight="1"/>
    <row r="3" spans="1:7" ht="54" customHeight="1">
      <c r="A3" s="59"/>
      <c r="B3" s="62" t="s">
        <v>195</v>
      </c>
      <c r="C3" s="63"/>
      <c r="D3" s="62" t="s">
        <v>121</v>
      </c>
      <c r="E3" s="63"/>
      <c r="F3" s="64" t="s">
        <v>1</v>
      </c>
      <c r="G3" s="65"/>
    </row>
    <row r="4" spans="1:7" ht="24" customHeight="1">
      <c r="A4" s="60"/>
      <c r="B4" s="66" t="s">
        <v>108</v>
      </c>
      <c r="C4" s="68" t="s">
        <v>193</v>
      </c>
      <c r="D4" s="70" t="s">
        <v>194</v>
      </c>
      <c r="E4" s="70"/>
      <c r="F4" s="70" t="s">
        <v>194</v>
      </c>
      <c r="G4" s="62"/>
    </row>
    <row r="5" spans="1:7" ht="29.25" customHeight="1">
      <c r="A5" s="61"/>
      <c r="B5" s="67"/>
      <c r="C5" s="69"/>
      <c r="D5" s="25">
        <v>2018</v>
      </c>
      <c r="E5" s="25">
        <v>2019</v>
      </c>
      <c r="F5" s="25" t="s">
        <v>123</v>
      </c>
      <c r="G5" s="21" t="s">
        <v>148</v>
      </c>
    </row>
    <row r="6" spans="1:7" ht="15.75" customHeight="1">
      <c r="A6" s="28" t="s">
        <v>109</v>
      </c>
      <c r="B6" s="46">
        <f>IF(948747.24899="","-",948747.24899)</f>
        <v>948747.24899</v>
      </c>
      <c r="C6" s="46">
        <f>IF(877651.01761="","-",948747.24899/877651.01761*100)</f>
        <v>108.10074049405283</v>
      </c>
      <c r="D6" s="46">
        <v>100</v>
      </c>
      <c r="E6" s="46">
        <v>100</v>
      </c>
      <c r="F6" s="46">
        <f>IF(682384.58212="","-",(877651.01761-682384.58212)/682384.58212*100)</f>
        <v>28.61530588562764</v>
      </c>
      <c r="G6" s="46">
        <f>IF(877651.01761="","-",(948747.24899-877651.01761)/877651.01761*100)</f>
        <v>8.10074049405283</v>
      </c>
    </row>
    <row r="7" spans="1:7" ht="15.75" customHeight="1">
      <c r="A7" s="29" t="s">
        <v>183</v>
      </c>
      <c r="B7" s="47">
        <f>IF(602244.28662="","-",602244.28662)</f>
        <v>602244.28662</v>
      </c>
      <c r="C7" s="47">
        <f>IF(594677.77735="","-",602244.28662/594677.77735*100)</f>
        <v>101.27237128377622</v>
      </c>
      <c r="D7" s="47">
        <f>IF(594677.77735="","-",594677.77735/877651.01761*100)</f>
        <v>67.75788615495638</v>
      </c>
      <c r="E7" s="47">
        <f>IF(602244.28662="","-",602244.28662/948747.24899*100)</f>
        <v>63.477842730097635</v>
      </c>
      <c r="F7" s="47">
        <f>IF(682384.58212="","-",(594677.77735-429693.99041)/682384.58212*100)</f>
        <v>24.17753731003654</v>
      </c>
      <c r="G7" s="47">
        <f>IF(877651.01761="","-",(602244.28662-594677.77735)/877651.01761*100)</f>
        <v>0.8621318859294428</v>
      </c>
    </row>
    <row r="8" spans="1:7" ht="13.5" customHeight="1">
      <c r="A8" s="30" t="s">
        <v>2</v>
      </c>
      <c r="B8" s="48">
        <f>IF(258326.4489="","-",258326.4489)</f>
        <v>258326.4489</v>
      </c>
      <c r="C8" s="48">
        <f>IF(OR(220622.30211="",258326.4489=""),"-",258326.4489/220622.30211*100)</f>
        <v>117.08990724392001</v>
      </c>
      <c r="D8" s="48">
        <f>IF(220622.30211="","-",220622.30211/877651.01761*100)</f>
        <v>25.137816476393294</v>
      </c>
      <c r="E8" s="48">
        <f>IF(258326.4489="","-",258326.4489/948747.24899*100)</f>
        <v>27.228163156731622</v>
      </c>
      <c r="F8" s="48">
        <f>IF(OR(682384.58212="",166215.85168="",220622.30211=""),"-",(220622.30211-166215.85168)/682384.58212*100)</f>
        <v>7.972989404445895</v>
      </c>
      <c r="G8" s="48">
        <f>IF(OR(877651.01761="",258326.4489="",220622.30211=""),"-",(258326.4489-220622.30211)/877651.01761*100)</f>
        <v>4.296029518962459</v>
      </c>
    </row>
    <row r="9" spans="1:7" ht="15.75" customHeight="1">
      <c r="A9" s="30" t="s">
        <v>3</v>
      </c>
      <c r="B9" s="48">
        <f>IF(98431.34404="","-",98431.34404)</f>
        <v>98431.34404</v>
      </c>
      <c r="C9" s="48">
        <f>IF(OR(103918.87684="",98431.34404=""),"-",98431.34404/103918.87684*100)</f>
        <v>94.71940713095952</v>
      </c>
      <c r="D9" s="48">
        <f>IF(103918.87684="","-",103918.87684/877651.01761*100)</f>
        <v>11.840569287208211</v>
      </c>
      <c r="E9" s="48">
        <f>IF(98431.34404="","-",98431.34404/948747.24899*100)</f>
        <v>10.374875304754374</v>
      </c>
      <c r="F9" s="48">
        <f>IF(OR(682384.58212="",61276.75972="",103918.87684=""),"-",(103918.87684-61276.75972)/682384.58212*100)</f>
        <v>6.248986017169598</v>
      </c>
      <c r="G9" s="48">
        <f>IF(OR(877651.01761="",98431.34404="",103918.87684=""),"-",(98431.34404-103918.87684)/877651.01761*100)</f>
        <v>-0.6252522574341143</v>
      </c>
    </row>
    <row r="10" spans="1:7" s="16" customFormat="1" ht="15.75">
      <c r="A10" s="30" t="s">
        <v>4</v>
      </c>
      <c r="B10" s="48">
        <f>IF(83404.03984="","-",83404.03984)</f>
        <v>83404.03984</v>
      </c>
      <c r="C10" s="48">
        <f>IF(OR(77517.95028="",83404.03984=""),"-",83404.03984/77517.95028*100)</f>
        <v>107.59319556146549</v>
      </c>
      <c r="D10" s="48">
        <f>IF(77517.95028="","-",77517.95028/877651.01761*100)</f>
        <v>8.832434387314356</v>
      </c>
      <c r="E10" s="48">
        <f>IF(83404.03984="","-",83404.03984/948747.24899*100)</f>
        <v>8.79096513099656</v>
      </c>
      <c r="F10" s="48">
        <f>IF(OR(682384.58212="",46518.99388="",77517.95028=""),"-",(77517.95028-46518.99388)/682384.58212*100)</f>
        <v>4.542739858467188</v>
      </c>
      <c r="G10" s="48">
        <f>IF(OR(877651.01761="",83404.03984="",77517.95028=""),"-",(83404.03984-77517.95028)/877651.01761*100)</f>
        <v>0.6706640158669062</v>
      </c>
    </row>
    <row r="11" spans="1:7" s="16" customFormat="1" ht="15.75">
      <c r="A11" s="30" t="s">
        <v>5</v>
      </c>
      <c r="B11" s="48">
        <f>IF(34323.76548="","-",34323.76548)</f>
        <v>34323.76548</v>
      </c>
      <c r="C11" s="48">
        <f>IF(OR(29677.13317="",34323.76548=""),"-",34323.76548/29677.13317*100)</f>
        <v>115.65728159584224</v>
      </c>
      <c r="D11" s="48">
        <f>IF(29677.13317="","-",29677.13317/877651.01761*100)</f>
        <v>3.381427534923405</v>
      </c>
      <c r="E11" s="48">
        <f>IF(34323.76548="","-",34323.76548/948747.24899*100)</f>
        <v>3.617798683109729</v>
      </c>
      <c r="F11" s="48">
        <f>IF(OR(682384.58212="",22501.14699="",29677.13317=""),"-",(29677.13317-22501.14699)/682384.58212*100)</f>
        <v>1.0516043838074398</v>
      </c>
      <c r="G11" s="48">
        <f>IF(OR(877651.01761="",34323.76548="",29677.13317=""),"-",(34323.76548-29677.13317)/877651.01761*100)</f>
        <v>0.529439631102304</v>
      </c>
    </row>
    <row r="12" spans="1:7" s="16" customFormat="1" ht="15.75">
      <c r="A12" s="30" t="s">
        <v>187</v>
      </c>
      <c r="B12" s="48">
        <f>IF(16767.65278="","-",16767.65278)</f>
        <v>16767.65278</v>
      </c>
      <c r="C12" s="48">
        <f>IF(OR(31294.57658="",16767.65278=""),"-",16767.65278/31294.57658*100)</f>
        <v>53.58005958999302</v>
      </c>
      <c r="D12" s="48">
        <f>IF(31294.57658="","-",31294.57658/877651.01761*100)</f>
        <v>3.5657198535724035</v>
      </c>
      <c r="E12" s="48">
        <f>IF(16767.65278="","-",16767.65278/948747.24899*100)</f>
        <v>1.767346656114176</v>
      </c>
      <c r="F12" s="48">
        <f>IF(OR(682384.58212="",37072.43548="",31294.57658=""),"-",(31294.57658-37072.43548)/682384.58212*100)</f>
        <v>-0.846715921108537</v>
      </c>
      <c r="G12" s="48">
        <f>IF(OR(877651.01761="",16767.65278="",31294.57658=""),"-",(16767.65278-31294.57658)/877651.01761*100)</f>
        <v>-1.655205031216098</v>
      </c>
    </row>
    <row r="13" spans="1:7" s="16" customFormat="1" ht="15.75">
      <c r="A13" s="30" t="s">
        <v>7</v>
      </c>
      <c r="B13" s="48">
        <f>IF(16104.20487="","-",16104.20487)</f>
        <v>16104.20487</v>
      </c>
      <c r="C13" s="48">
        <f>IF(OR(13346.83798="",16104.20487=""),"-",16104.20487/13346.83798*100)</f>
        <v>120.65932690673151</v>
      </c>
      <c r="D13" s="48">
        <f>IF(13346.83798="","-",13346.83798/877651.01761*100)</f>
        <v>1.5207454571574266</v>
      </c>
      <c r="E13" s="48">
        <f>IF(16104.20487="","-",16104.20487/948747.24899*100)</f>
        <v>1.697417819882368</v>
      </c>
      <c r="F13" s="48">
        <f>IF(OR(682384.58212="",8704.72309="",13346.83798=""),"-",(13346.83798-8704.72309)/682384.58212*100)</f>
        <v>0.6802783960297136</v>
      </c>
      <c r="G13" s="48">
        <f>IF(OR(877651.01761="",16104.20487="",13346.83798=""),"-",(16104.20487-13346.83798)/877651.01761*100)</f>
        <v>0.3141757754134212</v>
      </c>
    </row>
    <row r="14" spans="1:7" s="16" customFormat="1" ht="15.75">
      <c r="A14" s="30" t="s">
        <v>6</v>
      </c>
      <c r="B14" s="48">
        <f>IF(13833.49188="","-",13833.49188)</f>
        <v>13833.49188</v>
      </c>
      <c r="C14" s="48">
        <f>IF(OR(18571.46893="",13833.49188=""),"-",13833.49188/18571.46893*100)</f>
        <v>74.48787132639593</v>
      </c>
      <c r="D14" s="48">
        <f>IF(18571.46893="","-",18571.46893/877651.01761*100)</f>
        <v>2.1160425450851084</v>
      </c>
      <c r="E14" s="48">
        <f>IF(13833.49188="","-",13833.49188/948747.24899*100)</f>
        <v>1.4580797883447467</v>
      </c>
      <c r="F14" s="48">
        <f>IF(OR(682384.58212="",22436.4284="",18571.46893=""),"-",(18571.46893-22436.4284)/682384.58212*100)</f>
        <v>-0.5663902103404108</v>
      </c>
      <c r="G14" s="48">
        <f>IF(OR(877651.01761="",13833.49188="",18571.46893=""),"-",(13833.49188-18571.46893)/877651.01761*100)</f>
        <v>-0.5398474968903192</v>
      </c>
    </row>
    <row r="15" spans="1:7" s="16" customFormat="1" ht="15.75">
      <c r="A15" s="30" t="s">
        <v>10</v>
      </c>
      <c r="B15" s="48">
        <f>IF(13710.54753="","-",13710.54753)</f>
        <v>13710.54753</v>
      </c>
      <c r="C15" s="48">
        <f>IF(OR(12875.95622="",13710.54753=""),"-",13710.54753/12875.95622*100)</f>
        <v>106.4817812031983</v>
      </c>
      <c r="D15" s="48">
        <f>IF(12875.95622="","-",12875.95622/877651.01761*100)</f>
        <v>1.4670929517137143</v>
      </c>
      <c r="E15" s="48">
        <f>IF(13710.54753="","-",13710.54753/948747.24899*100)</f>
        <v>1.4451211895049734</v>
      </c>
      <c r="F15" s="48">
        <f>IF(OR(682384.58212="",7996.86307="",12875.95622=""),"-",(12875.95622-7996.86307)/682384.58212*100)</f>
        <v>0.7150063582682166</v>
      </c>
      <c r="G15" s="48">
        <f>IF(OR(877651.01761="",13710.54753="",12875.95622=""),"-",(13710.54753-12875.95622)/877651.01761*100)</f>
        <v>0.09509375517762636</v>
      </c>
    </row>
    <row r="16" spans="1:7" s="18" customFormat="1" ht="15.75">
      <c r="A16" s="30" t="s">
        <v>186</v>
      </c>
      <c r="B16" s="48">
        <f>IF(12974.8722="","-",12974.8722)</f>
        <v>12974.8722</v>
      </c>
      <c r="C16" s="48">
        <f>IF(OR(16996.41854="",12974.8722=""),"-",12974.8722/16996.41854*100)</f>
        <v>76.3388602690882</v>
      </c>
      <c r="D16" s="48">
        <f>IF(16996.41854="","-",16996.41854/877651.01761*100)</f>
        <v>1.9365805085356447</v>
      </c>
      <c r="E16" s="48">
        <f>IF(12974.8722="","-",12974.8722/948747.24899*100)</f>
        <v>1.367579427904803</v>
      </c>
      <c r="F16" s="48">
        <f>IF(OR(682384.58212="",12810.60727="",16996.41854=""),"-",(16996.41854-12810.60727)/682384.58212*100)</f>
        <v>0.6134094145262953</v>
      </c>
      <c r="G16" s="48">
        <f>IF(OR(877651.01761="",12974.8722="",16996.41854=""),"-",(12974.8722-16996.41854)/877651.01761*100)</f>
        <v>-0.4582170201262213</v>
      </c>
    </row>
    <row r="17" spans="1:7" s="16" customFormat="1" ht="15.75">
      <c r="A17" s="30" t="s">
        <v>48</v>
      </c>
      <c r="B17" s="48">
        <f>IF(11895.90062="","-",11895.90062)</f>
        <v>11895.90062</v>
      </c>
      <c r="C17" s="48">
        <f>IF(OR(12106.81866="",11895.90062=""),"-",11895.90062/12106.81866*100)</f>
        <v>98.25785744444279</v>
      </c>
      <c r="D17" s="48">
        <f>IF(12106.81866="","-",12106.81866/877651.01761*100)</f>
        <v>1.379457029853281</v>
      </c>
      <c r="E17" s="48">
        <f>IF(11895.90062="","-",11895.90062/948747.24899*100)</f>
        <v>1.2538535034134666</v>
      </c>
      <c r="F17" s="48">
        <f>IF(OR(682384.58212="",9194.09635="",12106.81866=""),"-",(12106.81866-9194.09635)/682384.58212*100)</f>
        <v>0.42684468352888244</v>
      </c>
      <c r="G17" s="48">
        <f>IF(OR(877651.01761="",11895.90062="",12106.81866=""),"-",(11895.90062-12106.81866)/877651.01761*100)</f>
        <v>-0.02403210795269945</v>
      </c>
    </row>
    <row r="18" spans="1:7" s="16" customFormat="1" ht="15.75">
      <c r="A18" s="30" t="s">
        <v>8</v>
      </c>
      <c r="B18" s="48">
        <f>IF(10549.53079="","-",10549.53079)</f>
        <v>10549.53079</v>
      </c>
      <c r="C18" s="48">
        <f>IF(OR(15120.60656="",10549.53079=""),"-",10549.53079/15120.60656*100)</f>
        <v>69.76923014389973</v>
      </c>
      <c r="D18" s="48">
        <f>IF(15120.60656="","-",15120.60656/877651.01761*100)</f>
        <v>1.722849544591893</v>
      </c>
      <c r="E18" s="48">
        <f>IF(10549.53079="","-",10549.53079/948747.24899*100)</f>
        <v>1.111943228423653</v>
      </c>
      <c r="F18" s="48">
        <f>IF(OR(682384.58212="",9771.38746="",15120.60656=""),"-",(15120.60656-9771.38746)/682384.58212*100)</f>
        <v>0.7839009321373148</v>
      </c>
      <c r="G18" s="48">
        <f>IF(OR(877651.01761="",10549.53079="",15120.60656=""),"-",(10549.53079-15120.60656)/877651.01761*100)</f>
        <v>-0.5208306807924468</v>
      </c>
    </row>
    <row r="19" spans="1:7" s="16" customFormat="1" ht="15.75">
      <c r="A19" s="30" t="s">
        <v>9</v>
      </c>
      <c r="B19" s="48">
        <f>IF(8653.08494="","-",8653.08494)</f>
        <v>8653.08494</v>
      </c>
      <c r="C19" s="48">
        <f>IF(OR(12914.10148="",8653.08494=""),"-",8653.08494/12914.10148*100)</f>
        <v>67.00493219292869</v>
      </c>
      <c r="D19" s="48">
        <f>IF(12914.10148="","-",12914.10148/877651.01761*100)</f>
        <v>1.4714392418945057</v>
      </c>
      <c r="E19" s="48">
        <f>IF(8653.08494="","-",8653.08494/948747.24899*100)</f>
        <v>0.9120537581755039</v>
      </c>
      <c r="F19" s="48">
        <f>IF(OR(682384.58212="",8975.66868="",12914.10148=""),"-",(12914.10148-8975.66868)/682384.58212*100)</f>
        <v>0.5771573542538524</v>
      </c>
      <c r="G19" s="48">
        <f>IF(OR(877651.01761="",8653.08494="",12914.10148=""),"-",(8653.08494-12914.10148)/877651.01761*100)</f>
        <v>-0.4855023756029481</v>
      </c>
    </row>
    <row r="20" spans="1:7" s="16" customFormat="1" ht="15.75">
      <c r="A20" s="30" t="s">
        <v>49</v>
      </c>
      <c r="B20" s="48">
        <f>IF(5082.16003="","-",5082.16003)</f>
        <v>5082.16003</v>
      </c>
      <c r="C20" s="48">
        <f>IF(OR(5075.7208="",5082.16003=""),"-",5082.16003/5075.7208*100)</f>
        <v>100.12686336096344</v>
      </c>
      <c r="D20" s="48">
        <f>IF(5075.7208="","-",5075.7208/877651.01761*100)</f>
        <v>0.5783301902642456</v>
      </c>
      <c r="E20" s="48">
        <f>IF(5082.16003="","-",5082.16003/948747.24899*100)</f>
        <v>0.5356705946088669</v>
      </c>
      <c r="F20" s="48">
        <f>IF(OR(682384.58212="",4185.77989="",5075.7208=""),"-",(5075.7208-4185.77989)/682384.58212*100)</f>
        <v>0.130416327290862</v>
      </c>
      <c r="G20" s="48">
        <f>IF(OR(877651.01761="",5082.16003="",5075.7208=""),"-",(5082.16003-5075.7208)/877651.01761*100)</f>
        <v>0.0007336891168354276</v>
      </c>
    </row>
    <row r="21" spans="1:9" s="16" customFormat="1" ht="15.75">
      <c r="A21" s="30" t="s">
        <v>55</v>
      </c>
      <c r="B21" s="48">
        <f>IF(4292.97223="","-",4292.97223)</f>
        <v>4292.97223</v>
      </c>
      <c r="C21" s="48" t="s">
        <v>177</v>
      </c>
      <c r="D21" s="48">
        <f>IF(1318.65657="","-",1318.65657/877651.01761*100)</f>
        <v>0.1502483952665989</v>
      </c>
      <c r="E21" s="48">
        <f>IF(4292.97223="","-",4292.97223/948747.24899*100)</f>
        <v>0.4524885036104331</v>
      </c>
      <c r="F21" s="48">
        <f>IF(OR(682384.58212="",1120.71236="",1318.65657=""),"-",(1318.65657-1120.71236)/682384.58212*100)</f>
        <v>0.02900772016053417</v>
      </c>
      <c r="G21" s="48">
        <f>IF(OR(877651.01761="",4292.97223="",1318.65657=""),"-",(4292.97223-1318.65657)/877651.01761*100)</f>
        <v>0.33889502778673825</v>
      </c>
      <c r="I21" s="16" t="s">
        <v>145</v>
      </c>
    </row>
    <row r="22" spans="1:7" s="16" customFormat="1" ht="15.75">
      <c r="A22" s="30" t="s">
        <v>52</v>
      </c>
      <c r="B22" s="48">
        <f>IF(3530.85724="","-",3530.85724)</f>
        <v>3530.85724</v>
      </c>
      <c r="C22" s="48">
        <f>IF(OR(6696.03526="",3530.85724=""),"-",3530.85724/6696.03526*100)</f>
        <v>52.73056522106785</v>
      </c>
      <c r="D22" s="48">
        <f>IF(6696.03526="","-",6696.03526/877651.01761*100)</f>
        <v>0.7629496377996001</v>
      </c>
      <c r="E22" s="48">
        <f>IF(3530.85724="","-",3530.85724/948747.24899*100)</f>
        <v>0.37215994499681715</v>
      </c>
      <c r="F22" s="48">
        <f>IF(OR(682384.58212="",2283.13173="",6696.03526=""),"-",(6696.03526-2283.13173)/682384.58212*100)</f>
        <v>0.646688633598696</v>
      </c>
      <c r="G22" s="48">
        <f>IF(OR(877651.01761="",3530.85724="",6696.03526=""),"-",(3530.85724-6696.03526)/877651.01761*100)</f>
        <v>-0.3606419814357811</v>
      </c>
    </row>
    <row r="23" spans="1:7" s="9" customFormat="1" ht="15.75">
      <c r="A23" s="30" t="s">
        <v>51</v>
      </c>
      <c r="B23" s="48">
        <f>IF(2938.64359="","-",2938.64359)</f>
        <v>2938.64359</v>
      </c>
      <c r="C23" s="48">
        <f>IF(OR(3445.45744="",2938.64359=""),"-",2938.64359/3445.45744*100)</f>
        <v>85.29037555024914</v>
      </c>
      <c r="D23" s="48">
        <f>IF(3445.45744="","-",3445.45744/877651.01761*100)</f>
        <v>0.392577160040513</v>
      </c>
      <c r="E23" s="48">
        <f>IF(2938.64359="","-",2938.64359/948747.24899*100)</f>
        <v>0.3097393529339208</v>
      </c>
      <c r="F23" s="48">
        <f>IF(OR(682384.58212="",3121.41512="",3445.45744=""),"-",(3445.45744-3121.41512)/682384.58212*100)</f>
        <v>0.047486758712115204</v>
      </c>
      <c r="G23" s="48">
        <f>IF(OR(877651.01761="",2938.64359="",3445.45744=""),"-",(2938.64359-3445.45744)/877651.01761*100)</f>
        <v>-0.05774662591745684</v>
      </c>
    </row>
    <row r="24" spans="1:7" s="9" customFormat="1" ht="15.75">
      <c r="A24" s="30" t="s">
        <v>53</v>
      </c>
      <c r="B24" s="48">
        <f>IF(2440.17441="","-",2440.17441)</f>
        <v>2440.17441</v>
      </c>
      <c r="C24" s="48">
        <f>IF(OR(2063.2324="",2440.17441=""),"-",2440.17441/2063.2324*100)</f>
        <v>118.26948869162777</v>
      </c>
      <c r="D24" s="48">
        <f>IF(2063.2324="","-",2063.2324/877651.01761*100)</f>
        <v>0.23508574121164344</v>
      </c>
      <c r="E24" s="48">
        <f>IF(2440.17441="","-",2440.17441/948747.24899*100)</f>
        <v>0.2571996295744432</v>
      </c>
      <c r="F24" s="48">
        <f>IF(OR(682384.58212="",1471.37503="",2063.2324=""),"-",(2063.2324-1471.37503)/682384.58212*100)</f>
        <v>0.08673369614554385</v>
      </c>
      <c r="G24" s="48">
        <f>IF(OR(877651.01761="",2440.17441="",2063.2324=""),"-",(2440.17441-2063.2324)/877651.01761*100)</f>
        <v>0.04294896290629052</v>
      </c>
    </row>
    <row r="25" spans="1:7" s="16" customFormat="1" ht="15.75">
      <c r="A25" s="30" t="s">
        <v>50</v>
      </c>
      <c r="B25" s="48">
        <f>IF(2369.67324="","-",2369.67324)</f>
        <v>2369.67324</v>
      </c>
      <c r="C25" s="48">
        <f>IF(OR(2645.57449="",2369.67324=""),"-",2369.67324/2645.57449*100)</f>
        <v>89.57121596678232</v>
      </c>
      <c r="D25" s="48">
        <f>IF(2645.57449="","-",2645.57449/877651.01761*100)</f>
        <v>0.3014380929226711</v>
      </c>
      <c r="E25" s="48">
        <f>IF(2369.67324="","-",2369.67324/948747.24899*100)</f>
        <v>0.24976865466779097</v>
      </c>
      <c r="F25" s="48">
        <f>IF(OR(682384.58212="",1483.65459="",2645.57449=""),"-",(2645.57449-1483.65459)/682384.58212*100)</f>
        <v>0.170273469015112</v>
      </c>
      <c r="G25" s="48">
        <f>IF(OR(877651.01761="",2369.67324="",2645.57449=""),"-",(2369.67324-2645.57449)/877651.01761*100)</f>
        <v>-0.03143632770475537</v>
      </c>
    </row>
    <row r="26" spans="1:7" s="16" customFormat="1" ht="15.75">
      <c r="A26" s="30" t="s">
        <v>54</v>
      </c>
      <c r="B26" s="48">
        <f>IF(1026.14482="","-",1026.14482)</f>
        <v>1026.14482</v>
      </c>
      <c r="C26" s="48">
        <f>IF(OR(1256.47745="",1026.14482=""),"-",1026.14482/1256.47745*100)</f>
        <v>81.66838330445165</v>
      </c>
      <c r="D26" s="48">
        <f>IF(1256.47745="","-",1256.47745/877651.01761*100)</f>
        <v>0.14316367494469634</v>
      </c>
      <c r="E26" s="48">
        <f>IF(1026.14482="","-",1026.14482/948747.24899*100)</f>
        <v>0.10815787040145777</v>
      </c>
      <c r="F26" s="48">
        <f>IF(OR(682384.58212="",943.78821="",1256.47745=""),"-",(1256.47745-943.78821)/682384.58212*100)</f>
        <v>0.04582302241187103</v>
      </c>
      <c r="G26" s="48">
        <f>IF(OR(877651.01761="",1026.14482="",1256.47745=""),"-",(1026.14482-1256.47745)/877651.01761*100)</f>
        <v>-0.026244216138122518</v>
      </c>
    </row>
    <row r="27" spans="1:7" s="9" customFormat="1" ht="15.75">
      <c r="A27" s="30" t="s">
        <v>63</v>
      </c>
      <c r="B27" s="48">
        <f>IF(460.80304="","-",460.80304)</f>
        <v>460.80304</v>
      </c>
      <c r="C27" s="48">
        <f>IF(OR(573.68424="",460.80304=""),"-",460.80304/573.68424*100)</f>
        <v>80.32346156136344</v>
      </c>
      <c r="D27" s="48">
        <f>IF(573.68424="","-",573.68424/877651.01761*100)</f>
        <v>0.06536587191139417</v>
      </c>
      <c r="E27" s="48">
        <f>IF(460.80304="","-",460.80304/948747.24899*100)</f>
        <v>0.04856963121532666</v>
      </c>
      <c r="F27" s="48">
        <f>IF(OR(682384.58212="",15.78333="",573.68424=""),"-",(573.68424-15.78333)/682384.58212*100)</f>
        <v>0.08175754913259324</v>
      </c>
      <c r="G27" s="48">
        <f>IF(OR(877651.01761="",460.80304="",573.68424=""),"-",(460.80304-573.68424)/877651.01761*100)</f>
        <v>-0.012861740912395413</v>
      </c>
    </row>
    <row r="28" spans="1:7" s="9" customFormat="1" ht="15.75">
      <c r="A28" s="30" t="s">
        <v>57</v>
      </c>
      <c r="B28" s="48">
        <f>IF(365.4901="","-",365.4901)</f>
        <v>365.4901</v>
      </c>
      <c r="C28" s="48" t="s">
        <v>202</v>
      </c>
      <c r="D28" s="48">
        <f>IF(9.38847="","-",9.38847/877651.01761*100)</f>
        <v>0.0010697270112631414</v>
      </c>
      <c r="E28" s="48">
        <f>IF(365.4901="","-",365.4901/948747.24899*100)</f>
        <v>0.038523442401449566</v>
      </c>
      <c r="F28" s="48">
        <f>IF(OR(682384.58212="",21.23394="",9.38847=""),"-",(9.38847-21.23394)/682384.58212*100)</f>
        <v>-0.0017358935577352962</v>
      </c>
      <c r="G28" s="48">
        <f>IF(OR(877651.01761="",365.4901="",9.38847=""),"-",(365.4901-9.38847)/877651.01761*100)</f>
        <v>0.040574399488503776</v>
      </c>
    </row>
    <row r="29" spans="1:7" s="9" customFormat="1" ht="15.75">
      <c r="A29" s="30" t="s">
        <v>58</v>
      </c>
      <c r="B29" s="48">
        <f>IF(328.94668="","-",328.94668)</f>
        <v>328.94668</v>
      </c>
      <c r="C29" s="48">
        <f>IF(OR(402.38309="",328.94668=""),"-",328.94668/402.38309*100)</f>
        <v>81.74962819635388</v>
      </c>
      <c r="D29" s="48">
        <f>IF(402.38309="","-",402.38309/877651.01761*100)</f>
        <v>0.045847732404590696</v>
      </c>
      <c r="E29" s="48">
        <f>IF(328.94668="","-",328.94668/948747.24899*100)</f>
        <v>0.034671687359324</v>
      </c>
      <c r="F29" s="48">
        <f>IF(OR(682384.58212="",623.85881="",402.38309=""),"-",(402.38309-623.85881)/682384.58212*100)</f>
        <v>-0.03245614361800639</v>
      </c>
      <c r="G29" s="48">
        <f>IF(OR(877651.01761="",328.94668="",402.38309=""),"-",(328.94668-402.38309)/877651.01761*100)</f>
        <v>-0.008367381627378543</v>
      </c>
    </row>
    <row r="30" spans="1:7" s="9" customFormat="1" ht="15.75">
      <c r="A30" s="30" t="s">
        <v>188</v>
      </c>
      <c r="B30" s="48">
        <f>IF(166.64133="","-",166.64133)</f>
        <v>166.64133</v>
      </c>
      <c r="C30" s="48">
        <f>IF(OR(248.66286="",166.64133=""),"-",166.64133/248.66286*100)</f>
        <v>67.01496556421816</v>
      </c>
      <c r="D30" s="48">
        <f>IF(248.66286="","-",248.66286/877651.01761*100)</f>
        <v>0.028332771797741803</v>
      </c>
      <c r="E30" s="48">
        <f>IF(166.64133="","-",166.64133/948747.24899*100)</f>
        <v>0.017564354487182965</v>
      </c>
      <c r="F30" s="48">
        <f>IF(OR(682384.58212="",54.57181="",248.66286=""),"-",(248.66286-54.57181)/682384.58212*100)</f>
        <v>0.028443059102684753</v>
      </c>
      <c r="G30" s="48">
        <f>IF(OR(877651.01761="",166.64133="",248.66286=""),"-",(166.64133-248.66286)/877651.01761*100)</f>
        <v>-0.009345574534096618</v>
      </c>
    </row>
    <row r="31" spans="1:7" s="9" customFormat="1" ht="15.75">
      <c r="A31" s="30" t="s">
        <v>56</v>
      </c>
      <c r="B31" s="48">
        <f>IF(162.20684="","-",162.20684)</f>
        <v>162.20684</v>
      </c>
      <c r="C31" s="48">
        <f>IF(OR(811.29002="",162.20684=""),"-",162.20684/811.29002*100)</f>
        <v>19.99369350063002</v>
      </c>
      <c r="D31" s="48">
        <f>IF(811.29002="","-",811.29002/877651.01761*100)</f>
        <v>0.09243879443212943</v>
      </c>
      <c r="E31" s="48">
        <f>IF(162.20684="","-",162.20684/948747.24899*100)</f>
        <v>0.01709694970632897</v>
      </c>
      <c r="F31" s="48">
        <f>IF(OR(682384.58212="",652.92746="",811.29002=""),"-",(811.29002-652.92746)/682384.58212*100)</f>
        <v>0.023207230079555247</v>
      </c>
      <c r="G31" s="48">
        <f>IF(OR(877651.01761="",162.20684="",811.29002=""),"-",(162.20684-811.29002)/877651.01761*100)</f>
        <v>-0.07395686519769204</v>
      </c>
    </row>
    <row r="32" spans="1:7" s="9" customFormat="1" ht="15.75">
      <c r="A32" s="30" t="s">
        <v>62</v>
      </c>
      <c r="B32" s="48">
        <f>IF(39.75135="","-",39.75135)</f>
        <v>39.75135</v>
      </c>
      <c r="C32" s="48" t="s">
        <v>175</v>
      </c>
      <c r="D32" s="48">
        <f>IF(4.42339="","-",4.42339/877651.01761*100)</f>
        <v>0.0005040032896042984</v>
      </c>
      <c r="E32" s="48">
        <f>IF(39.75135="","-",39.75135/948747.24899*100)</f>
        <v>0.004189877761681815</v>
      </c>
      <c r="F32" s="48">
        <f>IF(OR(682384.58212="",2.7095="",4.42339=""),"-",(4.42339-2.7095)/682384.58212*100)</f>
        <v>0.0002511618880185377</v>
      </c>
      <c r="G32" s="48">
        <f>IF(OR(877651.01761="",39.75135="",4.42339=""),"-",(39.75135-4.42339)/877651.01761*100)</f>
        <v>0.004025285596569389</v>
      </c>
    </row>
    <row r="33" spans="1:7" s="9" customFormat="1" ht="15.75">
      <c r="A33" s="30" t="s">
        <v>60</v>
      </c>
      <c r="B33" s="48">
        <f>IF(31.66733="","-",31.66733)</f>
        <v>31.66733</v>
      </c>
      <c r="C33" s="48" t="str">
        <f>IF(OR(""="",31.66733=""),"-",31.66733/""*100)</f>
        <v>-</v>
      </c>
      <c r="D33" s="48" t="str">
        <f>IF(""="","-",""/877651.01761*100)</f>
        <v>-</v>
      </c>
      <c r="E33" s="48">
        <f>IF(31.66733="","-",31.66733/948747.24899*100)</f>
        <v>0.0033378046717618235</v>
      </c>
      <c r="F33" s="48" t="str">
        <f>IF(OR(682384.58212="",53.10608="",""=""),"-",(""-53.10608)/682384.58212*100)</f>
        <v>-</v>
      </c>
      <c r="G33" s="48" t="str">
        <f>IF(OR(877651.01761="",31.66733="",""=""),"-",(31.66733-"")/877651.01761*100)</f>
        <v>-</v>
      </c>
    </row>
    <row r="34" spans="1:7" s="9" customFormat="1" ht="15.75">
      <c r="A34" s="30" t="s">
        <v>59</v>
      </c>
      <c r="B34" s="48">
        <f>IF(26.77361="","-",26.77361)</f>
        <v>26.77361</v>
      </c>
      <c r="C34" s="48">
        <f>IF(OR(4852.10767="",26.77361=""),"-",26.77361/4852.10767*100)</f>
        <v>0.5517934023916662</v>
      </c>
      <c r="D34" s="48">
        <f>IF(4852.10767="","-",4852.10767/877651.01761*100)</f>
        <v>0.5528515973482436</v>
      </c>
      <c r="E34" s="48">
        <f>IF(26.77361="","-",26.77361/948747.24899*100)</f>
        <v>0.0028219960614907884</v>
      </c>
      <c r="F34" s="48">
        <f>IF(OR(682384.58212="",45.11105="",4852.10767=""),"-",(4852.10767-45.11105)/682384.58212*100)</f>
        <v>0.7044409774127445</v>
      </c>
      <c r="G34" s="48">
        <f>IF(OR(877651.01761="",26.77361="",4852.10767=""),"-",(26.77361-4852.10767)/877651.01761*100)</f>
        <v>-0.5498009987090592</v>
      </c>
    </row>
    <row r="35" spans="1:7" s="9" customFormat="1" ht="14.25" customHeight="1">
      <c r="A35" s="30" t="s">
        <v>61</v>
      </c>
      <c r="B35" s="48">
        <f>IF(6.49691="","-",6.49691)</f>
        <v>6.49691</v>
      </c>
      <c r="C35" s="48">
        <f>IF(OR(311.63585="",6.49691=""),"-",6.49691/311.63585*100)</f>
        <v>2.084776189902413</v>
      </c>
      <c r="D35" s="48">
        <f>IF(311.63585="","-",311.63585/877651.01761*100)</f>
        <v>0.035507946068203726</v>
      </c>
      <c r="E35" s="48">
        <f>IF(6.49691="","-",6.49691/948747.24899*100)</f>
        <v>0.000684788283382783</v>
      </c>
      <c r="F35" s="48">
        <f>IF(OR(682384.58212="",139.86943="",311.63585=""),"-",(311.63585-139.86943)/682384.58212*100)</f>
        <v>0.025171497788880903</v>
      </c>
      <c r="G35" s="48">
        <f>IF(OR(877651.01761="",6.49691="",311.63585=""),"-",(6.49691-311.63585)/877651.01761*100)</f>
        <v>-0.03476768486305042</v>
      </c>
    </row>
    <row r="36" spans="1:7" s="17" customFormat="1" ht="14.25" customHeight="1">
      <c r="A36" s="29" t="s">
        <v>163</v>
      </c>
      <c r="B36" s="47">
        <f>IF(139044.97701="","-",139044.97701)</f>
        <v>139044.97701</v>
      </c>
      <c r="C36" s="47">
        <f>IF(142764.8402="","-",139044.97701/142764.8402*100)</f>
        <v>97.39441224828968</v>
      </c>
      <c r="D36" s="47">
        <f>IF(142764.8402="","-",142764.8402/877651.01761*100)</f>
        <v>16.26669796256536</v>
      </c>
      <c r="E36" s="47">
        <f>IF(139044.97701="","-",139044.97701/948747.24899*100)</f>
        <v>14.655639545518785</v>
      </c>
      <c r="F36" s="47">
        <f>IF(682384.58212="","-",(142764.8402-143268.42372)/682384.58212*100)</f>
        <v>-0.07379761108251834</v>
      </c>
      <c r="G36" s="47">
        <f>IF(877651.01761="","-",(139044.97701-142764.8402)/877651.01761*100)</f>
        <v>-0.4238430897203143</v>
      </c>
    </row>
    <row r="37" spans="1:7" s="17" customFormat="1" ht="14.25" customHeight="1">
      <c r="A37" s="30" t="s">
        <v>189</v>
      </c>
      <c r="B37" s="48">
        <f>IF(80683.23733="","-",80683.23733)</f>
        <v>80683.23733</v>
      </c>
      <c r="C37" s="48">
        <f>IF(OR(74326.54526="",80683.23733=""),"-",80683.23733/74326.54526*100)</f>
        <v>108.55238468001414</v>
      </c>
      <c r="D37" s="48">
        <f>IF(74326.54526="","-",74326.54526/877651.01761*100)</f>
        <v>8.468804088258727</v>
      </c>
      <c r="E37" s="48">
        <f>IF(80683.23733="","-",80683.23733/948747.24899*100)</f>
        <v>8.504186696287372</v>
      </c>
      <c r="F37" s="48">
        <f>IF(OR(682384.58212="",81310.32899="",74326.54526=""),"-",(74326.54526-81310.32899)/682384.58212*100)</f>
        <v>-1.0234380894572834</v>
      </c>
      <c r="G37" s="48">
        <f>IF(OR(877651.01761="",80683.23733="",74326.54526=""),"-",(80683.23733-74326.54526)/877651.01761*100)</f>
        <v>0.7242847034246493</v>
      </c>
    </row>
    <row r="38" spans="1:7" s="17" customFormat="1" ht="14.25" customHeight="1">
      <c r="A38" s="30" t="s">
        <v>11</v>
      </c>
      <c r="B38" s="48">
        <f>IF(29234.97138="","-",29234.97138)</f>
        <v>29234.97138</v>
      </c>
      <c r="C38" s="48">
        <f>IF(OR(35259.40404="",29234.97138=""),"-",29234.97138/35259.40404*100)</f>
        <v>82.91396912674533</v>
      </c>
      <c r="D38" s="48">
        <f>IF(35259.40404="","-",35259.40404/877651.01761*100)</f>
        <v>4.017474295878746</v>
      </c>
      <c r="E38" s="48">
        <f>IF(29234.97138="","-",29234.97138/948747.24899*100)</f>
        <v>3.0814288432585633</v>
      </c>
      <c r="F38" s="48">
        <f>IF(OR(682384.58212="",39904.07583="",35259.40404=""),"-",(35259.40404-39904.07583)/682384.58212*100)</f>
        <v>-0.6806530967581587</v>
      </c>
      <c r="G38" s="48">
        <f>IF(OR(877651.01761="",29234.97138="",35259.40404=""),"-",(29234.97138-35259.40404)/877651.01761*100)</f>
        <v>-0.686426898518913</v>
      </c>
    </row>
    <row r="39" spans="1:7" s="15" customFormat="1" ht="14.25" customHeight="1">
      <c r="A39" s="30" t="s">
        <v>12</v>
      </c>
      <c r="B39" s="48">
        <f>IF(23341.71904="","-",23341.71904)</f>
        <v>23341.71904</v>
      </c>
      <c r="C39" s="48">
        <f>IF(OR(24727.47955="",23341.71904=""),"-",23341.71904/24727.47955*100)</f>
        <v>94.3958683407343</v>
      </c>
      <c r="D39" s="48">
        <f>IF(24727.47955="","-",24727.47955/877651.01761*100)</f>
        <v>2.817461502789267</v>
      </c>
      <c r="E39" s="48">
        <f>IF(23341.71904="","-",23341.71904/948747.24899*100)</f>
        <v>2.460267375199106</v>
      </c>
      <c r="F39" s="48">
        <f>IF(OR(682384.58212="",15620.38204="",24727.47955=""),"-",(24727.47955-15620.38204)/682384.58212*100)</f>
        <v>1.3345989561643525</v>
      </c>
      <c r="G39" s="48">
        <f>IF(OR(877651.01761="",23341.71904="",24727.47955=""),"-",(23341.71904-24727.47955)/877651.01761*100)</f>
        <v>-0.1578942520654363</v>
      </c>
    </row>
    <row r="40" spans="1:7" s="17" customFormat="1" ht="14.25" customHeight="1">
      <c r="A40" s="30" t="s">
        <v>13</v>
      </c>
      <c r="B40" s="48">
        <f>IF(2545.94653="","-",2545.94653)</f>
        <v>2545.94653</v>
      </c>
      <c r="C40" s="48">
        <f>IF(OR(4731.31817="",2545.94653=""),"-",2545.94653/4731.31817*100)</f>
        <v>53.81051196563262</v>
      </c>
      <c r="D40" s="48">
        <f>IF(4731.31817="","-",4731.31817/877651.01761*100)</f>
        <v>0.5390887807416006</v>
      </c>
      <c r="E40" s="48">
        <f>IF(2545.94653="","-",2545.94653/948747.24899*100)</f>
        <v>0.26834823844920946</v>
      </c>
      <c r="F40" s="48">
        <f>IF(OR(682384.58212="",2985.30313="",4731.31817=""),"-",(4731.31817-2985.30313)/682384.58212*100)</f>
        <v>0.2558696497179879</v>
      </c>
      <c r="G40" s="48">
        <f>IF(OR(877651.01761="",2545.94653="",4731.31817=""),"-",(2545.94653-4731.31817)/877651.01761*100)</f>
        <v>-0.24900234787525863</v>
      </c>
    </row>
    <row r="41" spans="1:7" s="15" customFormat="1" ht="14.25" customHeight="1">
      <c r="A41" s="30" t="s">
        <v>14</v>
      </c>
      <c r="B41" s="48">
        <f>IF(1306.58021="","-",1306.58021)</f>
        <v>1306.58021</v>
      </c>
      <c r="C41" s="48">
        <f>IF(OR(1594.69013="",1306.58021=""),"-",1306.58021/1594.69013*100)</f>
        <v>81.93317218311248</v>
      </c>
      <c r="D41" s="48">
        <f>IF(1594.69013="","-",1594.69013/877651.01761*100)</f>
        <v>0.18169979843954664</v>
      </c>
      <c r="E41" s="48">
        <f>IF(1306.58021="","-",1306.58021/948747.24899*100)</f>
        <v>0.1377163634878452</v>
      </c>
      <c r="F41" s="48">
        <f>IF(OR(682384.58212="",1143.54761="",1594.69013=""),"-",(1594.69013-1143.54761)/682384.58212*100)</f>
        <v>0.06611264847139596</v>
      </c>
      <c r="G41" s="48">
        <f>IF(OR(877651.01761="",1306.58021="",1594.69013=""),"-",(1306.58021-1594.69013)/877651.01761*100)</f>
        <v>-0.03282738972770458</v>
      </c>
    </row>
    <row r="42" spans="1:7" s="15" customFormat="1" ht="14.25" customHeight="1">
      <c r="A42" s="30" t="s">
        <v>15</v>
      </c>
      <c r="B42" s="48">
        <f>IF(1128.70152="","-",1128.70152)</f>
        <v>1128.70152</v>
      </c>
      <c r="C42" s="48">
        <f>IF(OR(845.20167="",1128.70152=""),"-",1128.70152/845.20167*100)</f>
        <v>133.54227281638003</v>
      </c>
      <c r="D42" s="48">
        <f>IF(845.20167="","-",845.20167/877651.01761*100)</f>
        <v>0.09630270495232088</v>
      </c>
      <c r="E42" s="48">
        <f>IF(1128.70152="","-",1128.70152/948747.24899*100)</f>
        <v>0.11896756709456312</v>
      </c>
      <c r="F42" s="48">
        <f>IF(OR(682384.58212="",1619.1836="",845.20167=""),"-",(845.20167-1619.1836)/682384.58212*100)</f>
        <v>-0.11342312682321011</v>
      </c>
      <c r="G42" s="48">
        <f>IF(OR(877651.01761="",1128.70152="",845.20167=""),"-",(1128.70152-845.20167)/877651.01761*100)</f>
        <v>0.03230211602466099</v>
      </c>
    </row>
    <row r="43" spans="1:7" s="15" customFormat="1" ht="14.25" customHeight="1">
      <c r="A43" s="30" t="s">
        <v>17</v>
      </c>
      <c r="B43" s="48">
        <f>IF(346.55142="","-",346.55142)</f>
        <v>346.55142</v>
      </c>
      <c r="C43" s="48">
        <f>IF(OR(707.32884="",346.55142=""),"-",346.55142/707.32884*100)</f>
        <v>48.99438569477812</v>
      </c>
      <c r="D43" s="48">
        <f>IF(707.32884="","-",707.32884/877651.01761*100)</f>
        <v>0.08059340510151546</v>
      </c>
      <c r="E43" s="48">
        <f>IF(346.55142="","-",346.55142/948747.24899*100)</f>
        <v>0.03652726480829593</v>
      </c>
      <c r="F43" s="48">
        <f>IF(OR(682384.58212="",193.05226="",707.32884=""),"-",(707.32884-193.05226)/682384.58212*100)</f>
        <v>0.07536462479885901</v>
      </c>
      <c r="G43" s="48">
        <f>IF(OR(877651.01761="",346.55142="",707.32884=""),"-",(346.55142-707.32884)/877651.01761*100)</f>
        <v>-0.04110716136152399</v>
      </c>
    </row>
    <row r="44" spans="1:7" s="15" customFormat="1" ht="14.25" customHeight="1">
      <c r="A44" s="30" t="s">
        <v>151</v>
      </c>
      <c r="B44" s="48">
        <f>IF(230.13975="","-",230.13975)</f>
        <v>230.13975</v>
      </c>
      <c r="C44" s="48">
        <f>IF(OR(303.09767="",230.13975=""),"-",230.13975/303.09767*100)</f>
        <v>75.92923759526096</v>
      </c>
      <c r="D44" s="48">
        <f>IF(303.09767="","-",303.09767/877651.01761*100)</f>
        <v>0.03453510152878179</v>
      </c>
      <c r="E44" s="48">
        <f>IF(230.13975="","-",230.13975/948747.24899*100)</f>
        <v>0.02425722448681648</v>
      </c>
      <c r="F44" s="48">
        <f>IF(OR(682384.58212="",193.92242="",303.09767=""),"-",(303.09767-193.92242)/682384.58212*100)</f>
        <v>0.015999079237813303</v>
      </c>
      <c r="G44" s="48">
        <f>IF(OR(877651.01761="",230.13975="",303.09767=""),"-",(230.13975-303.09767)/877651.01761*100)</f>
        <v>-0.008312862235228464</v>
      </c>
    </row>
    <row r="45" spans="1:7" s="15" customFormat="1" ht="14.25" customHeight="1">
      <c r="A45" s="30" t="s">
        <v>16</v>
      </c>
      <c r="B45" s="48">
        <f>IF(153.20977="","-",153.20977)</f>
        <v>153.20977</v>
      </c>
      <c r="C45" s="48" t="s">
        <v>203</v>
      </c>
      <c r="D45" s="48">
        <f>IF(55.94648="","-",55.94648/877651.01761*100)</f>
        <v>0.006374570173957324</v>
      </c>
      <c r="E45" s="48">
        <f>IF(153.20977="","-",153.20977/948747.24899*100)</f>
        <v>0.01614863918320725</v>
      </c>
      <c r="F45" s="48">
        <f>IF(OR(682384.58212="",116.31309="",55.94648=""),"-",(55.94648-116.31309)/682384.58212*100)</f>
        <v>-0.008846420564259508</v>
      </c>
      <c r="G45" s="48">
        <f>IF(OR(877651.01761="",153.20977="",55.94648=""),"-",(153.20977-55.94648)/877651.01761*100)</f>
        <v>0.011082228362802477</v>
      </c>
    </row>
    <row r="46" spans="1:7" s="9" customFormat="1" ht="15.75">
      <c r="A46" s="30" t="s">
        <v>18</v>
      </c>
      <c r="B46" s="48">
        <f>IF(73.92006="","-",73.92006)</f>
        <v>73.92006</v>
      </c>
      <c r="C46" s="48">
        <f>IF(OR(213.82839="",73.92006=""),"-",73.92006/213.82839*100)</f>
        <v>34.56980618897238</v>
      </c>
      <c r="D46" s="48">
        <f>IF(213.82839="","-",213.82839/877651.01761*100)</f>
        <v>0.024363714700894757</v>
      </c>
      <c r="E46" s="48">
        <f>IF(73.92006="","-",73.92006/948747.24899*100)</f>
        <v>0.007791333263805768</v>
      </c>
      <c r="F46" s="48">
        <f>IF(OR(682384.58212="",182.31475="",213.82839=""),"-",(213.82839-182.31475)/682384.58212*100)</f>
        <v>0.004618164129982968</v>
      </c>
      <c r="G46" s="48">
        <f>IF(OR(877651.01761="",73.92006="",213.82839=""),"-",(73.92006-213.82839)/877651.01761*100)</f>
        <v>-0.01594122574836127</v>
      </c>
    </row>
    <row r="47" spans="1:7" s="9" customFormat="1" ht="15.75">
      <c r="A47" s="29" t="s">
        <v>164</v>
      </c>
      <c r="B47" s="47">
        <f>IF(207457.98536="","-",207457.98536)</f>
        <v>207457.98536</v>
      </c>
      <c r="C47" s="47">
        <f>IF(140208.40006="","-",207457.98536/140208.40006*100)</f>
        <v>147.96402018083194</v>
      </c>
      <c r="D47" s="47">
        <f>IF(140208.40006="","-",140208.40006/877651.01761*100)</f>
        <v>15.975415882478261</v>
      </c>
      <c r="E47" s="47">
        <f>IF(207457.98536="","-",207457.98536/948747.24899*100)</f>
        <v>21.866517724383584</v>
      </c>
      <c r="F47" s="47">
        <f>IF(682384.58212="","-",(140208.40006-109422.16799)/682384.58212*100)</f>
        <v>4.511566186673621</v>
      </c>
      <c r="G47" s="47">
        <f>IF(877651.01761="","-",(207457.98536-140208.40006)/877651.01761*100)</f>
        <v>7.662451697843703</v>
      </c>
    </row>
    <row r="48" spans="1:7" s="16" customFormat="1" ht="15.75">
      <c r="A48" s="30" t="s">
        <v>64</v>
      </c>
      <c r="B48" s="48">
        <f>IF(95759.85917="","-",95759.85917)</f>
        <v>95759.85917</v>
      </c>
      <c r="C48" s="48" t="s">
        <v>182</v>
      </c>
      <c r="D48" s="48">
        <f>IF(37989.82219="","-",37989.82219/877651.01761*100)</f>
        <v>4.328579518252374</v>
      </c>
      <c r="E48" s="48">
        <f>IF(95759.85917="","-",95759.85917/948747.24899*100)</f>
        <v>10.093295055341903</v>
      </c>
      <c r="F48" s="48">
        <f>IF(OR(682384.58212="",34076.61162="",37989.82219=""),"-",(37989.82219-34076.61162)/682384.58212*100)</f>
        <v>0.5734611643543613</v>
      </c>
      <c r="G48" s="48">
        <f>IF(OR(877651.01761="",95759.85917="",37989.82219=""),"-",(95759.85917-37989.82219)/877651.01761*100)</f>
        <v>6.582347176821841</v>
      </c>
    </row>
    <row r="49" spans="1:7" s="18" customFormat="1" ht="15.75">
      <c r="A49" s="30" t="s">
        <v>192</v>
      </c>
      <c r="B49" s="48">
        <f>IF(27795.22601="","-",27795.22601)</f>
        <v>27795.22601</v>
      </c>
      <c r="C49" s="48">
        <f>IF(OR(24760.19445="",27795.22601=""),"-",27795.22601/24760.19445*100)</f>
        <v>112.25770486628792</v>
      </c>
      <c r="D49" s="48">
        <f>IF(24760.19445="","-",24760.19445/877651.01761*100)</f>
        <v>2.821189055010318</v>
      </c>
      <c r="E49" s="48">
        <f>IF(27795.22601="","-",27795.22601/948747.24899*100)</f>
        <v>2.9296765855805886</v>
      </c>
      <c r="F49" s="48">
        <f>IF(OR(682384.58212="",9045.55388="",24760.19445=""),"-",(24760.19445-9045.55388)/682384.58212*100)</f>
        <v>2.30290088342537</v>
      </c>
      <c r="G49" s="48">
        <f>IF(OR(877651.01761="",27795.22601="",24760.19445=""),"-",(27795.22601-24760.19445)/877651.01761*100)</f>
        <v>0.3458130280831817</v>
      </c>
    </row>
    <row r="50" spans="1:7" s="9" customFormat="1" ht="15.75">
      <c r="A50" s="30" t="s">
        <v>19</v>
      </c>
      <c r="B50" s="48">
        <f>IF(7150.09948="","-",7150.09948)</f>
        <v>7150.09948</v>
      </c>
      <c r="C50" s="48">
        <f>IF(OR(6531.48066="",7150.09948=""),"-",7150.09948/6531.48066*100)</f>
        <v>109.47134121958801</v>
      </c>
      <c r="D50" s="48">
        <f>IF(6531.48066="","-",6531.48066/877651.01761*100)</f>
        <v>0.7442002036055727</v>
      </c>
      <c r="E50" s="48">
        <f>IF(7150.09948="","-",7150.09948/948747.24899*100)</f>
        <v>0.753635859035346</v>
      </c>
      <c r="F50" s="48">
        <f>IF(OR(682384.58212="",4934.10923="",6531.48066=""),"-",(6531.48066-4934.10923)/682384.58212*100)</f>
        <v>0.23408668247417935</v>
      </c>
      <c r="G50" s="48">
        <f>IF(OR(877651.01761="",7150.09948="",6531.48066=""),"-",(7150.09948-6531.48066)/877651.01761*100)</f>
        <v>0.07048574064035258</v>
      </c>
    </row>
    <row r="51" spans="1:7" s="18" customFormat="1" ht="15.75">
      <c r="A51" s="30" t="s">
        <v>66</v>
      </c>
      <c r="B51" s="48">
        <f>IF(5685.90316="","-",5685.90316)</f>
        <v>5685.90316</v>
      </c>
      <c r="C51" s="48">
        <f>IF(OR(7463.12046="",5685.90316=""),"-",5685.90316/7463.12046*100)</f>
        <v>76.18667272590157</v>
      </c>
      <c r="D51" s="48">
        <f>IF(7463.12046="","-",7463.12046/877651.01761*100)</f>
        <v>0.8503517127255666</v>
      </c>
      <c r="E51" s="48">
        <f>IF(5685.90316="","-",5685.90316/948747.24899*100)</f>
        <v>0.5993064186539666</v>
      </c>
      <c r="F51" s="48">
        <f>IF(OR(682384.58212="",5552.71744="",7463.12046=""),"-",(7463.12046-5552.71744)/682384.58212*100)</f>
        <v>0.2799598745424245</v>
      </c>
      <c r="G51" s="48">
        <f>IF(OR(877651.01761="",5685.90316="",7463.12046=""),"-",(5685.90316-7463.12046)/877651.01761*100)</f>
        <v>-0.20249703633224053</v>
      </c>
    </row>
    <row r="52" spans="1:7" s="16" customFormat="1" ht="15.75">
      <c r="A52" s="30" t="s">
        <v>67</v>
      </c>
      <c r="B52" s="48">
        <f>IF(5612.47519="","-",5612.47519)</f>
        <v>5612.47519</v>
      </c>
      <c r="C52" s="48">
        <f>IF(OR(5164.29904="",5612.47519=""),"-",5612.47519/5164.29904*100)</f>
        <v>108.67835395527368</v>
      </c>
      <c r="D52" s="48">
        <f>IF(5164.29904="","-",5164.29904/877651.01761*100)</f>
        <v>0.5884228396456835</v>
      </c>
      <c r="E52" s="48">
        <f>IF(5612.47519="","-",5612.47519/948747.24899*100)</f>
        <v>0.591566952734232</v>
      </c>
      <c r="F52" s="48">
        <f>IF(OR(682384.58212="",3457.68543="",5164.29904=""),"-",(5164.29904-3457.68543)/682384.58212*100)</f>
        <v>0.2500955699640771</v>
      </c>
      <c r="G52" s="48">
        <f>IF(OR(877651.01761="",5612.47519="",5164.29904=""),"-",(5612.47519-5164.29904)/877651.01761*100)</f>
        <v>0.05106541677812484</v>
      </c>
    </row>
    <row r="53" spans="1:7" s="9" customFormat="1" ht="15.75">
      <c r="A53" s="30" t="s">
        <v>73</v>
      </c>
      <c r="B53" s="48">
        <f>IF(5115.24906="","-",5115.24906)</f>
        <v>5115.24906</v>
      </c>
      <c r="C53" s="48" t="s">
        <v>182</v>
      </c>
      <c r="D53" s="48">
        <f>IF(2045.103="","-",2045.103/877651.01761*100)</f>
        <v>0.23302006822360663</v>
      </c>
      <c r="E53" s="48">
        <f>IF(5115.24906="","-",5115.24906/948747.24899*100)</f>
        <v>0.5391582495175083</v>
      </c>
      <c r="F53" s="48">
        <f>IF(OR(682384.58212="",682.35507="",2045.103=""),"-",(2045.103-682.35507)/682384.58212*100)</f>
        <v>0.199703798372214</v>
      </c>
      <c r="G53" s="48">
        <f>IF(OR(877651.01761="",5115.24906="",2045.103=""),"-",(5115.24906-2045.103)/877651.01761*100)</f>
        <v>0.3498139919395929</v>
      </c>
    </row>
    <row r="54" spans="1:7" s="9" customFormat="1" ht="15.75">
      <c r="A54" s="30" t="s">
        <v>152</v>
      </c>
      <c r="B54" s="48">
        <f>IF(4602.08194="","-",4602.08194)</f>
        <v>4602.08194</v>
      </c>
      <c r="C54" s="48" t="s">
        <v>204</v>
      </c>
      <c r="D54" s="48">
        <f>IF(656.5812="","-",656.5812/877651.01761*100)</f>
        <v>0.07481119338162308</v>
      </c>
      <c r="E54" s="48">
        <f>IF(4602.08194="","-",4602.08194/948747.24899*100)</f>
        <v>0.485069331679138</v>
      </c>
      <c r="F54" s="48">
        <f>IF(OR(682384.58212="",3571.8349="",656.5812=""),"-",(656.5812-3571.8349)/682384.58212*100)</f>
        <v>-0.4272156458961936</v>
      </c>
      <c r="G54" s="48">
        <f>IF(OR(877651.01761="",4602.08194="",656.5812=""),"-",(4602.08194-656.5812)/877651.01761*100)</f>
        <v>0.4495523460730782</v>
      </c>
    </row>
    <row r="55" spans="1:7" s="18" customFormat="1" ht="15.75">
      <c r="A55" s="30" t="s">
        <v>65</v>
      </c>
      <c r="B55" s="48">
        <f>IF(4363.4312="","-",4363.4312)</f>
        <v>4363.4312</v>
      </c>
      <c r="C55" s="48">
        <f>IF(OR(4693.19137="",4363.4312=""),"-",4363.4312/4693.19137*100)</f>
        <v>92.97364748201181</v>
      </c>
      <c r="D55" s="48">
        <f>IF(4693.19137="","-",4693.19137/877651.01761*100)</f>
        <v>0.534744593902528</v>
      </c>
      <c r="E55" s="48">
        <f>IF(4363.4312="","-",4363.4312/948747.24899*100)</f>
        <v>0.4599150305463486</v>
      </c>
      <c r="F55" s="48">
        <f>IF(OR(682384.58212="",5188.67259="",4693.19137=""),"-",(4693.19137-5188.67259)/682384.58212*100)</f>
        <v>-0.07261026010591608</v>
      </c>
      <c r="G55" s="48">
        <f>IF(OR(877651.01761="",4363.4312="",4693.19137=""),"-",(4363.4312-4693.19137)/877651.01761*100)</f>
        <v>-0.037573040238476026</v>
      </c>
    </row>
    <row r="56" spans="1:7" s="9" customFormat="1" ht="15.75">
      <c r="A56" s="30" t="s">
        <v>76</v>
      </c>
      <c r="B56" s="48">
        <f>IF(4131.54658="","-",4131.54658)</f>
        <v>4131.54658</v>
      </c>
      <c r="C56" s="48" t="s">
        <v>177</v>
      </c>
      <c r="D56" s="48">
        <f>IF(1264.48832="","-",1264.48832/877651.01761*100)</f>
        <v>0.144076437516523</v>
      </c>
      <c r="E56" s="48">
        <f>IF(4131.54658="","-",4131.54658/948747.24899*100)</f>
        <v>0.43547389300978595</v>
      </c>
      <c r="F56" s="48">
        <f>IF(OR(682384.58212="",1590.6665="",1264.48832=""),"-",(1264.48832-1590.6665)/682384.58212*100)</f>
        <v>-0.047799758163738874</v>
      </c>
      <c r="G56" s="48">
        <f>IF(OR(877651.01761="",4131.54658="",1264.48832=""),"-",(4131.54658-1264.48832)/877651.01761*100)</f>
        <v>0.32667406548533495</v>
      </c>
    </row>
    <row r="57" spans="1:7" s="16" customFormat="1" ht="15.75">
      <c r="A57" s="30" t="s">
        <v>74</v>
      </c>
      <c r="B57" s="48">
        <f>IF(3797.21895="","-",3797.21895)</f>
        <v>3797.21895</v>
      </c>
      <c r="C57" s="48">
        <f>IF(OR(4067.76764="",3797.21895=""),"-",3797.21895/4067.76764*100)</f>
        <v>93.34896400326346</v>
      </c>
      <c r="D57" s="48">
        <f>IF(4067.76764="","-",4067.76764/877651.01761*100)</f>
        <v>0.4634834983815384</v>
      </c>
      <c r="E57" s="48">
        <f>IF(3797.21895="","-",3797.21895/948747.24899*100)</f>
        <v>0.4002350419505694</v>
      </c>
      <c r="F57" s="48">
        <f>IF(OR(682384.58212="",2033.24728="",4067.76764=""),"-",(4067.76764-2033.24728)/682384.58212*100)</f>
        <v>0.29814864129538926</v>
      </c>
      <c r="G57" s="48">
        <f>IF(OR(877651.01761="",3797.21895="",4067.76764=""),"-",(3797.21895-4067.76764)/877651.01761*100)</f>
        <v>-0.030826454316289904</v>
      </c>
    </row>
    <row r="58" spans="1:7" s="9" customFormat="1" ht="15.75">
      <c r="A58" s="30" t="s">
        <v>70</v>
      </c>
      <c r="B58" s="48">
        <f>IF(2925.55502="","-",2925.55502)</f>
        <v>2925.55502</v>
      </c>
      <c r="C58" s="48" t="s">
        <v>205</v>
      </c>
      <c r="D58" s="48">
        <f>IF(1060.02011="","-",1060.02011/877651.01761*100)</f>
        <v>0.12077922645001012</v>
      </c>
      <c r="E58" s="48">
        <f>IF(2925.55502="","-",2925.55502/948747.24899*100)</f>
        <v>0.3083597895134277</v>
      </c>
      <c r="F58" s="48">
        <f>IF(OR(682384.58212="",1041.08835="",1060.02011=""),"-",(1060.02011-1041.08835)/682384.58212*100)</f>
        <v>0.0027743534212311253</v>
      </c>
      <c r="G58" s="48">
        <f>IF(OR(877651.01761="",2925.55502="",1060.02011=""),"-",(2925.55502-1060.02011)/877651.01761*100)</f>
        <v>0.2125599893999079</v>
      </c>
    </row>
    <row r="59" spans="1:7" s="16" customFormat="1" ht="15.75">
      <c r="A59" s="30" t="s">
        <v>68</v>
      </c>
      <c r="B59" s="48">
        <f>IF(2797.26433="","-",2797.26433)</f>
        <v>2797.26433</v>
      </c>
      <c r="C59" s="48">
        <f>IF(OR(4162.06219="",2797.26433=""),"-",2797.26433/4162.06219*100)</f>
        <v>67.20861443927632</v>
      </c>
      <c r="D59" s="48">
        <f>IF(4162.06219="","-",4162.06219/877651.01761*100)</f>
        <v>0.47422746701006924</v>
      </c>
      <c r="E59" s="48">
        <f>IF(2797.26433="","-",2797.26433/948747.24899*100)</f>
        <v>0.29483767494217883</v>
      </c>
      <c r="F59" s="48">
        <f>IF(OR(682384.58212="",4446.77025="",4162.06219=""),"-",(4162.06219-4446.77025)/682384.58212*100)</f>
        <v>-0.04172252238107175</v>
      </c>
      <c r="G59" s="48">
        <f>IF(OR(877651.01761="",2797.26433="",4162.06219=""),"-",(2797.26433-4162.06219)/877651.01761*100)</f>
        <v>-0.1555057571421255</v>
      </c>
    </row>
    <row r="60" spans="1:7" s="9" customFormat="1" ht="15.75">
      <c r="A60" s="30" t="s">
        <v>153</v>
      </c>
      <c r="B60" s="48">
        <f>IF(2432.16442="","-",2432.16442)</f>
        <v>2432.16442</v>
      </c>
      <c r="C60" s="48" t="s">
        <v>178</v>
      </c>
      <c r="D60" s="48">
        <f>IF(33.00214="","-",33.00214/877651.01761*100)</f>
        <v>0.003760280491654952</v>
      </c>
      <c r="E60" s="48">
        <f>IF(2432.16442="","-",2432.16442/948747.24899*100)</f>
        <v>0.25635535940569937</v>
      </c>
      <c r="F60" s="48" t="str">
        <f>IF(OR(682384.58212="",""="",33.00214=""),"-",(33.00214-"")/682384.58212*100)</f>
        <v>-</v>
      </c>
      <c r="G60" s="48">
        <f>IF(OR(877651.01761="",2432.16442="",33.00214=""),"-",(2432.16442-33.00214)/877651.01761*100)</f>
        <v>0.2733617613220966</v>
      </c>
    </row>
    <row r="61" spans="1:7" s="16" customFormat="1" ht="15.75">
      <c r="A61" s="30" t="s">
        <v>69</v>
      </c>
      <c r="B61" s="48">
        <f>IF(2034.77512="","-",2034.77512)</f>
        <v>2034.77512</v>
      </c>
      <c r="C61" s="48">
        <f>IF(OR(1648.28829="",2034.77512=""),"-",2034.77512/1648.28829*100)</f>
        <v>123.44776895794121</v>
      </c>
      <c r="D61" s="48">
        <f>IF(1648.28829="","-",1648.28829/877651.01761*100)</f>
        <v>0.18780679984723114</v>
      </c>
      <c r="E61" s="48">
        <f>IF(2034.77512="","-",2034.77512/948747.24899*100)</f>
        <v>0.21446967273593084</v>
      </c>
      <c r="F61" s="48">
        <f>IF(OR(682384.58212="",1866.23692="",1648.28829=""),"-",(1648.28829-1866.23692)/682384.58212*100)</f>
        <v>-0.03193926646509035</v>
      </c>
      <c r="G61" s="48">
        <f>IF(OR(877651.01761="",2034.77512="",1648.28829=""),"-",(2034.77512-1648.28829)/877651.01761*100)</f>
        <v>0.04403650451548185</v>
      </c>
    </row>
    <row r="62" spans="1:7" s="9" customFormat="1" ht="15.75">
      <c r="A62" s="30" t="s">
        <v>71</v>
      </c>
      <c r="B62" s="48">
        <f>IF(1464.91451="","-",1464.91451)</f>
        <v>1464.91451</v>
      </c>
      <c r="C62" s="48" t="s">
        <v>181</v>
      </c>
      <c r="D62" s="48">
        <f>IF(197.25882="","-",197.25882/877651.01761*100)</f>
        <v>0.022475769530487286</v>
      </c>
      <c r="E62" s="48">
        <f>IF(1464.91451="","-",1464.91451/948747.24899*100)</f>
        <v>0.15440513915160142</v>
      </c>
      <c r="F62" s="48">
        <f>IF(OR(682384.58212="",33.09798="",197.25882=""),"-",(197.25882-33.09798)/682384.58212*100)</f>
        <v>0.024056938609309266</v>
      </c>
      <c r="G62" s="48">
        <f>IF(OR(877651.01761="",1464.91451="",197.25882=""),"-",(1464.91451-197.25882)/877651.01761*100)</f>
        <v>0.14443732925326655</v>
      </c>
    </row>
    <row r="63" spans="1:7" s="9" customFormat="1" ht="15.75">
      <c r="A63" s="30" t="s">
        <v>45</v>
      </c>
      <c r="B63" s="48">
        <f>IF(1249.70475="","-",1249.70475)</f>
        <v>1249.70475</v>
      </c>
      <c r="C63" s="48">
        <f>IF(OR(2165.84228="",1249.70475=""),"-",1249.70475/2165.84228*100)</f>
        <v>57.70063506193998</v>
      </c>
      <c r="D63" s="48">
        <f>IF(2165.84228="","-",2165.84228/877651.01761*100)</f>
        <v>0.24677716273809766</v>
      </c>
      <c r="E63" s="48">
        <f>IF(1249.70475="","-",1249.70475/948747.24899*100)</f>
        <v>0.1317215677126219</v>
      </c>
      <c r="F63" s="48">
        <f>IF(OR(682384.58212="",1121.38438="",2165.84228=""),"-",(2165.84228-1121.38438)/682384.58212*100)</f>
        <v>0.15306000858857738</v>
      </c>
      <c r="G63" s="48">
        <f>IF(OR(877651.01761="",1249.70475="",2165.84228=""),"-",(1249.70475-2165.84228)/877651.01761*100)</f>
        <v>-0.10438517265037822</v>
      </c>
    </row>
    <row r="64" spans="1:7" s="16" customFormat="1" ht="15.75">
      <c r="A64" s="30" t="s">
        <v>100</v>
      </c>
      <c r="B64" s="48">
        <f>IF(1152.32054="","-",1152.32054)</f>
        <v>1152.32054</v>
      </c>
      <c r="C64" s="48" t="str">
        <f>IF(OR(""="",1152.32054=""),"-",1152.32054/""*100)</f>
        <v>-</v>
      </c>
      <c r="D64" s="48" t="str">
        <f>IF(""="","-",""/877651.01761*100)</f>
        <v>-</v>
      </c>
      <c r="E64" s="48">
        <f>IF(1152.32054="","-",1152.32054/948747.24899*100)</f>
        <v>0.12145706258718707</v>
      </c>
      <c r="F64" s="48" t="str">
        <f>IF(OR(682384.58212="",0.13568="",""=""),"-",(""-0.13568)/682384.58212*100)</f>
        <v>-</v>
      </c>
      <c r="G64" s="48" t="str">
        <f>IF(OR(877651.01761="",1152.32054="",""=""),"-",(1152.32054-"")/877651.01761*100)</f>
        <v>-</v>
      </c>
    </row>
    <row r="65" spans="1:7" s="18" customFormat="1" ht="15.75">
      <c r="A65" s="30" t="s">
        <v>94</v>
      </c>
      <c r="B65" s="48">
        <f>IF(1085.68084="","-",1085.68084)</f>
        <v>1085.68084</v>
      </c>
      <c r="C65" s="48">
        <f>IF(OR(805.44759="",1085.68084=""),"-",1085.68084/805.44759*100)</f>
        <v>134.79223893388271</v>
      </c>
      <c r="D65" s="48">
        <f>IF(805.44759="","-",805.44759/877651.01761*100)</f>
        <v>0.09177310500856903</v>
      </c>
      <c r="E65" s="48">
        <f>IF(1085.68084="","-",1085.68084/948747.24899*100)</f>
        <v>0.11443309492130536</v>
      </c>
      <c r="F65" s="48">
        <f>IF(OR(682384.58212="",247.37577="",805.44759=""),"-",(805.44759-247.37577)/682384.58212*100)</f>
        <v>0.08178259512637419</v>
      </c>
      <c r="G65" s="48">
        <f>IF(OR(877651.01761="",1085.68084="",805.44759=""),"-",(1085.68084-805.44759)/877651.01761*100)</f>
        <v>0.03192991797162442</v>
      </c>
    </row>
    <row r="66" spans="1:7" s="9" customFormat="1" ht="15.75">
      <c r="A66" s="30" t="s">
        <v>83</v>
      </c>
      <c r="B66" s="48">
        <f>IF(1037.22968="","-",1037.22968)</f>
        <v>1037.22968</v>
      </c>
      <c r="C66" s="48">
        <f>IF(OR(7268.14881="",1037.22968=""),"-",1037.22968/7268.14881*100)</f>
        <v>14.270892177839158</v>
      </c>
      <c r="D66" s="48">
        <f>IF(7268.14881="","-",7268.14881/877651.01761*100)</f>
        <v>0.8281365444994826</v>
      </c>
      <c r="E66" s="48">
        <f>IF(1037.22968="","-",1037.22968/948747.24899*100)</f>
        <v>0.10932623847965776</v>
      </c>
      <c r="F66" s="48">
        <f>IF(OR(682384.58212="",1132.21191="",7268.14881=""),"-",(7268.14881-1132.21191)/682384.58212*100)</f>
        <v>0.8991904361228623</v>
      </c>
      <c r="G66" s="48">
        <f>IF(OR(877651.01761="",1037.22968="",7268.14881=""),"-",(1037.22968-7268.14881)/877651.01761*100)</f>
        <v>-0.7099540711486785</v>
      </c>
    </row>
    <row r="67" spans="1:7" s="9" customFormat="1" ht="15.75">
      <c r="A67" s="30" t="s">
        <v>47</v>
      </c>
      <c r="B67" s="48">
        <f>IF(925.87868="","-",925.87868)</f>
        <v>925.87868</v>
      </c>
      <c r="C67" s="48" t="s">
        <v>176</v>
      </c>
      <c r="D67" s="48">
        <f>IF(362.49654="","-",362.49654/877651.01761*100)</f>
        <v>0.0413030387621657</v>
      </c>
      <c r="E67" s="48">
        <f>IF(925.87868="","-",925.87868/948747.24899*100)</f>
        <v>0.09758960365741824</v>
      </c>
      <c r="F67" s="48" t="str">
        <f>IF(OR(682384.58212="",""="",362.49654=""),"-",(362.49654-"")/682384.58212*100)</f>
        <v>-</v>
      </c>
      <c r="G67" s="48">
        <f>IF(OR(877651.01761="",925.87868="",362.49654=""),"-",(925.87868-362.49654)/877651.01761*100)</f>
        <v>0.0641920454367147</v>
      </c>
    </row>
    <row r="68" spans="1:7" s="9" customFormat="1" ht="15.75">
      <c r="A68" s="30" t="s">
        <v>198</v>
      </c>
      <c r="B68" s="48">
        <f>IF(719.23037="","-",719.23037)</f>
        <v>719.23037</v>
      </c>
      <c r="C68" s="48" t="s">
        <v>206</v>
      </c>
      <c r="D68" s="48">
        <f>IF(69.77432="","-",69.77432/877651.01761*100)</f>
        <v>0.007950121244091746</v>
      </c>
      <c r="E68" s="48">
        <f>IF(719.23037="","-",719.23037/948747.24899*100)</f>
        <v>0.07580842745690858</v>
      </c>
      <c r="F68" s="48" t="str">
        <f>IF(OR(682384.58212="",""="",69.77432=""),"-",(69.77432-"")/682384.58212*100)</f>
        <v>-</v>
      </c>
      <c r="G68" s="48">
        <f>IF(OR(877651.01761="",719.23037="",69.77432=""),"-",(719.23037-69.77432)/877651.01761*100)</f>
        <v>0.07399935019372329</v>
      </c>
    </row>
    <row r="69" spans="1:7" s="9" customFormat="1" ht="15.75">
      <c r="A69" s="30" t="s">
        <v>72</v>
      </c>
      <c r="B69" s="48">
        <f>IF(700.93438="","-",700.93438)</f>
        <v>700.93438</v>
      </c>
      <c r="C69" s="48">
        <f>IF(OR(991.17389="",700.93438=""),"-",700.93438/991.17389*100)</f>
        <v>70.71759931044996</v>
      </c>
      <c r="D69" s="48">
        <f>IF(991.17389="","-",991.17389/877651.01761*100)</f>
        <v>0.11293485338843941</v>
      </c>
      <c r="E69" s="48">
        <f>IF(700.93438="","-",700.93438/948747.24899*100)</f>
        <v>0.07387999077163997</v>
      </c>
      <c r="F69" s="48">
        <f>IF(OR(682384.58212="",430.83928="",991.17389=""),"-",(991.17389-430.83928)/682384.58212*100)</f>
        <v>0.08211419552581026</v>
      </c>
      <c r="G69" s="48">
        <f>IF(OR(877651.01761="",700.93438="",991.17389=""),"-",(700.93438-991.17389)/877651.01761*100)</f>
        <v>-0.03307003628735871</v>
      </c>
    </row>
    <row r="70" spans="1:7" s="9" customFormat="1" ht="15.75">
      <c r="A70" s="30" t="s">
        <v>92</v>
      </c>
      <c r="B70" s="48">
        <f>IF(542.71609="","-",542.71609)</f>
        <v>542.71609</v>
      </c>
      <c r="C70" s="48" t="s">
        <v>207</v>
      </c>
      <c r="D70" s="48">
        <f>IF(0.18768="","-",0.18768/877651.01761*100)</f>
        <v>2.1384353944132155E-05</v>
      </c>
      <c r="E70" s="48">
        <f>IF(542.71609="","-",542.71609/948747.24899*100)</f>
        <v>0.05720344281132354</v>
      </c>
      <c r="F70" s="48">
        <f>IF(OR(682384.58212="",0.72611="",0.18768=""),"-",(0.18768-0.72611)/682384.58212*100)</f>
        <v>-7.890418601300035E-05</v>
      </c>
      <c r="G70" s="48">
        <f>IF(OR(877651.01761="",542.71609="",0.18768=""),"-",(542.71609-0.18768)/877651.01761*100)</f>
        <v>0.06181596091318865</v>
      </c>
    </row>
    <row r="71" spans="1:7" s="9" customFormat="1" ht="15.75">
      <c r="A71" s="30" t="s">
        <v>122</v>
      </c>
      <c r="B71" s="48">
        <f>IF(540.10447="","-",540.10447)</f>
        <v>540.10447</v>
      </c>
      <c r="C71" s="48">
        <f>IF(OR(421.13265="",540.10447=""),"-",540.10447/421.13265*100)</f>
        <v>128.25043843074147</v>
      </c>
      <c r="D71" s="48">
        <f>IF(421.13265="","-",421.13265/877651.01761*100)</f>
        <v>0.04798406673609508</v>
      </c>
      <c r="E71" s="48">
        <f>IF(540.10447="","-",540.10447/948747.24899*100)</f>
        <v>0.056928172447928</v>
      </c>
      <c r="F71" s="48" t="str">
        <f>IF(OR(682384.58212="",""="",421.13265=""),"-",(421.13265-"")/682384.58212*100)</f>
        <v>-</v>
      </c>
      <c r="G71" s="48">
        <f>IF(OR(877651.01761="",540.10447="",421.13265=""),"-",(540.10447-421.13265)/877651.01761*100)</f>
        <v>0.013555709229846441</v>
      </c>
    </row>
    <row r="72" spans="1:7" s="9" customFormat="1" ht="15.75">
      <c r="A72" s="30" t="s">
        <v>79</v>
      </c>
      <c r="B72" s="48">
        <f>IF(473.86909="","-",473.86909)</f>
        <v>473.86909</v>
      </c>
      <c r="C72" s="48" t="str">
        <f>IF(OR(""="",473.86909=""),"-",473.86909/""*100)</f>
        <v>-</v>
      </c>
      <c r="D72" s="48" t="str">
        <f>IF(""="","-",""/877651.01761*100)</f>
        <v>-</v>
      </c>
      <c r="E72" s="48">
        <f>IF(473.86909="","-",473.86909/948747.24899*100)</f>
        <v>0.04994682097939814</v>
      </c>
      <c r="F72" s="48" t="str">
        <f>IF(OR(682384.58212="",""="",""=""),"-",(""-"")/682384.58212*100)</f>
        <v>-</v>
      </c>
      <c r="G72" s="48" t="str">
        <f>IF(OR(877651.01761="",473.86909="",""=""),"-",(473.86909-"")/877651.01761*100)</f>
        <v>-</v>
      </c>
    </row>
    <row r="73" spans="1:7" s="9" customFormat="1" ht="15.75">
      <c r="A73" s="30" t="s">
        <v>82</v>
      </c>
      <c r="B73" s="48">
        <f>IF(454.88621="","-",454.88621)</f>
        <v>454.88621</v>
      </c>
      <c r="C73" s="48" t="s">
        <v>127</v>
      </c>
      <c r="D73" s="48">
        <f>IF(127.94588="","-",127.94588/877651.01761*100)</f>
        <v>0.014578218156508201</v>
      </c>
      <c r="E73" s="48">
        <f>IF(454.88621="","-",454.88621/948747.24899*100)</f>
        <v>0.04794598461120751</v>
      </c>
      <c r="F73" s="48" t="str">
        <f>IF(OR(682384.58212="",""="",127.94588=""),"-",(127.94588-"")/682384.58212*100)</f>
        <v>-</v>
      </c>
      <c r="G73" s="48">
        <f>IF(OR(877651.01761="",454.88621="",127.94588=""),"-",(454.88621-127.94588)/877651.01761*100)</f>
        <v>0.03725174624537173</v>
      </c>
    </row>
    <row r="74" spans="1:7" s="9" customFormat="1" ht="15.75">
      <c r="A74" s="30" t="s">
        <v>85</v>
      </c>
      <c r="B74" s="48">
        <f>IF(450.78501="","-",450.78501)</f>
        <v>450.78501</v>
      </c>
      <c r="C74" s="48">
        <f>IF(OR(523.86017="",450.78501=""),"-",450.78501/523.86017*100)</f>
        <v>86.05063637497005</v>
      </c>
      <c r="D74" s="48">
        <f>IF(523.86017="","-",523.86017/877651.01761*100)</f>
        <v>0.059688892223536016</v>
      </c>
      <c r="E74" s="48">
        <f>IF(450.78501="","-",450.78501/948747.24899*100)</f>
        <v>0.047513709312979664</v>
      </c>
      <c r="F74" s="48">
        <f>IF(OR(682384.58212="",206.52815="",523.86017=""),"-",(523.86017-206.52815)/682384.58212*100)</f>
        <v>0.04650339827639833</v>
      </c>
      <c r="G74" s="48">
        <f>IF(OR(877651.01761="",450.78501="",523.86017=""),"-",(450.78501-523.86017)/877651.01761*100)</f>
        <v>-0.008326220620013262</v>
      </c>
    </row>
    <row r="75" spans="1:7" ht="15.75">
      <c r="A75" s="30" t="s">
        <v>199</v>
      </c>
      <c r="B75" s="48">
        <f>IF(416.91871="","-",416.91871)</f>
        <v>416.91871</v>
      </c>
      <c r="C75" s="48">
        <f>IF(OR(548.68707="",416.91871=""),"-",416.91871/548.68707*100)</f>
        <v>75.98478856080936</v>
      </c>
      <c r="D75" s="48">
        <f>IF(548.68707="","-",548.68707/877651.01761*100)</f>
        <v>0.06251768174258746</v>
      </c>
      <c r="E75" s="48">
        <f>IF(416.91871="","-",416.91871/948747.24899*100)</f>
        <v>0.04394412847508498</v>
      </c>
      <c r="F75" s="48">
        <f>IF(OR(682384.58212="",407.74851="",548.68707=""),"-",(548.68707-407.74851)/682384.58212*100)</f>
        <v>0.020653831240169392</v>
      </c>
      <c r="G75" s="48">
        <f>IF(OR(877651.01761="",416.91871="",548.68707=""),"-",(416.91871-548.68707)/877651.01761*100)</f>
        <v>-0.015013753457362663</v>
      </c>
    </row>
    <row r="76" spans="1:7" ht="15.75">
      <c r="A76" s="30" t="s">
        <v>46</v>
      </c>
      <c r="B76" s="48">
        <f>IF(413.12635="","-",413.12635)</f>
        <v>413.12635</v>
      </c>
      <c r="C76" s="48" t="s">
        <v>208</v>
      </c>
      <c r="D76" s="48">
        <f>IF(67.70944="","-",67.70944/877651.01761*100)</f>
        <v>0.0077148477745043655</v>
      </c>
      <c r="E76" s="48">
        <f>IF(413.12635="","-",413.12635/948747.24899*100)</f>
        <v>0.04354440557691192</v>
      </c>
      <c r="F76" s="48">
        <f>IF(OR(682384.58212="",34.46805="",67.70944=""),"-",(67.70944-34.46805)/682384.58212*100)</f>
        <v>0.004871357130714652</v>
      </c>
      <c r="G76" s="48">
        <f>IF(OR(877651.01761="",413.12635="",67.70944=""),"-",(413.12635-67.70944)/877651.01761*100)</f>
        <v>0.03935697709787107</v>
      </c>
    </row>
    <row r="77" spans="1:7" ht="15.75">
      <c r="A77" s="30" t="s">
        <v>84</v>
      </c>
      <c r="B77" s="48">
        <f>IF(401.818="","-",401.818)</f>
        <v>401.818</v>
      </c>
      <c r="C77" s="48" t="s">
        <v>150</v>
      </c>
      <c r="D77" s="48">
        <f>IF(263.40564="","-",263.40564/877651.01761*100)</f>
        <v>0.030012571593353868</v>
      </c>
      <c r="E77" s="48">
        <f>IF(401.818="","-",401.818/948747.24899*100)</f>
        <v>0.0423524811721731</v>
      </c>
      <c r="F77" s="48">
        <f>IF(OR(682384.58212="",340.15253="",263.40564=""),"-",(263.40564-340.15253)/682384.58212*100)</f>
        <v>-0.011246867530559734</v>
      </c>
      <c r="G77" s="48">
        <f>IF(OR(877651.01761="",401.818="",263.40564=""),"-",(401.818-263.40564)/877651.01761*100)</f>
        <v>0.01577077417136956</v>
      </c>
    </row>
    <row r="78" spans="1:7" ht="15.75">
      <c r="A78" s="30" t="s">
        <v>80</v>
      </c>
      <c r="B78" s="48">
        <f>IF(395.93959="","-",395.93959)</f>
        <v>395.93959</v>
      </c>
      <c r="C78" s="48">
        <f>IF(OR(295.46="",395.93959=""),"-",395.93959/295.46*100)</f>
        <v>134.00784877817642</v>
      </c>
      <c r="D78" s="48">
        <f>IF(295.46="","-",295.46/877651.01761*100)</f>
        <v>0.033664861553352965</v>
      </c>
      <c r="E78" s="48">
        <f>IF(395.93959="","-",395.93959/948747.24899*100)</f>
        <v>0.04173288411866302</v>
      </c>
      <c r="F78" s="48">
        <f>IF(OR(682384.58212="",180.4545="",295.46=""),"-",(295.46-180.4545)/682384.58212*100)</f>
        <v>0.016853472808941016</v>
      </c>
      <c r="G78" s="48">
        <f>IF(OR(877651.01761="",395.93959="",295.46=""),"-",(395.93959-295.46)/877651.01761*100)</f>
        <v>0.01144869520844673</v>
      </c>
    </row>
    <row r="79" spans="1:7" ht="15.75">
      <c r="A79" s="30" t="s">
        <v>213</v>
      </c>
      <c r="B79" s="48">
        <f>IF(331.48511="","-",331.48511)</f>
        <v>331.48511</v>
      </c>
      <c r="C79" s="48">
        <f>IF(OR(768.19926="",331.48511=""),"-",331.48511/768.19926*100)</f>
        <v>43.150928054786206</v>
      </c>
      <c r="D79" s="48">
        <f>IF(768.19926="","-",768.19926/877651.01761*100)</f>
        <v>0.08752901148476343</v>
      </c>
      <c r="E79" s="48">
        <f>IF(331.48511="","-",331.48511/948747.24899*100)</f>
        <v>0.03493924333934948</v>
      </c>
      <c r="F79" s="48">
        <f>IF(OR(682384.58212="",1350.66663="",768.19926=""),"-",(768.19926-1350.66663)/682384.58212*100)</f>
        <v>-0.08535763926412551</v>
      </c>
      <c r="G79" s="48">
        <f>IF(OR(877651.01761="",331.48511="",768.19926=""),"-",(331.48511-768.19926)/877651.01761*100)</f>
        <v>-0.0497594307119076</v>
      </c>
    </row>
    <row r="80" spans="1:7" ht="15.75">
      <c r="A80" s="30" t="s">
        <v>156</v>
      </c>
      <c r="B80" s="48">
        <f>IF(271.83195="","-",271.83195)</f>
        <v>271.83195</v>
      </c>
      <c r="C80" s="48" t="s">
        <v>209</v>
      </c>
      <c r="D80" s="48">
        <f>IF(7.82221="","-",7.82221/877651.01761*100)</f>
        <v>0.0008912665561878196</v>
      </c>
      <c r="E80" s="48">
        <f>IF(271.83195="","-",271.83195/948747.24899*100)</f>
        <v>0.028651672011632382</v>
      </c>
      <c r="F80" s="48">
        <f>IF(OR(682384.58212="",18.26491="",7.82221=""),"-",(7.82221-18.26491)/682384.58212*100)</f>
        <v>-0.0015303247279645615</v>
      </c>
      <c r="G80" s="48">
        <f>IF(OR(877651.01761="",271.83195="",7.82221=""),"-",(271.83195-7.82221)/877651.01761*100)</f>
        <v>0.03008140305231407</v>
      </c>
    </row>
    <row r="81" spans="1:7" ht="15.75">
      <c r="A81" s="30" t="s">
        <v>125</v>
      </c>
      <c r="B81" s="48">
        <f>IF(256.45194="","-",256.45194)</f>
        <v>256.45194</v>
      </c>
      <c r="C81" s="48">
        <f>IF(OR(410.44875="",256.45194=""),"-",256.45194/410.44875*100)</f>
        <v>62.48086758700081</v>
      </c>
      <c r="D81" s="48">
        <f>IF(410.44875="","-",410.44875/877651.01761*100)</f>
        <v>0.04676673777667632</v>
      </c>
      <c r="E81" s="48">
        <f>IF(256.45194="","-",256.45194/948747.24899*100)</f>
        <v>0.02703058588818138</v>
      </c>
      <c r="F81" s="48" t="str">
        <f>IF(OR(682384.58212="",""="",410.44875=""),"-",(410.44875-"")/682384.58212*100)</f>
        <v>-</v>
      </c>
      <c r="G81" s="48">
        <f>IF(OR(877651.01761="",256.45194="",410.44875=""),"-",(256.45194-410.44875)/877651.01761*100)</f>
        <v>-0.017546474271671303</v>
      </c>
    </row>
    <row r="82" spans="1:7" ht="15.75">
      <c r="A82" s="30" t="s">
        <v>105</v>
      </c>
      <c r="B82" s="48">
        <f>IF(248.77491="","-",248.77491)</f>
        <v>248.77491</v>
      </c>
      <c r="C82" s="48">
        <f>IF(OR(255.87693="",248.77491=""),"-",248.77491/255.87693*100)</f>
        <v>97.22443910828538</v>
      </c>
      <c r="D82" s="48">
        <f>IF(255.87693="","-",255.87693/877651.01761*100)</f>
        <v>0.029154746575329956</v>
      </c>
      <c r="E82" s="48">
        <f>IF(248.77491="","-",248.77491/948747.24899*100)</f>
        <v>0.02622141041935418</v>
      </c>
      <c r="F82" s="48">
        <f>IF(OR(682384.58212="",91.07321="",255.87693=""),"-",(255.87693-91.07321)/682384.58212*100)</f>
        <v>0.024151149413135276</v>
      </c>
      <c r="G82" s="48">
        <f>IF(OR(877651.01761="",248.77491="",255.87693=""),"-",(248.77491-255.87693)/877651.01761*100)</f>
        <v>-0.0008092077440233646</v>
      </c>
    </row>
    <row r="83" spans="1:7" ht="15.75">
      <c r="A83" s="30" t="s">
        <v>155</v>
      </c>
      <c r="B83" s="48">
        <f>IF(223.62437="","-",223.62437)</f>
        <v>223.62437</v>
      </c>
      <c r="C83" s="48" t="str">
        <f>IF(OR(""="",223.62437=""),"-",223.62437/""*100)</f>
        <v>-</v>
      </c>
      <c r="D83" s="48" t="str">
        <f>IF(""="","-",""/877651.01761*100)</f>
        <v>-</v>
      </c>
      <c r="E83" s="48">
        <f>IF(223.62437="","-",223.62437/948747.24899*100)</f>
        <v>0.02357048942572028</v>
      </c>
      <c r="F83" s="48" t="str">
        <f>IF(OR(682384.58212="",""="",""=""),"-",(""-"")/682384.58212*100)</f>
        <v>-</v>
      </c>
      <c r="G83" s="48" t="str">
        <f>IF(OR(877651.01761="",223.62437="",""=""),"-",(223.62437-"")/877651.01761*100)</f>
        <v>-</v>
      </c>
    </row>
    <row r="84" spans="1:7" ht="15.75">
      <c r="A84" s="30" t="s">
        <v>111</v>
      </c>
      <c r="B84" s="48">
        <f>IF(220.02423="","-",220.02423)</f>
        <v>220.02423</v>
      </c>
      <c r="C84" s="48" t="s">
        <v>210</v>
      </c>
      <c r="D84" s="48">
        <f>IF(53.7="","-",53.7/877651.01761*100)</f>
        <v>0.006118605108695102</v>
      </c>
      <c r="E84" s="48">
        <f>IF(220.02423="","-",220.02423/948747.24899*100)</f>
        <v>0.023191026928850583</v>
      </c>
      <c r="F84" s="48">
        <f>IF(OR(682384.58212="",337.4945="",53.7=""),"-",(53.7-337.4945)/682384.58212*100)</f>
        <v>-0.04158864479591856</v>
      </c>
      <c r="G84" s="48">
        <f>IF(OR(877651.01761="",220.02423="",53.7=""),"-",(220.02423-53.7)/877651.01761*100)</f>
        <v>0.01895106672956758</v>
      </c>
    </row>
    <row r="85" spans="1:7" ht="15.75">
      <c r="A85" s="30" t="s">
        <v>154</v>
      </c>
      <c r="B85" s="48">
        <f>IF(184.83495="","-",184.83495)</f>
        <v>184.83495</v>
      </c>
      <c r="C85" s="48" t="s">
        <v>211</v>
      </c>
      <c r="D85" s="48">
        <f>IF(19.15="","-",19.15/877651.01761*100)</f>
        <v>0.002181960667253467</v>
      </c>
      <c r="E85" s="48">
        <f>IF(184.83495="","-",184.83495/948747.24899*100)</f>
        <v>0.019482001154339918</v>
      </c>
      <c r="F85" s="48">
        <f>IF(OR(682384.58212="",30.66291="",19.15=""),"-",(19.15-30.66291)/682384.58212*100)</f>
        <v>-0.0016871585762140522</v>
      </c>
      <c r="G85" s="48">
        <f>IF(OR(877651.01761="",184.83495="",19.15=""),"-",(184.83495-19.15)/877651.01761*100)</f>
        <v>0.018878226843647903</v>
      </c>
    </row>
    <row r="86" spans="1:7" ht="15.75">
      <c r="A86" s="30" t="s">
        <v>166</v>
      </c>
      <c r="B86" s="48">
        <f>IF(178.00746="","-",178.00746)</f>
        <v>178.00746</v>
      </c>
      <c r="C86" s="48">
        <f>IF(OR(161.90014="",178.00746=""),"-",178.00746/161.90014*100)</f>
        <v>109.94892283601484</v>
      </c>
      <c r="D86" s="48">
        <f>IF(161.90014="","-",161.90014/877651.01761*100)</f>
        <v>0.018446983681609908</v>
      </c>
      <c r="E86" s="48">
        <f>IF(178.00746="","-",178.00746/948747.24899*100)</f>
        <v>0.018762369028157914</v>
      </c>
      <c r="F86" s="48">
        <f>IF(OR(682384.58212="",34.39184="",161.90014=""),"-",(161.90014-34.39184)/682384.58212*100)</f>
        <v>0.01868569474472346</v>
      </c>
      <c r="G86" s="48">
        <f>IF(OR(877651.01761="",178.00746="",161.90014=""),"-",(178.00746-161.90014)/877651.01761*100)</f>
        <v>0.0018352761720556215</v>
      </c>
    </row>
    <row r="87" spans="1:7" ht="15.75">
      <c r="A87" s="30" t="s">
        <v>119</v>
      </c>
      <c r="B87" s="48">
        <f>IF(157.5047="","-",157.5047)</f>
        <v>157.5047</v>
      </c>
      <c r="C87" s="48">
        <f>IF(OR(114.38439="",157.5047=""),"-",157.5047/114.38439*100)</f>
        <v>137.69772256511575</v>
      </c>
      <c r="D87" s="48">
        <f>IF(114.38439="","-",114.38439/877651.01761*100)</f>
        <v>0.013033015139831896</v>
      </c>
      <c r="E87" s="48">
        <f>IF(157.5047="","-",157.5047/948747.24899*100)</f>
        <v>0.0166013340399852</v>
      </c>
      <c r="F87" s="48">
        <f>IF(OR(682384.58212="",30.54099="",114.38439=""),"-",(114.38439-30.54099)/682384.58212*100)</f>
        <v>0.012286825083227893</v>
      </c>
      <c r="G87" s="48">
        <f>IF(OR(877651.01761="",157.5047="",114.38439=""),"-",(157.5047-114.38439)/877651.01761*100)</f>
        <v>0.0049131498892833626</v>
      </c>
    </row>
    <row r="88" spans="1:7" ht="15.75">
      <c r="A88" s="30" t="s">
        <v>77</v>
      </c>
      <c r="B88" s="48">
        <f>IF(144.72726="","-",144.72726)</f>
        <v>144.72726</v>
      </c>
      <c r="C88" s="48" t="s">
        <v>212</v>
      </c>
      <c r="D88" s="48">
        <f>IF(13.05347="","-",13.05347/877651.01761*100)</f>
        <v>0.0014873189614189619</v>
      </c>
      <c r="E88" s="48">
        <f>IF(144.72726="","-",144.72726/948747.24899*100)</f>
        <v>0.015254564390470814</v>
      </c>
      <c r="F88" s="48">
        <f>IF(OR(682384.58212="",178.53634="",13.05347=""),"-",(13.05347-178.53634)/682384.58212*100)</f>
        <v>-0.024250675401528806</v>
      </c>
      <c r="G88" s="48">
        <f>IF(OR(877651.01761="",144.72726="",13.05347=""),"-",(144.72726-13.05347)/877651.01761*100)</f>
        <v>0.015002978103822085</v>
      </c>
    </row>
    <row r="89" spans="1:7" ht="15.75">
      <c r="A89" s="30" t="s">
        <v>112</v>
      </c>
      <c r="B89" s="48">
        <f>IF(142.41387="","-",142.41387)</f>
        <v>142.41387</v>
      </c>
      <c r="C89" s="48">
        <f>IF(OR(147.41427="",142.41387=""),"-",142.41387/147.41427*100)</f>
        <v>96.60792676312818</v>
      </c>
      <c r="D89" s="48">
        <f>IF(147.41427="","-",147.41427/877651.01761*100)</f>
        <v>0.01679645634109048</v>
      </c>
      <c r="E89" s="48">
        <f>IF(142.41387="","-",142.41387/948747.24899*100)</f>
        <v>0.015010728110316878</v>
      </c>
      <c r="F89" s="48">
        <f>IF(OR(682384.58212="",79.79155="",147.41427=""),"-",(147.41427-79.79155)/682384.58212*100)</f>
        <v>0.009909766687563914</v>
      </c>
      <c r="G89" s="48">
        <f>IF(OR(877651.01761="",142.41387="",147.41427=""),"-",(142.41387-147.41427)/877651.01761*100)</f>
        <v>-0.0005697481002889924</v>
      </c>
    </row>
    <row r="90" spans="1:7" ht="15.75">
      <c r="A90" s="30" t="s">
        <v>174</v>
      </c>
      <c r="B90" s="48">
        <f>IF(98.70973="","-",98.70973)</f>
        <v>98.70973</v>
      </c>
      <c r="C90" s="48">
        <f>IF(OR(161.31855="",98.70973=""),"-",98.70973/161.31855*100)</f>
        <v>61.18932385643189</v>
      </c>
      <c r="D90" s="48">
        <f>IF(161.31855="","-",161.31855/877651.01761*100)</f>
        <v>0.018380717023413148</v>
      </c>
      <c r="E90" s="48">
        <f>IF(98.70973="","-",98.70973/948747.24899*100)</f>
        <v>0.010404217783512162</v>
      </c>
      <c r="F90" s="48">
        <f>IF(OR(682384.58212="",123.63674="",161.31855=""),"-",(161.31855-123.63674)/682384.58212*100)</f>
        <v>0.0055220781634502825</v>
      </c>
      <c r="G90" s="48">
        <f>IF(OR(877651.01761="",98.70973="",161.31855=""),"-",(98.70973-161.31855)/877651.01761*100)</f>
        <v>-0.007133680556822571</v>
      </c>
    </row>
    <row r="91" spans="1:7" ht="15.75">
      <c r="A91" s="30" t="s">
        <v>44</v>
      </c>
      <c r="B91" s="48">
        <f>IF(95.93332="","-",95.93332)</f>
        <v>95.93332</v>
      </c>
      <c r="C91" s="48" t="s">
        <v>115</v>
      </c>
      <c r="D91" s="48">
        <f>IF(55.94842="","-",55.94842/877651.01761*100)</f>
        <v>0.006374791218536669</v>
      </c>
      <c r="E91" s="48">
        <f>IF(95.93332="","-",95.93332/948747.24899*100)</f>
        <v>0.010111578199792087</v>
      </c>
      <c r="F91" s="48">
        <f>IF(OR(682384.58212="",107.62575="",55.94842=""),"-",(55.94842-107.62575)/682384.58212*100)</f>
        <v>-0.007573050645348891</v>
      </c>
      <c r="G91" s="48">
        <f>IF(OR(877651.01761="",95.93332="",55.94842=""),"-",(95.93332-55.94842)/877651.01761*100)</f>
        <v>0.004555899691073794</v>
      </c>
    </row>
    <row r="92" spans="1:7" ht="15.75">
      <c r="A92" s="30" t="s">
        <v>165</v>
      </c>
      <c r="B92" s="48">
        <f>IF(89.84425="","-",89.84425)</f>
        <v>89.84425</v>
      </c>
      <c r="C92" s="48" t="s">
        <v>179</v>
      </c>
      <c r="D92" s="48">
        <f>IF(7.147="","-",7.147/877651.01761*100)</f>
        <v>0.0008143327879300537</v>
      </c>
      <c r="E92" s="48">
        <f>IF(89.84425="","-",89.84425/948747.24899*100)</f>
        <v>0.00946977712932973</v>
      </c>
      <c r="F92" s="48" t="str">
        <f>IF(OR(682384.58212="",""="",7.147=""),"-",(7.147-"")/682384.58212*100)</f>
        <v>-</v>
      </c>
      <c r="G92" s="48">
        <f>IF(OR(877651.01761="",89.84425="",7.147=""),"-",(89.84425-7.147)/877651.01761*100)</f>
        <v>0.009422566412011842</v>
      </c>
    </row>
    <row r="93" spans="1:7" ht="15.75">
      <c r="A93" s="30" t="s">
        <v>96</v>
      </c>
      <c r="B93" s="48">
        <f>IF(83.85833="","-",83.85833)</f>
        <v>83.85833</v>
      </c>
      <c r="C93" s="48" t="s">
        <v>150</v>
      </c>
      <c r="D93" s="48">
        <f>IF(54.8751="","-",54.8751/877651.01761*100)</f>
        <v>0.006252496595906043</v>
      </c>
      <c r="E93" s="48">
        <f>IF(83.85833="","-",83.85833/948747.24899*100)</f>
        <v>0.008838848290656164</v>
      </c>
      <c r="F93" s="48" t="str">
        <f>IF(OR(682384.58212="",""="",54.8751=""),"-",(54.8751-"")/682384.58212*100)</f>
        <v>-</v>
      </c>
      <c r="G93" s="48">
        <f>IF(OR(877651.01761="",83.85833="",54.8751=""),"-",(83.85833-54.8751)/877651.01761*100)</f>
        <v>0.0033023638574392004</v>
      </c>
    </row>
    <row r="94" spans="1:7" ht="15.75">
      <c r="A94" s="30" t="s">
        <v>200</v>
      </c>
      <c r="B94" s="48">
        <f>IF(82.78842="","-",82.78842)</f>
        <v>82.78842</v>
      </c>
      <c r="C94" s="48">
        <f>IF(OR(164.043="",82.78842=""),"-",82.78842/164.043*100)</f>
        <v>50.46751156708912</v>
      </c>
      <c r="D94" s="48">
        <f>IF(164.043="","-",164.043/877651.01761*100)</f>
        <v>0.01869114223176295</v>
      </c>
      <c r="E94" s="48">
        <f>IF(82.78842="","-",82.78842/948747.24899*100)</f>
        <v>0.008726077476180656</v>
      </c>
      <c r="F94" s="48" t="str">
        <f>IF(OR(682384.58212="",""="",164.043=""),"-",(164.043-"")/682384.58212*100)</f>
        <v>-</v>
      </c>
      <c r="G94" s="48">
        <f>IF(OR(877651.01761="",82.78842="",164.043=""),"-",(82.78842-164.043)/877651.01761*100)</f>
        <v>-0.009258187863926905</v>
      </c>
    </row>
    <row r="95" spans="1:7" ht="15.75">
      <c r="A95" s="30" t="s">
        <v>201</v>
      </c>
      <c r="B95" s="48">
        <f>IF(70.1905="","-",70.1905)</f>
        <v>70.1905</v>
      </c>
      <c r="C95" s="48">
        <f>IF(OR(48.96218="",70.1905=""),"-",70.1905/48.96218*100)</f>
        <v>143.35656623132388</v>
      </c>
      <c r="D95" s="48">
        <f>IF(48.96218="","-",48.96218/877651.01761*100)</f>
        <v>0.005578775506161063</v>
      </c>
      <c r="E95" s="48">
        <f>IF(70.1905="","-",70.1905/948747.24899*100)</f>
        <v>0.007398229620662628</v>
      </c>
      <c r="F95" s="48">
        <f>IF(OR(682384.58212="",8.936="",48.96218=""),"-",(48.96218-8.936)/682384.58212*100)</f>
        <v>0.005865633698177729</v>
      </c>
      <c r="G95" s="48">
        <f>IF(OR(877651.01761="",70.1905="",48.96218=""),"-",(70.1905-48.96218)/877651.01761*100)</f>
        <v>0.0024187654972255943</v>
      </c>
    </row>
    <row r="96" spans="1:7" ht="15.75">
      <c r="A96" s="30" t="s">
        <v>113</v>
      </c>
      <c r="B96" s="48">
        <f>IF(68.63161="","-",68.63161)</f>
        <v>68.63161</v>
      </c>
      <c r="C96" s="48" t="s">
        <v>210</v>
      </c>
      <c r="D96" s="48">
        <f>IF(16.81995="","-",16.81995/877651.01761*100)</f>
        <v>0.0019164735940036526</v>
      </c>
      <c r="E96" s="48">
        <f>IF(68.63161="","-",68.63161/948747.24899*100)</f>
        <v>0.007233919262802878</v>
      </c>
      <c r="F96" s="48" t="str">
        <f>IF(OR(682384.58212="",""="",16.81995=""),"-",(16.81995-"")/682384.58212*100)</f>
        <v>-</v>
      </c>
      <c r="G96" s="48">
        <f>IF(OR(877651.01761="",68.63161="",16.81995=""),"-",(68.63161-16.81995)/877651.01761*100)</f>
        <v>0.005903446695828186</v>
      </c>
    </row>
    <row r="97" spans="1:7" ht="15.75">
      <c r="A97" s="31" t="s">
        <v>157</v>
      </c>
      <c r="B97" s="49">
        <f>IF(66.1902="","-",66.1902)</f>
        <v>66.1902</v>
      </c>
      <c r="C97" s="49" t="s">
        <v>114</v>
      </c>
      <c r="D97" s="49">
        <f>IF(36.19792="","-",36.19792/877651.01761*100)</f>
        <v>0.004124409278140347</v>
      </c>
      <c r="E97" s="49">
        <f>IF(66.1902="","-",66.1902/948747.24899*100)</f>
        <v>0.0069765893993857225</v>
      </c>
      <c r="F97" s="49" t="str">
        <f>IF(OR(682384.58212="",""="",36.19792=""),"-",(36.19792-"")/682384.58212*100)</f>
        <v>-</v>
      </c>
      <c r="G97" s="49">
        <f>IF(OR(877651.01761="",66.1902="",36.19792=""),"-",(66.1902-36.19792)/877651.01761*100)</f>
        <v>0.0034173355238252125</v>
      </c>
    </row>
    <row r="98" ht="15.75">
      <c r="A98" s="38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5"/>
  <sheetViews>
    <sheetView zoomScalePageLayoutView="0" workbookViewId="0" topLeftCell="A1">
      <selection activeCell="I17" sqref="I17"/>
    </sheetView>
  </sheetViews>
  <sheetFormatPr defaultColWidth="9.00390625" defaultRowHeight="15.75"/>
  <cols>
    <col min="1" max="1" width="33.50390625" style="0" customWidth="1"/>
    <col min="2" max="2" width="11.875" style="0" customWidth="1"/>
    <col min="3" max="3" width="9.75390625" style="0" customWidth="1"/>
    <col min="4" max="4" width="7.625" style="0" customWidth="1"/>
    <col min="5" max="5" width="7.75390625" style="0" customWidth="1"/>
    <col min="6" max="6" width="9.375" style="0" customWidth="1"/>
    <col min="7" max="7" width="9.625" style="0" customWidth="1"/>
  </cols>
  <sheetData>
    <row r="1" spans="1:7" ht="15.75">
      <c r="A1" s="71" t="s">
        <v>138</v>
      </c>
      <c r="B1" s="71"/>
      <c r="C1" s="71"/>
      <c r="D1" s="71"/>
      <c r="E1" s="71"/>
      <c r="F1" s="71"/>
      <c r="G1" s="71"/>
    </row>
    <row r="2" ht="15.75">
      <c r="A2" s="2"/>
    </row>
    <row r="3" spans="1:7" ht="55.5" customHeight="1">
      <c r="A3" s="59"/>
      <c r="B3" s="62" t="s">
        <v>195</v>
      </c>
      <c r="C3" s="63"/>
      <c r="D3" s="62" t="s">
        <v>121</v>
      </c>
      <c r="E3" s="63"/>
      <c r="F3" s="64" t="s">
        <v>147</v>
      </c>
      <c r="G3" s="65"/>
    </row>
    <row r="4" spans="1:7" ht="27" customHeight="1">
      <c r="A4" s="60"/>
      <c r="B4" s="66" t="s">
        <v>108</v>
      </c>
      <c r="C4" s="68" t="s">
        <v>193</v>
      </c>
      <c r="D4" s="70" t="s">
        <v>194</v>
      </c>
      <c r="E4" s="70"/>
      <c r="F4" s="70" t="s">
        <v>194</v>
      </c>
      <c r="G4" s="62"/>
    </row>
    <row r="5" spans="1:7" ht="31.5" customHeight="1">
      <c r="A5" s="61"/>
      <c r="B5" s="67"/>
      <c r="C5" s="69"/>
      <c r="D5" s="25">
        <v>2018</v>
      </c>
      <c r="E5" s="25">
        <v>2019</v>
      </c>
      <c r="F5" s="25" t="s">
        <v>123</v>
      </c>
      <c r="G5" s="21" t="s">
        <v>148</v>
      </c>
    </row>
    <row r="6" spans="1:7" s="3" customFormat="1" ht="15">
      <c r="A6" s="57" t="s">
        <v>158</v>
      </c>
      <c r="B6" s="46">
        <f>IF(1880616.047="","-",1880616.047)</f>
        <v>1880616.047</v>
      </c>
      <c r="C6" s="46">
        <f>IF(1770611.63183="","-",1880616.047/1770611.63183*100)</f>
        <v>106.21279185070674</v>
      </c>
      <c r="D6" s="46">
        <v>100</v>
      </c>
      <c r="E6" s="46">
        <v>100</v>
      </c>
      <c r="F6" s="46">
        <f>IF(1392173.93156="","-",(1770611.63183-1392173.93156)/1392173.93156*100)</f>
        <v>27.18321983273613</v>
      </c>
      <c r="G6" s="46">
        <f>IF(1770611.63183="","-",(1880616.047-1770611.63183)/1770611.63183*100)</f>
        <v>6.2127918507067434</v>
      </c>
    </row>
    <row r="7" spans="1:7" s="3" customFormat="1" ht="15">
      <c r="A7" s="29" t="s">
        <v>183</v>
      </c>
      <c r="B7" s="47">
        <f>IF(917094.94194="","-",917094.94194)</f>
        <v>917094.94194</v>
      </c>
      <c r="C7" s="47">
        <f>IF(888289.94974="","-",917094.94194/888289.94974*100)</f>
        <v>103.24274660637907</v>
      </c>
      <c r="D7" s="47">
        <f>IF(888289.94974="","-",888289.94974/1770611.63183*100)</f>
        <v>50.1685368926395</v>
      </c>
      <c r="E7" s="47">
        <f>IF(917094.94194="","-",917094.94194/1880616.047*100)</f>
        <v>48.76566609133055</v>
      </c>
      <c r="F7" s="47">
        <f>IF(1392173.93156="","-",(888289.94974-672725.74362)/1392173.93156*100)</f>
        <v>15.483999609046666</v>
      </c>
      <c r="G7" s="47">
        <f>IF(1770611.63183="","-",(917094.94194-888289.94974)/1770611.63183*100)</f>
        <v>1.6268385275560935</v>
      </c>
    </row>
    <row r="8" spans="1:7" ht="12.75" customHeight="1">
      <c r="A8" s="30" t="s">
        <v>2</v>
      </c>
      <c r="B8" s="48">
        <f>IF(255573.98232="","-",255573.98232)</f>
        <v>255573.98232</v>
      </c>
      <c r="C8" s="48">
        <f>IF(OR(238024.83274="",255573.98232=""),"-",255573.98232/238024.83274*100)</f>
        <v>107.37282298572994</v>
      </c>
      <c r="D8" s="48">
        <f>IF(238024.83274="","-",238024.83274/1770611.63183*100)</f>
        <v>13.443085341870905</v>
      </c>
      <c r="E8" s="48">
        <f>IF(255573.98232="","-",255573.98232/1880616.047*100)</f>
        <v>13.589907558626718</v>
      </c>
      <c r="F8" s="48">
        <f>IF(OR(1392173.93156="",187909.12864="",238024.83274=""),"-",(238024.83274-187909.12864)/1392173.93156*100)</f>
        <v>3.599816299091513</v>
      </c>
      <c r="G8" s="48">
        <f>IF(OR(1770611.63183="",255573.98232="",238024.83274=""),"-",(255573.98232-238024.83274)/1770611.63183*100)</f>
        <v>0.9911348860767524</v>
      </c>
    </row>
    <row r="9" spans="1:7" ht="15.75">
      <c r="A9" s="30" t="s">
        <v>4</v>
      </c>
      <c r="B9" s="48">
        <f>IF(156712.19585="","-",156712.19585)</f>
        <v>156712.19585</v>
      </c>
      <c r="C9" s="48">
        <f>IF(OR(153873.81093="",156712.19585=""),"-",156712.19585/153873.81093*100)</f>
        <v>101.84461858898861</v>
      </c>
      <c r="D9" s="48">
        <f>IF(153873.81093="","-",153873.81093/1770611.63183*100)</f>
        <v>8.690432625869802</v>
      </c>
      <c r="E9" s="48">
        <f>IF(156712.19585="","-",156712.19585/1880616.047*100)</f>
        <v>8.333024494818638</v>
      </c>
      <c r="F9" s="48">
        <f>IF(OR(1392173.93156="",111028.28488="",153873.81093=""),"-",(153873.81093-111028.28488)/1392173.93156*100)</f>
        <v>3.077598644731802</v>
      </c>
      <c r="G9" s="48">
        <f>IF(OR(1770611.63183="",156712.19585="",153873.81093=""),"-",(156712.19585-153873.81093)/1770611.63183*100)</f>
        <v>0.16030533568032615</v>
      </c>
    </row>
    <row r="10" spans="1:7" s="9" customFormat="1" ht="15.75">
      <c r="A10" s="30" t="s">
        <v>3</v>
      </c>
      <c r="B10" s="48">
        <f>IF(127597.34285="","-",127597.34285)</f>
        <v>127597.34285</v>
      </c>
      <c r="C10" s="48">
        <f>IF(OR(120295.37526="",127597.34285=""),"-",127597.34285/120295.37526*100)</f>
        <v>106.07003184803898</v>
      </c>
      <c r="D10" s="48">
        <f>IF(120295.37526="","-",120295.37526/1770611.63183*100)</f>
        <v>6.794001185662029</v>
      </c>
      <c r="E10" s="48">
        <f>IF(127597.34285="","-",127597.34285/1880616.047*100)</f>
        <v>6.784869407742536</v>
      </c>
      <c r="F10" s="48">
        <f>IF(OR(1392173.93156="",92532.05306="",120295.37526=""),"-",(120295.37526-92532.05306)/1392173.93156*100)</f>
        <v>1.9942423551121815</v>
      </c>
      <c r="G10" s="48">
        <f>IF(OR(1770611.63183="",127597.34285="",120295.37526=""),"-",(127597.34285-120295.37526)/1770611.63183*100)</f>
        <v>0.41239803572583084</v>
      </c>
    </row>
    <row r="11" spans="1:7" s="9" customFormat="1" ht="15.75">
      <c r="A11" s="30" t="s">
        <v>5</v>
      </c>
      <c r="B11" s="48">
        <f>IF(61607.56679="","-",61607.56679)</f>
        <v>61607.56679</v>
      </c>
      <c r="C11" s="48">
        <f>IF(OR(61774.23896="",61607.56679=""),"-",61607.56679/61774.23896*100)</f>
        <v>99.73019146361652</v>
      </c>
      <c r="D11" s="48">
        <f>IF(61774.23896="","-",61774.23896/1770611.63183*100)</f>
        <v>3.488864404225888</v>
      </c>
      <c r="E11" s="48">
        <f>IF(61607.56679="","-",61607.56679/1880616.047*100)</f>
        <v>3.2759247634985216</v>
      </c>
      <c r="F11" s="48">
        <f>IF(OR(1392173.93156="",42270.91597="",61774.23896=""),"-",(61774.23896-42270.91597)/1392173.93156*100)</f>
        <v>1.4009257426725092</v>
      </c>
      <c r="G11" s="48">
        <f>IF(OR(1770611.63183="",61607.56679="",61774.23896=""),"-",(61607.56679-61774.23896)/1770611.63183*100)</f>
        <v>-0.00941325398544585</v>
      </c>
    </row>
    <row r="12" spans="1:7" s="9" customFormat="1" ht="15.75">
      <c r="A12" s="30" t="s">
        <v>186</v>
      </c>
      <c r="B12" s="48">
        <f>IF(55413.8241="","-",55413.8241)</f>
        <v>55413.8241</v>
      </c>
      <c r="C12" s="48">
        <f>IF(OR(57260.91407="",55413.8241=""),"-",55413.8241/57260.91407*100)</f>
        <v>96.7742569255147</v>
      </c>
      <c r="D12" s="48">
        <f>IF(57260.91407="","-",57260.91407/1770611.63183*100)</f>
        <v>3.2339623800403077</v>
      </c>
      <c r="E12" s="48">
        <f>IF(55413.8241="","-",55413.8241/1880616.047*100)</f>
        <v>2.946578286854318</v>
      </c>
      <c r="F12" s="48">
        <f>IF(OR(1392173.93156="",42264.63913="",57260.91407=""),"-",(57260.91407-42264.63913)/1392173.93156*100)</f>
        <v>1.0771840069721694</v>
      </c>
      <c r="G12" s="48">
        <f>IF(OR(1770611.63183="",55413.8241="",57260.91407=""),"-",(55413.8241-57260.91407)/1770611.63183*100)</f>
        <v>-0.10431931750561005</v>
      </c>
    </row>
    <row r="13" spans="1:7" s="9" customFormat="1" ht="15.75">
      <c r="A13" s="30" t="s">
        <v>50</v>
      </c>
      <c r="B13" s="48">
        <f>IF(37467.6733="","-",37467.6733)</f>
        <v>37467.6733</v>
      </c>
      <c r="C13" s="48">
        <f>IF(OR(40917.38423="",37467.6733=""),"-",37467.6733/40917.38423*100)</f>
        <v>91.56908244522941</v>
      </c>
      <c r="D13" s="48">
        <f>IF(40917.38423="","-",40917.38423/1770611.63183*100)</f>
        <v>2.3109180745475055</v>
      </c>
      <c r="E13" s="48">
        <f>IF(37467.6733="","-",37467.6733/1880616.047*100)</f>
        <v>1.992308496982638</v>
      </c>
      <c r="F13" s="48">
        <f>IF(OR(1392173.93156="",29765.5813="",40917.38423=""),"-",(40917.38423-29765.5813)/1392173.93156*100)</f>
        <v>0.8010351779467566</v>
      </c>
      <c r="G13" s="48">
        <f>IF(OR(1770611.63183="",37467.6733="",40917.38423=""),"-",(37467.6733-40917.38423)/1770611.63183*100)</f>
        <v>-0.19483159762339203</v>
      </c>
    </row>
    <row r="14" spans="1:7" s="9" customFormat="1" ht="15.75">
      <c r="A14" s="30" t="s">
        <v>7</v>
      </c>
      <c r="B14" s="48">
        <f>IF(34669.63312="","-",34669.63312)</f>
        <v>34669.63312</v>
      </c>
      <c r="C14" s="48">
        <f>IF(OR(26599.5177="",34669.63312=""),"-",34669.63312/26599.5177*100)</f>
        <v>130.33932987439093</v>
      </c>
      <c r="D14" s="48">
        <f>IF(26599.5177="","-",26599.5177/1770611.63183*100)</f>
        <v>1.502278490766962</v>
      </c>
      <c r="E14" s="48">
        <f>IF(34669.63312="","-",34669.63312/1880616.047*100)</f>
        <v>1.8435253264644722</v>
      </c>
      <c r="F14" s="48">
        <f>IF(OR(1392173.93156="",18902.35735="",26599.5177=""),"-",(26599.5177-18902.35735)/1392173.93156*100)</f>
        <v>0.5528878378993172</v>
      </c>
      <c r="G14" s="48">
        <f>IF(OR(1770611.63183="",34669.63312="",26599.5177=""),"-",(34669.63312-26599.5177)/1770611.63183*100)</f>
        <v>0.4557812269458098</v>
      </c>
    </row>
    <row r="15" spans="1:7" s="9" customFormat="1" ht="15.75">
      <c r="A15" s="30" t="s">
        <v>8</v>
      </c>
      <c r="B15" s="48">
        <f>IF(29700.83622="","-",29700.83622)</f>
        <v>29700.83622</v>
      </c>
      <c r="C15" s="48">
        <f>IF(OR(33601.62551="",29700.83622=""),"-",29700.83622/33601.62551*100)</f>
        <v>88.39106968548559</v>
      </c>
      <c r="D15" s="48">
        <f>IF(33601.62551="","-",33601.62551/1770611.63183*100)</f>
        <v>1.8977411480840287</v>
      </c>
      <c r="E15" s="48">
        <f>IF(29700.83622="","-",29700.83622/1880616.047*100)</f>
        <v>1.579314196929215</v>
      </c>
      <c r="F15" s="48">
        <f>IF(OR(1392173.93156="",21468.54102="",33601.62551=""),"-",(33601.62551-21468.54102)/1392173.93156*100)</f>
        <v>0.8715207356601107</v>
      </c>
      <c r="G15" s="48">
        <f>IF(OR(1770611.63183="",29700.83622="",33601.62551=""),"-",(29700.83622-33601.62551)/1770611.63183*100)</f>
        <v>-0.2203074474309406</v>
      </c>
    </row>
    <row r="16" spans="1:7" s="9" customFormat="1" ht="15.75">
      <c r="A16" s="30" t="s">
        <v>48</v>
      </c>
      <c r="B16" s="48">
        <f>IF(28480.54152="","-",28480.54152)</f>
        <v>28480.54152</v>
      </c>
      <c r="C16" s="48">
        <f>IF(OR(26558.60331="",28480.54152=""),"-",28480.54152/26558.60331*100)</f>
        <v>107.23659368516695</v>
      </c>
      <c r="D16" s="48">
        <f>IF(26558.60331="","-",26558.60331/1770611.63183*100)</f>
        <v>1.4999677417995152</v>
      </c>
      <c r="E16" s="48">
        <f>IF(28480.54152="","-",28480.54152/1880616.047*100)</f>
        <v>1.5144261671824393</v>
      </c>
      <c r="F16" s="48">
        <f>IF(OR(1392173.93156="",19255.68088="",26558.60331=""),"-",(26558.60331-19255.68088)/1392173.93156*100)</f>
        <v>0.5245696866207451</v>
      </c>
      <c r="G16" s="48">
        <f>IF(OR(1770611.63183="",28480.54152="",26558.60331=""),"-",(28480.54152-26558.60331)/1770611.63183*100)</f>
        <v>0.108546570882605</v>
      </c>
    </row>
    <row r="17" spans="1:7" s="9" customFormat="1" ht="15.75">
      <c r="A17" s="30" t="s">
        <v>187</v>
      </c>
      <c r="B17" s="48">
        <f>IF(19553.87969="","-",19553.87969)</f>
        <v>19553.87969</v>
      </c>
      <c r="C17" s="48">
        <f>IF(OR(19177.88399="",19553.87969=""),"-",19553.87969/19177.88399*100)</f>
        <v>101.96056926924817</v>
      </c>
      <c r="D17" s="48">
        <f>IF(19177.88399="","-",19177.88399/1770611.63183*100)</f>
        <v>1.08312199271948</v>
      </c>
      <c r="E17" s="48">
        <f>IF(19553.87969="","-",19553.87969/1880616.047*100)</f>
        <v>1.0397592704365561</v>
      </c>
      <c r="F17" s="48">
        <f>IF(OR(1392173.93156="",18779.80131="",19177.88399=""),"-",(19177.88399-18779.80131)/1392173.93156*100)</f>
        <v>0.02859432079394908</v>
      </c>
      <c r="G17" s="48">
        <f>IF(OR(1770611.63183="",19553.87969="",19177.88399=""),"-",(19553.87969-19177.88399)/1770611.63183*100)</f>
        <v>0.021235356937726435</v>
      </c>
    </row>
    <row r="18" spans="1:7" s="9" customFormat="1" ht="15.75">
      <c r="A18" s="30" t="s">
        <v>10</v>
      </c>
      <c r="B18" s="48">
        <f>IF(18910.55857="","-",18910.55857)</f>
        <v>18910.55857</v>
      </c>
      <c r="C18" s="48">
        <f>IF(OR(20461.93146="",18910.55857=""),"-",18910.55857/20461.93146*100)</f>
        <v>92.41824803766595</v>
      </c>
      <c r="D18" s="48">
        <f>IF(20461.93146="","-",20461.93146/1770611.63183*100)</f>
        <v>1.155641987896112</v>
      </c>
      <c r="E18" s="48">
        <f>IF(18910.55857="","-",18910.55857/1880616.047*100)</f>
        <v>1.0055512713595387</v>
      </c>
      <c r="F18" s="48">
        <f>IF(OR(1392173.93156="",13860.32465="",20461.93146=""),"-",(20461.93146-13860.32465)/1392173.93156*100)</f>
        <v>0.4741941118379204</v>
      </c>
      <c r="G18" s="48">
        <f>IF(OR(1770611.63183="",18910.55857="",20461.93146=""),"-",(18910.55857-20461.93146)/1770611.63183*100)</f>
        <v>-0.08761790909486972</v>
      </c>
    </row>
    <row r="19" spans="1:7" s="9" customFormat="1" ht="15.75">
      <c r="A19" s="30" t="s">
        <v>6</v>
      </c>
      <c r="B19" s="48">
        <f>IF(14962.33112="","-",14962.33112)</f>
        <v>14962.33112</v>
      </c>
      <c r="C19" s="48">
        <f>IF(OR(18975.67845="",14962.33112=""),"-",14962.33112/18975.67845*100)</f>
        <v>78.85004564882897</v>
      </c>
      <c r="D19" s="48">
        <f>IF(18975.67845="","-",18975.67845/1770611.63183*100)</f>
        <v>1.0717018971793297</v>
      </c>
      <c r="E19" s="48">
        <f>IF(14962.33112="","-",14962.33112/1880616.047*100)</f>
        <v>0.7956079681372623</v>
      </c>
      <c r="F19" s="48">
        <f>IF(OR(1392173.93156="",18315.41616="",18975.67845=""),"-",(18975.67845-18315.41616)/1392173.93156*100)</f>
        <v>0.04742670976895409</v>
      </c>
      <c r="G19" s="48">
        <f>IF(OR(1770611.63183="",14962.33112="",18975.67845=""),"-",(14962.33112-18975.67845)/1770611.63183*100)</f>
        <v>-0.22666446203406213</v>
      </c>
    </row>
    <row r="20" spans="1:7" s="9" customFormat="1" ht="15.75" customHeight="1">
      <c r="A20" s="30" t="s">
        <v>49</v>
      </c>
      <c r="B20" s="48">
        <f>IF(13520.5981="","-",13520.5981)</f>
        <v>13520.5981</v>
      </c>
      <c r="C20" s="48">
        <f>IF(OR(13653.85127="",13520.5981=""),"-",13520.5981/13653.85127*100)</f>
        <v>99.02406165582906</v>
      </c>
      <c r="D20" s="48">
        <f>IF(13653.85127="","-",13653.85127/1770611.63183*100)</f>
        <v>0.7711375563419394</v>
      </c>
      <c r="E20" s="48">
        <f>IF(13520.5981="","-",13520.5981/1880616.047*100)</f>
        <v>0.718945162760275</v>
      </c>
      <c r="F20" s="48">
        <f>IF(OR(1392173.93156="",11085.96244="",13653.85127=""),"-",(13653.85127-11085.96244)/1392173.93156*100)</f>
        <v>0.18445172487338224</v>
      </c>
      <c r="G20" s="48">
        <f>IF(OR(1770611.63183="",13520.5981="",13653.85127=""),"-",(13520.5981-13653.85127)/1770611.63183*100)</f>
        <v>-0.007525827098643722</v>
      </c>
    </row>
    <row r="21" spans="1:7" s="9" customFormat="1" ht="15.75">
      <c r="A21" s="30" t="s">
        <v>52</v>
      </c>
      <c r="B21" s="48">
        <f>IF(11036.96587="","-",11036.96587)</f>
        <v>11036.96587</v>
      </c>
      <c r="C21" s="48">
        <f>IF(OR(9613.88021="",11036.96587=""),"-",11036.96587/9613.88021*100)</f>
        <v>114.80240682133484</v>
      </c>
      <c r="D21" s="48">
        <f>IF(9613.88021="","-",9613.88021/1770611.63183*100)</f>
        <v>0.5429694483630867</v>
      </c>
      <c r="E21" s="48">
        <f>IF(11036.96587="","-",11036.96587/1880616.047*100)</f>
        <v>0.5868803410247622</v>
      </c>
      <c r="F21" s="48">
        <f>IF(OR(1392173.93156="",6516.56869="",9613.88021=""),"-",(9613.88021-6516.56869)/1392173.93156*100)</f>
        <v>0.2224802124063125</v>
      </c>
      <c r="G21" s="48">
        <f>IF(OR(1770611.63183="",11036.96587="",9613.88021=""),"-",(11036.96587-9613.88021)/1770611.63183*100)</f>
        <v>0.08037254666226173</v>
      </c>
    </row>
    <row r="22" spans="1:7" s="9" customFormat="1" ht="15.75">
      <c r="A22" s="30" t="s">
        <v>58</v>
      </c>
      <c r="B22" s="48">
        <f>IF(8586.6835="","-",8586.6835)</f>
        <v>8586.6835</v>
      </c>
      <c r="C22" s="48">
        <f>IF(OR(7922.45561="",8586.6835=""),"-",8586.6835/7922.45561*100)</f>
        <v>108.3841162727575</v>
      </c>
      <c r="D22" s="48">
        <f>IF(7922.45561="","-",7922.45561/1770611.63183*100)</f>
        <v>0.4474417465456169</v>
      </c>
      <c r="E22" s="48">
        <f>IF(8586.6835="","-",8586.6835/1880616.047*100)</f>
        <v>0.4565888669139916</v>
      </c>
      <c r="F22" s="48">
        <f>IF(OR(1392173.93156="",5857.43105="",7922.45561=""),"-",(7922.45561-5857.43105)/1392173.93156*100)</f>
        <v>0.14833093144374837</v>
      </c>
      <c r="G22" s="48">
        <f>IF(OR(1770611.63183="",8586.6835="",7922.45561=""),"-",(8586.6835-7922.45561)/1770611.63183*100)</f>
        <v>0.03751403628324142</v>
      </c>
    </row>
    <row r="23" spans="1:7" s="9" customFormat="1" ht="15.75">
      <c r="A23" s="30" t="s">
        <v>60</v>
      </c>
      <c r="B23" s="48">
        <f>IF(7479.79902="","-",7479.79902)</f>
        <v>7479.79902</v>
      </c>
      <c r="C23" s="48">
        <f>IF(OR(7181.83776="",7479.79902=""),"-",7479.79902/7181.83776*100)</f>
        <v>104.14881636089757</v>
      </c>
      <c r="D23" s="48">
        <f>IF(7181.83776="","-",7181.83776/1770611.63183*100)</f>
        <v>0.4056133841489155</v>
      </c>
      <c r="E23" s="48">
        <f>IF(7479.79902="","-",7479.79902/1880616.047*100)</f>
        <v>0.39773131958179025</v>
      </c>
      <c r="F23" s="48">
        <f>IF(OR(1392173.93156="",4938.32146="",7181.83776=""),"-",(7181.83776-4938.32146)/1392173.93156*100)</f>
        <v>0.16115201191032424</v>
      </c>
      <c r="G23" s="48">
        <f>IF(OR(1770611.63183="",7479.79902="",7181.83776=""),"-",(7479.79902-7181.83776)/1770611.63183*100)</f>
        <v>0.016828154443560544</v>
      </c>
    </row>
    <row r="24" spans="1:7" s="9" customFormat="1" ht="15.75">
      <c r="A24" s="30" t="s">
        <v>9</v>
      </c>
      <c r="B24" s="48">
        <f>IF(6764.60829="","-",6764.60829)</f>
        <v>6764.60829</v>
      </c>
      <c r="C24" s="48">
        <f>IF(OR(6652.4747="",6764.60829=""),"-",6764.60829/6652.4747*100)</f>
        <v>101.6855921300986</v>
      </c>
      <c r="D24" s="48">
        <f>IF(6652.4747="","-",6652.4747/1770611.63183*100)</f>
        <v>0.37571619774825454</v>
      </c>
      <c r="E24" s="48">
        <f>IF(6764.60829="","-",6764.60829/1880616.047*100)</f>
        <v>0.35970172118817406</v>
      </c>
      <c r="F24" s="48">
        <f>IF(OR(1392173.93156="",6472.07507="",6652.4747=""),"-",(6652.4747-6472.07507)/1392173.93156*100)</f>
        <v>0.01295812440603978</v>
      </c>
      <c r="G24" s="48">
        <f>IF(OR(1770611.63183="",6764.60829="",6652.4747=""),"-",(6764.60829-6652.4747)/1770611.63183*100)</f>
        <v>0.0063330426607502675</v>
      </c>
    </row>
    <row r="25" spans="1:7" s="9" customFormat="1" ht="15.75">
      <c r="A25" s="30" t="s">
        <v>59</v>
      </c>
      <c r="B25" s="48">
        <f>IF(5640.66931="","-",5640.66931)</f>
        <v>5640.66931</v>
      </c>
      <c r="C25" s="48">
        <f>IF(OR(5551.48613="",5640.66931=""),"-",5640.66931/5551.48613*100)</f>
        <v>101.60647397672594</v>
      </c>
      <c r="D25" s="48">
        <f>IF(5551.48613="","-",5551.48613/1770611.63183*100)</f>
        <v>0.3135349407064671</v>
      </c>
      <c r="E25" s="48">
        <f>IF(5640.66931="","-",5640.66931/1880616.047*100)</f>
        <v>0.29993731676373386</v>
      </c>
      <c r="F25" s="48">
        <f>IF(OR(1392173.93156="",3634.74751="",5551.48613=""),"-",(5551.48613-3634.74751)/1392173.93156*100)</f>
        <v>0.13767953676967642</v>
      </c>
      <c r="G25" s="48">
        <f>IF(OR(1770611.63183="",5640.66931="",5551.48613=""),"-",(5640.66931-5551.48613)/1770611.63183*100)</f>
        <v>0.005036857230392501</v>
      </c>
    </row>
    <row r="26" spans="1:7" s="9" customFormat="1" ht="15.75">
      <c r="A26" s="30" t="s">
        <v>51</v>
      </c>
      <c r="B26" s="48">
        <f>IF(5603.04872="","-",5603.04872)</f>
        <v>5603.04872</v>
      </c>
      <c r="C26" s="48" t="s">
        <v>114</v>
      </c>
      <c r="D26" s="48">
        <f>IF(3087.70277="","-",3087.70277/1770611.63183*100)</f>
        <v>0.17438622420031952</v>
      </c>
      <c r="E26" s="48">
        <f>IF(5603.04872="","-",5603.04872/1880616.047*100)</f>
        <v>0.2979368770641996</v>
      </c>
      <c r="F26" s="48">
        <f>IF(OR(1392173.93156="",3840.45316="",3087.70277=""),"-",(3087.70277-3840.45316)/1392173.93156*100)</f>
        <v>-0.054070139724316346</v>
      </c>
      <c r="G26" s="48">
        <f>IF(OR(1770611.63183="",5603.04872="",3087.70277=""),"-",(5603.04872-3087.70277)/1770611.63183*100)</f>
        <v>0.14206085088237483</v>
      </c>
    </row>
    <row r="27" spans="1:7" s="9" customFormat="1" ht="15.75">
      <c r="A27" s="30" t="s">
        <v>56</v>
      </c>
      <c r="B27" s="48">
        <f>IF(4378.87736="","-",4378.87736)</f>
        <v>4378.87736</v>
      </c>
      <c r="C27" s="48">
        <f>IF(OR(5039.99687="",4378.87736=""),"-",4378.87736/5039.99687*100)</f>
        <v>86.8825412584036</v>
      </c>
      <c r="D27" s="48">
        <f>IF(5039.99687="","-",5039.99687/1770611.63183*100)</f>
        <v>0.28464722468760445</v>
      </c>
      <c r="E27" s="48">
        <f>IF(4378.87736="","-",4378.87736/1880616.047*100)</f>
        <v>0.2328427095464426</v>
      </c>
      <c r="F27" s="48">
        <f>IF(OR(1392173.93156="",4525.68027="",5039.99687=""),"-",(5039.99687-4525.68027)/1392173.93156*100)</f>
        <v>0.036943415498642676</v>
      </c>
      <c r="G27" s="48">
        <f>IF(OR(1770611.63183="",4378.87736="",5039.99687=""),"-",(4378.87736-5039.99687)/1770611.63183*100)</f>
        <v>-0.03733848225749569</v>
      </c>
    </row>
    <row r="28" spans="1:7" s="9" customFormat="1" ht="15.75">
      <c r="A28" s="30" t="s">
        <v>57</v>
      </c>
      <c r="B28" s="48">
        <f>IF(4002.13339="","-",4002.13339)</f>
        <v>4002.13339</v>
      </c>
      <c r="C28" s="48">
        <f>IF(OR(3101.84005="",4002.13339=""),"-",4002.13339/3101.84005*100)</f>
        <v>129.02449273617447</v>
      </c>
      <c r="D28" s="48">
        <f>IF(3101.84005="","-",3101.84005/1770611.63183*100)</f>
        <v>0.17518466467963506</v>
      </c>
      <c r="E28" s="48">
        <f>IF(4002.13339="","-",4002.13339/1880616.047*100)</f>
        <v>0.21280970118192338</v>
      </c>
      <c r="F28" s="48">
        <f>IF(OR(1392173.93156="",2304.82916="",3101.84005=""),"-",(3101.84005-2304.82916)/1392173.93156*100)</f>
        <v>0.05724937609677189</v>
      </c>
      <c r="G28" s="48">
        <f>IF(OR(1770611.63183="",4002.13339="",3101.84005=""),"-",(4002.13339-3101.84005)/1770611.63183*100)</f>
        <v>0.05084646027483225</v>
      </c>
    </row>
    <row r="29" spans="1:7" s="9" customFormat="1" ht="15.75">
      <c r="A29" s="30" t="s">
        <v>53</v>
      </c>
      <c r="B29" s="48">
        <f>IF(3537.90389="","-",3537.90389)</f>
        <v>3537.90389</v>
      </c>
      <c r="C29" s="48">
        <f>IF(OR(3800.36907="",3537.90389=""),"-",3537.90389/3800.36907*100)</f>
        <v>93.09369234499111</v>
      </c>
      <c r="D29" s="48">
        <f>IF(3800.36907="","-",3800.36907/1770611.63183*100)</f>
        <v>0.21463594848702996</v>
      </c>
      <c r="E29" s="48">
        <f>IF(3537.90389="","-",3537.90389/1880616.047*100)</f>
        <v>0.18812473155505302</v>
      </c>
      <c r="F29" s="48">
        <f>IF(OR(1392173.93156="",2200.09581="",3800.36907=""),"-",(3800.36907-2200.09581)/1392173.93156*100)</f>
        <v>0.11494779665977618</v>
      </c>
      <c r="G29" s="48">
        <f>IF(OR(1770611.63183="",3537.90389="",3800.36907=""),"-",(3537.90389-3800.36907)/1770611.63183*100)</f>
        <v>-0.014823418940760688</v>
      </c>
    </row>
    <row r="30" spans="1:7" s="9" customFormat="1" ht="15.75">
      <c r="A30" s="30" t="s">
        <v>61</v>
      </c>
      <c r="B30" s="48">
        <f>IF(2143.78337="","-",2143.78337)</f>
        <v>2143.78337</v>
      </c>
      <c r="C30" s="48">
        <f>IF(OR(1956.44115="",2143.78337=""),"-",2143.78337/1956.44115*100)</f>
        <v>109.57566344379947</v>
      </c>
      <c r="D30" s="48">
        <f>IF(1956.44115="","-",1956.44115/1770611.63183*100)</f>
        <v>0.11049521616312537</v>
      </c>
      <c r="E30" s="48">
        <f>IF(2143.78337="","-",2143.78337/1880616.047*100)</f>
        <v>0.11399367634982219</v>
      </c>
      <c r="F30" s="48">
        <f>IF(OR(1392173.93156="",1781.49959="",1956.44115=""),"-",(1956.44115-1781.49959)/1392173.93156*100)</f>
        <v>0.012566070663596574</v>
      </c>
      <c r="G30" s="48">
        <f>IF(OR(1770611.63183="",2143.78337="",1956.44115=""),"-",(2143.78337-1956.44115)/1770611.63183*100)</f>
        <v>0.010580650021279602</v>
      </c>
    </row>
    <row r="31" spans="1:7" s="9" customFormat="1" ht="15.75">
      <c r="A31" s="30" t="s">
        <v>54</v>
      </c>
      <c r="B31" s="48">
        <f>IF(1514.55076="","-",1514.55076)</f>
        <v>1514.55076</v>
      </c>
      <c r="C31" s="48">
        <f>IF(OR(1510.3238="",1514.55076=""),"-",1514.55076/1510.3238*100)</f>
        <v>100.27987111108227</v>
      </c>
      <c r="D31" s="48">
        <f>IF(1510.3238="","-",1510.3238/1770611.63183*100)</f>
        <v>0.0852995525867532</v>
      </c>
      <c r="E31" s="48">
        <f>IF(1514.55076="","-",1514.55076/1880616.047*100)</f>
        <v>0.08053482061987319</v>
      </c>
      <c r="F31" s="48">
        <f>IF(OR(1392173.93156="",1786.79404="",1510.3238=""),"-",(1510.3238-1786.79404)/1392173.93156*100)</f>
        <v>-0.01985888643168325</v>
      </c>
      <c r="G31" s="48">
        <f>IF(OR(1770611.63183="",1514.55076="",1510.3238=""),"-",(1514.55076-1510.3238)/1770611.63183*100)</f>
        <v>0.00023872880557276427</v>
      </c>
    </row>
    <row r="32" spans="1:7" s="9" customFormat="1" ht="15.75">
      <c r="A32" s="30" t="s">
        <v>188</v>
      </c>
      <c r="B32" s="48">
        <f>IF(1500.15175="","-",1500.15175)</f>
        <v>1500.15175</v>
      </c>
      <c r="C32" s="48" t="s">
        <v>115</v>
      </c>
      <c r="D32" s="48">
        <f>IF(884.85598="","-",884.85598/1770611.63183*100)</f>
        <v>0.04997459432057751</v>
      </c>
      <c r="E32" s="48">
        <f>IF(1500.15175="","-",1500.15175/1880616.047*100)</f>
        <v>0.07976916672560967</v>
      </c>
      <c r="F32" s="48">
        <f>IF(OR(1392173.93156="",390.92988="",884.85598=""),"-",(884.85598-390.92988)/1392173.93156*100)</f>
        <v>0.03547876373798576</v>
      </c>
      <c r="G32" s="48">
        <f>IF(OR(1770611.63183="",1500.15175="",884.85598=""),"-",(1500.15175-884.85598)/1770611.63183*100)</f>
        <v>0.03475046469473751</v>
      </c>
    </row>
    <row r="33" spans="1:7" s="9" customFormat="1" ht="15.75">
      <c r="A33" s="30" t="s">
        <v>62</v>
      </c>
      <c r="B33" s="48">
        <f>IF(456.58181="","-",456.58181)</f>
        <v>456.58181</v>
      </c>
      <c r="C33" s="48">
        <f>IF(OR(352.15881="",456.58181=""),"-",456.58181/352.15881*100)</f>
        <v>129.65224695074363</v>
      </c>
      <c r="D33" s="48">
        <f>IF(352.15881="","-",352.15881/1770611.63183*100)</f>
        <v>0.01988910519220013</v>
      </c>
      <c r="E33" s="48">
        <f>IF(456.58181="","-",456.58181/1880616.047*100)</f>
        <v>0.024278310861398283</v>
      </c>
      <c r="F33" s="48">
        <f>IF(OR(1392173.93156="",660.77453="",352.15881=""),"-",(352.15881-660.77453)/1392173.93156*100)</f>
        <v>-0.022167899642696283</v>
      </c>
      <c r="G33" s="48">
        <f>IF(OR(1770611.63183="",456.58181="",352.15881=""),"-",(456.58181-352.15881)/1770611.63183*100)</f>
        <v>0.005897566587884353</v>
      </c>
    </row>
    <row r="34" spans="1:7" s="9" customFormat="1" ht="15.75">
      <c r="A34" s="30" t="s">
        <v>55</v>
      </c>
      <c r="B34" s="48">
        <f>IF(231.7325="","-",231.7325)</f>
        <v>231.7325</v>
      </c>
      <c r="C34" s="48">
        <f>IF(OR(416.84258="",231.7325=""),"-",231.7325/416.84258*100)</f>
        <v>55.59232936328146</v>
      </c>
      <c r="D34" s="48">
        <f>IF(416.84258="","-",416.84258/1770611.63183*100)</f>
        <v>0.02354229309841233</v>
      </c>
      <c r="E34" s="48">
        <f>IF(231.7325="","-",231.7325/1880616.047*100)</f>
        <v>0.012322159027073322</v>
      </c>
      <c r="F34" s="48">
        <f>IF(OR(1392173.93156="",304.1262="",416.84258=""),"-",(416.84258-304.1262)/1392173.93156*100)</f>
        <v>0.008096429436348928</v>
      </c>
      <c r="G34" s="48">
        <f>IF(OR(1770611.63183="",231.7325="",416.84258=""),"-",(231.7325-416.84258)/1770611.63183*100)</f>
        <v>-0.010454583979473868</v>
      </c>
    </row>
    <row r="35" spans="1:7" s="9" customFormat="1" ht="15.75">
      <c r="A35" s="30" t="s">
        <v>63</v>
      </c>
      <c r="B35" s="48">
        <f>IF(46.48885="","-",46.48885)</f>
        <v>46.48885</v>
      </c>
      <c r="C35" s="48">
        <f>IF(OR(41.63637="",46.48885=""),"-",46.48885/41.63637*100)</f>
        <v>111.65442616635409</v>
      </c>
      <c r="D35" s="48">
        <f>IF(41.63637="","-",41.63637/1770611.63183*100)</f>
        <v>0.002351524707706065</v>
      </c>
      <c r="E35" s="48">
        <f>IF(46.48885="","-",46.48885/1880616.047*100)</f>
        <v>0.0024720011335732264</v>
      </c>
      <c r="F35" s="48">
        <f>IF(OR(1392173.93156="",72.73041="",41.63637=""),"-",(41.63637-72.73041)/1392173.93156*100)</f>
        <v>-0.002233488165171833</v>
      </c>
      <c r="G35" s="48">
        <f>IF(OR(1770611.63183="",46.48885="",41.63637=""),"-",(46.48885-41.63637)/1770611.63183*100)</f>
        <v>0.0002740567108431769</v>
      </c>
    </row>
    <row r="36" spans="1:7" s="9" customFormat="1" ht="15.75">
      <c r="A36" s="29" t="s">
        <v>163</v>
      </c>
      <c r="B36" s="47">
        <f>IF(498326.80598="","-",498326.80598)</f>
        <v>498326.80598</v>
      </c>
      <c r="C36" s="47">
        <f>IF(423763.37047="","-",498326.80598/423763.37047*100)</f>
        <v>117.59553578859374</v>
      </c>
      <c r="D36" s="47">
        <f>IF(423763.37047="","-",423763.37047/1770611.63183*100)</f>
        <v>23.933163142728432</v>
      </c>
      <c r="E36" s="47">
        <f>IF(498326.80598="","-",498326.80598/1880616.047*100)</f>
        <v>26.49806199276784</v>
      </c>
      <c r="F36" s="47">
        <f>IF(1392173.93156="","-",(423763.37047-364648.24585)/1392173.93156*100)</f>
        <v>4.246245622036507</v>
      </c>
      <c r="G36" s="47">
        <f>IF(1770611.63183="","-",(498326.80598-423763.37047)/1770611.63183*100)</f>
        <v>4.2111682861213104</v>
      </c>
    </row>
    <row r="37" spans="1:7" s="9" customFormat="1" ht="15.75">
      <c r="A37" s="30" t="s">
        <v>189</v>
      </c>
      <c r="B37" s="48">
        <f>IF(275582.42286="","-",275582.42286)</f>
        <v>275582.42286</v>
      </c>
      <c r="C37" s="48">
        <f>IF(OR(240695.97184="",275582.42286=""),"-",275582.42286/240695.97184*100)</f>
        <v>114.4939903868397</v>
      </c>
      <c r="D37" s="48">
        <f>IF(240695.97184="","-",240695.97184/1770611.63183*100)</f>
        <v>13.593945025156692</v>
      </c>
      <c r="E37" s="48">
        <f>IF(275582.42286="","-",275582.42286/1880616.047*100)</f>
        <v>14.653837677266187</v>
      </c>
      <c r="F37" s="48">
        <f>IF(OR(1392173.93156="",198185.78706="",240695.97184=""),"-",(240695.97184-198185.78706)/1392173.93156*100)</f>
        <v>3.053511046020323</v>
      </c>
      <c r="G37" s="48">
        <f>IF(OR(1770611.63183="",275582.42286="",240695.97184=""),"-",(275582.42286-240695.97184)/1770611.63183*100)</f>
        <v>1.9703050851384838</v>
      </c>
    </row>
    <row r="38" spans="1:7" s="9" customFormat="1" ht="15.75">
      <c r="A38" s="30" t="s">
        <v>12</v>
      </c>
      <c r="B38" s="48">
        <f>IF(174820.66032="","-",174820.66032)</f>
        <v>174820.66032</v>
      </c>
      <c r="C38" s="48">
        <f>IF(OR(153470.36396="",174820.66032=""),"-",174820.66032/153470.36396*100)</f>
        <v>113.91167376495221</v>
      </c>
      <c r="D38" s="48">
        <f>IF(153470.36396="","-",153470.36396/1770611.63183*100)</f>
        <v>8.667646885465336</v>
      </c>
      <c r="E38" s="48">
        <f>IF(174820.66032="","-",174820.66032/1880616.047*100)</f>
        <v>9.295925162335914</v>
      </c>
      <c r="F38" s="48">
        <f>IF(OR(1392173.93156="",127452.94665="",153470.36396=""),"-",(153470.36396-127452.94665)/1392173.93156*100)</f>
        <v>1.8688338231449417</v>
      </c>
      <c r="G38" s="48">
        <f>IF(OR(1770611.63183="",174820.66032="",153470.36396=""),"-",(174820.66032-153470.36396)/1770611.63183*100)</f>
        <v>1.2058147578039797</v>
      </c>
    </row>
    <row r="39" spans="1:7" s="9" customFormat="1" ht="15.75">
      <c r="A39" s="30" t="s">
        <v>11</v>
      </c>
      <c r="B39" s="48">
        <f>IF(40076.48272="","-",40076.48272)</f>
        <v>40076.48272</v>
      </c>
      <c r="C39" s="48">
        <f>IF(OR(27011.96467="",40076.48272=""),"-",40076.48272/27011.96467*100)</f>
        <v>148.3656713223444</v>
      </c>
      <c r="D39" s="48">
        <f>IF(27011.96467="","-",27011.96467/1770611.63183*100)</f>
        <v>1.5255725301026077</v>
      </c>
      <c r="E39" s="48">
        <f>IF(40076.48272="","-",40076.48272/1880616.047*100)</f>
        <v>2.1310294987608387</v>
      </c>
      <c r="F39" s="48">
        <f>IF(OR(1392173.93156="",36758.7676="",27011.96467=""),"-",(27011.96467-36758.7676)/1392173.93156*100)</f>
        <v>-0.7001138801010461</v>
      </c>
      <c r="G39" s="48">
        <f>IF(OR(1770611.63183="",40076.48272="",27011.96467=""),"-",(40076.48272-27011.96467)/1770611.63183*100)</f>
        <v>0.7378533956934011</v>
      </c>
    </row>
    <row r="40" spans="1:7" s="9" customFormat="1" ht="15.75">
      <c r="A40" s="30" t="s">
        <v>15</v>
      </c>
      <c r="B40" s="48">
        <f>IF(3060.68459="","-",3060.68459)</f>
        <v>3060.68459</v>
      </c>
      <c r="C40" s="48" t="s">
        <v>215</v>
      </c>
      <c r="D40" s="48">
        <f>IF(1355.26517="","-",1355.26517/1770611.63183*100)</f>
        <v>0.0765422041534471</v>
      </c>
      <c r="E40" s="48">
        <f>IF(3060.68459="","-",3060.68459/1880616.047*100)</f>
        <v>0.16274904145811533</v>
      </c>
      <c r="F40" s="48">
        <f>IF(OR(1392173.93156="",1281.28596="",1355.26517=""),"-",(1355.26517-1281.28596)/1392173.93156*100)</f>
        <v>0.005313934439003795</v>
      </c>
      <c r="G40" s="48">
        <f>IF(OR(1770611.63183="",3060.68459="",1355.26517=""),"-",(3060.68459-1355.26517)/1770611.63183*100)</f>
        <v>0.09631809648948136</v>
      </c>
    </row>
    <row r="41" spans="1:7" s="9" customFormat="1" ht="15.75">
      <c r="A41" s="30" t="s">
        <v>13</v>
      </c>
      <c r="B41" s="48">
        <f>IF(2334.44753="","-",2334.44753)</f>
        <v>2334.44753</v>
      </c>
      <c r="C41" s="48" t="s">
        <v>216</v>
      </c>
      <c r="D41" s="48">
        <f>IF(677.97872="","-",677.97872/1770611.63183*100)</f>
        <v>0.03829065097122857</v>
      </c>
      <c r="E41" s="48">
        <f>IF(2334.44753="","-",2334.44753/1880616.047*100)</f>
        <v>0.12413206479461673</v>
      </c>
      <c r="F41" s="48">
        <f>IF(OR(1392173.93156="",675.45566="",677.97872=""),"-",(677.97872-675.45566)/1392173.93156*100)</f>
        <v>0.00018123166529722135</v>
      </c>
      <c r="G41" s="48">
        <f>IF(OR(1770611.63183="",2334.44753="",677.97872=""),"-",(2334.44753-677.97872)/1770611.63183*100)</f>
        <v>0.09355348062906212</v>
      </c>
    </row>
    <row r="42" spans="1:7" s="9" customFormat="1" ht="15.75">
      <c r="A42" s="30" t="s">
        <v>16</v>
      </c>
      <c r="B42" s="48">
        <f>IF(1921.73793="","-",1921.73793)</f>
        <v>1921.73793</v>
      </c>
      <c r="C42" s="48" t="s">
        <v>214</v>
      </c>
      <c r="D42" s="48">
        <f>IF(0.918="","-",0.918/1770611.63183*100)</f>
        <v>5.184649098070192E-05</v>
      </c>
      <c r="E42" s="48">
        <f>IF(1921.73793="","-",1921.73793/1880616.047*100)</f>
        <v>0.10218661768124325</v>
      </c>
      <c r="F42" s="48">
        <f>IF(OR(1392173.93156="",4.47522="",0.918=""),"-",(0.918-4.47522)/1392173.93156*100)</f>
        <v>-0.0002555154869200832</v>
      </c>
      <c r="G42" s="48">
        <f>IF(OR(1770611.63183="",1921.73793="",0.918=""),"-",(1921.73793-0.918)/1770611.63183*100)</f>
        <v>0.1084834130460757</v>
      </c>
    </row>
    <row r="43" spans="1:7" s="9" customFormat="1" ht="15.75">
      <c r="A43" s="30" t="s">
        <v>17</v>
      </c>
      <c r="B43" s="48">
        <f>IF(379.34148="","-",379.34148)</f>
        <v>379.34148</v>
      </c>
      <c r="C43" s="48">
        <f>IF(OR(333.5415="",379.34148=""),"-",379.34148/333.5415*100)</f>
        <v>113.73141872900374</v>
      </c>
      <c r="D43" s="48">
        <f>IF(333.5415="","-",333.5415/1770611.63183*100)</f>
        <v>0.01883764310614356</v>
      </c>
      <c r="E43" s="48">
        <f>IF(379.34148="","-",379.34148/1880616.047*100)</f>
        <v>0.02017112853020338</v>
      </c>
      <c r="F43" s="48">
        <f>IF(OR(1392173.93156="",216.80375="",333.5415=""),"-",(333.5415-216.80375)/1392173.93156*100)</f>
        <v>0.008385284866610707</v>
      </c>
      <c r="G43" s="48">
        <f>IF(OR(1770611.63183="",379.34148="",333.5415=""),"-",(379.34148-333.5415)/1770611.63183*100)</f>
        <v>0.0025866756535798782</v>
      </c>
    </row>
    <row r="44" spans="1:7" s="9" customFormat="1" ht="15.75">
      <c r="A44" s="30" t="s">
        <v>14</v>
      </c>
      <c r="B44" s="48">
        <f>IF(99.37022="","-",99.37022)</f>
        <v>99.37022</v>
      </c>
      <c r="C44" s="48">
        <f>IF(OR(178.23619="",99.37022=""),"-",99.37022/178.23619*100)</f>
        <v>55.75198841492293</v>
      </c>
      <c r="D44" s="48">
        <f>IF(178.23619="","-",178.23619/1770611.63183*100)</f>
        <v>0.01006636276391032</v>
      </c>
      <c r="E44" s="48">
        <f>IF(99.37022="","-",99.37022/1880616.047*100)</f>
        <v>0.005283918541401237</v>
      </c>
      <c r="F44" s="48">
        <f>IF(OR(1392173.93156="",48.80301="",178.23619=""),"-",(178.23619-48.80301)/1392173.93156*100)</f>
        <v>0.009297198939428762</v>
      </c>
      <c r="G44" s="48">
        <f>IF(OR(1770611.63183="",99.37022="",178.23619=""),"-",(99.37022-178.23619)/1770611.63183*100)</f>
        <v>-0.004454165361970923</v>
      </c>
    </row>
    <row r="45" spans="1:7" s="9" customFormat="1" ht="15.75">
      <c r="A45" s="30" t="s">
        <v>151</v>
      </c>
      <c r="B45" s="48">
        <f>IF(51.62396="","-",51.62396)</f>
        <v>51.62396</v>
      </c>
      <c r="C45" s="48">
        <f>IF(OR(39.11203="",51.62396=""),"-",51.62396/39.11203*100)</f>
        <v>131.98997853090214</v>
      </c>
      <c r="D45" s="48">
        <f>IF(39.11203="","-",39.11203/1770611.63183*100)</f>
        <v>0.002208955893934578</v>
      </c>
      <c r="E45" s="48">
        <f>IF(51.62396="","-",51.62396/1880616.047*100)</f>
        <v>0.0027450558067050245</v>
      </c>
      <c r="F45" s="48">
        <f>IF(OR(1392173.93156="",21.36642="",39.11203=""),"-",(39.11203-21.36642)/1392173.93156*100)</f>
        <v>0.0012746690336397234</v>
      </c>
      <c r="G45" s="48">
        <f>IF(OR(1770611.63183="",51.62396="",39.11203=""),"-",(51.62396-39.11203)/1770611.63183*100)</f>
        <v>0.0007066445162267687</v>
      </c>
    </row>
    <row r="46" spans="1:7" s="9" customFormat="1" ht="15.75">
      <c r="A46" s="30" t="s">
        <v>18</v>
      </c>
      <c r="B46" s="48">
        <f>IF(0.03437="","-",0.03437)</f>
        <v>0.03437</v>
      </c>
      <c r="C46" s="48" t="s">
        <v>117</v>
      </c>
      <c r="D46" s="48">
        <f>IF(0.01839="","-",0.01839/1770611.63183*100)</f>
        <v>1.0386241493846494E-06</v>
      </c>
      <c r="E46" s="48">
        <f>IF(0.03437="","-",0.03437/1880616.047*100)</f>
        <v>1.8275926154532063E-06</v>
      </c>
      <c r="F46" s="48">
        <f>IF(OR(1392173.93156="",2.55452="",0.01839=""),"-",(0.01839-2.55452)/1392173.93156*100)</f>
        <v>-0.00018217048477255573</v>
      </c>
      <c r="G46" s="48">
        <f>IF(OR(1770611.63183="",0.03437="",0.01839=""),"-",(0.03437-0.01839)/1770611.63183*100)</f>
        <v>9.025129911455517E-07</v>
      </c>
    </row>
    <row r="47" spans="1:7" s="9" customFormat="1" ht="15.75">
      <c r="A47" s="29" t="s">
        <v>164</v>
      </c>
      <c r="B47" s="47">
        <f>IF(465194.29908="","-",465194.29908)</f>
        <v>465194.29908</v>
      </c>
      <c r="C47" s="47">
        <f>IF(458558.31162="","-",465194.29908/458558.31162*100)</f>
        <v>101.44714146311216</v>
      </c>
      <c r="D47" s="47">
        <f>IF(458558.31162="","-",458558.31162/1770611.63183*100)</f>
        <v>25.898299964632056</v>
      </c>
      <c r="E47" s="47">
        <f>IF(465194.29908="","-",465194.29908/1880616.047*100)</f>
        <v>24.736271915901607</v>
      </c>
      <c r="F47" s="47">
        <f>IF(1392173.93156="","-",(458558.31162-354799.94209)/1392173.93156*100)</f>
        <v>7.45297460165294</v>
      </c>
      <c r="G47" s="47">
        <f>IF(1770611.63183="","-",(465194.29908-458558.31162)/1770611.63183*100)</f>
        <v>0.3747850370293494</v>
      </c>
    </row>
    <row r="48" spans="1:7" s="9" customFormat="1" ht="15.75">
      <c r="A48" s="30" t="s">
        <v>67</v>
      </c>
      <c r="B48" s="48">
        <f>IF(182411.35236="","-",182411.35236)</f>
        <v>182411.35236</v>
      </c>
      <c r="C48" s="48">
        <f>IF(OR(187044.43351="",182411.35236=""),"-",182411.35236/187044.43351*100)</f>
        <v>97.52300506192165</v>
      </c>
      <c r="D48" s="48">
        <f>IF(187044.43351="","-",187044.43351/1770611.63183*100)</f>
        <v>10.563831737436507</v>
      </c>
      <c r="E48" s="48">
        <f>IF(182411.35236="","-",182411.35236/1880616.047*100)</f>
        <v>9.699553114575757</v>
      </c>
      <c r="F48" s="48">
        <f>IF(OR(1392173.93156="",132595.19271="",187044.43351=""),"-",(187044.43351-132595.19271)/1392173.93156*100)</f>
        <v>3.9110946962630546</v>
      </c>
      <c r="G48" s="48">
        <f>IF(OR(1770611.63183="",182411.35236="",187044.43351=""),"-",(182411.35236-187044.43351)/1770611.63183*100)</f>
        <v>-0.26166557740341584</v>
      </c>
    </row>
    <row r="49" spans="1:7" s="9" customFormat="1" ht="15.75">
      <c r="A49" s="30" t="s">
        <v>64</v>
      </c>
      <c r="B49" s="48">
        <f>IF(121083.99528="","-",121083.99528)</f>
        <v>121083.99528</v>
      </c>
      <c r="C49" s="48">
        <f>IF(OR(108137.72188="",121083.99528=""),"-",121083.99528/108137.72188*100)</f>
        <v>111.97202342986886</v>
      </c>
      <c r="D49" s="48">
        <f>IF(108137.72188="","-",108137.72188/1770611.63183*100)</f>
        <v>6.10736538357851</v>
      </c>
      <c r="E49" s="48">
        <f>IF(121083.99528="","-",121083.99528/1880616.047*100)</f>
        <v>6.438528240421848</v>
      </c>
      <c r="F49" s="48">
        <f>IF(OR(1392173.93156="",95412.5188="",108137.72188=""),"-",(108137.72188-95412.5188)/1392173.93156*100)</f>
        <v>0.9140526762874213</v>
      </c>
      <c r="G49" s="48">
        <f>IF(OR(1770611.63183="",121083.99528="",108137.72188=""),"-",(121083.99528-108137.72188)/1770611.63183*100)</f>
        <v>0.7311752146697184</v>
      </c>
    </row>
    <row r="50" spans="1:7" s="9" customFormat="1" ht="15.75">
      <c r="A50" s="30" t="s">
        <v>19</v>
      </c>
      <c r="B50" s="48">
        <f>IF(24826.85746="","-",24826.85746)</f>
        <v>24826.85746</v>
      </c>
      <c r="C50" s="48">
        <f>IF(OR(25604.80354="",24826.85746=""),"-",24826.85746/25604.80354*100)</f>
        <v>96.96171822297059</v>
      </c>
      <c r="D50" s="48">
        <f>IF(25604.80354="","-",25604.80354/1770611.63183*100)</f>
        <v>1.4460993636157458</v>
      </c>
      <c r="E50" s="48">
        <f>IF(24826.85746="","-",24826.85746/1880616.047*100)</f>
        <v>1.3201449333373683</v>
      </c>
      <c r="F50" s="48">
        <f>IF(OR(1392173.93156="",28295.39277="",25604.80354=""),"-",(25604.80354-28295.39277)/1392173.93156*100)</f>
        <v>-0.1932653075169321</v>
      </c>
      <c r="G50" s="48">
        <f>IF(OR(1770611.63183="",24826.85746="",25604.80354=""),"-",(24826.85746-25604.80354)/1770611.63183*100)</f>
        <v>-0.04393657344247548</v>
      </c>
    </row>
    <row r="51" spans="1:7" s="9" customFormat="1" ht="15.75">
      <c r="A51" s="30" t="s">
        <v>84</v>
      </c>
      <c r="B51" s="48">
        <f>IF(15219.85138="","-",15219.85138)</f>
        <v>15219.85138</v>
      </c>
      <c r="C51" s="48">
        <f>IF(OR(16247.23585="",15219.85138=""),"-",15219.85138/16247.23585*100)</f>
        <v>93.67655840362532</v>
      </c>
      <c r="D51" s="48">
        <f>IF(16247.23585="","-",16247.23585/1770611.63183*100)</f>
        <v>0.9176058463598712</v>
      </c>
      <c r="E51" s="48">
        <f>IF(15219.85138="","-",15219.85138/1880616.047*100)</f>
        <v>0.8093013671918328</v>
      </c>
      <c r="F51" s="48">
        <f>IF(OR(1392173.93156="",8830.14138="",16247.23585=""),"-",(16247.23585-8830.14138)/1392173.93156*100)</f>
        <v>0.5327706762680707</v>
      </c>
      <c r="G51" s="48">
        <f>IF(OR(1770611.63183="",15219.85138="",16247.23585=""),"-",(15219.85138-16247.23585)/1770611.63183*100)</f>
        <v>-0.05802426977948602</v>
      </c>
    </row>
    <row r="52" spans="1:7" s="9" customFormat="1" ht="15.75">
      <c r="A52" s="30" t="s">
        <v>77</v>
      </c>
      <c r="B52" s="48">
        <f>IF(11635.26975="","-",11635.26975)</f>
        <v>11635.26975</v>
      </c>
      <c r="C52" s="48">
        <f>IF(OR(9901.36351="",11635.26975=""),"-",11635.26975/9901.36351*100)</f>
        <v>117.51179257532381</v>
      </c>
      <c r="D52" s="48">
        <f>IF(9901.36351="","-",9901.36351/1770611.63183*100)</f>
        <v>0.5592058321545381</v>
      </c>
      <c r="E52" s="48">
        <f>IF(11635.26975="","-",11635.26975/1880616.047*100)</f>
        <v>0.6186945904540609</v>
      </c>
      <c r="F52" s="48">
        <f>IF(OR(1392173.93156="",9205.5192="",9901.36351=""),"-",(9901.36351-9205.5192)/1392173.93156*100)</f>
        <v>0.04998257000978825</v>
      </c>
      <c r="G52" s="48">
        <f>IF(OR(1770611.63183="",11635.26975="",9901.36351=""),"-",(11635.26975-9901.36351)/1770611.63183*100)</f>
        <v>0.0979269653960161</v>
      </c>
    </row>
    <row r="53" spans="1:7" s="9" customFormat="1" ht="15.75">
      <c r="A53" s="30" t="s">
        <v>80</v>
      </c>
      <c r="B53" s="48">
        <f>IF(10861.25843="","-",10861.25843)</f>
        <v>10861.25843</v>
      </c>
      <c r="C53" s="48">
        <f>IF(OR(11382.79663="",10861.25843=""),"-",10861.25843/11382.79663*100)</f>
        <v>95.41818924687226</v>
      </c>
      <c r="D53" s="48">
        <f>IF(11382.79663="","-",11382.79663/1770611.63183*100)</f>
        <v>0.6428737067673848</v>
      </c>
      <c r="E53" s="48">
        <f>IF(10861.25843="","-",10861.25843/1880616.047*100)</f>
        <v>0.5775372621820449</v>
      </c>
      <c r="F53" s="48">
        <f>IF(OR(1392173.93156="",8294.06674="",11382.79663=""),"-",(11382.79663-8294.06674)/1392173.93156*100)</f>
        <v>0.22186379302038256</v>
      </c>
      <c r="G53" s="48">
        <f>IF(OR(1770611.63183="",10861.25843="",11382.79663=""),"-",(10861.25843-11382.79663)/1770611.63183*100)</f>
        <v>-0.029455256625698863</v>
      </c>
    </row>
    <row r="54" spans="1:7" s="9" customFormat="1" ht="15.75">
      <c r="A54" s="30" t="s">
        <v>192</v>
      </c>
      <c r="B54" s="48">
        <f>IF(10082.50009="","-",10082.50009)</f>
        <v>10082.50009</v>
      </c>
      <c r="C54" s="48">
        <f>IF(OR(9188.94592="",10082.50009=""),"-",10082.50009/9188.94592*100)</f>
        <v>109.72422928352591</v>
      </c>
      <c r="D54" s="48">
        <f>IF(9188.94592="","-",9188.94592/1770611.63183*100)</f>
        <v>0.5189701544264027</v>
      </c>
      <c r="E54" s="48">
        <f>IF(10082.50009="","-",10082.50009/1880616.047*100)</f>
        <v>0.5361275155597989</v>
      </c>
      <c r="F54" s="48">
        <f>IF(OR(1392173.93156="",8517.53869="",9188.94592=""),"-",(9188.94592-8517.53869)/1392173.93156*100)</f>
        <v>0.048227251981916915</v>
      </c>
      <c r="G54" s="48">
        <f>IF(OR(1770611.63183="",10082.50009="",9188.94592=""),"-",(10082.50009-9188.94592)/1770611.63183*100)</f>
        <v>0.05046584772949189</v>
      </c>
    </row>
    <row r="55" spans="1:7" s="9" customFormat="1" ht="15.75">
      <c r="A55" s="30" t="s">
        <v>44</v>
      </c>
      <c r="B55" s="48">
        <f>IF(9413.95258="","-",9413.95258)</f>
        <v>9413.95258</v>
      </c>
      <c r="C55" s="48">
        <f>IF(OR(10461.25864="",9413.95258=""),"-",9413.95258/10461.25864*100)</f>
        <v>89.98871841294996</v>
      </c>
      <c r="D55" s="48">
        <f>IF(10461.25864="","-",10461.25864/1770611.63183*100)</f>
        <v>0.5908273983938452</v>
      </c>
      <c r="E55" s="48">
        <f>IF(9413.95258="","-",9413.95258/1880616.047*100)</f>
        <v>0.5005781267801762</v>
      </c>
      <c r="F55" s="48">
        <f>IF(OR(1392173.93156="",7213.03499="",10461.25864=""),"-",(10461.25864-7213.03499)/1392173.93156*100)</f>
        <v>0.23332024658443393</v>
      </c>
      <c r="G55" s="48">
        <f>IF(OR(1770611.63183="",9413.95258="",10461.25864=""),"-",(9413.95258-10461.25864)/1770611.63183*100)</f>
        <v>-0.05914939454664979</v>
      </c>
    </row>
    <row r="56" spans="1:7" s="9" customFormat="1" ht="15.75">
      <c r="A56" s="30" t="s">
        <v>78</v>
      </c>
      <c r="B56" s="48">
        <f>IF(6895.24431="","-",6895.24431)</f>
        <v>6895.24431</v>
      </c>
      <c r="C56" s="48">
        <f>IF(OR(5659.67943="",6895.24431=""),"-",6895.24431/5659.67943*100)</f>
        <v>121.83100465815606</v>
      </c>
      <c r="D56" s="48">
        <f>IF(5659.67943="","-",5659.67943/1770611.63183*100)</f>
        <v>0.31964544501215597</v>
      </c>
      <c r="E56" s="48">
        <f>IF(6895.24431="","-",6895.24431/1880616.047*100)</f>
        <v>0.36664816941232875</v>
      </c>
      <c r="F56" s="48">
        <f>IF(OR(1392173.93156="",4797.32413="",5659.67943=""),"-",(5659.67943-4797.32413)/1392173.93156*100)</f>
        <v>0.06194307194315069</v>
      </c>
      <c r="G56" s="48">
        <f>IF(OR(1770611.63183="",6895.24431="",5659.67943=""),"-",(6895.24431-5659.67943)/1770611.63183*100)</f>
        <v>0.0697818119901874</v>
      </c>
    </row>
    <row r="57" spans="1:7" s="9" customFormat="1" ht="15.75">
      <c r="A57" s="30" t="s">
        <v>74</v>
      </c>
      <c r="B57" s="48">
        <f>IF(6637.71737="","-",6637.71737)</f>
        <v>6637.71737</v>
      </c>
      <c r="C57" s="48">
        <f>IF(OR(7458.8137="",6637.71737=""),"-",6637.71737/7458.8137*100)</f>
        <v>88.99159621053413</v>
      </c>
      <c r="D57" s="48">
        <f>IF(7458.8137="","-",7458.8137/1770611.63183*100)</f>
        <v>0.4212563368450826</v>
      </c>
      <c r="E57" s="48">
        <f>IF(6637.71737="","-",6637.71737/1880616.047*100)</f>
        <v>0.3529544151550037</v>
      </c>
      <c r="F57" s="48">
        <f>IF(OR(1392173.93156="",4369.45162="",7458.8137=""),"-",(7458.8137-4369.45162)/1392173.93156*100)</f>
        <v>0.22190920329460675</v>
      </c>
      <c r="G57" s="48">
        <f>IF(OR(1770611.63183="",6637.71737="",7458.8137=""),"-",(6637.71737-7458.8137)/1770611.63183*100)</f>
        <v>-0.04637359854861919</v>
      </c>
    </row>
    <row r="58" spans="1:7" s="9" customFormat="1" ht="15.75">
      <c r="A58" s="30" t="s">
        <v>88</v>
      </c>
      <c r="B58" s="48">
        <f>IF(6625.71703="","-",6625.71703)</f>
        <v>6625.71703</v>
      </c>
      <c r="C58" s="48">
        <f>IF(OR(5994.2373="",6625.71703=""),"-",6625.71703/5994.2373*100)</f>
        <v>110.53478029640236</v>
      </c>
      <c r="D58" s="48">
        <f>IF(5994.2373="","-",5994.2373/1770611.63183*100)</f>
        <v>0.338540490316598</v>
      </c>
      <c r="E58" s="48">
        <f>IF(6625.71703="","-",6625.71703/1880616.047*100)</f>
        <v>0.35231630829533167</v>
      </c>
      <c r="F58" s="48">
        <f>IF(OR(1392173.93156="",4703.29795="",5994.2373=""),"-",(5994.2373-4703.29795)/1392173.93156*100)</f>
        <v>0.09272830935380597</v>
      </c>
      <c r="G58" s="48">
        <f>IF(OR(1770611.63183="",6625.71703="",5994.2373=""),"-",(6625.71703-5994.2373)/1770611.63183*100)</f>
        <v>0.03566449686921687</v>
      </c>
    </row>
    <row r="59" spans="1:7" s="9" customFormat="1" ht="15.75">
      <c r="A59" s="30" t="s">
        <v>70</v>
      </c>
      <c r="B59" s="48">
        <f>IF(4596.06853="","-",4596.06853)</f>
        <v>4596.06853</v>
      </c>
      <c r="C59" s="48">
        <f>IF(OR(5885.67711="",4596.06853=""),"-",4596.06853/5885.67711*100)</f>
        <v>78.08903621625957</v>
      </c>
      <c r="D59" s="48">
        <f>IF(5885.67711="","-",5885.67711/1770611.63183*100)</f>
        <v>0.33240926492259115</v>
      </c>
      <c r="E59" s="48">
        <f>IF(4596.06853="","-",4596.06853/1880616.047*100)</f>
        <v>0.24439164694631577</v>
      </c>
      <c r="F59" s="48">
        <f>IF(OR(1392173.93156="",3062.26796="",5885.67711=""),"-",(5885.67711-3062.26796)/1392173.93156*100)</f>
        <v>0.20280577634694177</v>
      </c>
      <c r="G59" s="48">
        <f>IF(OR(1770611.63183="",4596.06853="",5885.67711=""),"-",(4596.06853-5885.67711)/1770611.63183*100)</f>
        <v>-0.07283407365098672</v>
      </c>
    </row>
    <row r="60" spans="1:7" s="9" customFormat="1" ht="15.75">
      <c r="A60" s="30" t="s">
        <v>71</v>
      </c>
      <c r="B60" s="48">
        <f>IF(3993.49199="","-",3993.49199)</f>
        <v>3993.49199</v>
      </c>
      <c r="C60" s="48">
        <f>IF(OR(2867.44571="",3993.49199=""),"-",3993.49199/2867.44571*100)</f>
        <v>139.2700121949301</v>
      </c>
      <c r="D60" s="48">
        <f>IF(2867.44571="","-",2867.44571/1770611.63183*100)</f>
        <v>0.1619466210688098</v>
      </c>
      <c r="E60" s="48">
        <f>IF(3993.49199="","-",3993.49199/1880616.047*100)</f>
        <v>0.21235020281627962</v>
      </c>
      <c r="F60" s="48">
        <f>IF(OR(1392173.93156="",2283.55713="",2867.44571=""),"-",(2867.44571-2283.55713)/1392173.93156*100)</f>
        <v>0.0419407781429813</v>
      </c>
      <c r="G60" s="48">
        <f>IF(OR(1770611.63183="",3993.49199="",2867.44571=""),"-",(3993.49199-2867.44571)/1770611.63183*100)</f>
        <v>0.06359645784299885</v>
      </c>
    </row>
    <row r="61" spans="1:7" s="9" customFormat="1" ht="15.75">
      <c r="A61" s="30" t="s">
        <v>69</v>
      </c>
      <c r="B61" s="48">
        <f>IF(3505.75721="","-",3505.75721)</f>
        <v>3505.75721</v>
      </c>
      <c r="C61" s="48">
        <f>IF(OR(3012.5843="",3505.75721=""),"-",3505.75721/3012.5843*100)</f>
        <v>116.37042687900885</v>
      </c>
      <c r="D61" s="48">
        <f>IF(3012.5843="","-",3012.5843/1770611.63183*100)</f>
        <v>0.17014370886552743</v>
      </c>
      <c r="E61" s="48">
        <f>IF(3505.75721="","-",3505.75721/1880616.047*100)</f>
        <v>0.1864153619018864</v>
      </c>
      <c r="F61" s="48">
        <f>IF(OR(1392173.93156="",2552.27638="",3012.5843=""),"-",(3012.5843-2552.27638)/1392173.93156*100)</f>
        <v>0.03306396633100308</v>
      </c>
      <c r="G61" s="48">
        <f>IF(OR(1770611.63183="",3505.75721="",3012.5843=""),"-",(3505.75721-3012.5843)/1770611.63183*100)</f>
        <v>0.027853251449064843</v>
      </c>
    </row>
    <row r="62" spans="1:7" s="9" customFormat="1" ht="15.75">
      <c r="A62" s="30" t="s">
        <v>79</v>
      </c>
      <c r="B62" s="48">
        <f>IF(3313.98639="","-",3313.98639)</f>
        <v>3313.98639</v>
      </c>
      <c r="C62" s="48">
        <f>IF(OR(3685.44378="",3313.98639=""),"-",3313.98639/3685.44378*100)</f>
        <v>89.92095898963896</v>
      </c>
      <c r="D62" s="48">
        <f>IF(3685.44378="","-",3685.44378/1770611.63183*100)</f>
        <v>0.20814523714559255</v>
      </c>
      <c r="E62" s="48">
        <f>IF(3313.98639="","-",3313.98639/1880616.047*100)</f>
        <v>0.17621812784627378</v>
      </c>
      <c r="F62" s="48">
        <f>IF(OR(1392173.93156="",2555.97572="",3685.44378=""),"-",(3685.44378-2555.97572)/1392173.93156*100)</f>
        <v>0.08112980960176257</v>
      </c>
      <c r="G62" s="48">
        <f>IF(OR(1770611.63183="",3313.98639="",3685.44378=""),"-",(3313.98639-3685.44378)/1770611.63183*100)</f>
        <v>-0.02097904381301751</v>
      </c>
    </row>
    <row r="63" spans="1:7" s="9" customFormat="1" ht="15.75">
      <c r="A63" s="30" t="s">
        <v>91</v>
      </c>
      <c r="B63" s="48">
        <f>IF(3283.9844="","-",3283.9844)</f>
        <v>3283.9844</v>
      </c>
      <c r="C63" s="48">
        <f>IF(OR(2985.81297="",3283.9844=""),"-",3283.9844/2985.81297*100)</f>
        <v>109.98627285084102</v>
      </c>
      <c r="D63" s="48">
        <f>IF(2985.81297="","-",2985.81297/1770611.63183*100)</f>
        <v>0.16863172681826558</v>
      </c>
      <c r="E63" s="48">
        <f>IF(3283.9844="","-",3283.9844/1880616.047*100)</f>
        <v>0.17462280007865952</v>
      </c>
      <c r="F63" s="48">
        <f>IF(OR(1392173.93156="",1809.3058="",2985.81297=""),"-",(2985.81297-1809.3058)/1392173.93156*100)</f>
        <v>0.0845086338229064</v>
      </c>
      <c r="G63" s="48">
        <f>IF(OR(1770611.63183="",3283.9844="",2985.81297=""),"-",(3283.9844-2985.81297)/1770611.63183*100)</f>
        <v>0.016840024353156846</v>
      </c>
    </row>
    <row r="64" spans="1:7" s="9" customFormat="1" ht="15.75">
      <c r="A64" s="30" t="s">
        <v>86</v>
      </c>
      <c r="B64" s="48">
        <f>IF(2964.51768="","-",2964.51768)</f>
        <v>2964.51768</v>
      </c>
      <c r="C64" s="48">
        <f>IF(OR(3019.52453="",2964.51768=""),"-",2964.51768/3019.52453*100)</f>
        <v>98.17829431576102</v>
      </c>
      <c r="D64" s="48">
        <f>IF(3019.52453="","-",3019.52453/1770611.63183*100)</f>
        <v>0.1705356768089904</v>
      </c>
      <c r="E64" s="48">
        <f>IF(2964.51768="","-",2964.51768/1880616.047*100)</f>
        <v>0.15763545593100003</v>
      </c>
      <c r="F64" s="48">
        <f>IF(OR(1392173.93156="",2225.17324="",3019.52453=""),"-",(3019.52453-2225.17324)/1392173.93156*100)</f>
        <v>0.0570583367489068</v>
      </c>
      <c r="G64" s="48">
        <f>IF(OR(1770611.63183="",2964.51768="",3019.52453=""),"-",(2964.51768-3019.52453)/1770611.63183*100)</f>
        <v>-0.003106658118084787</v>
      </c>
    </row>
    <row r="65" spans="1:7" s="9" customFormat="1" ht="15.75">
      <c r="A65" s="30" t="s">
        <v>92</v>
      </c>
      <c r="B65" s="48">
        <f>IF(2776.01565="","-",2776.01565)</f>
        <v>2776.01565</v>
      </c>
      <c r="C65" s="48">
        <f>IF(OR(3750.92704="",2776.01565=""),"-",2776.01565/3750.92704*100)</f>
        <v>74.00878823812046</v>
      </c>
      <c r="D65" s="48">
        <f>IF(3750.92704="","-",3750.92704/1770611.63183*100)</f>
        <v>0.21184357837541498</v>
      </c>
      <c r="E65" s="48">
        <f>IF(2776.01565="","-",2776.01565/1880616.047*100)</f>
        <v>0.1476120367274522</v>
      </c>
      <c r="F65" s="48">
        <f>IF(OR(1392173.93156="",1577.14983="",3750.92704=""),"-",(3750.92704-1577.14983)/1392173.93156*100)</f>
        <v>0.1561426457371009</v>
      </c>
      <c r="G65" s="48">
        <f>IF(OR(1770611.63183="",2776.01565="",3750.92704=""),"-",(2776.01565-3750.92704)/1770611.63183*100)</f>
        <v>-0.055060713059497356</v>
      </c>
    </row>
    <row r="66" spans="1:7" s="9" customFormat="1" ht="15.75">
      <c r="A66" s="30" t="s">
        <v>94</v>
      </c>
      <c r="B66" s="48">
        <f>IF(2647.9182="","-",2647.9182)</f>
        <v>2647.9182</v>
      </c>
      <c r="C66" s="48" t="s">
        <v>114</v>
      </c>
      <c r="D66" s="48">
        <f>IF(1474.37258="","-",1474.37258/1770611.63183*100)</f>
        <v>0.08326911184222681</v>
      </c>
      <c r="E66" s="48">
        <f>IF(2647.9182="","-",2647.9182/1880616.047*100)</f>
        <v>0.1408005745895882</v>
      </c>
      <c r="F66" s="48">
        <f>IF(OR(1392173.93156="",1206.8604="",1474.37258=""),"-",(1474.37258-1206.8604)/1392173.93156*100)</f>
        <v>0.019215428039242144</v>
      </c>
      <c r="G66" s="48">
        <f>IF(OR(1770611.63183="",2647.9182="",1474.37258=""),"-",(2647.9182-1474.37258)/1770611.63183*100)</f>
        <v>0.06627910937121159</v>
      </c>
    </row>
    <row r="67" spans="1:7" s="9" customFormat="1" ht="15.75">
      <c r="A67" s="30" t="s">
        <v>213</v>
      </c>
      <c r="B67" s="48">
        <f>IF(2511.01939="","-",2511.01939)</f>
        <v>2511.01939</v>
      </c>
      <c r="C67" s="48">
        <f>IF(OR(1888.6338="",2511.01939=""),"-",2511.01939/1888.6338*100)</f>
        <v>132.9542757309543</v>
      </c>
      <c r="D67" s="48">
        <f>IF(1888.6338="","-",1888.6338/1770611.63183*100)</f>
        <v>0.10666561577075032</v>
      </c>
      <c r="E67" s="48">
        <f>IF(2511.01939="","-",2511.01939/1880616.047*100)</f>
        <v>0.13352110836263645</v>
      </c>
      <c r="F67" s="48">
        <f>IF(OR(1392173.93156="",3822.32471="",1888.6338=""),"-",(1888.6338-3822.32471)/1392173.93156*100)</f>
        <v>-0.13889722154423645</v>
      </c>
      <c r="G67" s="48">
        <f>IF(OR(1770611.63183="",2511.01939="",1888.6338=""),"-",(2511.01939-1888.6338)/1770611.63183*100)</f>
        <v>0.03515088113121333</v>
      </c>
    </row>
    <row r="68" spans="1:7" s="9" customFormat="1" ht="15.75">
      <c r="A68" s="30" t="s">
        <v>82</v>
      </c>
      <c r="B68" s="48">
        <f>IF(2500.10738="","-",2500.10738)</f>
        <v>2500.10738</v>
      </c>
      <c r="C68" s="48" t="s">
        <v>150</v>
      </c>
      <c r="D68" s="48">
        <f>IF(1615.68057="","-",1615.68057/1770611.63183*100)</f>
        <v>0.09124985631830101</v>
      </c>
      <c r="E68" s="48">
        <f>IF(2500.10738="","-",2500.10738/1880616.047*100)</f>
        <v>0.1329408724331703</v>
      </c>
      <c r="F68" s="48">
        <f>IF(OR(1392173.93156="",786.29099="",1615.68057=""),"-",(1615.68057-786.29099)/1392173.93156*100)</f>
        <v>0.05957514080662521</v>
      </c>
      <c r="G68" s="48">
        <f>IF(OR(1770611.63183="",2500.10738="",1615.68057=""),"-",(2500.10738-1615.68057)/1770611.63183*100)</f>
        <v>0.04995035580365574</v>
      </c>
    </row>
    <row r="69" spans="1:7" s="9" customFormat="1" ht="15.75">
      <c r="A69" s="30" t="s">
        <v>89</v>
      </c>
      <c r="B69" s="48">
        <f>IF(2321.09368="","-",2321.09368)</f>
        <v>2321.09368</v>
      </c>
      <c r="C69" s="48">
        <f>IF(OR(3039.96551="",2321.09368=""),"-",2321.09368/3039.96551*100)</f>
        <v>76.35263204022338</v>
      </c>
      <c r="D69" s="48">
        <f>IF(3039.96551="","-",3039.96551/1770611.63183*100)</f>
        <v>0.17169013550747267</v>
      </c>
      <c r="E69" s="48">
        <f>IF(2321.09368="","-",2321.09368/1880616.047*100)</f>
        <v>0.1234219863061713</v>
      </c>
      <c r="F69" s="48">
        <f>IF(OR(1392173.93156="",2423.7299="",3039.96551=""),"-",(3039.96551-2423.7299)/1392173.93156*100)</f>
        <v>0.04426426871170311</v>
      </c>
      <c r="G69" s="48">
        <f>IF(OR(1770611.63183="",2321.09368="",3039.96551=""),"-",(2321.09368-3039.96551)/1770611.63183*100)</f>
        <v>-0.040600198094091156</v>
      </c>
    </row>
    <row r="70" spans="1:7" s="9" customFormat="1" ht="15.75">
      <c r="A70" s="30" t="s">
        <v>73</v>
      </c>
      <c r="B70" s="48">
        <f>IF(1657.78831="","-",1657.78831)</f>
        <v>1657.78831</v>
      </c>
      <c r="C70" s="48">
        <f>IF(OR(1697.77196="",1657.78831=""),"-",1657.78831/1697.77196*100)</f>
        <v>97.6449340110435</v>
      </c>
      <c r="D70" s="48">
        <f>IF(1697.77196="","-",1697.77196/1770611.63183*100)</f>
        <v>0.09588618585122943</v>
      </c>
      <c r="E70" s="48">
        <f>IF(1657.78831="","-",1657.78831/1880616.047*100)</f>
        <v>0.08815134341986182</v>
      </c>
      <c r="F70" s="48">
        <f>IF(OR(1392173.93156="",1707.21493="",1697.77196=""),"-",(1697.77196-1707.21493)/1392173.93156*100)</f>
        <v>-0.0006782895287673389</v>
      </c>
      <c r="G70" s="48">
        <f>IF(OR(1770611.63183="",1657.78831="",1697.77196=""),"-",(1657.78831-1697.77196)/1770611.63183*100)</f>
        <v>-0.002258182951089922</v>
      </c>
    </row>
    <row r="71" spans="1:7" s="9" customFormat="1" ht="15.75">
      <c r="A71" s="30" t="s">
        <v>159</v>
      </c>
      <c r="B71" s="48">
        <f>IF(1580.77483="","-",1580.77483)</f>
        <v>1580.77483</v>
      </c>
      <c r="C71" s="48" t="s">
        <v>126</v>
      </c>
      <c r="D71" s="48">
        <f>IF(492.90556="","-",492.90556/1770611.63183*100)</f>
        <v>0.02783815214692574</v>
      </c>
      <c r="E71" s="48">
        <f>IF(1580.77483="","-",1580.77483/1880616.047*100)</f>
        <v>0.08405622362532143</v>
      </c>
      <c r="F71" s="48">
        <f>IF(OR(1392173.93156="",340.55481="",492.90556=""),"-",(492.90556-340.55481)/1392173.93156*100)</f>
        <v>0.010943370404104855</v>
      </c>
      <c r="G71" s="48">
        <f>IF(OR(1770611.63183="",1580.77483="",492.90556=""),"-",(1580.77483-492.90556)/1770611.63183*100)</f>
        <v>0.06144030968980151</v>
      </c>
    </row>
    <row r="72" spans="1:7" s="9" customFormat="1" ht="15.75">
      <c r="A72" s="30" t="s">
        <v>76</v>
      </c>
      <c r="B72" s="48">
        <f>IF(1571.78241="","-",1571.78241)</f>
        <v>1571.78241</v>
      </c>
      <c r="C72" s="48">
        <f>IF(OR(2109.49569="",1571.78241=""),"-",1571.78241/2109.49569*100)</f>
        <v>74.50986591017875</v>
      </c>
      <c r="D72" s="48">
        <f>IF(2109.49569="","-",2109.49569/1770611.63183*100)</f>
        <v>0.11913937828476533</v>
      </c>
      <c r="E72" s="48">
        <f>IF(1571.78241="","-",1571.78241/1880616.047*100)</f>
        <v>0.083578060099367</v>
      </c>
      <c r="F72" s="48">
        <f>IF(OR(1392173.93156="",1746.01317="",2109.49569=""),"-",(2109.49569-1746.01317)/1392173.93156*100)</f>
        <v>0.02610898766023438</v>
      </c>
      <c r="G72" s="48">
        <f>IF(OR(1770611.63183="",1571.78241="",2109.49569=""),"-",(1571.78241-2109.49569)/1770611.63183*100)</f>
        <v>-0.03036878727856607</v>
      </c>
    </row>
    <row r="73" spans="1:7" s="9" customFormat="1" ht="15.75">
      <c r="A73" s="30" t="s">
        <v>83</v>
      </c>
      <c r="B73" s="48">
        <f>IF(1266.32891999999="","-",1266.32891999999)</f>
        <v>1266.32891999999</v>
      </c>
      <c r="C73" s="48">
        <f>IF(OR(1520.12547="",1266.32891999999=""),"-",1266.32891999999/1520.12547*100)</f>
        <v>83.30423672198519</v>
      </c>
      <c r="D73" s="48">
        <f>IF(1520.12547="","-",1520.12547/1770611.63183*100)</f>
        <v>0.08585312796284342</v>
      </c>
      <c r="E73" s="48">
        <f>IF(1266.32891999999="","-",1266.32891999999/1880616.047*100)</f>
        <v>0.06733585635515903</v>
      </c>
      <c r="F73" s="48">
        <f>IF(OR(1392173.93156="",546.75456="",1520.12547=""),"-",(1520.12547-546.75456)/1392173.93156*100)</f>
        <v>0.06991733489143052</v>
      </c>
      <c r="G73" s="48">
        <f>IF(OR(1770611.63183="",1266.32891999999="",1520.12547=""),"-",(1266.32891999999-1520.12547)/1770611.63183*100)</f>
        <v>-0.014333835011447475</v>
      </c>
    </row>
    <row r="74" spans="1:7" s="9" customFormat="1" ht="15.75">
      <c r="A74" s="30" t="s">
        <v>93</v>
      </c>
      <c r="B74" s="48">
        <f>IF(1225.8003="","-",1225.8003)</f>
        <v>1225.8003</v>
      </c>
      <c r="C74" s="48">
        <f>IF(OR(2092.95808="",1225.8003=""),"-",1225.8003/2092.95808*100)</f>
        <v>58.56783810978193</v>
      </c>
      <c r="D74" s="48">
        <f>IF(2092.95808="","-",2092.95808/1770611.63183*100)</f>
        <v>0.11820537278617342</v>
      </c>
      <c r="E74" s="48">
        <f>IF(1225.8003="","-",1225.8003/1880616.047*100)</f>
        <v>0.06518078487926462</v>
      </c>
      <c r="F74" s="48">
        <f>IF(OR(1392173.93156="",1032.59454="",2092.95808=""),"-",(2092.95808-1032.59454)/1392173.93156*100)</f>
        <v>0.0761660246584139</v>
      </c>
      <c r="G74" s="48">
        <f>IF(OR(1770611.63183="",1225.8003="",2092.95808=""),"-",(1225.8003-2092.95808)/1770611.63183*100)</f>
        <v>-0.04897504141570314</v>
      </c>
    </row>
    <row r="75" spans="1:7" s="9" customFormat="1" ht="15.75">
      <c r="A75" s="30" t="s">
        <v>47</v>
      </c>
      <c r="B75" s="48">
        <f>IF(1075.87144="","-",1075.87144)</f>
        <v>1075.87144</v>
      </c>
      <c r="C75" s="48">
        <f>IF(OR(1859.41652="",1075.87144=""),"-",1075.87144/1859.41652*100)</f>
        <v>57.86070137744069</v>
      </c>
      <c r="D75" s="48">
        <f>IF(1859.41652="","-",1859.41652/1770611.63183*100)</f>
        <v>0.10501549219340757</v>
      </c>
      <c r="E75" s="48">
        <f>IF(1075.87144="","-",1075.87144/1880616.047*100)</f>
        <v>0.057208457926127644</v>
      </c>
      <c r="F75" s="48">
        <f>IF(OR(1392173.93156="",536.11179="",1859.41652=""),"-",(1859.41652-536.11179)/1392173.93156*100)</f>
        <v>0.0950531180049587</v>
      </c>
      <c r="G75" s="48">
        <f>IF(OR(1770611.63183="",1075.87144="",1859.41652=""),"-",(1075.87144-1859.41652)/1770611.63183*100)</f>
        <v>-0.04425279185533046</v>
      </c>
    </row>
    <row r="76" spans="1:7" s="9" customFormat="1" ht="15.75">
      <c r="A76" s="30" t="s">
        <v>66</v>
      </c>
      <c r="B76" s="48">
        <f>IF(1020.2021="","-",1020.2021)</f>
        <v>1020.2021</v>
      </c>
      <c r="C76" s="48">
        <f>IF(OR(1285.60005="",1020.2021=""),"-",1020.2021/1285.60005*100)</f>
        <v>79.35610301197484</v>
      </c>
      <c r="D76" s="48">
        <f>IF(1285.60005="","-",1285.60005/1770611.63183*100)</f>
        <v>0.07260768126047379</v>
      </c>
      <c r="E76" s="48">
        <f>IF(1020.2021="","-",1020.2021/1880616.047*100)</f>
        <v>0.05424829282018776</v>
      </c>
      <c r="F76" s="48">
        <f>IF(OR(1392173.93156="",777.0824="",1285.60005=""),"-",(1285.60005-777.0824)/1392173.93156*100)</f>
        <v>0.036526876309929235</v>
      </c>
      <c r="G76" s="48">
        <f>IF(OR(1770611.63183="",1020.2021="",1285.60005=""),"-",(1020.2021-1285.60005)/1770611.63183*100)</f>
        <v>-0.014989054924805859</v>
      </c>
    </row>
    <row r="77" spans="1:7" s="9" customFormat="1" ht="15.75">
      <c r="A77" s="30" t="s">
        <v>97</v>
      </c>
      <c r="B77" s="48">
        <f>IF(981.19554="","-",981.19554)</f>
        <v>981.19554</v>
      </c>
      <c r="C77" s="48">
        <f>IF(OR(703.08179="",981.19554=""),"-",981.19554/703.08179*100)</f>
        <v>139.55638646251955</v>
      </c>
      <c r="D77" s="48">
        <f>IF(703.08179="","-",703.08179/1770611.63183*100)</f>
        <v>0.03970841359905311</v>
      </c>
      <c r="E77" s="48">
        <f>IF(981.19554="","-",981.19554/1880616.047*100)</f>
        <v>0.05217415546172886</v>
      </c>
      <c r="F77" s="48">
        <f>IF(OR(1392173.93156="",561.69655="",703.08179=""),"-",(703.08179-561.69655)/1392173.93156*100)</f>
        <v>0.010155716666923276</v>
      </c>
      <c r="G77" s="48">
        <f>IF(OR(1770611.63183="",981.19554="",703.08179=""),"-",(981.19554-703.08179)/1770611.63183*100)</f>
        <v>0.015707213541377118</v>
      </c>
    </row>
    <row r="78" spans="1:7" s="9" customFormat="1" ht="15.75">
      <c r="A78" s="30" t="s">
        <v>90</v>
      </c>
      <c r="B78" s="48">
        <f>IF(901.95123="","-",901.95123)</f>
        <v>901.95123</v>
      </c>
      <c r="C78" s="48">
        <f>IF(OR(1056.33597="",901.95123=""),"-",901.95123/1056.33597*100)</f>
        <v>85.38488280390565</v>
      </c>
      <c r="D78" s="48">
        <f>IF(1056.33597="","-",1056.33597/1770611.63183*100)</f>
        <v>0.05965938272461439</v>
      </c>
      <c r="E78" s="48">
        <f>IF(901.95123="","-",901.95123/1880616.047*100)</f>
        <v>0.047960413367673455</v>
      </c>
      <c r="F78" s="48">
        <f>IF(OR(1392173.93156="",1014.79637="",1056.33597=""),"-",(1056.33597-1014.79637)/1392173.93156*100)</f>
        <v>0.002983793839139976</v>
      </c>
      <c r="G78" s="48">
        <f>IF(OR(1770611.63183="",901.95123="",1056.33597=""),"-",(901.95123-1056.33597)/1770611.63183*100)</f>
        <v>-0.008719288703668861</v>
      </c>
    </row>
    <row r="79" spans="1:7" s="9" customFormat="1" ht="15.75">
      <c r="A79" s="30" t="s">
        <v>100</v>
      </c>
      <c r="B79" s="48">
        <f>IF(888.83299="","-",888.83299)</f>
        <v>888.83299</v>
      </c>
      <c r="C79" s="48" t="s">
        <v>116</v>
      </c>
      <c r="D79" s="48">
        <f>IF(549.85375="","-",549.85375/1770611.63183*100)</f>
        <v>0.03105445260357312</v>
      </c>
      <c r="E79" s="48">
        <f>IF(888.83299="","-",888.83299/1880616.047*100)</f>
        <v>0.04726286322069228</v>
      </c>
      <c r="F79" s="48">
        <f>IF(OR(1392173.93156="",528.55299="",549.85375=""),"-",(549.85375-528.55299)/1392173.93156*100)</f>
        <v>0.001530035832241982</v>
      </c>
      <c r="G79" s="48">
        <f>IF(OR(1770611.63183="",888.83299="",549.85375=""),"-",(888.83299-549.85375)/1770611.63183*100)</f>
        <v>0.019144753931705002</v>
      </c>
    </row>
    <row r="80" spans="1:7" s="9" customFormat="1" ht="15.75">
      <c r="A80" s="30" t="s">
        <v>46</v>
      </c>
      <c r="B80" s="48">
        <f>IF(818.17065="","-",818.17065)</f>
        <v>818.17065</v>
      </c>
      <c r="C80" s="48">
        <f>IF(OR(708.67811="",818.17065=""),"-",818.17065/708.67811*100)</f>
        <v>115.45025004370461</v>
      </c>
      <c r="D80" s="48">
        <f>IF(708.67811="","-",708.67811/1770611.63183*100)</f>
        <v>0.040024480651782</v>
      </c>
      <c r="E80" s="48">
        <f>IF(818.17065="","-",818.17065/1880616.047*100)</f>
        <v>0.04350545935759528</v>
      </c>
      <c r="F80" s="48">
        <f>IF(OR(1392173.93156="",278.53481="",708.67811=""),"-",(708.67811-278.53481)/1392173.93156*100)</f>
        <v>0.030897238502232482</v>
      </c>
      <c r="G80" s="48">
        <f>IF(OR(1770611.63183="",818.17065="",708.67811=""),"-",(818.17065-708.67811)/1770611.63183*100)</f>
        <v>0.006183882339394496</v>
      </c>
    </row>
    <row r="81" spans="1:7" s="9" customFormat="1" ht="15.75">
      <c r="A81" s="30" t="s">
        <v>96</v>
      </c>
      <c r="B81" s="48">
        <f>IF(810.44314="","-",810.44314)</f>
        <v>810.44314</v>
      </c>
      <c r="C81" s="48">
        <f>IF(OR(921.205="",810.44314=""),"-",810.44314/921.205*100)</f>
        <v>87.9764156729501</v>
      </c>
      <c r="D81" s="48">
        <f>IF(921.205="","-",921.205/1770611.63183*100)</f>
        <v>0.05202750187786222</v>
      </c>
      <c r="E81" s="48">
        <f>IF(810.44314="","-",810.44314/1880616.047*100)</f>
        <v>0.04309455623825165</v>
      </c>
      <c r="F81" s="48">
        <f>IF(OR(1392173.93156="",1057.21879="",921.205=""),"-",(921.205-1057.21879)/1392173.93156*100)</f>
        <v>-0.009769884848194913</v>
      </c>
      <c r="G81" s="48">
        <f>IF(OR(1770611.63183="",810.44314="",921.205=""),"-",(810.44314-921.205)/1770611.63183*100)</f>
        <v>-0.006255570561542235</v>
      </c>
    </row>
    <row r="82" spans="1:7" s="9" customFormat="1" ht="15.75">
      <c r="A82" s="30" t="s">
        <v>45</v>
      </c>
      <c r="B82" s="48">
        <f>IF(746.6484="","-",746.6484)</f>
        <v>746.6484</v>
      </c>
      <c r="C82" s="48">
        <f>IF(OR(648.3632="",746.6484=""),"-",746.6484/648.3632*100)</f>
        <v>115.15897262521995</v>
      </c>
      <c r="D82" s="48">
        <f>IF(648.3632="","-",648.3632/1770611.63183*100)</f>
        <v>0.03661803573095755</v>
      </c>
      <c r="E82" s="48">
        <f>IF(746.6484="","-",746.6484/1880616.047*100)</f>
        <v>0.039702330584229034</v>
      </c>
      <c r="F82" s="48">
        <f>IF(OR(1392173.93156="",239.87753="",648.3632=""),"-",(648.3632-239.87753)/1392173.93156*100)</f>
        <v>0.02934156866033769</v>
      </c>
      <c r="G82" s="48">
        <f>IF(OR(1770611.63183="",746.6484="",648.3632=""),"-",(746.6484-648.3632)/1770611.63183*100)</f>
        <v>0.005550918012349113</v>
      </c>
    </row>
    <row r="83" spans="1:7" s="9" customFormat="1" ht="15.75">
      <c r="A83" s="30" t="s">
        <v>199</v>
      </c>
      <c r="B83" s="48">
        <f>IF(680.5939="","-",680.5939)</f>
        <v>680.5939</v>
      </c>
      <c r="C83" s="48">
        <f>IF(OR(495.3304="",680.5939=""),"-",680.5939/495.3304*100)</f>
        <v>137.4020048032586</v>
      </c>
      <c r="D83" s="48">
        <f>IF(495.3304="","-",495.3304/1770611.63183*100)</f>
        <v>0.0279751014336247</v>
      </c>
      <c r="E83" s="48">
        <f>IF(680.5939="","-",680.5939/1880616.047*100)</f>
        <v>0.03618994430498976</v>
      </c>
      <c r="F83" s="48">
        <f>IF(OR(1392173.93156="",201.41624="",495.3304=""),"-",(495.3304-201.41624)/1392173.93156*100)</f>
        <v>0.021111885040876657</v>
      </c>
      <c r="G83" s="48">
        <f>IF(OR(1770611.63183="",680.5939="",495.3304=""),"-",(680.5939-495.3304)/1770611.63183*100)</f>
        <v>0.01046324878192077</v>
      </c>
    </row>
    <row r="84" spans="1:7" s="9" customFormat="1" ht="15.75">
      <c r="A84" s="30" t="s">
        <v>81</v>
      </c>
      <c r="B84" s="48">
        <f>IF(653.14099="","-",653.14099)</f>
        <v>653.14099</v>
      </c>
      <c r="C84" s="48">
        <f>IF(OR(639.78583="",653.14099=""),"-",653.14099/639.78583*100)</f>
        <v>102.08744229299359</v>
      </c>
      <c r="D84" s="48">
        <f>IF(639.78583="","-",639.78583/1770611.63183*100)</f>
        <v>0.03613360595280598</v>
      </c>
      <c r="E84" s="48">
        <f>IF(653.14099="","-",653.14099/1880616.047*100)</f>
        <v>0.0347301614830898</v>
      </c>
      <c r="F84" s="48">
        <f>IF(OR(1392173.93156="",754.99633="",639.78583=""),"-",(639.78583-754.99633)/1392173.93156*100)</f>
        <v>-0.008275582338400837</v>
      </c>
      <c r="G84" s="48">
        <f>IF(OR(1770611.63183="",653.14099="",639.78583=""),"-",(653.14099-639.78583)/1770611.63183*100)</f>
        <v>0.000754268172642515</v>
      </c>
    </row>
    <row r="85" spans="1:7" s="9" customFormat="1" ht="15.75">
      <c r="A85" s="30" t="s">
        <v>75</v>
      </c>
      <c r="B85" s="48">
        <f>IF(621.98873="","-",621.98873)</f>
        <v>621.98873</v>
      </c>
      <c r="C85" s="48">
        <f>IF(OR(682.23276="",621.98873=""),"-",621.98873/682.23276*100)</f>
        <v>91.16957825361538</v>
      </c>
      <c r="D85" s="48">
        <f>IF(682.23276="","-",682.23276/1770611.63183*100)</f>
        <v>0.0385309091918076</v>
      </c>
      <c r="E85" s="48">
        <f>IF(621.98873="","-",621.98873/1880616.047*100)</f>
        <v>0.03307366918368106</v>
      </c>
      <c r="F85" s="48">
        <f>IF(OR(1392173.93156="",446.07244="",682.23276=""),"-",(682.23276-446.07244)/1392173.93156*100)</f>
        <v>0.016963420636340366</v>
      </c>
      <c r="G85" s="48">
        <f>IF(OR(1770611.63183="",621.98873="",682.23276=""),"-",(621.98873-682.23276)/1770611.63183*100)</f>
        <v>-0.0034024417843530864</v>
      </c>
    </row>
    <row r="86" spans="1:7" s="9" customFormat="1" ht="15.75">
      <c r="A86" s="30" t="s">
        <v>95</v>
      </c>
      <c r="B86" s="48">
        <f>IF(586.27631="","-",586.27631)</f>
        <v>586.27631</v>
      </c>
      <c r="C86" s="48">
        <f>IF(OR(573.21349="",586.27631=""),"-",586.27631/573.21349*100)</f>
        <v>102.27887518837005</v>
      </c>
      <c r="D86" s="48">
        <f>IF(573.21349="","-",573.21349/1770611.63183*100)</f>
        <v>0.03237375603409767</v>
      </c>
      <c r="E86" s="48">
        <f>IF(586.27631="","-",586.27631/1880616.047*100)</f>
        <v>0.031174694639835746</v>
      </c>
      <c r="F86" s="48">
        <f>IF(OR(1392173.93156="",448.41099="",573.21349=""),"-",(573.21349-448.41099)/1392173.93156*100)</f>
        <v>0.008964576707750343</v>
      </c>
      <c r="G86" s="48">
        <f>IF(OR(1770611.63183="",586.27631="",573.21349=""),"-",(586.27631-573.21349)/1770611.63183*100)</f>
        <v>0.000737757493804501</v>
      </c>
    </row>
    <row r="87" spans="1:7" s="9" customFormat="1" ht="15.75">
      <c r="A87" s="30" t="s">
        <v>98</v>
      </c>
      <c r="B87" s="48">
        <f>IF(507.00854="","-",507.00854)</f>
        <v>507.00854</v>
      </c>
      <c r="C87" s="48">
        <f>IF(OR(678.01892="",507.00854=""),"-",507.00854/678.01892*100)</f>
        <v>74.77793392550166</v>
      </c>
      <c r="D87" s="48">
        <f>IF(678.01892="","-",678.01892/1770611.63183*100)</f>
        <v>0.03829292137312119</v>
      </c>
      <c r="E87" s="48">
        <f>IF(507.00854="","-",507.00854/1880616.047*100)</f>
        <v>0.02695970508221448</v>
      </c>
      <c r="F87" s="48">
        <f>IF(OR(1392173.93156="",414.559="",678.01892=""),"-",(678.01892-414.559)/1392173.93156*100)</f>
        <v>0.018924353777029862</v>
      </c>
      <c r="G87" s="48">
        <f>IF(OR(1770611.63183="",507.00854="",678.01892=""),"-",(507.00854-678.01892)/1770611.63183*100)</f>
        <v>-0.00965826593058432</v>
      </c>
    </row>
    <row r="88" spans="1:7" s="9" customFormat="1" ht="15.75">
      <c r="A88" s="30" t="s">
        <v>107</v>
      </c>
      <c r="B88" s="48">
        <f>IF(434.68856="","-",434.68856)</f>
        <v>434.68856</v>
      </c>
      <c r="C88" s="48">
        <f>IF(OR(396.73388="",434.68856=""),"-",434.68856/396.73388*100)</f>
        <v>109.56678567507268</v>
      </c>
      <c r="D88" s="48">
        <f>IF(396.73388="","-",396.73388/1770611.63183*100)</f>
        <v>0.022406600796469365</v>
      </c>
      <c r="E88" s="48">
        <f>IF(434.68856="","-",434.68856/1880616.047*100)</f>
        <v>0.023114157761943206</v>
      </c>
      <c r="F88" s="48">
        <f>IF(OR(1392173.93156="",95.93479="",396.73388=""),"-",(396.73388-95.93479)/1392173.93156*100)</f>
        <v>0.021606430287265877</v>
      </c>
      <c r="G88" s="48">
        <f>IF(OR(1770611.63183="",434.68856="",396.73388=""),"-",(434.68856-396.73388)/1770611.63183*100)</f>
        <v>0.00214359147526735</v>
      </c>
    </row>
    <row r="89" spans="1:7" ht="15.75">
      <c r="A89" s="30" t="s">
        <v>87</v>
      </c>
      <c r="B89" s="48">
        <f>IF(433.2355="","-",433.2355)</f>
        <v>433.2355</v>
      </c>
      <c r="C89" s="48">
        <f>IF(OR(315.17837="",433.2355=""),"-",433.2355/315.17837*100)</f>
        <v>137.45724365539428</v>
      </c>
      <c r="D89" s="48">
        <f>IF(315.17837="","-",315.17837/1770611.63183*100)</f>
        <v>0.017800536511456785</v>
      </c>
      <c r="E89" s="48">
        <f>IF(433.2355="","-",433.2355/1880616.047*100)</f>
        <v>0.02303689265499498</v>
      </c>
      <c r="F89" s="48">
        <f>IF(OR(1392173.93156="",251.74894="",315.17837=""),"-",(315.17837-251.74894)/1392173.93156*100)</f>
        <v>0.004556142631468767</v>
      </c>
      <c r="G89" s="48">
        <f>IF(OR(1770611.63183="",433.2355="",315.17837=""),"-",(433.2355-315.17837)/1770611.63183*100)</f>
        <v>0.006667590333063785</v>
      </c>
    </row>
    <row r="90" spans="1:7" ht="15.75">
      <c r="A90" s="30" t="s">
        <v>102</v>
      </c>
      <c r="B90" s="48">
        <f>IF(361.50289="","-",361.50289)</f>
        <v>361.50289</v>
      </c>
      <c r="C90" s="48">
        <f>IF(OR(246.28617="",361.50289=""),"-",361.50289/246.28617*100)</f>
        <v>146.7816442961454</v>
      </c>
      <c r="D90" s="48">
        <f>IF(246.28617="","-",246.28617/1770611.63183*100)</f>
        <v>0.013909666330693484</v>
      </c>
      <c r="E90" s="48">
        <f>IF(361.50289="","-",361.50289/1880616.047*100)</f>
        <v>0.019222578185306743</v>
      </c>
      <c r="F90" s="48">
        <f>IF(OR(1392173.93156="",306.31934="",246.28617=""),"-",(246.28617-306.31934)/1392173.93156*100)</f>
        <v>-0.004312188918286228</v>
      </c>
      <c r="G90" s="48">
        <f>IF(OR(1770611.63183="",361.50289="",246.28617=""),"-",(361.50289-246.28617)/1770611.63183*100)</f>
        <v>0.006507170625605726</v>
      </c>
    </row>
    <row r="91" spans="1:7" ht="15.75">
      <c r="A91" s="30" t="s">
        <v>106</v>
      </c>
      <c r="B91" s="48">
        <f>IF(340.19159="","-",340.19159)</f>
        <v>340.19159</v>
      </c>
      <c r="C91" s="48">
        <f>IF(OR(326.30617="",340.19159=""),"-",340.19159/326.30617*100)</f>
        <v>104.2553347979905</v>
      </c>
      <c r="D91" s="48">
        <f>IF(326.30617="","-",326.30617/1770611.63183*100)</f>
        <v>0.01842900860550369</v>
      </c>
      <c r="E91" s="48">
        <f>IF(340.19159="","-",340.19159/1880616.047*100)</f>
        <v>0.018089369733002177</v>
      </c>
      <c r="F91" s="48">
        <f>IF(OR(1392173.93156="",209.5232="",326.30617=""),"-",(326.30617-209.5232)/1392173.93156*100)</f>
        <v>0.00838853302396913</v>
      </c>
      <c r="G91" s="48">
        <f>IF(OR(1770611.63183="",340.19159="",326.30617=""),"-",(340.19159-326.30617)/1770611.63183*100)</f>
        <v>0.0007842160161146607</v>
      </c>
    </row>
    <row r="92" spans="1:7" ht="15.75">
      <c r="A92" s="30" t="s">
        <v>160</v>
      </c>
      <c r="B92" s="48">
        <f>IF(327.2732="","-",327.2732)</f>
        <v>327.2732</v>
      </c>
      <c r="C92" s="48">
        <f>IF(OR(358.77035="",327.2732=""),"-",327.2732/358.77035*100)</f>
        <v>91.22080461777288</v>
      </c>
      <c r="D92" s="48">
        <f>IF(358.77035="","-",358.77035/1770611.63183*100)</f>
        <v>0.020262509493919684</v>
      </c>
      <c r="E92" s="48">
        <f>IF(327.2732="","-",327.2732/1880616.047*100)</f>
        <v>0.017402446422919413</v>
      </c>
      <c r="F92" s="48">
        <f>IF(OR(1392173.93156="",289.9804="",358.77035=""),"-",(358.77035-289.9804)/1392173.93156*100)</f>
        <v>0.0049411893471469825</v>
      </c>
      <c r="G92" s="48">
        <f>IF(OR(1770611.63183="",327.2732="",358.77035=""),"-",(327.2732-358.77035)/1770611.63183*100)</f>
        <v>-0.001778885297813526</v>
      </c>
    </row>
    <row r="93" spans="1:7" ht="15.75">
      <c r="A93" s="30" t="s">
        <v>101</v>
      </c>
      <c r="B93" s="48">
        <f>IF(261.40139="","-",261.40139)</f>
        <v>261.40139</v>
      </c>
      <c r="C93" s="48">
        <f>IF(OR(628.26736="",261.40139=""),"-",261.40139/628.26736*100)</f>
        <v>41.60671183045383</v>
      </c>
      <c r="D93" s="48">
        <f>IF(628.26736="","-",628.26736/1770611.63183*100)</f>
        <v>0.035483069731709595</v>
      </c>
      <c r="E93" s="48">
        <f>IF(261.40139="","-",261.40139/1880616.047*100)</f>
        <v>0.01389977451362245</v>
      </c>
      <c r="F93" s="48">
        <f>IF(OR(1392173.93156="",403.20951="",628.26736=""),"-",(628.26736-403.20951)/1392173.93156*100)</f>
        <v>0.01616592904794673</v>
      </c>
      <c r="G93" s="48">
        <f>IF(OR(1770611.63183="",261.40139="",628.26736=""),"-",(261.40139-628.26736)/1770611.63183*100)</f>
        <v>-0.020719731159838193</v>
      </c>
    </row>
    <row r="94" spans="1:7" ht="15.75">
      <c r="A94" s="30" t="s">
        <v>99</v>
      </c>
      <c r="B94" s="48">
        <f>IF(242.3451="","-",242.3451)</f>
        <v>242.3451</v>
      </c>
      <c r="C94" s="48">
        <f>IF(OR(475.62129="",242.3451=""),"-",242.3451/475.62129*100)</f>
        <v>50.953375110689436</v>
      </c>
      <c r="D94" s="48">
        <f>IF(475.62129="","-",475.62129/1770611.63183*100)</f>
        <v>0.026861977039449685</v>
      </c>
      <c r="E94" s="48">
        <f>IF(242.3451="","-",242.3451/1880616.047*100)</f>
        <v>0.012886474109725599</v>
      </c>
      <c r="F94" s="48">
        <f>IF(OR(1392173.93156="",294.05703="",475.62129=""),"-",(475.62129-294.05703)/1392173.93156*100)</f>
        <v>0.013041779901491779</v>
      </c>
      <c r="G94" s="48">
        <f>IF(OR(1770611.63183="",242.3451="",475.62129=""),"-",(242.3451-475.62129)/1770611.63183*100)</f>
        <v>-0.013174893116391619</v>
      </c>
    </row>
    <row r="95" spans="1:7" ht="15.75">
      <c r="A95" s="30" t="s">
        <v>125</v>
      </c>
      <c r="B95" s="48">
        <f>IF(223.98321="","-",223.98321)</f>
        <v>223.98321</v>
      </c>
      <c r="C95" s="48" t="s">
        <v>217</v>
      </c>
      <c r="D95" s="48">
        <f>IF(0.56135="","-",0.56135/1770611.63183*100)</f>
        <v>3.1703733891086084E-05</v>
      </c>
      <c r="E95" s="48">
        <f>IF(223.98321="","-",223.98321/1880616.047*100)</f>
        <v>0.011910097776593099</v>
      </c>
      <c r="F95" s="48" t="str">
        <f>IF(OR(1392173.93156="",""="",0.56135=""),"-",(0.56135-"")/1392173.93156*100)</f>
        <v>-</v>
      </c>
      <c r="G95" s="48">
        <f>IF(OR(1770611.63183="",223.98321="",0.56135=""),"-",(223.98321-0.56135)/1770611.63183*100)</f>
        <v>0.012618343626777393</v>
      </c>
    </row>
    <row r="96" spans="1:7" ht="15.75">
      <c r="A96" s="30" t="s">
        <v>103</v>
      </c>
      <c r="B96" s="48">
        <f>IF(210.70651="","-",210.70651)</f>
        <v>210.70651</v>
      </c>
      <c r="C96" s="48">
        <f>IF(OR(211.57154="",210.70651=""),"-",210.70651/211.57154*100)</f>
        <v>99.59114066097926</v>
      </c>
      <c r="D96" s="48">
        <f>IF(211.57154="","-",211.57154/1770611.63183*100)</f>
        <v>0.01194906529453509</v>
      </c>
      <c r="E96" s="48">
        <f>IF(210.70651="","-",210.70651/1880616.047*100)</f>
        <v>0.011204121667265558</v>
      </c>
      <c r="F96" s="48">
        <f>IF(OR(1392173.93156="",316.58058="",211.57154=""),"-",(211.57154-316.58058)/1392173.93156*100)</f>
        <v>-0.0075428103931189225</v>
      </c>
      <c r="G96" s="48">
        <f>IF(OR(1770611.63183="",210.70651="",211.57154=""),"-",(210.70651-211.57154)/1770611.63183*100)</f>
        <v>-4.8854869382392225E-05</v>
      </c>
    </row>
    <row r="97" spans="1:7" ht="15.75">
      <c r="A97" s="30" t="s">
        <v>68</v>
      </c>
      <c r="B97" s="48">
        <f>IF(198.63628="","-",198.63628)</f>
        <v>198.63628</v>
      </c>
      <c r="C97" s="48">
        <f>IF(OR(181.13751="",198.63628=""),"-",198.63628/181.13751*100)</f>
        <v>109.66048942596154</v>
      </c>
      <c r="D97" s="48">
        <f>IF(181.13751="","-",181.13751/1770611.63183*100)</f>
        <v>0.010230222525579306</v>
      </c>
      <c r="E97" s="48">
        <f>IF(198.63628="","-",198.63628/1880616.047*100)</f>
        <v>0.010562298472187821</v>
      </c>
      <c r="F97" s="48">
        <f>IF(OR(1392173.93156="",280.99133="",181.13751=""),"-",(181.13751-280.99133)/1392173.93156*100)</f>
        <v>-0.007172510398044076</v>
      </c>
      <c r="G97" s="48">
        <f>IF(OR(1770611.63183="",198.63628="",181.13751=""),"-",(198.63628-181.13751)/1770611.63183*100)</f>
        <v>0.0009882895653359235</v>
      </c>
    </row>
    <row r="98" spans="1:7" ht="15.75">
      <c r="A98" s="30" t="s">
        <v>190</v>
      </c>
      <c r="B98" s="48">
        <f>IF(197.79015="","-",197.79015)</f>
        <v>197.79015</v>
      </c>
      <c r="C98" s="48">
        <f>IF(OR(186.67309="",197.79015=""),"-",197.79015/186.67309*100)</f>
        <v>105.95536292885066</v>
      </c>
      <c r="D98" s="48">
        <f>IF(186.67309="","-",186.67309/1770611.63183*100)</f>
        <v>0.0105428591252993</v>
      </c>
      <c r="E98" s="48">
        <f>IF(197.79015="","-",197.79015/1880616.047*100)</f>
        <v>0.010517306300534827</v>
      </c>
      <c r="F98" s="48">
        <f>IF(OR(1392173.93156="",226.05721="",186.67309=""),"-",(186.67309-226.05721)/1392173.93156*100)</f>
        <v>-0.0028289654839225536</v>
      </c>
      <c r="G98" s="48">
        <f>IF(OR(1770611.63183="",197.79015="",186.67309=""),"-",(197.79015-186.67309)/1770611.63183*100)</f>
        <v>0.0006278655239890223</v>
      </c>
    </row>
    <row r="99" spans="1:7" ht="15.75">
      <c r="A99" s="30" t="s">
        <v>72</v>
      </c>
      <c r="B99" s="48">
        <f>IF(168.19251="","-",168.19251)</f>
        <v>168.19251</v>
      </c>
      <c r="C99" s="48">
        <f>IF(OR(123.59854="",168.19251=""),"-",168.19251/123.59854*100)</f>
        <v>136.07968993808504</v>
      </c>
      <c r="D99" s="48">
        <f>IF(123.59854="","-",123.59854/1770611.63183*100)</f>
        <v>0.006980556197535867</v>
      </c>
      <c r="E99" s="48">
        <f>IF(168.19251="","-",168.19251/1880616.047*100)</f>
        <v>0.008943479466119859</v>
      </c>
      <c r="F99" s="48">
        <f>IF(OR(1392173.93156="",38.3315="",123.59854=""),"-",(123.59854-38.3315)/1392173.93156*100)</f>
        <v>0.006124740455702547</v>
      </c>
      <c r="G99" s="48">
        <f>IF(OR(1770611.63183="",168.19251="",123.59854=""),"-",(168.19251-123.59854)/1770611.63183*100)</f>
        <v>0.0025185630320247185</v>
      </c>
    </row>
    <row r="100" spans="1:7" ht="15.75">
      <c r="A100" s="30" t="s">
        <v>113</v>
      </c>
      <c r="B100" s="48">
        <f>IF(167.00992="","-",167.00992)</f>
        <v>167.00992</v>
      </c>
      <c r="C100" s="48">
        <f>IF(OR(235.0996="",167.00992=""),"-",167.00992/235.0996*100)</f>
        <v>71.03794306753393</v>
      </c>
      <c r="D100" s="48">
        <f>IF(235.0996="","-",235.0996/1770611.63183*100)</f>
        <v>0.013277875044625955</v>
      </c>
      <c r="E100" s="48">
        <f>IF(167.00992="","-",167.00992/1880616.047*100)</f>
        <v>0.008880596348543228</v>
      </c>
      <c r="F100" s="48">
        <f>IF(OR(1392173.93156="",81.32838="",235.0996=""),"-",(235.0996-81.32838)/1392173.93156*100)</f>
        <v>0.011045402913678448</v>
      </c>
      <c r="G100" s="48">
        <f>IF(OR(1770611.63183="",167.00992="",235.0996=""),"-",(167.00992-235.0996)/1770611.63183*100)</f>
        <v>-0.003845545729846275</v>
      </c>
    </row>
    <row r="101" spans="1:7" ht="15.75">
      <c r="A101" s="30" t="s">
        <v>111</v>
      </c>
      <c r="B101" s="48">
        <f>IF(134.65861="","-",134.65861)</f>
        <v>134.65861</v>
      </c>
      <c r="C101" s="48">
        <f>IF(OR(453.49691="",134.65861=""),"-",134.65861/453.49691*100)</f>
        <v>29.693390854636696</v>
      </c>
      <c r="D101" s="48">
        <f>IF(453.49691="","-",453.49691/1770611.63183*100)</f>
        <v>0.025612443849772536</v>
      </c>
      <c r="E101" s="48">
        <f>IF(134.65861="","-",134.65861/1880616.047*100)</f>
        <v>0.007160345686447289</v>
      </c>
      <c r="F101" s="48">
        <f>IF(OR(1392173.93156="",13.70848="",453.49691=""),"-",(453.49691-13.70848)/1392173.93156*100)</f>
        <v>0.03159004920507276</v>
      </c>
      <c r="G101" s="48">
        <f>IF(OR(1770611.63183="",134.65861="",453.49691=""),"-",(134.65861-453.49691)/1770611.63183*100)</f>
        <v>-0.01800724079003522</v>
      </c>
    </row>
    <row r="102" spans="1:7" ht="15.75">
      <c r="A102" s="30" t="s">
        <v>180</v>
      </c>
      <c r="B102" s="48">
        <f>IF(119.80262="","-",119.80262)</f>
        <v>119.80262</v>
      </c>
      <c r="C102" s="48">
        <f>IF(OR(80.6021="",119.80262=""),"-",119.80262/80.6021*100)</f>
        <v>148.63461373835173</v>
      </c>
      <c r="D102" s="48">
        <f>IF(80.6021="","-",80.6021/1770611.63183*100)</f>
        <v>0.004552217920125962</v>
      </c>
      <c r="E102" s="48">
        <f>IF(119.80262="","-",119.80262/1880616.047*100)</f>
        <v>0.00637039230794142</v>
      </c>
      <c r="F102" s="48">
        <f>IF(OR(1392173.93156="",120.97364="",80.6021=""),"-",(80.6021-120.97364)/1392173.93156*100)</f>
        <v>-0.002899891966427047</v>
      </c>
      <c r="G102" s="48">
        <f>IF(OR(1770611.63183="",119.80262="",80.6021=""),"-",(119.80262-80.6021)/1770611.63183*100)</f>
        <v>0.0022139536019812915</v>
      </c>
    </row>
    <row r="103" spans="1:7" ht="15.75">
      <c r="A103" s="50" t="s">
        <v>161</v>
      </c>
      <c r="B103" s="51">
        <f>IF(119.24538="","-",119.24538)</f>
        <v>119.24538</v>
      </c>
      <c r="C103" s="51" t="s">
        <v>204</v>
      </c>
      <c r="D103" s="51">
        <f>IF(16.96287="","-",16.96287/1770611.63183*100)</f>
        <v>0.0009580231878669053</v>
      </c>
      <c r="E103" s="51">
        <f>IF(119.24538="","-",119.24538/1880616.047*100)</f>
        <v>0.006340761591938069</v>
      </c>
      <c r="F103" s="51">
        <f>IF(OR(1392173.93156="",2.73862="",16.96287=""),"-",(16.96287-2.73862)/1392173.93156*100)</f>
        <v>0.0010217293742931259</v>
      </c>
      <c r="G103" s="51">
        <f>IF(OR(1770611.63183="",119.24538="",16.96287=""),"-",(119.24538-16.96287)/1770611.63183*100)</f>
        <v>0.005776676723527836</v>
      </c>
    </row>
    <row r="104" spans="1:7" ht="15.75">
      <c r="A104" s="31" t="s">
        <v>162</v>
      </c>
      <c r="B104" s="49">
        <f>IF(98.09369="","-",98.09369)</f>
        <v>98.09369</v>
      </c>
      <c r="C104" s="49">
        <f>IF(OR(77.7925="",98.09369=""),"-",98.09369/77.7925*100)</f>
        <v>126.09659028826685</v>
      </c>
      <c r="D104" s="49">
        <f>IF(77.7925="","-",77.7925/1770611.63183*100)</f>
        <v>0.004393538289342324</v>
      </c>
      <c r="E104" s="49">
        <f>IF(98.09369="","-",98.09369/1880616.047*100)</f>
        <v>0.00521604025215467</v>
      </c>
      <c r="F104" s="49">
        <f>IF(OR(1392173.93156="",30.57057="",77.7925=""),"-",(77.7925-30.57057)/1392173.93156*100)</f>
        <v>0.00339195620098169</v>
      </c>
      <c r="G104" s="49">
        <f>IF(OR(1770611.63183="",98.09369="",77.7925=""),"-",(98.09369-77.7925)/1770611.63183*100)</f>
        <v>0.0011465636865277946</v>
      </c>
    </row>
    <row r="105" ht="15.75">
      <c r="A105" s="32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2"/>
  <sheetViews>
    <sheetView zoomScalePageLayoutView="0" workbookViewId="0" topLeftCell="A1">
      <selection activeCell="G22" sqref="G22"/>
    </sheetView>
  </sheetViews>
  <sheetFormatPr defaultColWidth="9.00390625" defaultRowHeight="15.75"/>
  <cols>
    <col min="1" max="1" width="43.75390625" style="0" customWidth="1"/>
    <col min="2" max="3" width="13.875" style="0" customWidth="1"/>
    <col min="4" max="4" width="17.625" style="0" customWidth="1"/>
  </cols>
  <sheetData>
    <row r="1" spans="1:4" ht="15.75">
      <c r="A1" s="71" t="s">
        <v>139</v>
      </c>
      <c r="B1" s="71"/>
      <c r="C1" s="71"/>
      <c r="D1" s="71"/>
    </row>
    <row r="2" ht="15.75">
      <c r="A2" s="4"/>
    </row>
    <row r="3" spans="1:5" ht="26.25" customHeight="1">
      <c r="A3" s="72"/>
      <c r="B3" s="76" t="s">
        <v>196</v>
      </c>
      <c r="C3" s="77"/>
      <c r="D3" s="74" t="s">
        <v>197</v>
      </c>
      <c r="E3" s="1"/>
    </row>
    <row r="4" spans="1:5" ht="15.75">
      <c r="A4" s="73"/>
      <c r="B4" s="23">
        <v>2018</v>
      </c>
      <c r="C4" s="22">
        <v>2019</v>
      </c>
      <c r="D4" s="75"/>
      <c r="E4" s="1"/>
    </row>
    <row r="5" spans="1:4" ht="17.25" customHeight="1">
      <c r="A5" s="33" t="s">
        <v>110</v>
      </c>
      <c r="B5" s="46">
        <v>-892960.61</v>
      </c>
      <c r="C5" s="46">
        <f>IF(-931868.79801="","-",-931868.79801)</f>
        <v>-931868.79801</v>
      </c>
      <c r="D5" s="46">
        <f>IF(-892960.61422="","-",-931868.79801/-892960.61422*100)</f>
        <v>104.3572116362586</v>
      </c>
    </row>
    <row r="6" spans="1:4" ht="15.75">
      <c r="A6" s="34" t="s">
        <v>185</v>
      </c>
      <c r="B6" s="41"/>
      <c r="C6" s="41"/>
      <c r="D6" s="41"/>
    </row>
    <row r="7" spans="1:4" ht="15.75">
      <c r="A7" s="29" t="s">
        <v>287</v>
      </c>
      <c r="B7" s="47">
        <f>IF(-293612.17239="","-",-293612.17239)</f>
        <v>-293612.17239</v>
      </c>
      <c r="C7" s="47">
        <f>IF(-314850.65532="","-",-314850.65532)</f>
        <v>-314850.65532</v>
      </c>
      <c r="D7" s="47">
        <f>IF(-293612.17239="","-",-314850.65532/-293612.17239*100)</f>
        <v>107.23351581684062</v>
      </c>
    </row>
    <row r="8" spans="1:4" ht="15.75">
      <c r="A8" s="30" t="s">
        <v>4</v>
      </c>
      <c r="B8" s="48">
        <f>IF(-76355.86065="","-",-76355.86065)</f>
        <v>-76355.86065</v>
      </c>
      <c r="C8" s="48">
        <f>IF(-73308.15601="","-",-73308.15601)</f>
        <v>-73308.15601</v>
      </c>
      <c r="D8" s="48">
        <f>IF(OR(-76355.86065="",-73308.15601="",-76355.86065=0),"-",-73308.15601/-76355.86065*100)</f>
        <v>96.00855178102168</v>
      </c>
    </row>
    <row r="9" spans="1:4" ht="15.75">
      <c r="A9" s="30" t="s">
        <v>186</v>
      </c>
      <c r="B9" s="48">
        <f>IF(-40264.49553="","-",-40264.49553)</f>
        <v>-40264.49553</v>
      </c>
      <c r="C9" s="48">
        <f>IF(-42438.9519="","-",-42438.9519)</f>
        <v>-42438.9519</v>
      </c>
      <c r="D9" s="48">
        <f>IF(OR(-40264.49553="",-42438.9519="",-40264.49553=0),"-",-42438.9519/-40264.49553*100)</f>
        <v>105.40043117733804</v>
      </c>
    </row>
    <row r="10" spans="1:4" ht="15.75">
      <c r="A10" s="30" t="s">
        <v>50</v>
      </c>
      <c r="B10" s="48">
        <f>IF(-38271.80974="","-",-38271.80974)</f>
        <v>-38271.80974</v>
      </c>
      <c r="C10" s="48">
        <f>IF(-35098.00006="","-",-35098.00006)</f>
        <v>-35098.00006</v>
      </c>
      <c r="D10" s="48">
        <f>IF(OR(-38271.80974="",-35098.00006="",-38271.80974=0),"-",-35098.00006/-38271.80974*100)</f>
        <v>91.70718682612264</v>
      </c>
    </row>
    <row r="11" spans="1:4" ht="15.75">
      <c r="A11" s="30" t="s">
        <v>3</v>
      </c>
      <c r="B11" s="48">
        <f>IF(-16376.49842="","-",-16376.49842)</f>
        <v>-16376.49842</v>
      </c>
      <c r="C11" s="48">
        <f>IF(-29165.99881="","-",-29165.99881)</f>
        <v>-29165.99881</v>
      </c>
      <c r="D11" s="48" t="s">
        <v>114</v>
      </c>
    </row>
    <row r="12" spans="1:4" ht="15.75">
      <c r="A12" s="30" t="s">
        <v>5</v>
      </c>
      <c r="B12" s="48">
        <f>IF(-32097.10579="","-",-32097.10579)</f>
        <v>-32097.10579</v>
      </c>
      <c r="C12" s="48">
        <f>IF(-27283.80131="","-",-27283.80131)</f>
        <v>-27283.80131</v>
      </c>
      <c r="D12" s="48">
        <f>IF(OR(-32097.10579="",-27283.80131="",-32097.10579=0),"-",-27283.80131/-32097.10579*100)</f>
        <v>85.00392991352008</v>
      </c>
    </row>
    <row r="13" spans="1:4" ht="15.75">
      <c r="A13" s="30" t="s">
        <v>8</v>
      </c>
      <c r="B13" s="48">
        <f>IF(-18481.01895="","-",-18481.01895)</f>
        <v>-18481.01895</v>
      </c>
      <c r="C13" s="48">
        <f>IF(-19151.30543="","-",-19151.30543)</f>
        <v>-19151.30543</v>
      </c>
      <c r="D13" s="48">
        <f>IF(OR(-18481.01895="",-19151.30543="",-18481.01895=0),"-",-19151.30543/-18481.01895*100)</f>
        <v>103.62689136250249</v>
      </c>
    </row>
    <row r="14" spans="1:4" ht="15.75">
      <c r="A14" s="30" t="s">
        <v>7</v>
      </c>
      <c r="B14" s="48">
        <f>IF(-13252.67972="","-",-13252.67972)</f>
        <v>-13252.67972</v>
      </c>
      <c r="C14" s="48">
        <f>IF(-18565.42825="","-",-18565.42825)</f>
        <v>-18565.42825</v>
      </c>
      <c r="D14" s="48">
        <f>IF(OR(-13252.67972="",-18565.42825="",-13252.67972=0),"-",-18565.42825/-13252.67972*100)</f>
        <v>140.08810778081642</v>
      </c>
    </row>
    <row r="15" spans="1:4" ht="15.75">
      <c r="A15" s="30" t="s">
        <v>48</v>
      </c>
      <c r="B15" s="48">
        <f>IF(-14451.78465="","-",-14451.78465)</f>
        <v>-14451.78465</v>
      </c>
      <c r="C15" s="48">
        <f>IF(-16584.6408999999="","-",-16584.6408999999)</f>
        <v>-16584.6408999999</v>
      </c>
      <c r="D15" s="48">
        <f>IF(OR(-14451.78465="",-16584.6408999999="",-14451.78465=0),"-",-16584.6408999999/-14451.78465*100)</f>
        <v>114.75842812257724</v>
      </c>
    </row>
    <row r="16" spans="1:4" ht="15.75">
      <c r="A16" s="30" t="s">
        <v>49</v>
      </c>
      <c r="B16" s="48">
        <f>IF(-8578.13047="","-",-8578.13047)</f>
        <v>-8578.13047</v>
      </c>
      <c r="C16" s="48">
        <f>IF(-8438.43807="","-",-8438.43807)</f>
        <v>-8438.43807</v>
      </c>
      <c r="D16" s="48">
        <f>IF(OR(-8578.13047="",-8438.43807="",-8578.13047=0),"-",-8438.43807/-8578.13047*100)</f>
        <v>98.37152861583837</v>
      </c>
    </row>
    <row r="17" spans="1:4" ht="15.75">
      <c r="A17" s="30" t="s">
        <v>58</v>
      </c>
      <c r="B17" s="48">
        <f>IF(-7520.07252="","-",-7520.07252)</f>
        <v>-7520.07252</v>
      </c>
      <c r="C17" s="48">
        <f>IF(-8257.73682="","-",-8257.73682)</f>
        <v>-8257.73682</v>
      </c>
      <c r="D17" s="48">
        <f>IF(OR(-7520.07252="",-8257.73682="",-7520.07252=0),"-",-8257.73682/-7520.07252*100)</f>
        <v>109.80927109463568</v>
      </c>
    </row>
    <row r="18" spans="1:4" ht="15.75">
      <c r="A18" s="30" t="s">
        <v>52</v>
      </c>
      <c r="B18" s="48">
        <f>IF(-2917.84495="","-",-2917.84495)</f>
        <v>-2917.84495</v>
      </c>
      <c r="C18" s="48">
        <f>IF(-7506.10863="","-",-7506.10863)</f>
        <v>-7506.10863</v>
      </c>
      <c r="D18" s="48" t="s">
        <v>176</v>
      </c>
    </row>
    <row r="19" spans="1:4" ht="15.75">
      <c r="A19" s="30" t="s">
        <v>60</v>
      </c>
      <c r="B19" s="48">
        <f>IF(-7181.83776="","-",-7181.83776)</f>
        <v>-7181.83776</v>
      </c>
      <c r="C19" s="48">
        <f>IF(-7448.13169="","-",-7448.13169)</f>
        <v>-7448.13169</v>
      </c>
      <c r="D19" s="48">
        <f>IF(OR(-7181.83776="",-7448.13169="",-7181.83776=0),"-",-7448.13169/-7181.83776*100)</f>
        <v>103.7078800565943</v>
      </c>
    </row>
    <row r="20" spans="1:4" ht="15.75">
      <c r="A20" s="30" t="s">
        <v>59</v>
      </c>
      <c r="B20" s="48">
        <f>IF(-699.37846="","-",-699.37846)</f>
        <v>-699.37846</v>
      </c>
      <c r="C20" s="48">
        <f>IF(-5613.8957="","-",-5613.8957)</f>
        <v>-5613.8957</v>
      </c>
      <c r="D20" s="48" t="s">
        <v>288</v>
      </c>
    </row>
    <row r="21" spans="1:4" ht="15.75">
      <c r="A21" s="30" t="s">
        <v>10</v>
      </c>
      <c r="B21" s="48">
        <f>IF(-7585.97524="","-",-7585.97524)</f>
        <v>-7585.97524</v>
      </c>
      <c r="C21" s="48">
        <f>IF(-5200.01104="","-",-5200.01104)</f>
        <v>-5200.01104</v>
      </c>
      <c r="D21" s="48">
        <f>IF(OR(-7585.97524="",-5200.01104="",-7585.97524=0),"-",-5200.01104/-7585.97524*100)</f>
        <v>68.547693282479</v>
      </c>
    </row>
    <row r="22" spans="1:6" ht="15.75">
      <c r="A22" s="30" t="s">
        <v>56</v>
      </c>
      <c r="B22" s="48">
        <f>IF(-4228.70685="","-",-4228.70685)</f>
        <v>-4228.70685</v>
      </c>
      <c r="C22" s="48">
        <f>IF(-4216.67052="","-",-4216.67052)</f>
        <v>-4216.67052</v>
      </c>
      <c r="D22" s="48">
        <f>IF(OR(-4228.70685="",-4216.67052="",-4228.70685=0),"-",-4216.67052/-4228.70685*100)</f>
        <v>99.71536617630518</v>
      </c>
      <c r="F22" t="s">
        <v>120</v>
      </c>
    </row>
    <row r="23" spans="1:4" ht="15.75">
      <c r="A23" s="30" t="s">
        <v>57</v>
      </c>
      <c r="B23" s="48">
        <f>IF(-3092.45158="","-",-3092.45158)</f>
        <v>-3092.45158</v>
      </c>
      <c r="C23" s="48">
        <f>IF(-3636.64329="","-",-3636.64329)</f>
        <v>-3636.64329</v>
      </c>
      <c r="D23" s="48">
        <f>IF(OR(-3092.45158="",-3636.64329="",-3092.45158=0),"-",-3636.64329/-3092.45158*100)</f>
        <v>117.59742055524762</v>
      </c>
    </row>
    <row r="24" spans="1:4" ht="15.75">
      <c r="A24" s="30" t="s">
        <v>187</v>
      </c>
      <c r="B24" s="48">
        <f>IF(12116.69259="","-",12116.69259)</f>
        <v>12116.69259</v>
      </c>
      <c r="C24" s="48">
        <f>IF(-2786.22691="","-",-2786.22691)</f>
        <v>-2786.22691</v>
      </c>
      <c r="D24" s="48" t="s">
        <v>22</v>
      </c>
    </row>
    <row r="25" spans="1:4" ht="15.75">
      <c r="A25" s="30" t="s">
        <v>51</v>
      </c>
      <c r="B25" s="48">
        <f>IF(357.75467="","-",357.75467)</f>
        <v>357.75467</v>
      </c>
      <c r="C25" s="48">
        <f>IF(-2664.40513="","-",-2664.40513)</f>
        <v>-2664.40513</v>
      </c>
      <c r="D25" s="48" t="s">
        <v>22</v>
      </c>
    </row>
    <row r="26" spans="1:4" ht="15.75">
      <c r="A26" s="30" t="s">
        <v>61</v>
      </c>
      <c r="B26" s="48">
        <f>IF(-1644.8053="","-",-1644.8053)</f>
        <v>-1644.8053</v>
      </c>
      <c r="C26" s="48">
        <f>IF(-2137.28646="","-",-2137.28646)</f>
        <v>-2137.28646</v>
      </c>
      <c r="D26" s="48">
        <f>IF(OR(-1644.8053="",-2137.28646="",-1644.8053=0),"-",-2137.28646/-1644.8053*100)</f>
        <v>129.94160828640324</v>
      </c>
    </row>
    <row r="27" spans="1:4" ht="15.75">
      <c r="A27" s="30" t="s">
        <v>188</v>
      </c>
      <c r="B27" s="48">
        <f>IF(-636.19312="","-",-636.19312)</f>
        <v>-636.19312</v>
      </c>
      <c r="C27" s="48">
        <f>IF(-1333.51042="","-",-1333.51042)</f>
        <v>-1333.51042</v>
      </c>
      <c r="D27" s="48" t="s">
        <v>104</v>
      </c>
    </row>
    <row r="28" spans="1:4" ht="15.75">
      <c r="A28" s="30" t="s">
        <v>6</v>
      </c>
      <c r="B28" s="48">
        <f>IF(-404.20952="","-",-404.20952)</f>
        <v>-404.20952</v>
      </c>
      <c r="C28" s="48">
        <f>IF(-1128.83924="","-",-1128.83924)</f>
        <v>-1128.83924</v>
      </c>
      <c r="D28" s="48" t="s">
        <v>205</v>
      </c>
    </row>
    <row r="29" spans="1:4" ht="15.75">
      <c r="A29" s="30" t="s">
        <v>53</v>
      </c>
      <c r="B29" s="48">
        <f>IF(-1737.13667="","-",-1737.13667)</f>
        <v>-1737.13667</v>
      </c>
      <c r="C29" s="48">
        <f>IF(-1097.72948="","-",-1097.72948)</f>
        <v>-1097.72948</v>
      </c>
      <c r="D29" s="48">
        <f>IF(OR(-1737.13667="",-1097.72948="",-1737.13667=0),"-",-1097.72948/-1737.13667*100)</f>
        <v>63.19188921387515</v>
      </c>
    </row>
    <row r="30" spans="1:4" ht="15.75">
      <c r="A30" s="30" t="s">
        <v>54</v>
      </c>
      <c r="B30" s="48">
        <f>IF(-253.84635="","-",-253.84635)</f>
        <v>-253.84635</v>
      </c>
      <c r="C30" s="48">
        <f>IF(-488.40594="","-",-488.40594)</f>
        <v>-488.40594</v>
      </c>
      <c r="D30" s="48" t="s">
        <v>117</v>
      </c>
    </row>
    <row r="31" spans="1:4" ht="15.75">
      <c r="A31" s="30" t="s">
        <v>62</v>
      </c>
      <c r="B31" s="48">
        <f>IF(-347.73542="","-",-347.73542)</f>
        <v>-347.73542</v>
      </c>
      <c r="C31" s="48">
        <f>IF(-416.83046="","-",-416.83046)</f>
        <v>-416.83046</v>
      </c>
      <c r="D31" s="48">
        <f>IF(OR(-347.73542="",-416.83046="",-347.73542=0),"-",-416.83046/-347.73542*100)</f>
        <v>119.87000346412799</v>
      </c>
    </row>
    <row r="32" spans="1:4" ht="15.75">
      <c r="A32" s="30" t="s">
        <v>63</v>
      </c>
      <c r="B32" s="48">
        <f>IF(532.04787="","-",532.04787)</f>
        <v>532.04787</v>
      </c>
      <c r="C32" s="48">
        <f>IF(414.31419="","-",414.31419)</f>
        <v>414.31419</v>
      </c>
      <c r="D32" s="48">
        <f>IF(OR(532.04787="",414.31419="",532.04787=0),"-",414.31419/532.04787*100)</f>
        <v>77.87160016259439</v>
      </c>
    </row>
    <row r="33" spans="1:4" ht="15.75">
      <c r="A33" s="30" t="s">
        <v>9</v>
      </c>
      <c r="B33" s="48">
        <f>IF(6261.62678="","-",6261.62678)</f>
        <v>6261.62678</v>
      </c>
      <c r="C33" s="48">
        <f>IF(1888.47665="","-",1888.47665)</f>
        <v>1888.47665</v>
      </c>
      <c r="D33" s="48">
        <f>IF(OR(6261.62678="",1888.47665="",6261.62678=0),"-",1888.47665/6261.62678*100)</f>
        <v>30.159521101319935</v>
      </c>
    </row>
    <row r="34" spans="1:4" ht="15.75">
      <c r="A34" s="30" t="s">
        <v>2</v>
      </c>
      <c r="B34" s="48">
        <f>IF(-17402.53063="","-",-17402.53063)</f>
        <v>-17402.53063</v>
      </c>
      <c r="C34" s="48">
        <f>IF(2752.46658="","-",2752.46658)</f>
        <v>2752.46658</v>
      </c>
      <c r="D34" s="48" t="s">
        <v>22</v>
      </c>
    </row>
    <row r="35" spans="1:4" ht="15.75">
      <c r="A35" s="30" t="s">
        <v>55</v>
      </c>
      <c r="B35" s="48">
        <f>IF(901.81399="","-",901.81399)</f>
        <v>901.81399</v>
      </c>
      <c r="C35" s="48">
        <f>IF(4061.23973="","-",4061.23973)</f>
        <v>4061.23973</v>
      </c>
      <c r="D35" s="48" t="s">
        <v>279</v>
      </c>
    </row>
    <row r="36" spans="1:4" ht="15.75">
      <c r="A36" s="29" t="s">
        <v>163</v>
      </c>
      <c r="B36" s="47">
        <f>IF(-280998.53027="","-",-280998.53027)</f>
        <v>-280998.53027</v>
      </c>
      <c r="C36" s="47">
        <f>IF(-359281.82897="","-",-359281.82897)</f>
        <v>-359281.82897</v>
      </c>
      <c r="D36" s="47">
        <f>IF(-280998.53027="","-",-359281.82897/-280998.53027*100)</f>
        <v>127.85897087247425</v>
      </c>
    </row>
    <row r="37" spans="1:4" ht="15.75">
      <c r="A37" s="30" t="s">
        <v>189</v>
      </c>
      <c r="B37" s="48">
        <f>IF(-166369.42658="","-",-166369.42658)</f>
        <v>-166369.42658</v>
      </c>
      <c r="C37" s="48">
        <f>IF(-194899.18553="","-",-194899.18553)</f>
        <v>-194899.18553</v>
      </c>
      <c r="D37" s="48">
        <f>IF(OR(-166369.42658="",-194899.18553="",-166369.42658=0),"-",-194899.18553/-166369.42658*100)</f>
        <v>117.14843859023657</v>
      </c>
    </row>
    <row r="38" spans="1:4" ht="15.75">
      <c r="A38" s="30" t="s">
        <v>12</v>
      </c>
      <c r="B38" s="48">
        <f>IF(-128742.88441="","-",-128742.88441)</f>
        <v>-128742.88441</v>
      </c>
      <c r="C38" s="48">
        <f>IF(-151478.94128="","-",-151478.94128)</f>
        <v>-151478.94128</v>
      </c>
      <c r="D38" s="48">
        <f>IF(OR(-128742.88441="",-151478.94128="",-128742.88441=0),"-",-151478.94128/-128742.88441*100)</f>
        <v>117.66004931006036</v>
      </c>
    </row>
    <row r="39" spans="1:4" ht="15.75">
      <c r="A39" s="30" t="s">
        <v>11</v>
      </c>
      <c r="B39" s="48">
        <f>IF(8247.43937="","-",8247.43937)</f>
        <v>8247.43937</v>
      </c>
      <c r="C39" s="48">
        <f>IF(-10841.51134="","-",-10841.51134)</f>
        <v>-10841.51134</v>
      </c>
      <c r="D39" s="48" t="s">
        <v>22</v>
      </c>
    </row>
    <row r="40" spans="1:4" ht="15.75">
      <c r="A40" s="30" t="s">
        <v>15</v>
      </c>
      <c r="B40" s="48">
        <f>IF(-510.0635="","-",-510.0635)</f>
        <v>-510.0635</v>
      </c>
      <c r="C40" s="48">
        <f>IF(-1931.98307="","-",-1931.98307)</f>
        <v>-1931.98307</v>
      </c>
      <c r="D40" s="48" t="s">
        <v>289</v>
      </c>
    </row>
    <row r="41" spans="1:4" ht="15.75">
      <c r="A41" s="30" t="s">
        <v>16</v>
      </c>
      <c r="B41" s="48">
        <f>IF(55.02848="","-",55.02848)</f>
        <v>55.02848</v>
      </c>
      <c r="C41" s="48">
        <f>IF(-1768.52816="","-",-1768.52816)</f>
        <v>-1768.52816</v>
      </c>
      <c r="D41" s="48" t="s">
        <v>22</v>
      </c>
    </row>
    <row r="42" spans="1:4" ht="15.75">
      <c r="A42" s="30" t="s">
        <v>17</v>
      </c>
      <c r="B42" s="48">
        <f>IF(373.78734="","-",373.78734)</f>
        <v>373.78734</v>
      </c>
      <c r="C42" s="48">
        <f>IF(-32.79006="","-",-32.79006)</f>
        <v>-32.79006</v>
      </c>
      <c r="D42" s="48" t="s">
        <v>22</v>
      </c>
    </row>
    <row r="43" spans="1:4" ht="15.75">
      <c r="A43" s="30" t="s">
        <v>18</v>
      </c>
      <c r="B43" s="48">
        <f>IF(213.81="","-",213.81)</f>
        <v>213.81</v>
      </c>
      <c r="C43" s="48">
        <f>IF(73.88569="","-",73.88569)</f>
        <v>73.88569</v>
      </c>
      <c r="D43" s="48">
        <f>IF(OR(213.81="",73.88569="",213.81=0),"-",73.88569/213.81*100)</f>
        <v>34.556704550769375</v>
      </c>
    </row>
    <row r="44" spans="1:4" ht="15.75">
      <c r="A44" s="30" t="s">
        <v>290</v>
      </c>
      <c r="B44" s="48">
        <f>IF(263.98564="","-",263.98564)</f>
        <v>263.98564</v>
      </c>
      <c r="C44" s="48">
        <f>IF(178.51579="","-",178.51579)</f>
        <v>178.51579</v>
      </c>
      <c r="D44" s="48">
        <f>IF(OR(263.98564="",178.51579="",263.98564=0),"-",178.51579/263.98564*100)</f>
        <v>67.62329572169153</v>
      </c>
    </row>
    <row r="45" spans="1:4" ht="15.75">
      <c r="A45" s="30" t="s">
        <v>13</v>
      </c>
      <c r="B45" s="48">
        <f>IF(4053.33945="","-",4053.33945)</f>
        <v>4053.33945</v>
      </c>
      <c r="C45" s="48">
        <f>IF(211.499="","-",211.499)</f>
        <v>211.499</v>
      </c>
      <c r="D45" s="48">
        <f>IF(OR(4053.33945="",211.499="",4053.33945=0),"-",211.499/4053.33945*100)</f>
        <v>5.217895086482333</v>
      </c>
    </row>
    <row r="46" spans="1:4" ht="15.75">
      <c r="A46" s="30" t="s">
        <v>14</v>
      </c>
      <c r="B46" s="48">
        <f>IF(1416.45394="","-",1416.45394)</f>
        <v>1416.45394</v>
      </c>
      <c r="C46" s="48">
        <f>IF(1207.20999="","-",1207.20999)</f>
        <v>1207.20999</v>
      </c>
      <c r="D46" s="48">
        <f>IF(OR(1416.45394="",1207.20999="",1416.45394=0),"-",1207.20999/1416.45394*100)</f>
        <v>85.22762060303917</v>
      </c>
    </row>
    <row r="47" spans="1:4" ht="15.75">
      <c r="A47" s="29" t="s">
        <v>164</v>
      </c>
      <c r="B47" s="47">
        <f>IF(-318349.91156="","-",-318349.91156)</f>
        <v>-318349.91156</v>
      </c>
      <c r="C47" s="47">
        <f>IF(-257736.31372="","-",-257736.31372)</f>
        <v>-257736.31372</v>
      </c>
      <c r="D47" s="47">
        <f>IF(-318349.91156="","-",-257736.31372/-318349.91156*100)</f>
        <v>80.96007077778754</v>
      </c>
    </row>
    <row r="48" spans="1:4" ht="15.75">
      <c r="A48" s="30" t="s">
        <v>67</v>
      </c>
      <c r="B48" s="48">
        <f>IF(-181880.13447="","-",-181880.13447)</f>
        <v>-181880.13447</v>
      </c>
      <c r="C48" s="48">
        <f>IF(-176798.87717="","-",-176798.87717)</f>
        <v>-176798.87717</v>
      </c>
      <c r="D48" s="48">
        <f>IF(OR(-181880.13447="",-176798.87717="",-181880.13447=0),"-",-176798.87717/-181880.13447*100)</f>
        <v>97.20626042266419</v>
      </c>
    </row>
    <row r="49" spans="1:4" ht="15.75">
      <c r="A49" s="30" t="s">
        <v>64</v>
      </c>
      <c r="B49" s="48">
        <f>IF(-70147.89969="","-",-70147.89969)</f>
        <v>-70147.89969</v>
      </c>
      <c r="C49" s="48">
        <f>IF(-25324.13611="","-",-25324.13611)</f>
        <v>-25324.13611</v>
      </c>
      <c r="D49" s="48">
        <f>IF(OR(-70147.89969="",-25324.13611="",-70147.89969=0),"-",-25324.13611/-70147.89969*100)</f>
        <v>36.10106107511884</v>
      </c>
    </row>
    <row r="50" spans="1:4" ht="15.75">
      <c r="A50" s="30" t="s">
        <v>19</v>
      </c>
      <c r="B50" s="48">
        <f>IF(-19073.32288="","-",-19073.32288)</f>
        <v>-19073.32288</v>
      </c>
      <c r="C50" s="48">
        <f>IF(-17676.75798="","-",-17676.75798)</f>
        <v>-17676.75798</v>
      </c>
      <c r="D50" s="48">
        <f>IF(OR(-19073.32288="",-17676.75798="",-19073.32288=0),"-",-17676.75798/-19073.32288*100)</f>
        <v>92.67791507129354</v>
      </c>
    </row>
    <row r="51" spans="1:4" ht="15.75">
      <c r="A51" s="30" t="s">
        <v>84</v>
      </c>
      <c r="B51" s="48">
        <f>IF(-15983.83021="","-",-15983.83021)</f>
        <v>-15983.83021</v>
      </c>
      <c r="C51" s="48">
        <f>IF(-14818.03338="","-",-14818.03338)</f>
        <v>-14818.03338</v>
      </c>
      <c r="D51" s="48">
        <f>IF(OR(-15983.83021="",-14818.03338="",-15983.83021=0),"-",-14818.03338/-15983.83021*100)</f>
        <v>92.70639881252843</v>
      </c>
    </row>
    <row r="52" spans="1:4" ht="15.75">
      <c r="A52" s="30" t="s">
        <v>77</v>
      </c>
      <c r="B52" s="48">
        <f>IF(-9888.31004="","-",-9888.31004)</f>
        <v>-9888.31004</v>
      </c>
      <c r="C52" s="48">
        <f>IF(-11490.54249="","-",-11490.54249)</f>
        <v>-11490.54249</v>
      </c>
      <c r="D52" s="48">
        <f>IF(OR(-9888.31004="",-11490.54249="",-9888.31004=0),"-",-11490.54249/-9888.31004*100)</f>
        <v>116.20329908264083</v>
      </c>
    </row>
    <row r="53" spans="1:4" ht="15.75">
      <c r="A53" s="30" t="s">
        <v>80</v>
      </c>
      <c r="B53" s="48">
        <f>IF(-11087.33663="","-",-11087.33663)</f>
        <v>-11087.33663</v>
      </c>
      <c r="C53" s="48">
        <f>IF(-10465.31884="","-",-10465.31884)</f>
        <v>-10465.31884</v>
      </c>
      <c r="D53" s="48">
        <f>IF(OR(-11087.33663="",-10465.31884="",-11087.33663=0),"-",-10465.31884/-11087.33663*100)</f>
        <v>94.38983580315447</v>
      </c>
    </row>
    <row r="54" spans="1:4" ht="15.75">
      <c r="A54" s="30" t="s">
        <v>44</v>
      </c>
      <c r="B54" s="48">
        <f>IF(-10405.31022="","-",-10405.31022)</f>
        <v>-10405.31022</v>
      </c>
      <c r="C54" s="48">
        <f>IF(-9318.01926="","-",-9318.01926)</f>
        <v>-9318.01926</v>
      </c>
      <c r="D54" s="48">
        <f>IF(OR(-10405.31022="",-9318.01926="",-10405.31022=0),"-",-9318.01926/-10405.31022*100)</f>
        <v>89.55061466682538</v>
      </c>
    </row>
    <row r="55" spans="1:4" ht="15.75">
      <c r="A55" s="30" t="s">
        <v>78</v>
      </c>
      <c r="B55" s="48">
        <f>IF(-5108.89035="","-",-5108.89035)</f>
        <v>-5108.89035</v>
      </c>
      <c r="C55" s="48">
        <f>IF(-6848.07248="","-",-6848.07248)</f>
        <v>-6848.07248</v>
      </c>
      <c r="D55" s="48">
        <f>IF(OR(-5108.89035="",-6848.07248="",-5108.89035=0),"-",-6848.07248/-5108.89035*100)</f>
        <v>134.04226771083472</v>
      </c>
    </row>
    <row r="56" spans="1:4" ht="15.75">
      <c r="A56" s="30" t="s">
        <v>88</v>
      </c>
      <c r="B56" s="48">
        <f>IF(-5994.2373="","-",-5994.2373)</f>
        <v>-5994.2373</v>
      </c>
      <c r="C56" s="48">
        <f>IF(-6625.71703="","-",-6625.71703)</f>
        <v>-6625.71703</v>
      </c>
      <c r="D56" s="48">
        <f>IF(OR(-5994.2373="",-6625.71703="",-5994.2373=0),"-",-6625.71703/-5994.2373*100)</f>
        <v>110.53478029640236</v>
      </c>
    </row>
    <row r="57" spans="1:4" ht="15.75">
      <c r="A57" s="30" t="s">
        <v>91</v>
      </c>
      <c r="B57" s="48">
        <f>IF(-2350.59779="","-",-2350.59779)</f>
        <v>-2350.59779</v>
      </c>
      <c r="C57" s="48">
        <f>IF(-3283.65663="","-",-3283.65663)</f>
        <v>-3283.65663</v>
      </c>
      <c r="D57" s="48">
        <f>IF(OR(-2350.59779="",-3283.65663="",-2350.59779=0),"-",-3283.65663/-2350.59779*100)</f>
        <v>139.69453404446534</v>
      </c>
    </row>
    <row r="58" spans="1:4" ht="15.75">
      <c r="A58" s="30" t="s">
        <v>86</v>
      </c>
      <c r="B58" s="48">
        <f>IF(-2854.73013="","-",-2854.73013)</f>
        <v>-2854.73013</v>
      </c>
      <c r="C58" s="48">
        <f>IF(-2926.96618="","-",-2926.96618)</f>
        <v>-2926.96618</v>
      </c>
      <c r="D58" s="48">
        <f>IF(OR(-2854.73013="",-2926.96618="",-2854.73013=0),"-",-2926.96618/-2854.73013*100)</f>
        <v>102.53039855644779</v>
      </c>
    </row>
    <row r="59" spans="1:4" ht="15.75">
      <c r="A59" s="30" t="s">
        <v>74</v>
      </c>
      <c r="B59" s="48">
        <f>IF(-3391.04606="","-",-3391.04606)</f>
        <v>-3391.04606</v>
      </c>
      <c r="C59" s="48">
        <f>IF(-2840.49842="","-",-2840.49842)</f>
        <v>-2840.49842</v>
      </c>
      <c r="D59" s="48">
        <f>IF(OR(-3391.04606="",-2840.49842="",-3391.04606=0),"-",-2840.49842/-3391.04606*100)</f>
        <v>83.76466641093043</v>
      </c>
    </row>
    <row r="60" spans="1:4" ht="15.75">
      <c r="A60" s="30" t="s">
        <v>79</v>
      </c>
      <c r="B60" s="48">
        <f>IF(-3685.44378="","-",-3685.44378)</f>
        <v>-3685.44378</v>
      </c>
      <c r="C60" s="48">
        <f>IF(-2840.1173="","-",-2840.1173)</f>
        <v>-2840.1173</v>
      </c>
      <c r="D60" s="48">
        <f>IF(OR(-3685.44378="",-2840.1173="",-3685.44378=0),"-",-2840.1173/-3685.44378*100)</f>
        <v>77.06310201806959</v>
      </c>
    </row>
    <row r="61" spans="1:7" ht="15.75">
      <c r="A61" s="30" t="s">
        <v>71</v>
      </c>
      <c r="B61" s="48">
        <f>IF(-2670.18689="","-",-2670.18689)</f>
        <v>-2670.18689</v>
      </c>
      <c r="C61" s="48">
        <f>IF(-2528.57748="","-",-2528.57748)</f>
        <v>-2528.57748</v>
      </c>
      <c r="D61" s="48">
        <f>IF(OR(-2670.18689="",-2528.57748="",-2670.18689=0),"-",-2528.57748/-2670.18689*100)</f>
        <v>94.69664799380391</v>
      </c>
      <c r="E61" s="1"/>
      <c r="F61" s="1"/>
      <c r="G61" s="1"/>
    </row>
    <row r="62" spans="1:4" ht="15.75">
      <c r="A62" s="30" t="s">
        <v>89</v>
      </c>
      <c r="B62" s="48">
        <f>IF(-3034.42772="","-",-3034.42772)</f>
        <v>-3034.42772</v>
      </c>
      <c r="C62" s="48">
        <f>IF(-2321.09368="","-",-2321.09368)</f>
        <v>-2321.09368</v>
      </c>
      <c r="D62" s="48">
        <f>IF(OR(-3034.42772="",-2321.09368="",-3034.42772=0),"-",-2321.09368/-3034.42772*100)</f>
        <v>76.49197457239151</v>
      </c>
    </row>
    <row r="63" spans="1:4" ht="15.75">
      <c r="A63" s="30" t="s">
        <v>92</v>
      </c>
      <c r="B63" s="48">
        <f>IF(-3750.73936="","-",-3750.73936)</f>
        <v>-3750.73936</v>
      </c>
      <c r="C63" s="48">
        <f>IF(-2233.29956="","-",-2233.29956)</f>
        <v>-2233.29956</v>
      </c>
      <c r="D63" s="48">
        <f>IF(OR(-3750.73936="",-2233.29956="",-3750.73936=0),"-",-2233.29956/-3750.73936*100)</f>
        <v>59.54291529337298</v>
      </c>
    </row>
    <row r="64" spans="1:4" ht="15.75">
      <c r="A64" s="30" t="s">
        <v>213</v>
      </c>
      <c r="B64" s="48">
        <f>IF(-1120.43454="","-",-1120.43454)</f>
        <v>-1120.43454</v>
      </c>
      <c r="C64" s="48">
        <f>IF(-2179.53428="","-",-2179.53428)</f>
        <v>-2179.53428</v>
      </c>
      <c r="D64" s="48" t="s">
        <v>117</v>
      </c>
    </row>
    <row r="65" spans="1:4" ht="15.75">
      <c r="A65" s="30" t="s">
        <v>82</v>
      </c>
      <c r="B65" s="48">
        <f>IF(-1487.73469="","-",-1487.73469)</f>
        <v>-1487.73469</v>
      </c>
      <c r="C65" s="48">
        <f>IF(-2045.22117="","-",-2045.22117)</f>
        <v>-2045.22117</v>
      </c>
      <c r="D65" s="48">
        <f>IF(OR(-1487.73469="",-2045.22117="",-1487.73469=0),"-",-2045.22117/-1487.73469*100)</f>
        <v>137.4721705252433</v>
      </c>
    </row>
    <row r="66" spans="1:4" ht="15.75">
      <c r="A66" s="30" t="s">
        <v>70</v>
      </c>
      <c r="B66" s="48">
        <f>IF(-4825.657="","-",-4825.657)</f>
        <v>-4825.657</v>
      </c>
      <c r="C66" s="48">
        <f>IF(-1670.51351="","-",-1670.51351)</f>
        <v>-1670.51351</v>
      </c>
      <c r="D66" s="48">
        <f>IF(OR(-4825.657="",-1670.51351="",-4825.657=0),"-",-1670.51351/-4825.657*100)</f>
        <v>34.61732796176769</v>
      </c>
    </row>
    <row r="67" spans="1:4" ht="15.75">
      <c r="A67" s="30" t="s">
        <v>159</v>
      </c>
      <c r="B67" s="48">
        <f>IF(-492.90556="","-",-492.90556)</f>
        <v>-492.90556</v>
      </c>
      <c r="C67" s="48">
        <f>IF(-1580.77483="","-",-1580.77483)</f>
        <v>-1580.77483</v>
      </c>
      <c r="D67" s="48" t="s">
        <v>126</v>
      </c>
    </row>
    <row r="68" spans="1:7" ht="15.75">
      <c r="A68" s="30" t="s">
        <v>94</v>
      </c>
      <c r="B68" s="48">
        <f>IF(-668.92499="","-",-668.92499)</f>
        <v>-668.92499</v>
      </c>
      <c r="C68" s="48">
        <f>IF(-1562.23736="","-",-1562.23736)</f>
        <v>-1562.23736</v>
      </c>
      <c r="D68" s="48" t="s">
        <v>215</v>
      </c>
      <c r="E68" s="1"/>
      <c r="F68" s="1"/>
      <c r="G68" s="1"/>
    </row>
    <row r="69" spans="1:4" ht="15.75">
      <c r="A69" s="30" t="s">
        <v>69</v>
      </c>
      <c r="B69" s="48">
        <f>IF(-1364.29601="","-",-1364.29601)</f>
        <v>-1364.29601</v>
      </c>
      <c r="C69" s="48">
        <f>IF(-1470.98209="","-",-1470.98209)</f>
        <v>-1470.98209</v>
      </c>
      <c r="D69" s="48">
        <f>IF(OR(-1364.29601="",-1470.98209="",-1364.29601=0),"-",-1470.98209/-1364.29601*100)</f>
        <v>107.81986308088666</v>
      </c>
    </row>
    <row r="70" spans="1:4" ht="15.75">
      <c r="A70" s="30" t="s">
        <v>93</v>
      </c>
      <c r="B70" s="48">
        <f>IF(-1913.44848="","-",-1913.44848)</f>
        <v>-1913.44848</v>
      </c>
      <c r="C70" s="48">
        <f>IF(-1224.12378="","-",-1224.12378)</f>
        <v>-1224.12378</v>
      </c>
      <c r="D70" s="48">
        <f>IF(OR(-1913.44848="",-1224.12378="",-1913.44848=0),"-",-1224.12378/-1913.44848*100)</f>
        <v>63.97474469759437</v>
      </c>
    </row>
    <row r="71" spans="1:4" ht="15.75">
      <c r="A71" s="30" t="s">
        <v>97</v>
      </c>
      <c r="B71" s="48">
        <f>IF(-701.55479="","-",-701.55479)</f>
        <v>-701.55479</v>
      </c>
      <c r="C71" s="48">
        <f>IF(-981.19554="","-",-981.19554)</f>
        <v>-981.19554</v>
      </c>
      <c r="D71" s="48">
        <f>IF(OR(-701.55479="",-981.19554="",-701.55479=0),"-",-981.19554/-701.55479*100)</f>
        <v>139.86014406658103</v>
      </c>
    </row>
    <row r="72" spans="1:4" ht="15.75">
      <c r="A72" s="30" t="s">
        <v>90</v>
      </c>
      <c r="B72" s="48">
        <f>IF(-1056.33597="","-",-1056.33597)</f>
        <v>-1056.33597</v>
      </c>
      <c r="C72" s="48">
        <f>IF(-901.95123="","-",-901.95123)</f>
        <v>-901.95123</v>
      </c>
      <c r="D72" s="48">
        <f>IF(OR(-1056.33597="",-901.95123="",-1056.33597=0),"-",-901.95123/-1056.33597*100)</f>
        <v>85.38488280390565</v>
      </c>
    </row>
    <row r="73" spans="1:4" ht="15.75">
      <c r="A73" s="30" t="s">
        <v>96</v>
      </c>
      <c r="B73" s="48">
        <f>IF(-866.3299="","-",-866.3299)</f>
        <v>-866.3299</v>
      </c>
      <c r="C73" s="48">
        <f>IF(-726.58481="","-",-726.58481)</f>
        <v>-726.58481</v>
      </c>
      <c r="D73" s="48">
        <f>IF(OR(-866.3299="",-726.58481="",-866.3299=0),"-",-726.58481/-866.3299*100)</f>
        <v>83.86929852011342</v>
      </c>
    </row>
    <row r="74" spans="1:4" ht="15.75">
      <c r="A74" s="30" t="s">
        <v>81</v>
      </c>
      <c r="B74" s="48">
        <f>IF(-568.74249="","-",-568.74249)</f>
        <v>-568.74249</v>
      </c>
      <c r="C74" s="48">
        <f>IF(-653.14099="","-",-653.14099)</f>
        <v>-653.14099</v>
      </c>
      <c r="D74" s="48">
        <f>IF(OR(-568.74249="",-653.14099="",-568.74249=0),"-",-653.14099/-568.74249*100)</f>
        <v>114.83949264982823</v>
      </c>
    </row>
    <row r="75" spans="1:4" ht="15.75">
      <c r="A75" s="30" t="s">
        <v>75</v>
      </c>
      <c r="B75" s="48">
        <f>IF(-682.23276="","-",-682.23276)</f>
        <v>-682.23276</v>
      </c>
      <c r="C75" s="48">
        <f>IF(-599.72001="","-",-599.72001)</f>
        <v>-599.72001</v>
      </c>
      <c r="D75" s="48">
        <f>IF(OR(-682.23276="",-599.72001="",-682.23276=0),"-",-599.72001/-682.23276*100)</f>
        <v>87.90548404623667</v>
      </c>
    </row>
    <row r="76" spans="1:7" ht="15.75">
      <c r="A76" s="30" t="s">
        <v>95</v>
      </c>
      <c r="B76" s="48">
        <f>IF(-544.51281="","-",-544.51281)</f>
        <v>-544.51281</v>
      </c>
      <c r="C76" s="48">
        <f>IF(-584.15116="","-",-584.15116)</f>
        <v>-584.15116</v>
      </c>
      <c r="D76" s="48">
        <f>IF(OR(-544.51281="",-584.15116="",-544.51281=0),"-",-584.15116/-544.51281*100)</f>
        <v>107.27959917049519</v>
      </c>
      <c r="E76" s="14"/>
      <c r="F76" s="14"/>
      <c r="G76" s="14"/>
    </row>
    <row r="77" spans="1:4" ht="15.75">
      <c r="A77" s="30" t="s">
        <v>98</v>
      </c>
      <c r="B77" s="48">
        <f>IF(-678.01892="","-",-678.01892)</f>
        <v>-678.01892</v>
      </c>
      <c r="C77" s="48">
        <f>IF(-505.9109="","-",-505.9109)</f>
        <v>-505.9109</v>
      </c>
      <c r="D77" s="48">
        <f>IF(OR(-678.01892="",-505.9109="",-678.01892=0),"-",-505.9109/-678.01892*100)</f>
        <v>74.6160446378104</v>
      </c>
    </row>
    <row r="78" spans="1:4" ht="15.75">
      <c r="A78" s="30" t="s">
        <v>87</v>
      </c>
      <c r="B78" s="48">
        <f>IF(-315.17837="","-",-315.17837)</f>
        <v>-315.17837</v>
      </c>
      <c r="C78" s="48">
        <f>IF(-433.2355="","-",-433.2355)</f>
        <v>-433.2355</v>
      </c>
      <c r="D78" s="48">
        <f>IF(OR(-315.17837="",-433.2355="",-315.17837=0),"-",-433.2355/-315.17837*100)</f>
        <v>137.45724365539428</v>
      </c>
    </row>
    <row r="79" spans="1:4" ht="15.75">
      <c r="A79" s="30" t="s">
        <v>46</v>
      </c>
      <c r="B79" s="48">
        <f>IF(-640.96867="","-",-640.96867)</f>
        <v>-640.96867</v>
      </c>
      <c r="C79" s="48">
        <f>IF(-405.0443="","-",-405.0443)</f>
        <v>-405.0443</v>
      </c>
      <c r="D79" s="48">
        <f>IF(OR(-640.96867="",-405.0443="",-640.96867=0),"-",-405.0443/-640.96867*100)</f>
        <v>63.19252702320068</v>
      </c>
    </row>
    <row r="80" spans="1:4" ht="15.75">
      <c r="A80" s="30" t="s">
        <v>107</v>
      </c>
      <c r="B80" s="48">
        <f>IF(-344.52964="","-",-344.52964)</f>
        <v>-344.52964</v>
      </c>
      <c r="C80" s="48">
        <f>IF(-403.98357="","-",-403.98357)</f>
        <v>-403.98357</v>
      </c>
      <c r="D80" s="48">
        <f>IF(OR(-344.52964="",-403.98357="",-344.52964=0),"-",-403.98357/-344.52964*100)</f>
        <v>117.25655011859067</v>
      </c>
    </row>
    <row r="81" spans="1:4" ht="15.75">
      <c r="A81" s="30" t="s">
        <v>106</v>
      </c>
      <c r="B81" s="48">
        <f>IF(-326.30617="","-",-326.30617)</f>
        <v>-326.30617</v>
      </c>
      <c r="C81" s="48">
        <f>IF(-340.19159="","-",-340.19159)</f>
        <v>-340.19159</v>
      </c>
      <c r="D81" s="48">
        <f>IF(OR(-326.30617="",-340.19159="",-326.30617=0),"-",-340.19159/-326.30617*100)</f>
        <v>104.2553347979905</v>
      </c>
    </row>
    <row r="82" spans="1:4" ht="15.75">
      <c r="A82" s="30" t="s">
        <v>102</v>
      </c>
      <c r="B82" s="48">
        <f>IF(-161.50029="","-",-161.50029)</f>
        <v>-161.50029</v>
      </c>
      <c r="C82" s="48">
        <f>IF(-335.60206="","-",-335.60206)</f>
        <v>-335.60206</v>
      </c>
      <c r="D82" s="48" t="s">
        <v>104</v>
      </c>
    </row>
    <row r="83" spans="1:4" ht="15.75">
      <c r="A83" s="30" t="s">
        <v>160</v>
      </c>
      <c r="B83" s="48">
        <f>IF(-358.77035="","-",-358.77035)</f>
        <v>-358.77035</v>
      </c>
      <c r="C83" s="48">
        <f>IF(-327.2732="","-",-327.2732)</f>
        <v>-327.2732</v>
      </c>
      <c r="D83" s="48">
        <f>IF(OR(-358.77035="",-327.2732="",-358.77035=0),"-",-327.2732/-358.77035*100)</f>
        <v>91.22080461777288</v>
      </c>
    </row>
    <row r="84" spans="1:4" ht="15.75">
      <c r="A84" s="30" t="s">
        <v>199</v>
      </c>
      <c r="B84" s="48">
        <f>IF(53.35667="","-",53.35667)</f>
        <v>53.35667</v>
      </c>
      <c r="C84" s="48">
        <f>IF(-263.67519="","-",-263.67519)</f>
        <v>-263.67519</v>
      </c>
      <c r="D84" s="48" t="s">
        <v>22</v>
      </c>
    </row>
    <row r="85" spans="1:4" ht="15.75">
      <c r="A85" s="30" t="s">
        <v>101</v>
      </c>
      <c r="B85" s="48">
        <f>IF(-628.26736="","-",-628.26736)</f>
        <v>-628.26736</v>
      </c>
      <c r="C85" s="48">
        <f>IF(-261.40139="","-",-261.40139)</f>
        <v>-261.40139</v>
      </c>
      <c r="D85" s="48">
        <f>IF(OR(-628.26736="",-261.40139="",-628.26736=0),"-",-261.40139/-628.26736*100)</f>
        <v>41.60671183045383</v>
      </c>
    </row>
    <row r="86" spans="1:4" ht="15.75">
      <c r="A86" s="30" t="s">
        <v>83</v>
      </c>
      <c r="B86" s="48">
        <f>IF(5748.02334="","-",5748.02334)</f>
        <v>5748.02334</v>
      </c>
      <c r="C86" s="48">
        <f>IF(-229.09924="","-",-229.09924)</f>
        <v>-229.09924</v>
      </c>
      <c r="D86" s="48" t="s">
        <v>22</v>
      </c>
    </row>
    <row r="87" spans="1:4" ht="15.75">
      <c r="A87" s="30" t="s">
        <v>103</v>
      </c>
      <c r="B87" s="48">
        <f>IF(-188.07154="","-",-188.07154)</f>
        <v>-188.07154</v>
      </c>
      <c r="C87" s="48">
        <f>IF(-210.58651="","-",-210.58651)</f>
        <v>-210.58651</v>
      </c>
      <c r="D87" s="48">
        <f>IF(OR(-188.07154="",-210.58651="",-188.07154=0),"-",-210.58651/-188.07154*100)</f>
        <v>111.97149233743713</v>
      </c>
    </row>
    <row r="88" spans="1:4" ht="15.75">
      <c r="A88" s="30" t="s">
        <v>99</v>
      </c>
      <c r="B88" s="48">
        <f>IF(-434.35103="","-",-434.35103)</f>
        <v>-434.35103</v>
      </c>
      <c r="C88" s="48">
        <f>IF(-204.81655="","-",-204.81655)</f>
        <v>-204.81655</v>
      </c>
      <c r="D88" s="48">
        <f>IF(OR(-434.35103="",-204.81655="",-434.35103=0),"-",-204.81655/-434.35103*100)</f>
        <v>47.15461363128344</v>
      </c>
    </row>
    <row r="89" spans="1:4" ht="15.75">
      <c r="A89" s="30" t="s">
        <v>190</v>
      </c>
      <c r="B89" s="48">
        <f>IF(-186.67309="","-",-186.67309)</f>
        <v>-186.67309</v>
      </c>
      <c r="C89" s="48">
        <f>IF(-197.79015="","-",-197.79015)</f>
        <v>-197.79015</v>
      </c>
      <c r="D89" s="48">
        <f>IF(OR(-186.67309="",-197.79015="",-186.67309=0),"-",-197.79015/-186.67309*100)</f>
        <v>105.95536292885066</v>
      </c>
    </row>
    <row r="90" spans="1:4" ht="15.75">
      <c r="A90" s="30" t="s">
        <v>47</v>
      </c>
      <c r="B90" s="48">
        <f>IF(-1496.91998="","-",-1496.91998)</f>
        <v>-1496.91998</v>
      </c>
      <c r="C90" s="48">
        <f>IF(-149.99276="","-",-149.99276)</f>
        <v>-149.99276</v>
      </c>
      <c r="D90" s="48">
        <f>IF(OR(-1496.91998="",-149.99276="",-1496.91998=0),"-",-149.99276/-1496.91998*100)</f>
        <v>10.020092055956125</v>
      </c>
    </row>
    <row r="91" spans="1:4" ht="15.75">
      <c r="A91" s="30" t="s">
        <v>180</v>
      </c>
      <c r="B91" s="48">
        <f>IF(-80.6021="","-",-80.6021)</f>
        <v>-80.6021</v>
      </c>
      <c r="C91" s="48">
        <f>IF(-119.80262="","-",-119.80262)</f>
        <v>-119.80262</v>
      </c>
      <c r="D91" s="48">
        <f>IF(OR(-80.6021="",-119.80262="",-80.6021=0),"-",-119.80262/-80.6021*100)</f>
        <v>148.63461373835173</v>
      </c>
    </row>
    <row r="92" spans="1:4" ht="15.75">
      <c r="A92" s="30" t="s">
        <v>161</v>
      </c>
      <c r="B92" s="48">
        <f>IF(-16.96287="","-",-16.96287)</f>
        <v>-16.96287</v>
      </c>
      <c r="C92" s="48">
        <f>IF(-119.24538="","-",-119.24538)</f>
        <v>-119.24538</v>
      </c>
      <c r="D92" s="48" t="s">
        <v>204</v>
      </c>
    </row>
    <row r="93" spans="1:4" ht="15.75">
      <c r="A93" s="30" t="s">
        <v>113</v>
      </c>
      <c r="B93" s="48">
        <f>IF(-218.27965="","-",-218.27965)</f>
        <v>-218.27965</v>
      </c>
      <c r="C93" s="48">
        <f>IF(-98.37831="","-",-98.37831)</f>
        <v>-98.37831</v>
      </c>
      <c r="D93" s="48">
        <f>IF(OR(-218.27965="",-98.37831="",-218.27965=0),"-",-98.37831/-218.27965*100)</f>
        <v>45.06984961722267</v>
      </c>
    </row>
    <row r="94" spans="1:4" ht="15.75">
      <c r="A94" s="30" t="s">
        <v>162</v>
      </c>
      <c r="B94" s="48">
        <f>IF(421.64282="","-",421.64282)</f>
        <v>421.64282</v>
      </c>
      <c r="C94" s="48">
        <f>IF(-98.09369="","-",-98.09369)</f>
        <v>-98.09369</v>
      </c>
      <c r="D94" s="48" t="s">
        <v>22</v>
      </c>
    </row>
    <row r="95" spans="1:4" ht="15.75">
      <c r="A95" s="30" t="s">
        <v>174</v>
      </c>
      <c r="B95" s="48">
        <f>IF(102.60006="","-",102.60006)</f>
        <v>102.60006</v>
      </c>
      <c r="C95" s="48">
        <f>IF(63.4274="","-",63.4274)</f>
        <v>63.4274</v>
      </c>
      <c r="D95" s="48">
        <f>IF(OR(102.60006="",63.4274="",102.60006=0),"-",63.4274/102.60006*100)</f>
        <v>61.820041820638316</v>
      </c>
    </row>
    <row r="96" spans="1:7" ht="15.75">
      <c r="A96" s="30" t="s">
        <v>157</v>
      </c>
      <c r="B96" s="48">
        <f>IF(36.19792="","-",36.19792)</f>
        <v>36.19792</v>
      </c>
      <c r="C96" s="48">
        <f>IF(66.1902="","-",66.1902)</f>
        <v>66.1902</v>
      </c>
      <c r="D96" s="48" t="s">
        <v>114</v>
      </c>
      <c r="E96" s="14"/>
      <c r="F96" s="14"/>
      <c r="G96" s="14"/>
    </row>
    <row r="97" spans="1:7" ht="15.75">
      <c r="A97" s="30" t="s">
        <v>201</v>
      </c>
      <c r="B97" s="48">
        <f>IF(48.96218="","-",48.96218)</f>
        <v>48.96218</v>
      </c>
      <c r="C97" s="48">
        <f>IF(70.1905="","-",70.1905)</f>
        <v>70.1905</v>
      </c>
      <c r="D97" s="48">
        <f>IF(OR(48.96218="",70.1905="",48.96218=0),"-",70.1905/48.96218*100)</f>
        <v>143.35656623132388</v>
      </c>
      <c r="E97" s="14"/>
      <c r="F97" s="14"/>
      <c r="G97" s="14"/>
    </row>
    <row r="98" spans="1:4" ht="15.75">
      <c r="A98" s="30" t="s">
        <v>200</v>
      </c>
      <c r="B98" s="48">
        <f>IF(164.043="","-",164.043)</f>
        <v>164.043</v>
      </c>
      <c r="C98" s="48">
        <f>IF(82.78842="","-",82.78842)</f>
        <v>82.78842</v>
      </c>
      <c r="D98" s="48">
        <f>IF(OR(164.043="",82.78842="",164.043=0),"-",82.78842/164.043*100)</f>
        <v>50.46751156708912</v>
      </c>
    </row>
    <row r="99" spans="1:4" ht="15.75">
      <c r="A99" s="30" t="s">
        <v>165</v>
      </c>
      <c r="B99" s="48">
        <f>IF(7.147="","-",7.147)</f>
        <v>7.147</v>
      </c>
      <c r="C99" s="48">
        <f>IF(83.7158="","-",83.7158)</f>
        <v>83.7158</v>
      </c>
      <c r="D99" s="48" t="s">
        <v>291</v>
      </c>
    </row>
    <row r="100" spans="1:7" ht="15.75">
      <c r="A100" s="30" t="s">
        <v>111</v>
      </c>
      <c r="B100" s="48">
        <f>IF(-399.79691="","-",-399.79691)</f>
        <v>-399.79691</v>
      </c>
      <c r="C100" s="48">
        <f>IF(85.36562="","-",85.36562)</f>
        <v>85.36562</v>
      </c>
      <c r="D100" s="48" t="s">
        <v>22</v>
      </c>
      <c r="E100" s="13"/>
      <c r="F100" s="13"/>
      <c r="G100" s="13"/>
    </row>
    <row r="101" spans="1:4" ht="15.75">
      <c r="A101" s="30" t="s">
        <v>119</v>
      </c>
      <c r="B101" s="48">
        <f>IF(102.5177="","-",102.5177)</f>
        <v>102.5177</v>
      </c>
      <c r="C101" s="48">
        <f>IF(112.43123="","-",112.43123)</f>
        <v>112.43123</v>
      </c>
      <c r="D101" s="48">
        <f>IF(OR(102.5177="",112.43123="",102.5177=0),"-",112.43123/102.5177*100)</f>
        <v>109.67006672994029</v>
      </c>
    </row>
    <row r="102" spans="1:7" ht="15.75">
      <c r="A102" s="30" t="s">
        <v>112</v>
      </c>
      <c r="B102" s="48">
        <f>IF(-384.88871="","-",-384.88871)</f>
        <v>-384.88871</v>
      </c>
      <c r="C102" s="48">
        <f>IF(135.6623="","-",135.6623)</f>
        <v>135.6623</v>
      </c>
      <c r="D102" s="48" t="s">
        <v>22</v>
      </c>
      <c r="E102" s="13"/>
      <c r="F102" s="13"/>
      <c r="G102" s="13"/>
    </row>
    <row r="103" spans="1:7" ht="15.75">
      <c r="A103" s="30" t="s">
        <v>166</v>
      </c>
      <c r="B103" s="48">
        <f>IF(161.90014="","-",161.90014)</f>
        <v>161.90014</v>
      </c>
      <c r="C103" s="48">
        <f>IF(176.73205="","-",176.73205)</f>
        <v>176.73205</v>
      </c>
      <c r="D103" s="48">
        <f>IF(OR(161.90014="",176.73205="",161.90014=0),"-",176.73205/161.90014*100)</f>
        <v>109.1611471120408</v>
      </c>
      <c r="E103" s="1"/>
      <c r="F103" s="1"/>
      <c r="G103" s="1"/>
    </row>
    <row r="104" spans="1:4" ht="15.75">
      <c r="A104" s="30" t="s">
        <v>154</v>
      </c>
      <c r="B104" s="48">
        <f>IF(19.15="","-",19.15)</f>
        <v>19.15</v>
      </c>
      <c r="C104" s="48">
        <f>IF(182.76995="","-",182.76995)</f>
        <v>182.76995</v>
      </c>
      <c r="D104" s="48" t="s">
        <v>191</v>
      </c>
    </row>
    <row r="105" spans="1:4" ht="15.75">
      <c r="A105" s="30" t="s">
        <v>155</v>
      </c>
      <c r="B105" s="48" t="str">
        <f>IF(OR(0="",221.24821="",0=0),"-",221.24821/0*100)</f>
        <v>-</v>
      </c>
      <c r="C105" s="48">
        <f>IF(221.24821="","-",221.24821)</f>
        <v>221.24821</v>
      </c>
      <c r="D105" s="48" t="str">
        <f>IF(OR(0="",221.24821="",0=0),"-",221.24821/0*100)</f>
        <v>-</v>
      </c>
    </row>
    <row r="106" spans="1:4" ht="15.75">
      <c r="A106" s="30" t="s">
        <v>105</v>
      </c>
      <c r="B106" s="48">
        <f>IF(255.87693="","-",255.87693)</f>
        <v>255.87693</v>
      </c>
      <c r="C106" s="48">
        <f>IF(248.77491="","-",248.77491)</f>
        <v>248.77491</v>
      </c>
      <c r="D106" s="48">
        <f>IF(OR(255.87693="",248.77491="",255.87693=0),"-",248.77491/255.87693*100)</f>
        <v>97.22443910828538</v>
      </c>
    </row>
    <row r="107" spans="1:7" ht="15.75">
      <c r="A107" s="30" t="s">
        <v>100</v>
      </c>
      <c r="B107" s="48">
        <f>IF(-549.85375="","-",-549.85375)</f>
        <v>-549.85375</v>
      </c>
      <c r="C107" s="48">
        <f>IF(263.48755="","-",263.48755)</f>
        <v>263.48755</v>
      </c>
      <c r="D107" s="48" t="s">
        <v>22</v>
      </c>
      <c r="E107" s="14"/>
      <c r="F107" s="14"/>
      <c r="G107" s="14"/>
    </row>
    <row r="108" spans="1:7" ht="15.75">
      <c r="A108" s="30" t="s">
        <v>156</v>
      </c>
      <c r="B108" s="48">
        <f>IF(-0.08379="","-",-0.08379)</f>
        <v>-0.08379</v>
      </c>
      <c r="C108" s="48">
        <f>IF(270.25243="","-",270.25243)</f>
        <v>270.25243</v>
      </c>
      <c r="D108" s="48" t="s">
        <v>22</v>
      </c>
      <c r="E108" s="10"/>
      <c r="F108" s="10"/>
      <c r="G108" s="10"/>
    </row>
    <row r="109" spans="1:4" ht="15.75">
      <c r="A109" s="30" t="s">
        <v>85</v>
      </c>
      <c r="B109" s="48">
        <f>IF(519.06598="","-",519.06598)</f>
        <v>519.06598</v>
      </c>
      <c r="C109" s="48">
        <f>IF(449.74149="","-",449.74149)</f>
        <v>449.74149</v>
      </c>
      <c r="D109" s="48">
        <f>IF(OR(519.06598="",449.74149="",519.06598=0),"-",449.74149/519.06598*100)</f>
        <v>86.64437804226739</v>
      </c>
    </row>
    <row r="110" spans="1:7" ht="15.75">
      <c r="A110" s="30" t="s">
        <v>45</v>
      </c>
      <c r="B110" s="48">
        <f>IF(1517.47908="","-",1517.47908)</f>
        <v>1517.47908</v>
      </c>
      <c r="C110" s="48">
        <f>IF(503.05635="","-",503.05635)</f>
        <v>503.05635</v>
      </c>
      <c r="D110" s="48">
        <f>IF(OR(1517.47908="",503.05635="",1517.47908=0),"-",503.05635/1517.47908*100)</f>
        <v>33.15079309034033</v>
      </c>
      <c r="E110" s="14"/>
      <c r="F110" s="14"/>
      <c r="G110" s="14"/>
    </row>
    <row r="111" spans="1:4" ht="15.75">
      <c r="A111" s="30" t="s">
        <v>122</v>
      </c>
      <c r="B111" s="48">
        <f>IF(420.24704="","-",420.24704)</f>
        <v>420.24704</v>
      </c>
      <c r="C111" s="48">
        <f>IF(526.87127="","-",526.87127)</f>
        <v>526.87127</v>
      </c>
      <c r="D111" s="48">
        <f>IF(OR(420.24704="",526.87127="",420.24704=0),"-",526.87127/420.24704*100)</f>
        <v>125.37179797863655</v>
      </c>
    </row>
    <row r="112" spans="1:4" ht="15.75">
      <c r="A112" s="30" t="s">
        <v>72</v>
      </c>
      <c r="B112" s="48">
        <f>IF(867.57535="","-",867.57535)</f>
        <v>867.57535</v>
      </c>
      <c r="C112" s="48">
        <f>IF(532.74187="","-",532.74187)</f>
        <v>532.74187</v>
      </c>
      <c r="D112" s="48">
        <f>IF(OR(867.57535="",532.74187="",867.57535=0),"-",532.74187/867.57535*100)</f>
        <v>61.40583293428058</v>
      </c>
    </row>
    <row r="113" spans="1:7" ht="15.75">
      <c r="A113" s="30" t="s">
        <v>198</v>
      </c>
      <c r="B113" s="48">
        <f>IF(69.77432="","-",69.77432)</f>
        <v>69.77432</v>
      </c>
      <c r="C113" s="48">
        <f>IF(719.23037="","-",719.23037)</f>
        <v>719.23037</v>
      </c>
      <c r="D113" s="48" t="s">
        <v>206</v>
      </c>
      <c r="E113" s="14"/>
      <c r="F113" s="14"/>
      <c r="G113" s="14"/>
    </row>
    <row r="114" spans="1:4" ht="15.75">
      <c r="A114" s="30" t="s">
        <v>153</v>
      </c>
      <c r="B114" s="48">
        <f>IF(33.00214="","-",33.00214)</f>
        <v>33.00214</v>
      </c>
      <c r="C114" s="48">
        <f>IF(2432.16442="","-",2432.16442)</f>
        <v>2432.16442</v>
      </c>
      <c r="D114" s="48" t="s">
        <v>178</v>
      </c>
    </row>
    <row r="115" spans="1:4" ht="15.75">
      <c r="A115" s="30" t="s">
        <v>76</v>
      </c>
      <c r="B115" s="48">
        <f>IF(-845.00737="","-",-845.00737)</f>
        <v>-845.00737</v>
      </c>
      <c r="C115" s="48">
        <f>IF(2559.76417="","-",2559.76417)</f>
        <v>2559.76417</v>
      </c>
      <c r="D115" s="48" t="s">
        <v>22</v>
      </c>
    </row>
    <row r="116" spans="1:4" ht="15.75">
      <c r="A116" s="30" t="s">
        <v>68</v>
      </c>
      <c r="B116" s="48">
        <f>IF(3980.92468="","-",3980.92468)</f>
        <v>3980.92468</v>
      </c>
      <c r="C116" s="48">
        <f>IF(2598.62805="","-",2598.62805)</f>
        <v>2598.62805</v>
      </c>
      <c r="D116" s="48">
        <f>IF(OR(3980.92468="",2598.62805="",3980.92468=0),"-",2598.62805/3980.92468*100)</f>
        <v>65.27699614753826</v>
      </c>
    </row>
    <row r="117" spans="1:4" ht="15.75">
      <c r="A117" s="30" t="s">
        <v>73</v>
      </c>
      <c r="B117" s="48">
        <f>IF(347.33104="","-",347.33104)</f>
        <v>347.33104</v>
      </c>
      <c r="C117" s="48">
        <f>IF(3457.46075="","-",3457.46075)</f>
        <v>3457.46075</v>
      </c>
      <c r="D117" s="48" t="s">
        <v>292</v>
      </c>
    </row>
    <row r="118" spans="1:4" ht="15.75">
      <c r="A118" s="30" t="s">
        <v>65</v>
      </c>
      <c r="B118" s="48">
        <f>IF(4693.19137="","-",4693.19137)</f>
        <v>4693.19137</v>
      </c>
      <c r="C118" s="48">
        <f>IF(4363.4312="","-",4363.4312)</f>
        <v>4363.4312</v>
      </c>
      <c r="D118" s="48">
        <f>IF(OR(4693.19137="",4363.4312="",4693.19137=0),"-",4363.4312/4693.19137*100)</f>
        <v>92.97364748201181</v>
      </c>
    </row>
    <row r="119" spans="1:4" ht="15.75">
      <c r="A119" s="30" t="s">
        <v>152</v>
      </c>
      <c r="B119" s="48">
        <f>IF(629.58818="","-",629.58818)</f>
        <v>629.58818</v>
      </c>
      <c r="C119" s="48">
        <f>IF(4601.1498="","-",4601.1498)</f>
        <v>4601.1498</v>
      </c>
      <c r="D119" s="48" t="s">
        <v>293</v>
      </c>
    </row>
    <row r="120" spans="1:4" ht="15.75">
      <c r="A120" s="50" t="s">
        <v>66</v>
      </c>
      <c r="B120" s="51">
        <f>IF(6177.52041="","-",6177.52041)</f>
        <v>6177.52041</v>
      </c>
      <c r="C120" s="51">
        <f>IF(4665.70106="","-",4665.70106)</f>
        <v>4665.70106</v>
      </c>
      <c r="D120" s="51">
        <f>IF(OR(6177.52041="",4665.70106="",6177.52041=0),"-",4665.70106/6177.52041*100)</f>
        <v>75.52708449894058</v>
      </c>
    </row>
    <row r="121" spans="1:4" ht="15.75">
      <c r="A121" s="31" t="s">
        <v>192</v>
      </c>
      <c r="B121" s="49">
        <f>IF(15571.24853="","-",15571.24853)</f>
        <v>15571.24853</v>
      </c>
      <c r="C121" s="49">
        <f>IF(17712.72592="","-",17712.72592)</f>
        <v>17712.72592</v>
      </c>
      <c r="D121" s="49">
        <f>IF(OR(15571.24853="",17712.72592="",15571.24853=0),"-",17712.72592/15571.24853*100)</f>
        <v>113.75276610526232</v>
      </c>
    </row>
    <row r="122" ht="15.75">
      <c r="A122" s="32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32.625" style="0" customWidth="1"/>
    <col min="2" max="2" width="13.00390625" style="0" customWidth="1"/>
    <col min="3" max="3" width="15.00390625" style="0" customWidth="1"/>
    <col min="4" max="5" width="10.50390625" style="0" customWidth="1"/>
  </cols>
  <sheetData>
    <row r="1" spans="1:5" ht="15.75">
      <c r="A1" s="58" t="s">
        <v>140</v>
      </c>
      <c r="B1" s="58"/>
      <c r="C1" s="58"/>
      <c r="D1" s="58"/>
      <c r="E1" s="58"/>
    </row>
    <row r="2" spans="1:5" ht="15.75">
      <c r="A2" s="9"/>
      <c r="B2" s="9"/>
      <c r="C2" s="9"/>
      <c r="D2" s="9"/>
      <c r="E2" s="9"/>
    </row>
    <row r="3" spans="1:6" ht="15.75">
      <c r="A3" s="59"/>
      <c r="B3" s="62" t="s">
        <v>195</v>
      </c>
      <c r="C3" s="63"/>
      <c r="D3" s="62" t="s">
        <v>121</v>
      </c>
      <c r="E3" s="78"/>
      <c r="F3" s="1"/>
    </row>
    <row r="4" spans="1:6" ht="18" customHeight="1">
      <c r="A4" s="60"/>
      <c r="B4" s="66" t="s">
        <v>149</v>
      </c>
      <c r="C4" s="68" t="s">
        <v>193</v>
      </c>
      <c r="D4" s="70" t="s">
        <v>194</v>
      </c>
      <c r="E4" s="62"/>
      <c r="F4" s="1"/>
    </row>
    <row r="5" spans="1:6" ht="18" customHeight="1">
      <c r="A5" s="61"/>
      <c r="B5" s="67"/>
      <c r="C5" s="69"/>
      <c r="D5" s="25">
        <v>2018</v>
      </c>
      <c r="E5" s="24">
        <v>2019</v>
      </c>
      <c r="F5" s="1"/>
    </row>
    <row r="6" spans="1:5" ht="15.75" customHeight="1">
      <c r="A6" s="33" t="s">
        <v>172</v>
      </c>
      <c r="B6" s="52">
        <f>IF(948747.24899="","-",948747.24899)</f>
        <v>948747.24899</v>
      </c>
      <c r="C6" s="46">
        <f>IF(877651.01761="","-",948747.24899/877651.01761*100)</f>
        <v>108.10074049405283</v>
      </c>
      <c r="D6" s="52">
        <v>100</v>
      </c>
      <c r="E6" s="52">
        <v>100</v>
      </c>
    </row>
    <row r="7" spans="1:5" ht="15.75" customHeight="1">
      <c r="A7" s="34" t="s">
        <v>167</v>
      </c>
      <c r="B7" s="42"/>
      <c r="C7" s="43"/>
      <c r="D7" s="42"/>
      <c r="E7" s="42"/>
    </row>
    <row r="8" spans="1:5" ht="15.75">
      <c r="A8" s="35" t="s">
        <v>129</v>
      </c>
      <c r="B8" s="48">
        <f>IF(71572.53401="","-",71572.53401)</f>
        <v>71572.53401</v>
      </c>
      <c r="C8" s="53">
        <v>105.81</v>
      </c>
      <c r="D8" s="48">
        <f>IF(67640.56067="","-",67640.56067/877651.01761*100)</f>
        <v>7.706999628872681</v>
      </c>
      <c r="E8" s="48">
        <f>IF(71572.53401="","-",71572.53401/948747.24899*100)</f>
        <v>7.543898976908063</v>
      </c>
    </row>
    <row r="9" spans="1:5" ht="15.75">
      <c r="A9" s="35" t="s">
        <v>130</v>
      </c>
      <c r="B9" s="48">
        <f>IF(48695.42107="","-",48695.42107)</f>
        <v>48695.42107</v>
      </c>
      <c r="C9" s="53" t="s">
        <v>116</v>
      </c>
      <c r="D9" s="48">
        <f>IF(30132.69765="","-",30132.69765/877651.01761*100)</f>
        <v>3.433334781751487</v>
      </c>
      <c r="E9" s="48">
        <f>IF(48695.42107="","-",48695.42107/948747.24899*100)</f>
        <v>5.132602083625462</v>
      </c>
    </row>
    <row r="10" spans="1:5" ht="15.75">
      <c r="A10" s="35" t="s">
        <v>131</v>
      </c>
      <c r="B10" s="48">
        <f>IF(813112.32685="","-",813112.32685)</f>
        <v>813112.32685</v>
      </c>
      <c r="C10" s="53">
        <v>106.34</v>
      </c>
      <c r="D10" s="48">
        <f>IF(764605.53015="","-",764605.53015/877651.01761*100)</f>
        <v>87.11954009147702</v>
      </c>
      <c r="E10" s="48">
        <f>IF(813112.32685="","-",813112.32685/948747.24899*100)</f>
        <v>85.70378756993586</v>
      </c>
    </row>
    <row r="11" spans="1:5" ht="15.75">
      <c r="A11" s="35" t="s">
        <v>132</v>
      </c>
      <c r="B11" s="48">
        <f>IF(14636.63857="","-",14636.63857)</f>
        <v>14636.63857</v>
      </c>
      <c r="C11" s="53">
        <v>98.93</v>
      </c>
      <c r="D11" s="48">
        <f>IF(14794.95679="","-",14794.95679/877651.01761*100)</f>
        <v>1.6857448454044184</v>
      </c>
      <c r="E11" s="48">
        <f>IF(14636.63857="","-",14636.63857/948747.24899*100)</f>
        <v>1.5427331763629992</v>
      </c>
    </row>
    <row r="12" spans="1:5" ht="15.75">
      <c r="A12" s="35" t="s">
        <v>134</v>
      </c>
      <c r="B12" s="48">
        <f>IF(581.28277="","-",581.28277)</f>
        <v>581.28277</v>
      </c>
      <c r="C12" s="53">
        <v>123.14</v>
      </c>
      <c r="D12" s="48">
        <f>IF(472.03955="","-",472.03955/877651.01761*100)</f>
        <v>0.053784424620784664</v>
      </c>
      <c r="E12" s="48">
        <f>IF(581.28277="","-",581.28277/948747.24899*100)</f>
        <v>0.06126845380777771</v>
      </c>
    </row>
    <row r="13" spans="1:5" ht="15.75">
      <c r="A13" s="35" t="s">
        <v>135</v>
      </c>
      <c r="B13" s="48">
        <f>IF(2.43609="","-",2.43609)</f>
        <v>2.43609</v>
      </c>
      <c r="C13" s="53">
        <v>89.71</v>
      </c>
      <c r="D13" s="48">
        <f>IF(2.71872="","-",2.71872/877651.01761*100)</f>
        <v>0.0003097723292571982</v>
      </c>
      <c r="E13" s="48">
        <f>IF(2.43609="","-",2.43609/948747.24899*100)</f>
        <v>0.0002567691239783165</v>
      </c>
    </row>
    <row r="14" spans="1:5" ht="15.75">
      <c r="A14" s="35" t="s">
        <v>136</v>
      </c>
      <c r="B14" s="48">
        <f>IF(146.60963="","-",146.60963)</f>
        <v>146.60963</v>
      </c>
      <c r="C14" s="53" t="s">
        <v>284</v>
      </c>
      <c r="D14" s="48">
        <f>IF(2.51408="","-",2.51408/877651.01761*100)</f>
        <v>0.0002864555443513628</v>
      </c>
      <c r="E14" s="48">
        <f>IF(146.60963="","-",146.60963/948747.24899*100)</f>
        <v>0.015452970235863662</v>
      </c>
    </row>
    <row r="15" spans="1:5" ht="15.75">
      <c r="A15" s="29" t="s">
        <v>169</v>
      </c>
      <c r="B15" s="47">
        <f>IF(602244.28662="","-",602244.28662)</f>
        <v>602244.28662</v>
      </c>
      <c r="C15" s="47">
        <f>IF(594677.77735="","-",602244.28662/594677.77735*100)</f>
        <v>101.27237128377622</v>
      </c>
      <c r="D15" s="47">
        <f>IF(594677.77735="","-",594677.77735/877651.01761*100)</f>
        <v>67.75788615495638</v>
      </c>
      <c r="E15" s="47">
        <f>IF(602244.28662="","-",602244.28662/948747.24899*100)</f>
        <v>63.477842730097635</v>
      </c>
    </row>
    <row r="16" spans="1:5" ht="16.5">
      <c r="A16" s="34" t="s">
        <v>167</v>
      </c>
      <c r="B16" s="42"/>
      <c r="C16" s="44"/>
      <c r="D16" s="42"/>
      <c r="E16" s="56"/>
    </row>
    <row r="17" spans="1:11" ht="15.75">
      <c r="A17" s="35" t="s">
        <v>129</v>
      </c>
      <c r="B17" s="48">
        <f>IF(28758.27501="","-",28758.27501)</f>
        <v>28758.27501</v>
      </c>
      <c r="C17" s="53">
        <v>64.41</v>
      </c>
      <c r="D17" s="48">
        <f>IF(44649.30694="","-",44649.30694/877651.01761*100)</f>
        <v>5.087364572491241</v>
      </c>
      <c r="E17" s="48">
        <f>IF(28758.27501="","-",28758.27501/948747.24899*100)</f>
        <v>3.031184020888067</v>
      </c>
      <c r="K17" s="27"/>
    </row>
    <row r="18" spans="1:5" ht="15.75">
      <c r="A18" s="35" t="s">
        <v>130</v>
      </c>
      <c r="B18" s="48">
        <f>IF(12445.69148="","-",12445.69148)</f>
        <v>12445.69148</v>
      </c>
      <c r="C18" s="53">
        <v>113.04</v>
      </c>
      <c r="D18" s="48">
        <f>IF(11010.03244="","-",11010.03244/877651.01761*100)</f>
        <v>1.2544886542696982</v>
      </c>
      <c r="E18" s="48">
        <f>IF(12445.69148="","-",12445.69148/948747.24899*100)</f>
        <v>1.3118026421946631</v>
      </c>
    </row>
    <row r="19" spans="1:5" ht="15.75">
      <c r="A19" s="35" t="s">
        <v>131</v>
      </c>
      <c r="B19" s="48">
        <f>IF(559073.13512="","-",559073.13512)</f>
        <v>559073.13512</v>
      </c>
      <c r="C19" s="53">
        <v>104.44</v>
      </c>
      <c r="D19" s="48">
        <f>IF(535325.20679="","-",535325.20679/877651.01761*100)</f>
        <v>60.995224303138826</v>
      </c>
      <c r="E19" s="48">
        <f>IF(559073.13512="","-",559073.13512/948747.24899*100)</f>
        <v>58.92751053720239</v>
      </c>
    </row>
    <row r="20" spans="1:5" ht="15.75">
      <c r="A20" s="35" t="s">
        <v>132</v>
      </c>
      <c r="B20" s="48">
        <f>IF(1744.19411="","-",1744.19411)</f>
        <v>1744.19411</v>
      </c>
      <c r="C20" s="53">
        <v>50.66</v>
      </c>
      <c r="D20" s="48">
        <f>IF(3442.60936="","-",3442.60936/877651.01761*100)</f>
        <v>0.3922526483675526</v>
      </c>
      <c r="E20" s="48">
        <f>IF(1744.19411="","-",1744.19411/948747.24899*100)</f>
        <v>0.18384180948685777</v>
      </c>
    </row>
    <row r="21" spans="1:5" ht="15.75">
      <c r="A21" s="35" t="s">
        <v>134</v>
      </c>
      <c r="B21" s="48">
        <f>IF(189.06574="","-",189.06574)</f>
        <v>189.06574</v>
      </c>
      <c r="C21" s="54">
        <v>75.45</v>
      </c>
      <c r="D21" s="48">
        <f>IF(250.57523="","-",250.57523/877651.01761*100)</f>
        <v>0.02855066820093948</v>
      </c>
      <c r="E21" s="48">
        <f>IF(189.06574="","-",189.06574/948747.24899*100)</f>
        <v>0.019927935517206733</v>
      </c>
    </row>
    <row r="22" spans="1:5" ht="15.75">
      <c r="A22" s="35" t="s">
        <v>136</v>
      </c>
      <c r="B22" s="48">
        <f>IF(33.92516="","-",33.92516)</f>
        <v>33.92516</v>
      </c>
      <c r="C22" s="54" t="s">
        <v>285</v>
      </c>
      <c r="D22" s="48">
        <f>IF(0.04659="","-",0.04659/877651.01761*100)</f>
        <v>5.308488119443291E-06</v>
      </c>
      <c r="E22" s="48">
        <f>IF(33.92516="","-",33.92516/948747.24899*100)</f>
        <v>0.003575784808452981</v>
      </c>
    </row>
    <row r="23" spans="1:5" ht="15.75">
      <c r="A23" s="29" t="s">
        <v>170</v>
      </c>
      <c r="B23" s="47">
        <f>IF(139044.97701="","-",139044.97701)</f>
        <v>139044.97701</v>
      </c>
      <c r="C23" s="47">
        <f>IF(142764.8402="","-",139044.97701/142764.8402*100)</f>
        <v>97.39441224828968</v>
      </c>
      <c r="D23" s="47">
        <f>IF(142764.8402="","-",142764.8402/877651.01761*100)</f>
        <v>16.26669796256536</v>
      </c>
      <c r="E23" s="47">
        <f>IF(139044.97701="","-",139044.97701/948747.24899*100)</f>
        <v>14.655639545518785</v>
      </c>
    </row>
    <row r="24" spans="1:5" ht="15.75">
      <c r="A24" s="35" t="s">
        <v>167</v>
      </c>
      <c r="B24" s="42"/>
      <c r="C24" s="44"/>
      <c r="D24" s="42"/>
      <c r="E24" s="44"/>
    </row>
    <row r="25" spans="1:5" ht="15.75">
      <c r="A25" s="35" t="s">
        <v>129</v>
      </c>
      <c r="B25" s="48">
        <f>IF(2171.14401="","-",2171.14401)</f>
        <v>2171.14401</v>
      </c>
      <c r="C25" s="53" t="s">
        <v>215</v>
      </c>
      <c r="D25" s="48">
        <f>IF(958.3343="","-",958.3343/877651.01761*100)</f>
        <v>0.10919309392584252</v>
      </c>
      <c r="E25" s="48">
        <f>IF(2171.14401="","-",2171.14401/948747.24899*100)</f>
        <v>0.22884324695658584</v>
      </c>
    </row>
    <row r="26" spans="1:7" ht="15.75">
      <c r="A26" s="35" t="s">
        <v>130</v>
      </c>
      <c r="B26" s="48">
        <f>IF(6156.49024="","-",6156.49024)</f>
        <v>6156.49024</v>
      </c>
      <c r="C26" s="53" t="s">
        <v>150</v>
      </c>
      <c r="D26" s="48">
        <f>IF(4040.74953="","-",4040.74953/877651.01761*100)</f>
        <v>0.460405041288926</v>
      </c>
      <c r="E26" s="48">
        <f>IF(6156.49024="","-",6156.49024/948747.24899*100)</f>
        <v>0.6489073087225248</v>
      </c>
      <c r="F26" s="1"/>
      <c r="G26" s="1"/>
    </row>
    <row r="27" spans="1:7" ht="15.75">
      <c r="A27" s="35" t="s">
        <v>131</v>
      </c>
      <c r="B27" s="48">
        <f>IF(127648.22278="","-",127648.22278)</f>
        <v>127648.22278</v>
      </c>
      <c r="C27" s="48">
        <v>95.38</v>
      </c>
      <c r="D27" s="48">
        <f>IF(133824.67546="","-",133824.67546/877651.01761*100)</f>
        <v>15.248051078938918</v>
      </c>
      <c r="E27" s="48">
        <f>IF(127648.22278="","-",127648.22278/948747.24899*100)</f>
        <v>13.454397144854905</v>
      </c>
      <c r="F27" s="14"/>
      <c r="G27" s="14"/>
    </row>
    <row r="28" spans="1:5" ht="15.75">
      <c r="A28" s="35" t="s">
        <v>132</v>
      </c>
      <c r="B28" s="48">
        <f>IF(2728.06175="","-",2728.06175)</f>
        <v>2728.06175</v>
      </c>
      <c r="C28" s="48">
        <v>69.44</v>
      </c>
      <c r="D28" s="48">
        <f>IF(3928.58036="","-",3928.58036/877651.01761*100)</f>
        <v>0.44762442943417574</v>
      </c>
      <c r="E28" s="48">
        <f>IF(2728.06175="","-",2728.06175/948747.24899*100)</f>
        <v>0.2875435742137002</v>
      </c>
    </row>
    <row r="29" spans="1:5" ht="15.75">
      <c r="A29" s="35" t="s">
        <v>134</v>
      </c>
      <c r="B29" s="48">
        <f>IF(338.62214="","-",338.62214)</f>
        <v>338.62214</v>
      </c>
      <c r="C29" s="48" t="s">
        <v>286</v>
      </c>
      <c r="D29" s="48">
        <f>IF(7.31434="","-",7.31434/877651.01761*100)</f>
        <v>0.0008333995920061997</v>
      </c>
      <c r="E29" s="48">
        <f>IF(338.62214="","-",338.62214/948747.24899*100)</f>
        <v>0.03569150164709138</v>
      </c>
    </row>
    <row r="30" spans="1:5" ht="15.75">
      <c r="A30" s="35" t="s">
        <v>135</v>
      </c>
      <c r="B30" s="48">
        <f>IF(2.43609="","-",2.43609)</f>
        <v>2.43609</v>
      </c>
      <c r="C30" s="48">
        <v>89.71</v>
      </c>
      <c r="D30" s="48">
        <f>IF(2.71872="","-",2.71872/877651.01761*100)</f>
        <v>0.0003097723292571982</v>
      </c>
      <c r="E30" s="48">
        <f>IF(2.43609="","-",2.43609/948747.24899*100)</f>
        <v>0.0002567691239783165</v>
      </c>
    </row>
    <row r="31" spans="1:5" ht="15.75">
      <c r="A31" s="29" t="s">
        <v>133</v>
      </c>
      <c r="B31" s="47">
        <f>IF(207457.98536="","-",207457.98536)</f>
        <v>207457.98536</v>
      </c>
      <c r="C31" s="47">
        <f>IF(140208.40006="","-",207457.98536/140208.40006*100)</f>
        <v>147.96402018083194</v>
      </c>
      <c r="D31" s="47">
        <f>IF(140208.40006="","-",140208.40006/877651.01761*100)</f>
        <v>15.975415882478261</v>
      </c>
      <c r="E31" s="47">
        <f>IF(207457.98536="","-",207457.98536/948747.24899*100)</f>
        <v>21.866517724383584</v>
      </c>
    </row>
    <row r="32" spans="1:5" ht="15.75">
      <c r="A32" s="35" t="s">
        <v>167</v>
      </c>
      <c r="B32" s="42"/>
      <c r="C32" s="44"/>
      <c r="D32" s="42"/>
      <c r="E32" s="42"/>
    </row>
    <row r="33" spans="1:5" ht="15.75">
      <c r="A33" s="35" t="s">
        <v>129</v>
      </c>
      <c r="B33" s="48">
        <f>IF(40643.11499="","-",40643.11499)</f>
        <v>40643.11499</v>
      </c>
      <c r="C33" s="53" t="s">
        <v>114</v>
      </c>
      <c r="D33" s="48">
        <f>IF(22032.91943="","-",22032.91943/877651.01761*100)</f>
        <v>2.510441962455597</v>
      </c>
      <c r="E33" s="48">
        <f>IF(40643.11499="","-",40643.11499/948747.24899*100)</f>
        <v>4.28387170906341</v>
      </c>
    </row>
    <row r="34" spans="1:5" ht="15.75">
      <c r="A34" s="35" t="s">
        <v>130</v>
      </c>
      <c r="B34" s="48">
        <f>IF(30093.23935="","-",30093.23935)</f>
        <v>30093.23935</v>
      </c>
      <c r="C34" s="53" t="s">
        <v>20</v>
      </c>
      <c r="D34" s="48">
        <f>IF(15081.91568="","-",15081.91568/877651.01761*100)</f>
        <v>1.718441086192863</v>
      </c>
      <c r="E34" s="48">
        <f>IF(30093.23935="","-",30093.23935/948747.24899*100)</f>
        <v>3.171892132708275</v>
      </c>
    </row>
    <row r="35" spans="1:5" ht="15.75">
      <c r="A35" s="35" t="s">
        <v>131</v>
      </c>
      <c r="B35" s="48">
        <f>IF(126390.96895="","-",126390.96895)</f>
        <v>126390.96895</v>
      </c>
      <c r="C35" s="53">
        <v>132.41</v>
      </c>
      <c r="D35" s="48">
        <f>IF(95455.6479="","-",95455.6479/877651.01761*100)</f>
        <v>10.876264709399269</v>
      </c>
      <c r="E35" s="48">
        <f>IF(126390.96895="","-",126390.96895/948747.24899*100)</f>
        <v>13.321879887878566</v>
      </c>
    </row>
    <row r="36" spans="1:5" ht="15.75">
      <c r="A36" s="35" t="s">
        <v>132</v>
      </c>
      <c r="B36" s="48">
        <f>IF(10164.38271="","-",10164.38271)</f>
        <v>10164.38271</v>
      </c>
      <c r="C36" s="54">
        <v>136.92</v>
      </c>
      <c r="D36" s="48">
        <f>IF(7423.76707="","-",7423.76707/877651.01761*100)</f>
        <v>0.8458677676026902</v>
      </c>
      <c r="E36" s="48">
        <f>IF(10164.38271="","-",10164.38271/948747.24899*100)</f>
        <v>1.071347792662441</v>
      </c>
    </row>
    <row r="37" spans="1:5" ht="15.75">
      <c r="A37" s="35" t="s">
        <v>134</v>
      </c>
      <c r="B37" s="48">
        <f>IF(53.59489="","-",53.59489)</f>
        <v>53.59489</v>
      </c>
      <c r="C37" s="54">
        <v>25.02</v>
      </c>
      <c r="D37" s="48">
        <f>IF(214.14998="","-",214.14998/877651.01761*100)</f>
        <v>0.02440035682783899</v>
      </c>
      <c r="E37" s="48">
        <f>IF(53.59489="","-",53.59489/948747.24899*100)</f>
        <v>0.005649016643479606</v>
      </c>
    </row>
    <row r="38" spans="1:5" ht="15.75">
      <c r="A38" s="36" t="s">
        <v>136</v>
      </c>
      <c r="B38" s="49">
        <f>IF(112.68447="","-",112.68447)</f>
        <v>112.68447</v>
      </c>
      <c r="C38" s="55" t="s">
        <v>22</v>
      </c>
      <c r="D38" s="49" t="s">
        <v>128</v>
      </c>
      <c r="E38" s="49">
        <f>IF(112.68447="","-",112.68447/948747.24899*100)</f>
        <v>0.011877185427410682</v>
      </c>
    </row>
    <row r="39" ht="15.75">
      <c r="A39" s="39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selection activeCell="J20" sqref="I20:J20"/>
    </sheetView>
  </sheetViews>
  <sheetFormatPr defaultColWidth="9.00390625" defaultRowHeight="15.75"/>
  <cols>
    <col min="1" max="1" width="32.125" style="0" customWidth="1"/>
    <col min="2" max="2" width="12.375" style="0" customWidth="1"/>
    <col min="3" max="3" width="14.875" style="0" customWidth="1"/>
    <col min="4" max="5" width="11.25390625" style="0" customWidth="1"/>
  </cols>
  <sheetData>
    <row r="1" spans="1:5" ht="15.75">
      <c r="A1" s="58" t="s">
        <v>141</v>
      </c>
      <c r="B1" s="58"/>
      <c r="C1" s="58"/>
      <c r="D1" s="58"/>
      <c r="E1" s="58"/>
    </row>
    <row r="2" spans="1:5" ht="15.75">
      <c r="A2" s="9"/>
      <c r="B2" s="9"/>
      <c r="C2" s="9"/>
      <c r="D2" s="9"/>
      <c r="E2" s="9"/>
    </row>
    <row r="3" spans="1:6" ht="15.75">
      <c r="A3" s="59"/>
      <c r="B3" s="62" t="s">
        <v>195</v>
      </c>
      <c r="C3" s="63"/>
      <c r="D3" s="62" t="s">
        <v>121</v>
      </c>
      <c r="E3" s="78"/>
      <c r="F3" s="1"/>
    </row>
    <row r="4" spans="1:6" ht="18" customHeight="1">
      <c r="A4" s="60"/>
      <c r="B4" s="66" t="s">
        <v>108</v>
      </c>
      <c r="C4" s="68" t="s">
        <v>193</v>
      </c>
      <c r="D4" s="70" t="s">
        <v>194</v>
      </c>
      <c r="E4" s="62"/>
      <c r="F4" s="1"/>
    </row>
    <row r="5" spans="1:6" ht="18" customHeight="1">
      <c r="A5" s="61"/>
      <c r="B5" s="67"/>
      <c r="C5" s="69"/>
      <c r="D5" s="25">
        <v>2018</v>
      </c>
      <c r="E5" s="24">
        <v>2019</v>
      </c>
      <c r="F5" s="1"/>
    </row>
    <row r="6" spans="1:5" ht="15.75" customHeight="1">
      <c r="A6" s="33" t="s">
        <v>168</v>
      </c>
      <c r="B6" s="52">
        <f>IF(1880616.047="","-",1880616.047)</f>
        <v>1880616.047</v>
      </c>
      <c r="C6" s="46">
        <f>IF(1770611.63183="","-",1880616.047/1770611.63183*100)</f>
        <v>106.21279185070674</v>
      </c>
      <c r="D6" s="52">
        <v>100</v>
      </c>
      <c r="E6" s="52">
        <v>100</v>
      </c>
    </row>
    <row r="7" spans="1:5" ht="15.75" customHeight="1">
      <c r="A7" s="34" t="s">
        <v>167</v>
      </c>
      <c r="B7" s="42"/>
      <c r="C7" s="43"/>
      <c r="D7" s="42"/>
      <c r="E7" s="42"/>
    </row>
    <row r="8" spans="1:5" ht="15.75">
      <c r="A8" s="35" t="s">
        <v>129</v>
      </c>
      <c r="B8" s="48">
        <f>IF(40517.2247="","-",40517.2247)</f>
        <v>40517.2247</v>
      </c>
      <c r="C8" s="53">
        <v>88.91</v>
      </c>
      <c r="D8" s="48">
        <f>IF(45572.67551="","-",45572.67551/1770611.63183*100)</f>
        <v>2.5738380280998583</v>
      </c>
      <c r="E8" s="48">
        <f>IF(40517.2247="","-",40517.2247/1880616.047*100)</f>
        <v>2.1544655414715814</v>
      </c>
    </row>
    <row r="9" spans="1:5" ht="15.75">
      <c r="A9" s="35" t="s">
        <v>130</v>
      </c>
      <c r="B9" s="48">
        <f>IF(87738.64348="","-",87738.64348)</f>
        <v>87738.64348</v>
      </c>
      <c r="C9" s="53">
        <v>90.03</v>
      </c>
      <c r="D9" s="48">
        <f>IF(97453.06367="","-",97453.06367/1770611.63183*100)</f>
        <v>5.503920900444907</v>
      </c>
      <c r="E9" s="48">
        <f>IF(87738.64348="","-",87738.64348/1880616.047*100)</f>
        <v>4.665420334999407</v>
      </c>
    </row>
    <row r="10" spans="1:5" ht="15.75">
      <c r="A10" s="35" t="s">
        <v>131</v>
      </c>
      <c r="B10" s="48">
        <f>IF(1542759.35798="","-",1542759.35798)</f>
        <v>1542759.35798</v>
      </c>
      <c r="C10" s="53">
        <v>106.64</v>
      </c>
      <c r="D10" s="48">
        <f>IF(1446706.39877="","-",1446706.39877/1770611.63183*100)</f>
        <v>81.70659069232305</v>
      </c>
      <c r="E10" s="48">
        <f>IF(1542759.35798="","-",1542759.35798/1880616.047*100)</f>
        <v>82.03478644357224</v>
      </c>
    </row>
    <row r="11" spans="1:5" ht="15.75">
      <c r="A11" s="35" t="s">
        <v>132</v>
      </c>
      <c r="B11" s="48">
        <f>IF(46799.21277="","-",46799.21277)</f>
        <v>46799.21277</v>
      </c>
      <c r="C11" s="53">
        <v>102.67</v>
      </c>
      <c r="D11" s="48">
        <f>IF(45583.96527="","-",45583.96527/1770611.63183*100)</f>
        <v>2.5744756473155603</v>
      </c>
      <c r="E11" s="48">
        <f>IF(46799.21277="","-",46799.21277/1880616.047*100)</f>
        <v>2.4885043836914575</v>
      </c>
    </row>
    <row r="12" spans="1:5" ht="15.75">
      <c r="A12" s="35" t="s">
        <v>134</v>
      </c>
      <c r="B12" s="48">
        <f>IF(3239.46542="","-",3239.46542)</f>
        <v>3239.46542</v>
      </c>
      <c r="C12" s="53">
        <v>66.68</v>
      </c>
      <c r="D12" s="48">
        <f>IF(4858.08499="","-",4858.08499/1770611.63183*100)</f>
        <v>0.2743732675572096</v>
      </c>
      <c r="E12" s="48">
        <f>IF(3239.46542="","-",3239.46542/1880616.047*100)</f>
        <v>0.17225554494058828</v>
      </c>
    </row>
    <row r="13" spans="1:5" ht="15.75">
      <c r="A13" s="35" t="s">
        <v>135</v>
      </c>
      <c r="B13" s="48">
        <f>IF(146704.9861="","-",146704.9861)</f>
        <v>146704.9861</v>
      </c>
      <c r="C13" s="53">
        <v>122.75</v>
      </c>
      <c r="D13" s="48">
        <f>IF(119515.04313="","-",119515.04313/1770611.63183*100)</f>
        <v>6.749929853701247</v>
      </c>
      <c r="E13" s="48">
        <f>IF(146704.9861="","-",146704.9861/1880616.047*100)</f>
        <v>7.800900472694947</v>
      </c>
    </row>
    <row r="14" spans="1:5" ht="15.75">
      <c r="A14" s="35" t="s">
        <v>136</v>
      </c>
      <c r="B14" s="48">
        <f>IF(12857.15655="","-",12857.15655)</f>
        <v>12857.15655</v>
      </c>
      <c r="C14" s="53">
        <v>117.71</v>
      </c>
      <c r="D14" s="48">
        <f>IF(10922.40049="","-",10922.40049/1770611.63183*100)</f>
        <v>0.6168716105581691</v>
      </c>
      <c r="E14" s="48">
        <f>IF(12857.15655="","-",12857.15655/1880616.047*100)</f>
        <v>0.6836672786297882</v>
      </c>
    </row>
    <row r="15" spans="1:5" ht="15.75">
      <c r="A15" s="29" t="s">
        <v>169</v>
      </c>
      <c r="B15" s="47">
        <f>IF(917094.94194="","-",917094.94194)</f>
        <v>917094.94194</v>
      </c>
      <c r="C15" s="47">
        <f>IF(888289.94974="","-",917094.94194/888289.94974*100)</f>
        <v>103.24274660637907</v>
      </c>
      <c r="D15" s="47">
        <f>IF(888289.94974="","-",888289.94974/1770611.63183*100)</f>
        <v>50.1685368926395</v>
      </c>
      <c r="E15" s="47">
        <f>IF(917094.94194="","-",917094.94194/1880616.047*100)</f>
        <v>48.76566609133055</v>
      </c>
    </row>
    <row r="16" spans="1:5" ht="15.75">
      <c r="A16" s="34" t="s">
        <v>167</v>
      </c>
      <c r="B16" s="42"/>
      <c r="C16" s="44"/>
      <c r="D16" s="42"/>
      <c r="E16" s="42"/>
    </row>
    <row r="17" spans="1:5" ht="15.75">
      <c r="A17" s="35" t="s">
        <v>129</v>
      </c>
      <c r="B17" s="48">
        <f>IF(27261.4403="","-",27261.4403)</f>
        <v>27261.4403</v>
      </c>
      <c r="C17" s="53">
        <v>114.91</v>
      </c>
      <c r="D17" s="48">
        <f>IF(23723.91398="","-",23723.91398/1770611.63183*100)</f>
        <v>1.3398711243910872</v>
      </c>
      <c r="E17" s="48">
        <f>IF(27261.4403="","-",27261.4403/1880616.047*100)</f>
        <v>1.4496015996188083</v>
      </c>
    </row>
    <row r="18" spans="1:5" ht="15.75">
      <c r="A18" s="35" t="s">
        <v>130</v>
      </c>
      <c r="B18" s="48">
        <f>IF(12851.26067="","-",12851.26067)</f>
        <v>12851.26067</v>
      </c>
      <c r="C18" s="53">
        <v>75.84</v>
      </c>
      <c r="D18" s="48">
        <f>IF(16945.22312="","-",16945.22312/1770611.63183*100)</f>
        <v>0.9570265333954919</v>
      </c>
      <c r="E18" s="48">
        <f>IF(12851.26067="","-",12851.26067/1880616.047*100)</f>
        <v>0.6833537707231954</v>
      </c>
    </row>
    <row r="19" spans="1:5" ht="15.75">
      <c r="A19" s="35" t="s">
        <v>131</v>
      </c>
      <c r="B19" s="48">
        <f>IF(850487.79857="","-",850487.79857)</f>
        <v>850487.79857</v>
      </c>
      <c r="C19" s="53">
        <v>103.28</v>
      </c>
      <c r="D19" s="48">
        <f>IF(823473.18092="","-",823473.18092/1770611.63183*100)</f>
        <v>46.507837524421234</v>
      </c>
      <c r="E19" s="48">
        <f>IF(850487.79857="","-",850487.79857/1880616.047*100)</f>
        <v>45.22389351759051</v>
      </c>
    </row>
    <row r="20" spans="1:5" ht="15.75">
      <c r="A20" s="35" t="s">
        <v>132</v>
      </c>
      <c r="B20" s="48">
        <f>IF(14368.97221="","-",14368.97221)</f>
        <v>14368.97221</v>
      </c>
      <c r="C20" s="53">
        <v>114.49</v>
      </c>
      <c r="D20" s="48">
        <f>IF(12550.87497="","-",12550.87497/1770611.63183*100)</f>
        <v>0.7088440369629874</v>
      </c>
      <c r="E20" s="48">
        <f>IF(14368.97221="","-",14368.97221/1880616.047*100)</f>
        <v>0.7640566628643682</v>
      </c>
    </row>
    <row r="21" spans="1:5" ht="15.75">
      <c r="A21" s="35" t="s">
        <v>134</v>
      </c>
      <c r="B21" s="48">
        <f>IF(1549.56519="","-",1549.56519)</f>
        <v>1549.56519</v>
      </c>
      <c r="C21" s="53">
        <v>79.16</v>
      </c>
      <c r="D21" s="48">
        <f>IF(1957.45789="","-",1957.45789/1770611.63183*100)</f>
        <v>0.11055263925815774</v>
      </c>
      <c r="E21" s="48">
        <f>IF(1549.56519="","-",1549.56519/1880616.047*100)</f>
        <v>0.08239668019806065</v>
      </c>
    </row>
    <row r="22" spans="1:5" ht="15.75">
      <c r="A22" s="35" t="s">
        <v>136</v>
      </c>
      <c r="B22" s="48">
        <f>IF(10575.905="","-",10575.905)</f>
        <v>10575.905</v>
      </c>
      <c r="C22" s="53">
        <v>109.72</v>
      </c>
      <c r="D22" s="48">
        <f>IF(9639.29886="","-",9639.29886/1770611.63183*100)</f>
        <v>0.544405034210545</v>
      </c>
      <c r="E22" s="48">
        <f>IF(10575.905="","-",10575.905/1880616.047*100)</f>
        <v>0.562363860335602</v>
      </c>
    </row>
    <row r="23" spans="1:5" ht="15.75">
      <c r="A23" s="29" t="s">
        <v>170</v>
      </c>
      <c r="B23" s="47">
        <f>IF(498326.80598="","-",498326.80598)</f>
        <v>498326.80598</v>
      </c>
      <c r="C23" s="47">
        <f>IF(423763.37047="","-",498326.80598/423763.37047*100)</f>
        <v>117.59553578859374</v>
      </c>
      <c r="D23" s="47">
        <f>IF(423763.37047="","-",423763.37047/1770611.63183*100)</f>
        <v>23.933163142728432</v>
      </c>
      <c r="E23" s="47">
        <f>IF(498326.80598="","-",498326.80598/1880616.047*100)</f>
        <v>26.49806199276784</v>
      </c>
    </row>
    <row r="24" spans="1:5" ht="15.75">
      <c r="A24" s="35" t="s">
        <v>167</v>
      </c>
      <c r="B24" s="42"/>
      <c r="C24" s="44"/>
      <c r="D24" s="42"/>
      <c r="E24" s="42"/>
    </row>
    <row r="25" spans="1:5" ht="15.75">
      <c r="A25" s="35" t="s">
        <v>129</v>
      </c>
      <c r="B25" s="48">
        <f>IF(10876.89704="","-",10876.89704)</f>
        <v>10876.89704</v>
      </c>
      <c r="C25" s="53">
        <v>114.58</v>
      </c>
      <c r="D25" s="48">
        <f>IF(9493.03025="","-",9493.03025/1770611.63183*100)</f>
        <v>0.5361441255295811</v>
      </c>
      <c r="E25" s="48">
        <f>IF(10876.89704="","-",10876.89704/1880616.047*100)</f>
        <v>0.578368830647333</v>
      </c>
    </row>
    <row r="26" spans="1:7" ht="15.75">
      <c r="A26" s="35" t="s">
        <v>130</v>
      </c>
      <c r="B26" s="48">
        <f>IF(74597.82284="","-",74597.82284)</f>
        <v>74597.82284</v>
      </c>
      <c r="C26" s="53">
        <v>93.16</v>
      </c>
      <c r="D26" s="48">
        <f>IF(80078.82539="","-",80078.82539/1770611.63183*100)</f>
        <v>4.522664595128364</v>
      </c>
      <c r="E26" s="48">
        <f>IF(74597.82284="","-",74597.82284/1880616.047*100)</f>
        <v>3.9666694835982113</v>
      </c>
      <c r="F26" s="1"/>
      <c r="G26" s="1"/>
    </row>
    <row r="27" spans="1:7" ht="15.75">
      <c r="A27" s="35" t="s">
        <v>131</v>
      </c>
      <c r="B27" s="48">
        <f>IF(259451.269="","-",259451.269)</f>
        <v>259451.269</v>
      </c>
      <c r="C27" s="53">
        <v>123.76</v>
      </c>
      <c r="D27" s="48">
        <f>IF(209638.24349="","-",209638.24349/1770611.63183*100)</f>
        <v>11.839877233458036</v>
      </c>
      <c r="E27" s="48">
        <f>IF(259451.269="","-",259451.269/1880616.047*100)</f>
        <v>13.79607865273097</v>
      </c>
      <c r="F27" s="1"/>
      <c r="G27" s="1"/>
    </row>
    <row r="28" spans="1:7" ht="15.75">
      <c r="A28" s="35" t="s">
        <v>132</v>
      </c>
      <c r="B28" s="48">
        <f>IF(5019.03791="","-",5019.03791)</f>
        <v>5019.03791</v>
      </c>
      <c r="C28" s="53">
        <v>113.18</v>
      </c>
      <c r="D28" s="48">
        <f>IF(4434.72432="","-",4434.72432/1770611.63183*100)</f>
        <v>0.2504628479943131</v>
      </c>
      <c r="E28" s="48">
        <f>IF(5019.03791="","-",5019.03791/1880616.047*100)</f>
        <v>0.26688264826871383</v>
      </c>
      <c r="F28" s="14"/>
      <c r="G28" s="14"/>
    </row>
    <row r="29" spans="1:5" ht="15.75">
      <c r="A29" s="35" t="s">
        <v>134</v>
      </c>
      <c r="B29" s="48">
        <f>IF(150.90672="","-",150.90672)</f>
        <v>150.90672</v>
      </c>
      <c r="C29" s="53">
        <v>95.05</v>
      </c>
      <c r="D29" s="48">
        <f>IF(158.77141="","-",158.77141/1770611.63183*100)</f>
        <v>0.008967037556163753</v>
      </c>
      <c r="E29" s="48">
        <f>IF(150.90672="","-",150.90672/1880616.047*100)</f>
        <v>0.008024323744377792</v>
      </c>
    </row>
    <row r="30" spans="1:5" ht="15.75">
      <c r="A30" s="35" t="s">
        <v>135</v>
      </c>
      <c r="B30" s="48">
        <f>IF(146704.9861="","-",146704.9861)</f>
        <v>146704.9861</v>
      </c>
      <c r="C30" s="53">
        <v>122.75</v>
      </c>
      <c r="D30" s="48">
        <f>IF(119515.04313="","-",119515.04313/1770611.63183*100)</f>
        <v>6.749929853701247</v>
      </c>
      <c r="E30" s="48">
        <f>IF(146704.9861="","-",146704.9861/1880616.047*100)</f>
        <v>7.800900472694947</v>
      </c>
    </row>
    <row r="31" spans="1:5" ht="15.75">
      <c r="A31" s="35" t="s">
        <v>136</v>
      </c>
      <c r="B31" s="48">
        <f>IF(1525.88637="","-",1525.88637)</f>
        <v>1525.88637</v>
      </c>
      <c r="C31" s="53" t="s">
        <v>216</v>
      </c>
      <c r="D31" s="48">
        <f>IF(444.73248="","-",444.73248/1770611.63183*100)</f>
        <v>0.025117449360724613</v>
      </c>
      <c r="E31" s="48">
        <f>IF(1525.88637="","-",1525.88637/1880616.047*100)</f>
        <v>0.08113758108329062</v>
      </c>
    </row>
    <row r="32" spans="1:5" ht="15.75">
      <c r="A32" s="29" t="s">
        <v>171</v>
      </c>
      <c r="B32" s="47">
        <f>IF(465194.29908="","-",465194.29908)</f>
        <v>465194.29908</v>
      </c>
      <c r="C32" s="47">
        <f>IF(458558.31162="","-",465194.29908/458558.31162*100)</f>
        <v>101.44714146311216</v>
      </c>
      <c r="D32" s="47">
        <f>IF(458558.31162="","-",458558.31162/1770611.63183*100)</f>
        <v>25.898299964632056</v>
      </c>
      <c r="E32" s="47">
        <f>IF(465194.29908="","-",465194.29908/1880616.047*100)</f>
        <v>24.736271915901607</v>
      </c>
    </row>
    <row r="33" spans="1:5" ht="15.75">
      <c r="A33" s="35" t="s">
        <v>167</v>
      </c>
      <c r="B33" s="42"/>
      <c r="C33" s="44"/>
      <c r="D33" s="45"/>
      <c r="E33" s="42"/>
    </row>
    <row r="34" spans="1:5" ht="15.75">
      <c r="A34" s="35" t="s">
        <v>129</v>
      </c>
      <c r="B34" s="51">
        <f>IF(2378.88736="","-",2378.88736)</f>
        <v>2378.88736</v>
      </c>
      <c r="C34" s="54">
        <v>19.25</v>
      </c>
      <c r="D34" s="51">
        <f>IF(12355.73128="","-",12355.73128/1770611.63183*100)</f>
        <v>0.6978227781791901</v>
      </c>
      <c r="E34" s="51">
        <f>IF(2378.88736="","-",2378.88736/1880616.047*100)</f>
        <v>0.12649511120544002</v>
      </c>
    </row>
    <row r="35" spans="1:5" ht="15.75">
      <c r="A35" s="35" t="s">
        <v>130</v>
      </c>
      <c r="B35" s="51">
        <f>IF(289.55997="","-",289.55997)</f>
        <v>289.55997</v>
      </c>
      <c r="C35" s="54">
        <v>67.49</v>
      </c>
      <c r="D35" s="51">
        <f>IF(429.01516="","-",429.01516/1770611.63183*100)</f>
        <v>0.02422977192105053</v>
      </c>
      <c r="E35" s="51">
        <f>IF(289.55997="","-",289.55997/1880616.047*100)</f>
        <v>0.015397080677999768</v>
      </c>
    </row>
    <row r="36" spans="1:5" ht="15.75">
      <c r="A36" s="35" t="s">
        <v>131</v>
      </c>
      <c r="B36" s="51">
        <f>IF(432820.29041="","-",432820.29041)</f>
        <v>432820.29041</v>
      </c>
      <c r="C36" s="54">
        <v>104.65</v>
      </c>
      <c r="D36" s="51">
        <f>IF(413594.97436="","-",413594.97436/1770611.63183*100)</f>
        <v>23.358875934443766</v>
      </c>
      <c r="E36" s="51">
        <f>IF(432820.29041="","-",432820.29041/1880616.047*100)</f>
        <v>23.01481427325075</v>
      </c>
    </row>
    <row r="37" spans="1:5" ht="15.75">
      <c r="A37" s="35" t="s">
        <v>132</v>
      </c>
      <c r="B37" s="51">
        <f>IF(27411.20265="","-",27411.20265)</f>
        <v>27411.20265</v>
      </c>
      <c r="C37" s="54">
        <v>95.85</v>
      </c>
      <c r="D37" s="51">
        <f>IF(28598.36598="","-",28598.36598/1770611.63183*100)</f>
        <v>1.6151687623582596</v>
      </c>
      <c r="E37" s="51">
        <f>IF(27411.20265="","-",27411.20265/1880616.047*100)</f>
        <v>1.4575650725583753</v>
      </c>
    </row>
    <row r="38" spans="1:5" ht="15.75">
      <c r="A38" s="35" t="s">
        <v>134</v>
      </c>
      <c r="B38" s="51">
        <f>IF(1538.99351="","-",1538.99351)</f>
        <v>1538.99351</v>
      </c>
      <c r="C38" s="54">
        <v>56.13</v>
      </c>
      <c r="D38" s="51">
        <f>IF(2741.85569="","-",2741.85569/1770611.63183*100)</f>
        <v>0.15485359074288804</v>
      </c>
      <c r="E38" s="51">
        <f>IF(1538.99351="","-",1538.99351/1880616.047*100)</f>
        <v>0.08183454099814985</v>
      </c>
    </row>
    <row r="39" spans="1:5" ht="15.75">
      <c r="A39" s="36" t="s">
        <v>136</v>
      </c>
      <c r="B39" s="49">
        <f>IF(755.36518="","-",755.36518)</f>
        <v>755.36518</v>
      </c>
      <c r="C39" s="55">
        <v>90.1</v>
      </c>
      <c r="D39" s="49">
        <f>IF(838.36915="","-",838.36915/1770611.63183*100)</f>
        <v>0.047349126986899484</v>
      </c>
      <c r="E39" s="49">
        <f>IF(755.36518="","-",755.36518/1880616.047*100)</f>
        <v>0.0401658372108956</v>
      </c>
    </row>
    <row r="40" ht="15.75">
      <c r="A40" s="40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"/>
  <sheetViews>
    <sheetView zoomScalePageLayoutView="0" workbookViewId="0" topLeftCell="A28">
      <selection activeCell="J17" sqref="J17"/>
    </sheetView>
  </sheetViews>
  <sheetFormatPr defaultColWidth="9.00390625" defaultRowHeight="15.75"/>
  <cols>
    <col min="1" max="1" width="28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375" style="0" customWidth="1"/>
    <col min="7" max="7" width="9.50390625" style="0" customWidth="1"/>
  </cols>
  <sheetData>
    <row r="1" spans="1:7" ht="15.75">
      <c r="A1" s="71" t="s">
        <v>142</v>
      </c>
      <c r="B1" s="71"/>
      <c r="C1" s="71"/>
      <c r="D1" s="71"/>
      <c r="E1" s="71"/>
      <c r="F1" s="71"/>
      <c r="G1" s="71"/>
    </row>
    <row r="2" spans="1:7" ht="15.75">
      <c r="A2" s="71" t="s">
        <v>23</v>
      </c>
      <c r="B2" s="71"/>
      <c r="C2" s="71"/>
      <c r="D2" s="71"/>
      <c r="E2" s="71"/>
      <c r="F2" s="71"/>
      <c r="G2" s="71"/>
    </row>
    <row r="3" ht="15.75">
      <c r="A3" s="6"/>
    </row>
    <row r="4" spans="1:7" ht="57" customHeight="1">
      <c r="A4" s="79"/>
      <c r="B4" s="82" t="s">
        <v>195</v>
      </c>
      <c r="C4" s="77"/>
      <c r="D4" s="82" t="s">
        <v>0</v>
      </c>
      <c r="E4" s="77"/>
      <c r="F4" s="74" t="s">
        <v>118</v>
      </c>
      <c r="G4" s="83"/>
    </row>
    <row r="5" spans="1:7" ht="26.25" customHeight="1">
      <c r="A5" s="80"/>
      <c r="B5" s="84" t="s">
        <v>124</v>
      </c>
      <c r="C5" s="72" t="s">
        <v>193</v>
      </c>
      <c r="D5" s="86" t="s">
        <v>194</v>
      </c>
      <c r="E5" s="86"/>
      <c r="F5" s="86" t="s">
        <v>194</v>
      </c>
      <c r="G5" s="82"/>
    </row>
    <row r="6" spans="1:7" ht="26.25" customHeight="1">
      <c r="A6" s="81"/>
      <c r="B6" s="85"/>
      <c r="C6" s="73"/>
      <c r="D6" s="26">
        <v>2018</v>
      </c>
      <c r="E6" s="26">
        <v>2019</v>
      </c>
      <c r="F6" s="26" t="s">
        <v>123</v>
      </c>
      <c r="G6" s="22" t="s">
        <v>148</v>
      </c>
    </row>
    <row r="7" spans="1:7" ht="16.5" customHeight="1">
      <c r="A7" s="28" t="s">
        <v>109</v>
      </c>
      <c r="B7" s="46">
        <f>IF(948747.24899="","-",948747.24899)</f>
        <v>948747.24899</v>
      </c>
      <c r="C7" s="46">
        <f>IF(877651.01761="","-",948747.24899/877651.01761*100)</f>
        <v>108.10074049405283</v>
      </c>
      <c r="D7" s="46">
        <v>100</v>
      </c>
      <c r="E7" s="46">
        <v>100</v>
      </c>
      <c r="F7" s="46">
        <f>IF(682384.58212="","-",(877651.01761-682384.58212)/682384.58212*100)</f>
        <v>28.61530588562764</v>
      </c>
      <c r="G7" s="46">
        <f>IF(877651.01761="","-",(948747.24899-877651.01761)/877651.01761*100)</f>
        <v>8.10074049405283</v>
      </c>
    </row>
    <row r="8" spans="1:7" ht="13.5" customHeight="1">
      <c r="A8" s="37" t="s">
        <v>218</v>
      </c>
      <c r="B8" s="47">
        <f>IF(216577.10231="","-",216577.10231)</f>
        <v>216577.10231</v>
      </c>
      <c r="C8" s="47">
        <f>IF(196364.65038="","-",216577.10231/196364.65038*100)</f>
        <v>110.29332514324007</v>
      </c>
      <c r="D8" s="47">
        <f>IF(196364.65038="","-",196364.65038/877651.01761*100)</f>
        <v>22.373887392592096</v>
      </c>
      <c r="E8" s="47">
        <f>IF(216577.10231="","-",216577.10231/948747.24899*100)</f>
        <v>22.827692258455524</v>
      </c>
      <c r="F8" s="47">
        <f>IF(682384.58212="","-",(196364.65038-154576.82141)/682384.58212*100)</f>
        <v>6.123794421054408</v>
      </c>
      <c r="G8" s="47">
        <f>IF(877651.01761="","-",(216577.10231-196364.65038)/877651.01761*100)</f>
        <v>2.3030169765019</v>
      </c>
    </row>
    <row r="9" spans="1:10" ht="13.5" customHeight="1">
      <c r="A9" s="30" t="s">
        <v>24</v>
      </c>
      <c r="B9" s="48">
        <f>IF(1683.24035="","-",1683.24035)</f>
        <v>1683.24035</v>
      </c>
      <c r="C9" s="48">
        <f>IF(OR(3765.89376="",1683.24035=""),"-",1683.24035/3765.89376*100)</f>
        <v>44.69696856238451</v>
      </c>
      <c r="D9" s="48">
        <f>IF(3765.89376="","-",3765.89376/877651.01761*100)</f>
        <v>0.42908783610314716</v>
      </c>
      <c r="E9" s="48">
        <f>IF(1683.24035="","-",1683.24035/948747.24899*100)</f>
        <v>0.17741715212264525</v>
      </c>
      <c r="F9" s="48">
        <f>IF(OR(682384.58212="",1988.05974="",3765.89376=""),"-",(3765.89376-1988.05974)/682384.58212*100)</f>
        <v>0.2605325598765303</v>
      </c>
      <c r="G9" s="48">
        <f>IF(OR(877651.01761="",1683.24035="",3765.89376=""),"-",(1683.24035-3765.89376)/877651.01761*100)</f>
        <v>-0.23729858089510747</v>
      </c>
      <c r="J9" s="19"/>
    </row>
    <row r="10" spans="1:10" s="9" customFormat="1" ht="13.5" customHeight="1">
      <c r="A10" s="30" t="s">
        <v>219</v>
      </c>
      <c r="B10" s="48">
        <f>IF(1941.57206="","-",1941.57206)</f>
        <v>1941.57206</v>
      </c>
      <c r="C10" s="48">
        <f>IF(OR(1808.41039="",1941.57206=""),"-",1941.57206/1808.41039*100)</f>
        <v>107.36346521433113</v>
      </c>
      <c r="D10" s="48">
        <f>IF(1808.41039="","-",1808.41039/877651.01761*100)</f>
        <v>0.2060511927536555</v>
      </c>
      <c r="E10" s="48">
        <f>IF(1941.57206="","-",1941.57206/948747.24899*100)</f>
        <v>0.20464586981062904</v>
      </c>
      <c r="F10" s="48">
        <f>IF(OR(682384.58212="",2539.88492="",1808.41039=""),"-",(1808.41039-2539.88492)/682384.58212*100)</f>
        <v>-0.10719388291679885</v>
      </c>
      <c r="G10" s="48">
        <f>IF(OR(877651.01761="",1941.57206="",1808.41039=""),"-",(1941.57206-1808.41039)/877651.01761*100)</f>
        <v>0.015172507902129812</v>
      </c>
      <c r="J10" s="19"/>
    </row>
    <row r="11" spans="1:10" s="9" customFormat="1" ht="14.25" customHeight="1">
      <c r="A11" s="30" t="s">
        <v>220</v>
      </c>
      <c r="B11" s="48">
        <f>IF(5021.95958="","-",5021.95958)</f>
        <v>5021.95958</v>
      </c>
      <c r="C11" s="48">
        <f>IF(OR(6331.44446="",5021.95958=""),"-",5021.95958/6331.44446*100)</f>
        <v>79.31775460919071</v>
      </c>
      <c r="D11" s="48">
        <f>IF(6331.44446="","-",6331.44446/877651.01761*100)</f>
        <v>0.7214079779958156</v>
      </c>
      <c r="E11" s="48">
        <f>IF(5021.95958="","-",5021.95958/948747.24899*100)</f>
        <v>0.5293253377383897</v>
      </c>
      <c r="F11" s="48">
        <f>IF(OR(682384.58212="",7164.07424="",6331.44446=""),"-",(6331.44446-7164.07424)/682384.58212*100)</f>
        <v>-0.12201767182564788</v>
      </c>
      <c r="G11" s="48">
        <f>IF(OR(877651.01761="",5021.95958="",6331.44446=""),"-",(5021.95958-6331.44446)/877651.01761*100)</f>
        <v>-0.14920336827797004</v>
      </c>
      <c r="J11" s="19"/>
    </row>
    <row r="12" spans="1:10" s="9" customFormat="1" ht="15.75">
      <c r="A12" s="30" t="s">
        <v>221</v>
      </c>
      <c r="B12" s="48">
        <f>IF(12.69111="","-",12.69111)</f>
        <v>12.69111</v>
      </c>
      <c r="C12" s="48" t="s">
        <v>177</v>
      </c>
      <c r="D12" s="48">
        <f>IF(3.81906="","-",3.81906/877651.01761*100)</f>
        <v>0.0004351456243279909</v>
      </c>
      <c r="E12" s="48">
        <f>IF(12.69111="","-",12.69111/948747.24899*100)</f>
        <v>0.0013376702818912488</v>
      </c>
      <c r="F12" s="48">
        <f>IF(OR(682384.58212="",6.24089="",3.81906=""),"-",(3.81906-6.24089)/682384.58212*100)</f>
        <v>-0.00035490690491217925</v>
      </c>
      <c r="G12" s="48">
        <f>IF(OR(877651.01761="",12.69111="",3.81906=""),"-",(12.69111-3.81906)/877651.01761*100)</f>
        <v>0.001010885855765333</v>
      </c>
      <c r="J12" s="19"/>
    </row>
    <row r="13" spans="1:10" s="9" customFormat="1" ht="15.75">
      <c r="A13" s="30" t="s">
        <v>222</v>
      </c>
      <c r="B13" s="48">
        <f>IF(87826.75545="","-",87826.75545)</f>
        <v>87826.75545</v>
      </c>
      <c r="C13" s="48">
        <f>IF(OR(70224.08317="",87826.75545=""),"-",87826.75545/70224.08317*100)</f>
        <v>125.06643231978845</v>
      </c>
      <c r="D13" s="48">
        <f>IF(70224.08317="","-",70224.08317/877651.01761*100)</f>
        <v>8.001367486729825</v>
      </c>
      <c r="E13" s="48">
        <f>IF(87826.75545="","-",87826.75545/948747.24899*100)</f>
        <v>9.257128865827752</v>
      </c>
      <c r="F13" s="48">
        <f>IF(OR(682384.58212="",48683.73183="",70224.08317=""),"-",(70224.08317-48683.73183)/682384.58212*100)</f>
        <v>3.1566292534159346</v>
      </c>
      <c r="G13" s="48">
        <f>IF(OR(877651.01761="",87826.75545="",70224.08317=""),"-",(87826.75545-70224.08317)/877651.01761*100)</f>
        <v>2.00565736571869</v>
      </c>
      <c r="J13" s="19"/>
    </row>
    <row r="14" spans="1:10" s="9" customFormat="1" ht="15" customHeight="1">
      <c r="A14" s="30" t="s">
        <v>223</v>
      </c>
      <c r="B14" s="48">
        <f>IF(101878.04061="","-",101878.04061)</f>
        <v>101878.04061</v>
      </c>
      <c r="C14" s="48">
        <f>IF(OR(93632.98719="",101878.04061=""),"-",101878.04061/93632.98719*100)</f>
        <v>108.8057143827625</v>
      </c>
      <c r="D14" s="48">
        <f>IF(93632.98719="","-",93632.98719/877651.01761*100)</f>
        <v>10.668589827991005</v>
      </c>
      <c r="E14" s="48">
        <f>IF(101878.04061="","-",101878.04061/948747.24899*100)</f>
        <v>10.738164534174457</v>
      </c>
      <c r="F14" s="48">
        <f>IF(OR(682384.58212="",70874.35439="",93632.98719=""),"-",(93632.98719-70874.35439)/682384.58212*100)</f>
        <v>3.335162223228222</v>
      </c>
      <c r="G14" s="48">
        <f>IF(OR(877651.01761="",101878.04061="",93632.98719=""),"-",(101878.04061-93632.98719)/877651.01761*100)</f>
        <v>0.9394455489213407</v>
      </c>
      <c r="J14" s="19"/>
    </row>
    <row r="15" spans="1:10" s="9" customFormat="1" ht="15.75">
      <c r="A15" s="30" t="s">
        <v>25</v>
      </c>
      <c r="B15" s="48">
        <f>IF(3966.89597="","-",3966.89597)</f>
        <v>3966.89597</v>
      </c>
      <c r="C15" s="48">
        <f>IF(OR(7630.06031="",3966.89597=""),"-",3966.89597/7630.06031*100)</f>
        <v>51.99036192152982</v>
      </c>
      <c r="D15" s="48">
        <f>IF(7630.06031="","-",7630.06031/877651.01761*100)</f>
        <v>0.86937292350871</v>
      </c>
      <c r="E15" s="48">
        <f>IF(3966.89597="","-",3966.89597/948747.24899*100)</f>
        <v>0.4181193646909654</v>
      </c>
      <c r="F15" s="48">
        <f>IF(OR(682384.58212="",14288.7622="",7630.06031=""),"-",(7630.06031-14288.7622)/682384.58212*100)</f>
        <v>-0.9757989943607841</v>
      </c>
      <c r="G15" s="48">
        <f>IF(OR(877651.01761="",3966.89597="",7630.06031=""),"-",(3966.89597-7630.06031)/877651.01761*100)</f>
        <v>-0.41738279412874707</v>
      </c>
      <c r="J15" s="19"/>
    </row>
    <row r="16" spans="1:10" s="9" customFormat="1" ht="25.5">
      <c r="A16" s="30" t="s">
        <v>224</v>
      </c>
      <c r="B16" s="48">
        <f>IF(3386.05415="","-",3386.05415)</f>
        <v>3386.05415</v>
      </c>
      <c r="C16" s="48">
        <f>IF(OR(3540.04946="",3386.05415=""),"-",3386.05415/3540.04946*100)</f>
        <v>95.64991077836522</v>
      </c>
      <c r="D16" s="48">
        <f>IF(3540.04946="","-",3540.04946/877651.01761*100)</f>
        <v>0.4033550225510118</v>
      </c>
      <c r="E16" s="48">
        <f>IF(3386.05415="","-",3386.05415/948747.24899*100)</f>
        <v>0.3568973879612999</v>
      </c>
      <c r="F16" s="48">
        <f>IF(OR(682384.58212="",3020.31033="",3540.04946=""),"-",(3540.04946-3020.31033)/682384.58212*100)</f>
        <v>0.07616513379966756</v>
      </c>
      <c r="G16" s="48">
        <f>IF(OR(877651.01761="",3386.05415="",3540.04946=""),"-",(3386.05415-3540.04946)/877651.01761*100)</f>
        <v>-0.017546303360914103</v>
      </c>
      <c r="J16" s="19"/>
    </row>
    <row r="17" spans="1:10" s="9" customFormat="1" ht="25.5">
      <c r="A17" s="30" t="s">
        <v>26</v>
      </c>
      <c r="B17" s="48">
        <f>IF(9910.905="","-",9910.905)</f>
        <v>9910.905</v>
      </c>
      <c r="C17" s="48">
        <f>IF(OR(8632.91472="",9910.905=""),"-",9910.905/8632.91472*100)</f>
        <v>114.80369401818902</v>
      </c>
      <c r="D17" s="48">
        <f>IF(8632.91472="","-",8632.91472/877651.01761*100)</f>
        <v>0.9836386612424795</v>
      </c>
      <c r="E17" s="48">
        <f>IF(9910.905="","-",9910.905/948747.24899*100)</f>
        <v>1.0446306970113242</v>
      </c>
      <c r="F17" s="48">
        <f>IF(OR(682384.58212="",5133.41575="",8632.91472=""),"-",(8632.91472-5133.41575)/682384.58212*100)</f>
        <v>0.5128338273892302</v>
      </c>
      <c r="G17" s="48">
        <f>IF(OR(877651.01761="",9910.905="",8632.91472=""),"-",(9910.905-8632.91472)/877651.01761*100)</f>
        <v>0.14561485765494753</v>
      </c>
      <c r="J17" s="19"/>
    </row>
    <row r="18" spans="1:10" s="9" customFormat="1" ht="15.75">
      <c r="A18" s="30" t="s">
        <v>225</v>
      </c>
      <c r="B18" s="48">
        <f>IF(948.98803="","-",948.98803)</f>
        <v>948.98803</v>
      </c>
      <c r="C18" s="48">
        <f>IF(OR(794.98786="",948.98803=""),"-",948.98803/794.98786*100)</f>
        <v>119.37138637563598</v>
      </c>
      <c r="D18" s="48">
        <f>IF(794.98786="","-",794.98786/877651.01761*100)</f>
        <v>0.09058131809211518</v>
      </c>
      <c r="E18" s="48">
        <f>IF(948.98803="","-",948.98803/948747.24899*100)</f>
        <v>0.1000253788361712</v>
      </c>
      <c r="F18" s="48">
        <f>IF(OR(682384.58212="",877.98712="",794.98786=""),"-",(794.98786-877.98712)/682384.58212*100)</f>
        <v>-0.012163120647031896</v>
      </c>
      <c r="G18" s="48">
        <f>IF(OR(877651.01761="",948.98803="",794.98786=""),"-",(948.98803-794.98786)/877651.01761*100)</f>
        <v>0.01754685711176749</v>
      </c>
      <c r="J18" s="19"/>
    </row>
    <row r="19" spans="1:7" s="9" customFormat="1" ht="15.75">
      <c r="A19" s="37" t="s">
        <v>226</v>
      </c>
      <c r="B19" s="47">
        <f>IF(66424.50208="","-",66424.50208)</f>
        <v>66424.50208</v>
      </c>
      <c r="C19" s="47">
        <f>IF(69974.38785="","-",66424.50208/69974.38785*100)</f>
        <v>94.92687842070205</v>
      </c>
      <c r="D19" s="47">
        <f>IF(69974.38785="","-",69974.38785/877651.01761*100)</f>
        <v>7.97291707591848</v>
      </c>
      <c r="E19" s="47">
        <f>IF(66424.50208="","-",66424.50208/948747.24899*100)</f>
        <v>7.0012853424042065</v>
      </c>
      <c r="F19" s="47">
        <f>IF(682384.58212="","-",(69974.38785-52121.6685)/682384.58212*100)</f>
        <v>2.616225486006149</v>
      </c>
      <c r="G19" s="47">
        <f>IF(877651.01761="","-",(66424.50208-69974.38785)/877651.01761*100)</f>
        <v>-0.4044757766779516</v>
      </c>
    </row>
    <row r="20" spans="1:7" s="9" customFormat="1" ht="15.75">
      <c r="A20" s="30" t="s">
        <v>184</v>
      </c>
      <c r="B20" s="48">
        <f>IF(58346.34375="","-",58346.34375)</f>
        <v>58346.34375</v>
      </c>
      <c r="C20" s="48">
        <f>IF(OR(62853.60652="",58346.34375=""),"-",58346.34375/62853.60652*100)</f>
        <v>92.82895124153967</v>
      </c>
      <c r="D20" s="48">
        <f>IF(62853.60652="","-",62853.60652/877651.01761*100)</f>
        <v>7.1615716564838685</v>
      </c>
      <c r="E20" s="48">
        <f>IF(58346.34375="","-",58346.34375/948747.24899*100)</f>
        <v>6.149830085105731</v>
      </c>
      <c r="F20" s="48">
        <f>IF(OR(682384.58212="",48124.10249="",62853.60652=""),"-",(62853.60652-48124.10249)/682384.58212*100)</f>
        <v>2.158534119314226</v>
      </c>
      <c r="G20" s="48">
        <f>IF(OR(877651.01761="",58346.34375="",62853.60652=""),"-",(58346.34375-62853.60652)/877651.01761*100)</f>
        <v>-0.5135597953585334</v>
      </c>
    </row>
    <row r="21" spans="1:7" s="9" customFormat="1" ht="15.75">
      <c r="A21" s="30" t="s">
        <v>227</v>
      </c>
      <c r="B21" s="48">
        <f>IF(8078.15833="","-",8078.15833)</f>
        <v>8078.15833</v>
      </c>
      <c r="C21" s="48">
        <f>IF(OR(7120.78133="",8078.15833=""),"-",8078.15833/7120.78133*100)</f>
        <v>113.44483077954595</v>
      </c>
      <c r="D21" s="48">
        <f>IF(7120.78133="","-",7120.78133/877651.01761*100)</f>
        <v>0.8113454194346125</v>
      </c>
      <c r="E21" s="48">
        <f>IF(8078.15833="","-",8078.15833/948747.24899*100)</f>
        <v>0.8514552572984743</v>
      </c>
      <c r="F21" s="48">
        <f>IF(OR(682384.58212="",3997.56601="",7120.78133=""),"-",(7120.78133-3997.56601)/682384.58212*100)</f>
        <v>0.4576913666919236</v>
      </c>
      <c r="G21" s="48">
        <f>IF(OR(877651.01761="",8078.15833="",7120.78133=""),"-",(8078.15833-7120.78133)/877651.01761*100)</f>
        <v>0.10908401868058087</v>
      </c>
    </row>
    <row r="22" spans="1:7" s="9" customFormat="1" ht="25.5">
      <c r="A22" s="37" t="s">
        <v>27</v>
      </c>
      <c r="B22" s="47">
        <f>IF(117851.3149="","-",117851.3149)</f>
        <v>117851.3149</v>
      </c>
      <c r="C22" s="47">
        <f>IF(104277.4731="","-",117851.3149/104277.4731*100)</f>
        <v>113.01704135751636</v>
      </c>
      <c r="D22" s="47">
        <f>IF(104277.4731="","-",104277.4731/877651.01761*100)</f>
        <v>11.88142792609825</v>
      </c>
      <c r="E22" s="47">
        <f>IF(117851.3149="","-",117851.3149/948747.24899*100)</f>
        <v>12.421781989403396</v>
      </c>
      <c r="F22" s="47">
        <f>IF(682384.58212="","-",(104277.4731-81717.94128)/682384.58212*100)</f>
        <v>3.305984984290401</v>
      </c>
      <c r="G22" s="47">
        <f>IF(877651.01761="","-",(117851.3149-104277.4731)/877651.01761*100)</f>
        <v>1.5466103870037071</v>
      </c>
    </row>
    <row r="23" spans="1:8" s="9" customFormat="1" ht="15.75">
      <c r="A23" s="30" t="s">
        <v>228</v>
      </c>
      <c r="B23" s="48">
        <f>IF(467.64384="","-",467.64384)</f>
        <v>467.64384</v>
      </c>
      <c r="C23" s="48">
        <f>IF(OR(1349.97296="",467.64384=""),"-",467.64384/1349.97296*100)</f>
        <v>34.640978290409606</v>
      </c>
      <c r="D23" s="48">
        <f>IF(1349.97296="","-",1349.97296/877651.01761*100)</f>
        <v>0.15381660055225788</v>
      </c>
      <c r="E23" s="48">
        <f>IF(467.64384="","-",467.64384/948747.24899*100)</f>
        <v>0.04929066624412727</v>
      </c>
      <c r="F23" s="48">
        <f>IF(OR(682384.58212="",1336.85423="",1349.97296=""),"-",(1349.97296-1336.85423)/682384.58212*100)</f>
        <v>0.0019224833537773514</v>
      </c>
      <c r="G23" s="48">
        <f>IF(OR(877651.01761="",467.64384="",1349.97296=""),"-",(467.64384-1349.97296)/877651.01761*100)</f>
        <v>-0.10053302534790416</v>
      </c>
      <c r="H23" s="7"/>
    </row>
    <row r="24" spans="1:8" s="9" customFormat="1" ht="15.75">
      <c r="A24" s="30" t="s">
        <v>229</v>
      </c>
      <c r="B24" s="48">
        <f>IF(105751.64148="","-",105751.64148)</f>
        <v>105751.64148</v>
      </c>
      <c r="C24" s="48">
        <f>IF(OR(91475.01046="",105751.64148=""),"-",105751.64148/91475.01046*100)</f>
        <v>115.60713789285965</v>
      </c>
      <c r="D24" s="48">
        <f>IF(91475.01046="","-",91475.01046/877651.01761*100)</f>
        <v>10.422708869990574</v>
      </c>
      <c r="E24" s="48">
        <f>IF(105751.64148="","-",105751.64148/948747.24899*100)</f>
        <v>11.14645039472622</v>
      </c>
      <c r="F24" s="48">
        <f>IF(OR(682384.58212="",70342.09339="",91475.01046=""),"-",(91475.01046-70342.09339)/682384.58212*100)</f>
        <v>3.0969218273286985</v>
      </c>
      <c r="G24" s="48">
        <f>IF(OR(877651.01761="",105751.64148="",91475.01046=""),"-",(105751.64148-91475.01046)/877651.01761*100)</f>
        <v>1.626686545510744</v>
      </c>
      <c r="H24" s="8"/>
    </row>
    <row r="25" spans="1:8" s="9" customFormat="1" ht="15.75">
      <c r="A25" s="30" t="s">
        <v>230</v>
      </c>
      <c r="B25" s="48">
        <f>IF(175.50655="","-",175.50655)</f>
        <v>175.50655</v>
      </c>
      <c r="C25" s="48">
        <f>IF(OR(205.50177="",175.50655=""),"-",175.50655/205.50177*100)</f>
        <v>85.40391160621147</v>
      </c>
      <c r="D25" s="48">
        <f>IF(205.50177="","-",205.50177/877651.01761*100)</f>
        <v>0.023414975414671985</v>
      </c>
      <c r="E25" s="48">
        <f>IF(175.50655="","-",175.50655/948747.24899*100)</f>
        <v>0.01849876773680636</v>
      </c>
      <c r="F25" s="48">
        <f>IF(OR(682384.58212="",107.47733="",205.50177=""),"-",(205.50177-107.47733)/682384.58212*100)</f>
        <v>0.014364984580317205</v>
      </c>
      <c r="G25" s="48">
        <f>IF(OR(877651.01761="",175.50655="",205.50177=""),"-",(175.50655-205.50177)/877651.01761*100)</f>
        <v>-0.0034176705089093745</v>
      </c>
      <c r="H25" s="8"/>
    </row>
    <row r="26" spans="1:8" s="9" customFormat="1" ht="15.75">
      <c r="A26" s="30" t="s">
        <v>231</v>
      </c>
      <c r="B26" s="48">
        <f>IF(827.59546="","-",827.59546)</f>
        <v>827.59546</v>
      </c>
      <c r="C26" s="48">
        <f>IF(OR(979.03076="",827.59546=""),"-",827.59546/979.03076*100)</f>
        <v>84.53212031867109</v>
      </c>
      <c r="D26" s="48">
        <f>IF(979.03076="","-",979.03076/877651.01761*100)</f>
        <v>0.11155125902617594</v>
      </c>
      <c r="E26" s="48">
        <f>IF(827.59546="","-",827.59546/948747.24899*100)</f>
        <v>0.08723034094496995</v>
      </c>
      <c r="F26" s="48">
        <f>IF(OR(682384.58212="",788.07146="",979.03076=""),"-",(979.03076-788.07146)/682384.58212*100)</f>
        <v>0.02798411702191991</v>
      </c>
      <c r="G26" s="48">
        <f>IF(OR(877651.01761="",827.59546="",979.03076=""),"-",(827.59546-979.03076)/877651.01761*100)</f>
        <v>-0.017254614529176447</v>
      </c>
      <c r="H26" s="8"/>
    </row>
    <row r="27" spans="1:8" s="9" customFormat="1" ht="38.25">
      <c r="A27" s="30" t="s">
        <v>232</v>
      </c>
      <c r="B27" s="48">
        <f>IF(103.33915="","-",103.33915)</f>
        <v>103.33915</v>
      </c>
      <c r="C27" s="48" t="s">
        <v>116</v>
      </c>
      <c r="D27" s="48">
        <f>IF(63.83006="","-",63.83006/877651.01761*100)</f>
        <v>0.0072728292589257885</v>
      </c>
      <c r="E27" s="48">
        <f>IF(103.33915="","-",103.33915/948747.24899*100)</f>
        <v>0.010892168605496449</v>
      </c>
      <c r="F27" s="48">
        <f>IF(OR(682384.58212="",63.12148="",63.83006=""),"-",(63.83006-63.12148)/682384.58212*100)</f>
        <v>0.00010383880564807343</v>
      </c>
      <c r="G27" s="48">
        <f>IF(OR(877651.01761="",103.33915="",63.83006=""),"-",(103.33915-63.83006)/877651.01761*100)</f>
        <v>0.004501685659476621</v>
      </c>
      <c r="H27" s="8"/>
    </row>
    <row r="28" spans="1:8" s="9" customFormat="1" ht="14.25" customHeight="1">
      <c r="A28" s="30" t="s">
        <v>233</v>
      </c>
      <c r="B28" s="48">
        <f>IF(3106.26869="","-",3106.26869)</f>
        <v>3106.26869</v>
      </c>
      <c r="C28" s="48">
        <f>IF(OR(3422.50504="",3106.26869=""),"-",3106.26869/3422.50504*100)</f>
        <v>90.7600910355416</v>
      </c>
      <c r="D28" s="48">
        <f>IF(3422.50504="","-",3422.50504/877651.01761*100)</f>
        <v>0.38996195199774175</v>
      </c>
      <c r="E28" s="48">
        <f>IF(3106.26869="","-",3106.26869/948747.24899*100)</f>
        <v>0.3274073988943646</v>
      </c>
      <c r="F28" s="48">
        <f>IF(OR(682384.58212="",2881.12731="",3422.50504=""),"-",(3422.50504-2881.12731)/682384.58212*100)</f>
        <v>0.0793361608959677</v>
      </c>
      <c r="G28" s="48">
        <f>IF(OR(877651.01761="",3106.26869="",3422.50504=""),"-",(3106.26869-3422.50504)/877651.01761*100)</f>
        <v>-0.036032129360616255</v>
      </c>
      <c r="H28" s="8"/>
    </row>
    <row r="29" spans="1:8" s="9" customFormat="1" ht="15.75">
      <c r="A29" s="30" t="s">
        <v>234</v>
      </c>
      <c r="B29" s="48">
        <f>IF(5607.26833="","-",5607.26833)</f>
        <v>5607.26833</v>
      </c>
      <c r="C29" s="48">
        <f>IF(OR(5019.77898="",5607.26833=""),"-",5607.26833/5019.77898*100)</f>
        <v>111.70349037957045</v>
      </c>
      <c r="D29" s="48">
        <f>IF(5019.77898="","-",5019.77898/877651.01761*100)</f>
        <v>0.5719561510530407</v>
      </c>
      <c r="E29" s="48">
        <f>IF(5607.26833="","-",5607.26833/948747.24899*100)</f>
        <v>0.5910181384946606</v>
      </c>
      <c r="F29" s="48">
        <f>IF(OR(682384.58212="",5158.03796="",5019.77898=""),"-",(5019.77898-5158.03796)/682384.58212*100)</f>
        <v>-0.020261152379859343</v>
      </c>
      <c r="G29" s="48">
        <f>IF(OR(877651.01761="",5607.26833="",5019.77898=""),"-",(5607.26833-5019.77898)/877651.01761*100)</f>
        <v>0.06693883311385407</v>
      </c>
      <c r="H29" s="8"/>
    </row>
    <row r="30" spans="1:8" s="9" customFormat="1" ht="25.5">
      <c r="A30" s="30" t="s">
        <v>28</v>
      </c>
      <c r="B30" s="48">
        <f>IF(1811.81304="","-",1811.81304)</f>
        <v>1811.81304</v>
      </c>
      <c r="C30" s="48">
        <f>IF(OR(1761.79559="",1811.81304=""),"-",1811.81304/1761.79559*100)</f>
        <v>102.83900415484636</v>
      </c>
      <c r="D30" s="48">
        <f>IF(1761.79559="","-",1761.79559/877651.01761*100)</f>
        <v>0.20073987890969272</v>
      </c>
      <c r="E30" s="48">
        <f>IF(1811.81304="","-",1811.81304/948747.24899*100)</f>
        <v>0.19096899010023868</v>
      </c>
      <c r="F30" s="48">
        <f>IF(OR(682384.58212="",1040.78078="",1761.79559=""),"-",(1761.79559-1040.78078)/682384.58212*100)</f>
        <v>0.10566106399414613</v>
      </c>
      <c r="G30" s="48">
        <f>IF(OR(877651.01761="",1811.81304="",1761.79559=""),"-",(1811.81304-1761.79559)/877651.01761*100)</f>
        <v>0.005699013502679742</v>
      </c>
      <c r="H30" s="8"/>
    </row>
    <row r="31" spans="1:8" s="9" customFormat="1" ht="25.5">
      <c r="A31" s="37" t="s">
        <v>235</v>
      </c>
      <c r="B31" s="47">
        <f>IF(4975.1319="","-",4975.1319)</f>
        <v>4975.1319</v>
      </c>
      <c r="C31" s="47">
        <f>IF(4327.1222="","-",4975.1319/4327.1222*100)</f>
        <v>114.97553501031241</v>
      </c>
      <c r="D31" s="47">
        <f>IF(4327.1222="","-",4327.1222/877651.01761*100)</f>
        <v>0.49303448787463655</v>
      </c>
      <c r="E31" s="47">
        <f>IF(4975.1319="","-",4975.1319/948747.24899*100)</f>
        <v>0.5243895995794808</v>
      </c>
      <c r="F31" s="47">
        <f>IF(682384.58212="","-",(4327.1222-4593.18544)/682384.58212*100)</f>
        <v>-0.03899021856171014</v>
      </c>
      <c r="G31" s="47">
        <f>IF(877651.01761="","-",(4975.1319-4327.1222)/877651.01761*100)</f>
        <v>0.0738345523445807</v>
      </c>
      <c r="H31" s="8"/>
    </row>
    <row r="32" spans="1:7" s="9" customFormat="1" ht="27" customHeight="1">
      <c r="A32" s="30" t="s">
        <v>236</v>
      </c>
      <c r="B32" s="48">
        <f>IF(4972.5985="","-",4972.5985)</f>
        <v>4972.5985</v>
      </c>
      <c r="C32" s="48">
        <f>IF(OR(4302.00415="",4972.5985=""),"-",4972.5985/4302.00415*100)</f>
        <v>115.58795218735436</v>
      </c>
      <c r="D32" s="48">
        <f>IF(4302.00415="","-",4302.00415/877651.01761*100)</f>
        <v>0.49017252457760757</v>
      </c>
      <c r="E32" s="48">
        <f>IF(4972.5985="","-",4972.5985/948747.24899*100)</f>
        <v>0.5241225737722706</v>
      </c>
      <c r="F32" s="48">
        <f>IF(OR(682384.58212="",4591.00841="",4302.00415=""),"-",(4302.00415-4591.00841)/682384.58212*100)</f>
        <v>-0.042352108704176154</v>
      </c>
      <c r="G32" s="48">
        <f>IF(OR(877651.01761="",4972.5985="",4302.00415=""),"-",(4972.5985-4302.00415)/877651.01761*100)</f>
        <v>0.07640785876670525</v>
      </c>
    </row>
    <row r="33" spans="1:7" s="9" customFormat="1" ht="15.75">
      <c r="A33" s="30" t="s">
        <v>29</v>
      </c>
      <c r="B33" s="48">
        <f>IF(2.43609="","-",2.43609)</f>
        <v>2.43609</v>
      </c>
      <c r="C33" s="48">
        <f>IF(OR(2.71872="",2.43609=""),"-",2.43609/2.71872*100)</f>
        <v>89.60429908192091</v>
      </c>
      <c r="D33" s="48">
        <f>IF(2.71872="","-",2.71872/877651.01761*100)</f>
        <v>0.0003097723292571982</v>
      </c>
      <c r="E33" s="48">
        <f>IF(2.43609="","-",2.43609/948747.24899*100)</f>
        <v>0.0002567691239783165</v>
      </c>
      <c r="F33" s="48">
        <f>IF(OR(682384.58212="",2.17703="",2.71872=""),"-",(2.71872-2.17703)/682384.58212*100)</f>
        <v>7.938192248088361E-05</v>
      </c>
      <c r="G33" s="48">
        <f>IF(OR(877651.01761="",2.43609="",2.71872=""),"-",(2.43609-2.71872)/877651.01761*100)</f>
        <v>-3.220300487654553E-05</v>
      </c>
    </row>
    <row r="34" spans="1:7" s="9" customFormat="1" ht="25.5">
      <c r="A34" s="37" t="s">
        <v>237</v>
      </c>
      <c r="B34" s="47">
        <f>IF(26386.83455="","-",26386.83455)</f>
        <v>26386.83455</v>
      </c>
      <c r="C34" s="47">
        <f>IF(34492.19271="","-",26386.83455/34492.19271*100)</f>
        <v>76.50089042425508</v>
      </c>
      <c r="D34" s="47">
        <f>IF(34492.19271="","-",34492.19271/877651.01761*100)</f>
        <v>3.930057849636907</v>
      </c>
      <c r="E34" s="47">
        <f>IF(26386.83455="","-",26386.83455/948747.24899*100)</f>
        <v>2.7812290974324734</v>
      </c>
      <c r="F34" s="47">
        <f>IF(682384.58212="","-",(34492.19271-17983.6599)/682384.58212*100)</f>
        <v>2.4192417652098874</v>
      </c>
      <c r="G34" s="47">
        <f>IF(877651.01761="","-",(26386.83455-34492.19271)/877651.01761*100)</f>
        <v>-0.9235286004763416</v>
      </c>
    </row>
    <row r="35" spans="1:7" s="9" customFormat="1" ht="25.5">
      <c r="A35" s="30" t="s">
        <v>238</v>
      </c>
      <c r="B35" s="48">
        <f>IF(26386.69879="","-",26386.69879)</f>
        <v>26386.69879</v>
      </c>
      <c r="C35" s="48">
        <f>IF(OR(34457.57109="",26386.69879=""),"-",26386.69879/34457.57109*100)</f>
        <v>76.57736153567056</v>
      </c>
      <c r="D35" s="48">
        <f>IF(34457.57109="","-",34457.57109/877651.01761*100)</f>
        <v>3.92611304477651</v>
      </c>
      <c r="E35" s="48">
        <f>IF(26386.69879="","-",26386.69879/948747.24899*100)</f>
        <v>2.781214788036568</v>
      </c>
      <c r="F35" s="48">
        <f>IF(OR(682384.58212="",17964.7882="",34457.57109=""),"-",(34457.57109-17964.7882)/682384.58212*100)</f>
        <v>2.416933694304904</v>
      </c>
      <c r="G35" s="48">
        <f>IF(OR(877651.01761="",26386.69879="",34457.57109=""),"-",(26386.69879-34457.57109)/877651.01761*100)</f>
        <v>-0.9195992641788785</v>
      </c>
    </row>
    <row r="36" spans="1:7" s="9" customFormat="1" ht="25.5">
      <c r="A36" s="37" t="s">
        <v>239</v>
      </c>
      <c r="B36" s="47">
        <f>IF(38948.82739="","-",38948.82739)</f>
        <v>38948.82739</v>
      </c>
      <c r="C36" s="47">
        <f>IF(42130.93824="","-",38948.82739/42130.93824*100)</f>
        <v>92.44709236743547</v>
      </c>
      <c r="D36" s="47">
        <f>IF(42130.93824="","-",42130.93824/877651.01761*100)</f>
        <v>4.800420371496868</v>
      </c>
      <c r="E36" s="47">
        <f>IF(38948.82739="","-",38948.82739/948747.24899*100)</f>
        <v>4.105290153037433</v>
      </c>
      <c r="F36" s="47">
        <f>IF(682384.58212="","-",(42130.93824-36082.58401)/682384.58212*100)</f>
        <v>0.8863556399837266</v>
      </c>
      <c r="G36" s="47">
        <f>IF(877651.01761="","-",(38948.82739-42130.93824)/877651.01761*100)</f>
        <v>-0.3625713166339691</v>
      </c>
    </row>
    <row r="37" spans="1:7" s="9" customFormat="1" ht="15.75">
      <c r="A37" s="30" t="s">
        <v>30</v>
      </c>
      <c r="B37" s="48">
        <f>IF(5092.82445="","-",5092.82445)</f>
        <v>5092.82445</v>
      </c>
      <c r="C37" s="48">
        <f>IF(OR(8012.32038="",5092.82445=""),"-",5092.82445/8012.32038*100)</f>
        <v>63.56241648439924</v>
      </c>
      <c r="D37" s="48">
        <f>IF(8012.32038="","-",8012.32038/877651.01761*100)</f>
        <v>0.9129278288560497</v>
      </c>
      <c r="E37" s="48">
        <f>IF(5092.82445="","-",5092.82445/948747.24899*100)</f>
        <v>0.5367946474070545</v>
      </c>
      <c r="F37" s="48">
        <f>IF(OR(682384.58212="",7728.61926="",8012.32038=""),"-",(8012.32038-7728.61926)/682384.58212*100)</f>
        <v>0.04157496043046731</v>
      </c>
      <c r="G37" s="48">
        <f>IF(OR(877651.01761="",5092.82445="",8012.32038=""),"-",(5092.82445-8012.32038)/877651.01761*100)</f>
        <v>-0.3326488400765839</v>
      </c>
    </row>
    <row r="38" spans="1:7" s="9" customFormat="1" ht="15.75">
      <c r="A38" s="30" t="s">
        <v>31</v>
      </c>
      <c r="B38" s="48">
        <f>IF(318.2691="","-",318.2691)</f>
        <v>318.2691</v>
      </c>
      <c r="C38" s="48" t="s">
        <v>115</v>
      </c>
      <c r="D38" s="48">
        <f>IF(187.05736="","-",187.05736/877651.01761*100)</f>
        <v>0.02131341002821264</v>
      </c>
      <c r="E38" s="48">
        <f>IF(318.2691="","-",318.2691/948747.24899*100)</f>
        <v>0.033546247468840315</v>
      </c>
      <c r="F38" s="48">
        <f>IF(OR(682384.58212="",351.32377="",187.05736=""),"-",(187.05736-351.32377)/682384.58212*100)</f>
        <v>-0.024072409357442537</v>
      </c>
      <c r="G38" s="48">
        <f>IF(OR(877651.01761="",318.2691="",187.05736=""),"-",(318.2691-187.05736)/877651.01761*100)</f>
        <v>0.014950331893571199</v>
      </c>
    </row>
    <row r="39" spans="1:7" s="9" customFormat="1" ht="15.75">
      <c r="A39" s="30" t="s">
        <v>240</v>
      </c>
      <c r="B39" s="48">
        <f>IF(305.77724="","-",305.77724)</f>
        <v>305.77724</v>
      </c>
      <c r="C39" s="48">
        <f>IF(OR(702.90851="",305.77724=""),"-",305.77724/702.90851*100)</f>
        <v>43.50171261975474</v>
      </c>
      <c r="D39" s="48">
        <f>IF(702.90851="","-",702.90851/877651.01761*100)</f>
        <v>0.08008975046985589</v>
      </c>
      <c r="E39" s="48">
        <f>IF(305.77724="","-",305.77724/948747.24899*100)</f>
        <v>0.03222957856536804</v>
      </c>
      <c r="F39" s="48">
        <f>IF(OR(682384.58212="",220.27122="",702.90851=""),"-",(702.90851-220.27122)/682384.58212*100)</f>
        <v>0.07072804729857252</v>
      </c>
      <c r="G39" s="48">
        <f>IF(OR(877651.01761="",305.77724="",702.90851=""),"-",(305.77724-702.90851)/877651.01761*100)</f>
        <v>-0.04524933738258051</v>
      </c>
    </row>
    <row r="40" spans="1:7" s="9" customFormat="1" ht="15.75">
      <c r="A40" s="30" t="s">
        <v>241</v>
      </c>
      <c r="B40" s="48">
        <f>IF(26631.98533="","-",26631.98533)</f>
        <v>26631.98533</v>
      </c>
      <c r="C40" s="48">
        <f>IF(OR(22809.25999="",26631.98533=""),"-",26631.98533/22809.25999*100)</f>
        <v>116.75953249546876</v>
      </c>
      <c r="D40" s="48">
        <f>IF(22809.25999="","-",22809.25999/877651.01761*100)</f>
        <v>2.59889859777223</v>
      </c>
      <c r="E40" s="48">
        <f>IF(26631.98533="","-",26631.98533/948747.24899*100)</f>
        <v>2.8070685167573757</v>
      </c>
      <c r="F40" s="48">
        <f>IF(OR(682384.58212="",15172.94811="",22809.25999=""),"-",(22809.25999-15172.94811)/682384.58212*100)</f>
        <v>1.11906278073808</v>
      </c>
      <c r="G40" s="48">
        <f>IF(OR(877651.01761="",26631.98533="",22809.25999=""),"-",(26631.98533-22809.25999)/877651.01761*100)</f>
        <v>0.4355632550179185</v>
      </c>
    </row>
    <row r="41" spans="1:7" s="9" customFormat="1" ht="38.25">
      <c r="A41" s="30" t="s">
        <v>242</v>
      </c>
      <c r="B41" s="48">
        <f>IF(4470.66966="","-",4470.66966)</f>
        <v>4470.66966</v>
      </c>
      <c r="C41" s="48">
        <f>IF(OR(7975.05301="",4470.66966=""),"-",4470.66966/7975.05301*100)</f>
        <v>56.058181110447556</v>
      </c>
      <c r="D41" s="48">
        <f>IF(7975.05301="","-",7975.05301/877651.01761*100)</f>
        <v>0.9086815659050325</v>
      </c>
      <c r="E41" s="48">
        <f>IF(4470.66966="","-",4470.66966/948747.24899*100)</f>
        <v>0.4712181948099774</v>
      </c>
      <c r="F41" s="48">
        <f>IF(OR(682384.58212="",10009.79909="",7975.05301=""),"-",(7975.05301-10009.79909)/682384.58212*100)</f>
        <v>-0.2981817194167178</v>
      </c>
      <c r="G41" s="48">
        <f>IF(OR(877651.01761="",4470.66966="",7975.05301=""),"-",(4470.66966-7975.05301)/877651.01761*100)</f>
        <v>-0.39929120797273837</v>
      </c>
    </row>
    <row r="42" spans="1:7" s="9" customFormat="1" ht="15.75">
      <c r="A42" s="30" t="s">
        <v>243</v>
      </c>
      <c r="B42" s="48">
        <f>IF(20.17404="","-",20.17404)</f>
        <v>20.17404</v>
      </c>
      <c r="C42" s="48" t="str">
        <f>IF(OR(""="",20.17404=""),"-",20.17404/""*100)</f>
        <v>-</v>
      </c>
      <c r="D42" s="48" t="str">
        <f>IF(""="","-",""/877651.01761*100)</f>
        <v>-</v>
      </c>
      <c r="E42" s="48">
        <f>IF(20.17404="","-",20.17404/948747.24899*100)</f>
        <v>0.0021263871933727883</v>
      </c>
      <c r="F42" s="48" t="str">
        <f>IF(OR(682384.58212="",25.2="",""=""),"-",(""-25.2)/682384.58212*100)</f>
        <v>-</v>
      </c>
      <c r="G42" s="48" t="str">
        <f>IF(OR(877651.01761="",20.17404="",""=""),"-",(20.17404-"")/877651.01761*100)</f>
        <v>-</v>
      </c>
    </row>
    <row r="43" spans="1:7" s="9" customFormat="1" ht="15.75">
      <c r="A43" s="30" t="s">
        <v>32</v>
      </c>
      <c r="B43" s="48">
        <f>IF(585.00282="","-",585.00282)</f>
        <v>585.00282</v>
      </c>
      <c r="C43" s="48">
        <f>IF(OR(850.68586="",585.00282=""),"-",585.00282/850.68586*100)</f>
        <v>68.76837238131594</v>
      </c>
      <c r="D43" s="48">
        <f>IF(850.68586="","-",850.68586/877651.01761*100)</f>
        <v>0.0969275763294355</v>
      </c>
      <c r="E43" s="48">
        <f>IF(585.00282="","-",585.00282/948747.24899*100)</f>
        <v>0.06166055507647286</v>
      </c>
      <c r="F43" s="48">
        <f>IF(OR(682384.58212="",818.16832="",850.68586=""),"-",(850.68586-818.16832)/682384.58212*100)</f>
        <v>0.004765280584003833</v>
      </c>
      <c r="G43" s="48">
        <f>IF(OR(877651.01761="",585.00282="",850.68586=""),"-",(585.00282-850.68586)/877651.01761*100)</f>
        <v>-0.030272059699025043</v>
      </c>
    </row>
    <row r="44" spans="1:7" s="9" customFormat="1" ht="15.75">
      <c r="A44" s="30" t="s">
        <v>33</v>
      </c>
      <c r="B44" s="48">
        <f>IF(832.49881="","-",832.49881)</f>
        <v>832.49881</v>
      </c>
      <c r="C44" s="48" t="s">
        <v>116</v>
      </c>
      <c r="D44" s="48">
        <f>IF(536.06057="","-",536.06057/877651.01761*100)</f>
        <v>0.06107901195851039</v>
      </c>
      <c r="E44" s="48">
        <f>IF(832.49881="","-",832.49881/948747.24899*100)</f>
        <v>0.08774716457794701</v>
      </c>
      <c r="F44" s="48">
        <f>IF(OR(682384.58212="",995.6026="",536.06057=""),"-",(536.06057-995.6026)/682384.58212*100)</f>
        <v>-0.06734355406628864</v>
      </c>
      <c r="G44" s="48">
        <f>IF(OR(877651.01761="",832.49881="",536.06057=""),"-",(832.49881-536.06057)/877651.01761*100)</f>
        <v>0.03377632271278557</v>
      </c>
    </row>
    <row r="45" spans="1:7" s="9" customFormat="1" ht="15.75">
      <c r="A45" s="30" t="s">
        <v>244</v>
      </c>
      <c r="B45" s="48">
        <f>IF(691.62594="","-",691.62594)</f>
        <v>691.62594</v>
      </c>
      <c r="C45" s="48">
        <f>IF(OR(1057.59256="",691.62594=""),"-",691.62594/1057.59256*100)</f>
        <v>65.39625619151481</v>
      </c>
      <c r="D45" s="48">
        <f>IF(1057.59256="","-",1057.59256/877651.01761*100)</f>
        <v>0.12050263017754059</v>
      </c>
      <c r="E45" s="48">
        <f>IF(691.62594="","-",691.62594/948747.24899*100)</f>
        <v>0.07289886118102355</v>
      </c>
      <c r="F45" s="48">
        <f>IF(OR(682384.58212="",760.65164="",1057.59256=""),"-",(1057.59256-760.65164)/682384.58212*100)</f>
        <v>0.04351518597877432</v>
      </c>
      <c r="G45" s="48">
        <f>IF(OR(877651.01761="",691.62594="",1057.59256=""),"-",(691.62594-1057.59256)/877651.01761*100)</f>
        <v>-0.041698421429122515</v>
      </c>
    </row>
    <row r="46" spans="1:7" s="9" customFormat="1" ht="25.5">
      <c r="A46" s="37" t="s">
        <v>34</v>
      </c>
      <c r="B46" s="47">
        <f>IF(55210.91251="","-",55210.91251)</f>
        <v>55210.91251</v>
      </c>
      <c r="C46" s="47">
        <f>IF(58955.95031="","-",55210.91251/58955.95031*100)</f>
        <v>93.64773567331545</v>
      </c>
      <c r="D46" s="47">
        <f>IF(58955.95031="","-",58955.95031/877651.01761*100)</f>
        <v>6.717470740311741</v>
      </c>
      <c r="E46" s="47">
        <f>IF(55210.91251="","-",55210.91251/948747.24899*100)</f>
        <v>5.8193488907372775</v>
      </c>
      <c r="F46" s="47">
        <f>IF(682384.58212="","-",(58955.95031-52142.51561)/682384.58212*100)</f>
        <v>0.9984743029850326</v>
      </c>
      <c r="G46" s="47">
        <f>IF(877651.01761="","-",(55210.91251-58955.95031)/877651.01761*100)</f>
        <v>-0.4267114974922952</v>
      </c>
    </row>
    <row r="47" spans="1:7" s="9" customFormat="1" ht="15.75">
      <c r="A47" s="30" t="s">
        <v>245</v>
      </c>
      <c r="B47" s="48">
        <f>IF(94.70738="","-",94.70738)</f>
        <v>94.70738</v>
      </c>
      <c r="C47" s="48">
        <f>IF(OR(555.03904="",94.70738=""),"-",94.70738/555.03904*100)</f>
        <v>17.063192527862544</v>
      </c>
      <c r="D47" s="48">
        <f>IF(555.03904="","-",555.03904/877651.01761*100)</f>
        <v>0.06324142841097252</v>
      </c>
      <c r="E47" s="48">
        <f>IF(94.70738="","-",94.70738/948747.24899*100)</f>
        <v>0.009982361487827432</v>
      </c>
      <c r="F47" s="48">
        <f>IF(OR(682384.58212="",922.00199="",555.03904=""),"-",(555.03904-922.00199)/682384.58212*100)</f>
        <v>-0.053776559379453866</v>
      </c>
      <c r="G47" s="48">
        <f>IF(OR(877651.01761="",94.70738="",555.03904=""),"-",(94.70738-555.03904)/877651.01761*100)</f>
        <v>-0.05245042172383792</v>
      </c>
    </row>
    <row r="48" spans="1:7" s="9" customFormat="1" ht="15.75">
      <c r="A48" s="30" t="s">
        <v>35</v>
      </c>
      <c r="B48" s="48">
        <f>IF(578.36114="","-",578.36114)</f>
        <v>578.36114</v>
      </c>
      <c r="C48" s="48">
        <f>IF(OR(446.64622="",578.36114=""),"-",578.36114/446.64622*100)</f>
        <v>129.48976485237017</v>
      </c>
      <c r="D48" s="48">
        <f>IF(446.64622="","-",446.64622/877651.01761*100)</f>
        <v>0.0508910957815895</v>
      </c>
      <c r="E48" s="48">
        <f>IF(578.36114="","-",578.36114/948747.24899*100)</f>
        <v>0.0609605077238117</v>
      </c>
      <c r="F48" s="48">
        <f>IF(OR(682384.58212="",780.69017="",446.64622=""),"-",(446.64622-780.69017)/682384.58212*100)</f>
        <v>-0.04895244686833458</v>
      </c>
      <c r="G48" s="48">
        <f>IF(OR(877651.01761="",578.36114="",446.64622=""),"-",(578.36114-446.64622)/877651.01761*100)</f>
        <v>0.01500766447678522</v>
      </c>
    </row>
    <row r="49" spans="1:7" s="9" customFormat="1" ht="15.75">
      <c r="A49" s="30" t="s">
        <v>36</v>
      </c>
      <c r="B49" s="48">
        <f>IF(6775.67656="","-",6775.67656)</f>
        <v>6775.67656</v>
      </c>
      <c r="C49" s="48">
        <f>IF(OR(5152.55445="",6775.67656=""),"-",6775.67656/5152.55445*100)</f>
        <v>131.50130921954644</v>
      </c>
      <c r="D49" s="48">
        <f>IF(5152.55445="","-",5152.55445/877651.01761*100)</f>
        <v>0.58708465513221</v>
      </c>
      <c r="E49" s="48">
        <f>IF(6775.67656="","-",6775.67656/948747.24899*100)</f>
        <v>0.7141708781989224</v>
      </c>
      <c r="F49" s="48">
        <f>IF(OR(682384.58212="",2728.69481="",5152.55445=""),"-",(5152.55445-2728.69481)/682384.58212*100)</f>
        <v>0.3552043383614658</v>
      </c>
      <c r="G49" s="48">
        <f>IF(OR(877651.01761="",6775.67656="",5152.55445=""),"-",(6775.67656-5152.55445)/877651.01761*100)</f>
        <v>0.18493935259370528</v>
      </c>
    </row>
    <row r="50" spans="1:7" s="9" customFormat="1" ht="25.5">
      <c r="A50" s="30" t="s">
        <v>246</v>
      </c>
      <c r="B50" s="48">
        <f>IF(3224.05242="","-",3224.05242)</f>
        <v>3224.05242</v>
      </c>
      <c r="C50" s="48">
        <f>IF(OR(3696.55894="",3224.05242=""),"-",3224.05242/3696.55894*100)</f>
        <v>87.21766573536631</v>
      </c>
      <c r="D50" s="48">
        <f>IF(3696.55894="","-",3696.55894/877651.01761*100)</f>
        <v>0.42118779171092263</v>
      </c>
      <c r="E50" s="48">
        <f>IF(3224.05242="","-",3224.05242/948747.24899*100)</f>
        <v>0.3398220572899898</v>
      </c>
      <c r="F50" s="48">
        <f>IF(OR(682384.58212="",2004.37178="",3696.55894=""),"-",(3696.55894-2004.37178)/682384.58212*100)</f>
        <v>0.24798144687601134</v>
      </c>
      <c r="G50" s="48">
        <f>IF(OR(877651.01761="",3224.05242="",3696.55894=""),"-",(3224.05242-3696.55894)/877651.01761*100)</f>
        <v>-0.05383763141831924</v>
      </c>
    </row>
    <row r="51" spans="1:7" s="9" customFormat="1" ht="25.5">
      <c r="A51" s="30" t="s">
        <v>247</v>
      </c>
      <c r="B51" s="48">
        <f>IF(21133.50398="","-",21133.50398)</f>
        <v>21133.50398</v>
      </c>
      <c r="C51" s="48">
        <f>IF(OR(26146.27363="",21133.50398=""),"-",21133.50398/26146.27363*100)</f>
        <v>80.82797678576885</v>
      </c>
      <c r="D51" s="48">
        <f>IF(26146.27363="","-",26146.27363/877651.01761*100)</f>
        <v>2.9791196164964244</v>
      </c>
      <c r="E51" s="48">
        <f>IF(21133.50398="","-",21133.50398/948747.24899*100)</f>
        <v>2.227516759863907</v>
      </c>
      <c r="F51" s="48">
        <f>IF(OR(682384.58212="",27539.54713="",26146.27363=""),"-",(26146.27363-27539.54713)/682384.58212*100)</f>
        <v>-0.20417716585439888</v>
      </c>
      <c r="G51" s="48">
        <f>IF(OR(877651.01761="",21133.50398="",26146.27363=""),"-",(21133.50398-26146.27363)/877651.01761*100)</f>
        <v>-0.5711575044544086</v>
      </c>
    </row>
    <row r="52" spans="1:7" s="9" customFormat="1" ht="15.75">
      <c r="A52" s="30" t="s">
        <v>37</v>
      </c>
      <c r="B52" s="48">
        <f>IF(15123.01461="","-",15123.01461)</f>
        <v>15123.01461</v>
      </c>
      <c r="C52" s="48">
        <f>IF(OR(13777.11616="",15123.01461=""),"-",15123.01461/13777.11616*100)</f>
        <v>109.76908690011365</v>
      </c>
      <c r="D52" s="48">
        <f>IF(13777.11616="","-",13777.11616/877651.01761*100)</f>
        <v>1.5697715701985442</v>
      </c>
      <c r="E52" s="48">
        <f>IF(15123.01461="","-",15123.01461/948747.24899*100)</f>
        <v>1.5939982567643156</v>
      </c>
      <c r="F52" s="48">
        <f>IF(OR(682384.58212="",8088.82269="",13777.11616=""),"-",(13777.11616-8088.82269)/682384.58212*100)</f>
        <v>0.8335905615463761</v>
      </c>
      <c r="G52" s="48">
        <f>IF(OR(877651.01761="",15123.01461="",13777.11616=""),"-",(15123.01461-13777.11616)/877651.01761*100)</f>
        <v>0.15335234882597434</v>
      </c>
    </row>
    <row r="53" spans="1:7" s="9" customFormat="1" ht="14.25" customHeight="1">
      <c r="A53" s="30" t="s">
        <v>248</v>
      </c>
      <c r="B53" s="48">
        <f>IF(514.95668="","-",514.95668)</f>
        <v>514.95668</v>
      </c>
      <c r="C53" s="48">
        <f>IF(OR(383.03019="",514.95668=""),"-",514.95668/383.03019*100)</f>
        <v>134.44284378732652</v>
      </c>
      <c r="D53" s="48">
        <f>IF(383.03019="","-",383.03019/877651.01761*100)</f>
        <v>0.04364265320890978</v>
      </c>
      <c r="E53" s="48">
        <f>IF(514.95668="","-",514.95668/948747.24899*100)</f>
        <v>0.05427754131020703</v>
      </c>
      <c r="F53" s="48">
        <f>IF(OR(682384.58212="",699.27069="",383.03019=""),"-",(383.03019-699.27069)/682384.58212*100)</f>
        <v>-0.046343441555716125</v>
      </c>
      <c r="G53" s="48">
        <f>IF(OR(877651.01761="",514.95668="",383.03019=""),"-",(514.95668-383.03019)/877651.01761*100)</f>
        <v>0.015031770869389444</v>
      </c>
    </row>
    <row r="54" spans="1:7" s="9" customFormat="1" ht="15.75">
      <c r="A54" s="30" t="s">
        <v>38</v>
      </c>
      <c r="B54" s="48">
        <f>IF(207.39729="","-",207.39729)</f>
        <v>207.39729</v>
      </c>
      <c r="C54" s="48">
        <f>IF(OR(762.90023="",207.39729=""),"-",207.39729/762.90023*100)</f>
        <v>27.18537520954739</v>
      </c>
      <c r="D54" s="48">
        <f>IF(762.90023="","-",762.90023/877651.01761*100)</f>
        <v>0.08692523733152081</v>
      </c>
      <c r="E54" s="48">
        <f>IF(207.39729="","-",207.39729/948747.24899*100)</f>
        <v>0.021860120302934972</v>
      </c>
      <c r="F54" s="48">
        <f>IF(OR(682384.58212="",1039.22823="",762.90023=""),"-",(762.90023-1039.22823)/682384.58212*100)</f>
        <v>-0.04049446708504422</v>
      </c>
      <c r="G54" s="48">
        <f>IF(OR(877651.01761="",207.39729="",762.90023=""),"-",(207.39729-762.90023)/877651.01761*100)</f>
        <v>-0.06329428541115732</v>
      </c>
    </row>
    <row r="55" spans="1:7" s="9" customFormat="1" ht="15.75">
      <c r="A55" s="30" t="s">
        <v>39</v>
      </c>
      <c r="B55" s="48">
        <f>IF(7559.24245="","-",7559.24245)</f>
        <v>7559.24245</v>
      </c>
      <c r="C55" s="48">
        <f>IF(OR(8035.83145="",7559.24245=""),"-",7559.24245/8035.83145*100)</f>
        <v>94.06920114034996</v>
      </c>
      <c r="D55" s="48">
        <f>IF(8035.83145="","-",8035.83145/877651.01761*100)</f>
        <v>0.9156066920406473</v>
      </c>
      <c r="E55" s="48">
        <f>IF(7559.24245="","-",7559.24245/948747.24899*100)</f>
        <v>0.7967604077953617</v>
      </c>
      <c r="F55" s="48">
        <f>IF(OR(682384.58212="",8339.88812="",8035.83145=""),"-",(8035.83145-8339.88812)/682384.58212*100)</f>
        <v>-0.044557963055872556</v>
      </c>
      <c r="G55" s="48">
        <f>IF(OR(877651.01761="",7559.24245="",8035.83145=""),"-",(7559.24245-8035.83145)/877651.01761*100)</f>
        <v>-0.054302791250426245</v>
      </c>
    </row>
    <row r="56" spans="1:7" s="9" customFormat="1" ht="15" customHeight="1">
      <c r="A56" s="37" t="s">
        <v>249</v>
      </c>
      <c r="B56" s="47">
        <f>IF(236524.71627="","-",236524.71627)</f>
        <v>236524.71627</v>
      </c>
      <c r="C56" s="47">
        <f>IF(165694.75582="","-",236524.71627/165694.75582*100)</f>
        <v>142.74725539711412</v>
      </c>
      <c r="D56" s="47">
        <f>IF(165694.75582="","-",165694.75582/877651.01761*100)</f>
        <v>18.87934412372885</v>
      </c>
      <c r="E56" s="47">
        <f>IF(236524.71627="","-",236524.71627/948747.24899*100)</f>
        <v>24.93021366036056</v>
      </c>
      <c r="F56" s="47">
        <f>IF(682384.58212="","-",(165694.75582-126793.70396)/682384.58212*100)</f>
        <v>5.700751875012189</v>
      </c>
      <c r="G56" s="47">
        <f>IF(877651.01761="","-",(236524.71627-165694.75582)/877651.01761*100)</f>
        <v>8.07040144987043</v>
      </c>
    </row>
    <row r="57" spans="1:7" s="9" customFormat="1" ht="25.5">
      <c r="A57" s="30" t="s">
        <v>250</v>
      </c>
      <c r="B57" s="48">
        <f>IF(1334.72173="","-",1334.72173)</f>
        <v>1334.72173</v>
      </c>
      <c r="C57" s="48">
        <f>IF(OR(974.98582="",1334.72173=""),"-",1334.72173/974.98582*100)</f>
        <v>136.8965273771879</v>
      </c>
      <c r="D57" s="48">
        <f>IF(974.98582="","-",974.98582/877651.01761*100)</f>
        <v>0.11109037652061977</v>
      </c>
      <c r="E57" s="48">
        <f>IF(1334.72173="","-",1334.72173/948747.24899*100)</f>
        <v>0.14068254020455856</v>
      </c>
      <c r="F57" s="48">
        <f>IF(OR(682384.58212="",820.45906="",974.98582=""),"-",(974.98582-820.45906)/682384.58212*100)</f>
        <v>0.02264511304166978</v>
      </c>
      <c r="G57" s="48">
        <f>IF(OR(877651.01761="",1334.72173="",974.98582=""),"-",(1334.72173-974.98582)/877651.01761*100)</f>
        <v>0.0409884911863516</v>
      </c>
    </row>
    <row r="58" spans="1:7" s="9" customFormat="1" ht="27" customHeight="1">
      <c r="A58" s="30" t="s">
        <v>251</v>
      </c>
      <c r="B58" s="48">
        <f>IF(4405.74518="","-",4405.74518)</f>
        <v>4405.74518</v>
      </c>
      <c r="C58" s="48">
        <f>IF(OR(4037.94916="",4405.74518=""),"-",4405.74518/4037.94916*100)</f>
        <v>109.10848565512894</v>
      </c>
      <c r="D58" s="48">
        <f>IF(4037.94916="","-",4037.94916/877651.01761*100)</f>
        <v>0.46008596571745053</v>
      </c>
      <c r="E58" s="48">
        <f>IF(4405.74518="","-",4405.74518/948747.24899*100)</f>
        <v>0.46437501502008965</v>
      </c>
      <c r="F58" s="48">
        <f>IF(OR(682384.58212="",2174.76105="",4037.94916=""),"-",(4037.94916-2174.76105)/682384.58212*100)</f>
        <v>0.27304076891824486</v>
      </c>
      <c r="G58" s="48">
        <f>IF(OR(877651.01761="",4405.74518="",4037.94916=""),"-",(4405.74518-4037.94916)/877651.01761*100)</f>
        <v>0.041906864188635456</v>
      </c>
    </row>
    <row r="59" spans="1:7" s="9" customFormat="1" ht="25.5">
      <c r="A59" s="30" t="s">
        <v>252</v>
      </c>
      <c r="B59" s="48">
        <f>IF(749.49565="","-",749.49565)</f>
        <v>749.49565</v>
      </c>
      <c r="C59" s="48" t="s">
        <v>150</v>
      </c>
      <c r="D59" s="48">
        <f>IF(499.66126="","-",499.66126/877651.01761*100)</f>
        <v>0.056931656202104865</v>
      </c>
      <c r="E59" s="48">
        <f>IF(749.49565="","-",749.49565/948747.24899*100)</f>
        <v>0.07899845304404142</v>
      </c>
      <c r="F59" s="48">
        <f>IF(OR(682384.58212="",476.1293="",499.66126=""),"-",(499.66126-476.1293)/682384.58212*100)</f>
        <v>0.0034484894026902027</v>
      </c>
      <c r="G59" s="48">
        <f>IF(OR(877651.01761="",749.49565="",499.66126=""),"-",(749.49565-499.66126)/877651.01761*100)</f>
        <v>0.028466256517350536</v>
      </c>
    </row>
    <row r="60" spans="1:7" s="9" customFormat="1" ht="40.5" customHeight="1">
      <c r="A60" s="30" t="s">
        <v>253</v>
      </c>
      <c r="B60" s="48">
        <f>IF(6653.43845="","-",6653.43845)</f>
        <v>6653.43845</v>
      </c>
      <c r="C60" s="48">
        <f>IF(OR(6820.77513="",6653.43845=""),"-",6653.43845/6820.77513*100)</f>
        <v>97.54666182639568</v>
      </c>
      <c r="D60" s="48">
        <f>IF(6820.77513="","-",6820.77513/877651.01761*100)</f>
        <v>0.7771625615582587</v>
      </c>
      <c r="E60" s="48">
        <f>IF(6653.43845="","-",6653.43845/948747.24899*100)</f>
        <v>0.7012867185736765</v>
      </c>
      <c r="F60" s="48">
        <f>IF(OR(682384.58212="",9422.83872="",6820.77513=""),"-",(6820.77513-9422.83872)/682384.58212*100)</f>
        <v>-0.38131922352583525</v>
      </c>
      <c r="G60" s="48">
        <f>IF(OR(877651.01761="",6653.43845="",6820.77513=""),"-",(6653.43845-6820.77513)/877651.01761*100)</f>
        <v>-0.019066425793670006</v>
      </c>
    </row>
    <row r="61" spans="1:7" s="9" customFormat="1" ht="25.5">
      <c r="A61" s="30" t="s">
        <v>254</v>
      </c>
      <c r="B61" s="48">
        <f>IF(327.15663="","-",327.15663)</f>
        <v>327.15663</v>
      </c>
      <c r="C61" s="48">
        <f>IF(OR(436.46264="",327.15663=""),"-",327.15663/436.46264*100)</f>
        <v>74.95638801983144</v>
      </c>
      <c r="D61" s="48">
        <f>IF(436.46264="","-",436.46264/877651.01761*100)</f>
        <v>0.04973077353554098</v>
      </c>
      <c r="E61" s="48">
        <f>IF(327.15663="","-",327.15663/948747.24899*100)</f>
        <v>0.034483012240433736</v>
      </c>
      <c r="F61" s="48">
        <f>IF(OR(682384.58212="",279.68568="",436.46264=""),"-",(436.46264-279.68568)/682384.58212*100)</f>
        <v>0.022974868440452278</v>
      </c>
      <c r="G61" s="48">
        <f>IF(OR(877651.01761="",327.15663="",436.46264=""),"-",(327.15663-436.46264)/877651.01761*100)</f>
        <v>-0.012454381958977242</v>
      </c>
    </row>
    <row r="62" spans="1:7" s="9" customFormat="1" ht="38.25">
      <c r="A62" s="30" t="s">
        <v>255</v>
      </c>
      <c r="B62" s="48">
        <f>IF(1279.12627="","-",1279.12627)</f>
        <v>1279.12627</v>
      </c>
      <c r="C62" s="48">
        <f>IF(OR(1019.16235="",1279.12627=""),"-",1279.12627/1019.16235*100)</f>
        <v>125.5076063200333</v>
      </c>
      <c r="D62" s="48">
        <f>IF(1019.16235="","-",1019.16235/877651.01761*100)</f>
        <v>0.1161238726499014</v>
      </c>
      <c r="E62" s="48">
        <f>IF(1279.12627="","-",1279.12627/948747.24899*100)</f>
        <v>0.1348226591815374</v>
      </c>
      <c r="F62" s="48">
        <f>IF(OR(682384.58212="",990.67009="",1019.16235=""),"-",(1019.16235-990.67009)/682384.58212*100)</f>
        <v>0.004175396213009618</v>
      </c>
      <c r="G62" s="48">
        <f>IF(OR(877651.01761="",1279.12627="",1019.16235=""),"-",(1279.12627-1019.16235)/877651.01761*100)</f>
        <v>0.02962042027911368</v>
      </c>
    </row>
    <row r="63" spans="1:7" s="9" customFormat="1" ht="39.75" customHeight="1">
      <c r="A63" s="30" t="s">
        <v>256</v>
      </c>
      <c r="B63" s="48">
        <f>IF(210161.08356="","-",210161.08356)</f>
        <v>210161.08356</v>
      </c>
      <c r="C63" s="48">
        <f>IF(OR(145302.10263="",210161.08356=""),"-",210161.08356/145302.10263*100)</f>
        <v>144.63733129530695</v>
      </c>
      <c r="D63" s="48">
        <f>IF(145302.10263="","-",145302.10263/877651.01761*100)</f>
        <v>16.555794924693817</v>
      </c>
      <c r="E63" s="48">
        <f>IF(210161.08356="","-",210161.08356/948747.24899*100)</f>
        <v>22.15143008675171</v>
      </c>
      <c r="F63" s="48">
        <f>IF(OR(682384.58212="",90600.43845="",145302.10263=""),"-",(145302.10263-90600.43845)/682384.58212*100)</f>
        <v>8.016251482419998</v>
      </c>
      <c r="G63" s="48">
        <f>IF(OR(877651.01761="",210161.08356="",145302.10263=""),"-",(210161.08356-145302.10263)/877651.01761*100)</f>
        <v>7.39006502910719</v>
      </c>
    </row>
    <row r="64" spans="1:7" s="9" customFormat="1" ht="25.5">
      <c r="A64" s="30" t="s">
        <v>40</v>
      </c>
      <c r="B64" s="48">
        <f>IF(8882.09431="","-",8882.09431)</f>
        <v>8882.09431</v>
      </c>
      <c r="C64" s="48">
        <f>IF(OR(6524.06521="",8882.09431=""),"-",8882.09431/6524.06521*100)</f>
        <v>136.14355503966522</v>
      </c>
      <c r="D64" s="48">
        <f>IF(6524.06521="","-",6524.06521/877651.01761*100)</f>
        <v>0.7433552834891244</v>
      </c>
      <c r="E64" s="48">
        <f>IF(8882.09431="","-",8882.09431/948747.24899*100)</f>
        <v>0.9361918381798248</v>
      </c>
      <c r="F64" s="48">
        <f>IF(OR(682384.58212="",10012.29568="",6524.06521=""),"-",(6524.06521-10012.29568)/682384.58212*100)</f>
        <v>-0.5111824858590636</v>
      </c>
      <c r="G64" s="48">
        <f>IF(OR(877651.01761="",8882.09431="",6524.06521=""),"-",(8882.09431-6524.06521)/877651.01761*100)</f>
        <v>0.26867502602815113</v>
      </c>
    </row>
    <row r="65" spans="1:7" s="9" customFormat="1" ht="15.75">
      <c r="A65" s="30" t="s">
        <v>41</v>
      </c>
      <c r="B65" s="48">
        <f>IF(2731.85449="","-",2731.85449)</f>
        <v>2731.85449</v>
      </c>
      <c r="C65" s="48" t="s">
        <v>266</v>
      </c>
      <c r="D65" s="48">
        <f>IF(79.59162="","-",79.59162/877651.01761*100)</f>
        <v>0.00906870936203574</v>
      </c>
      <c r="E65" s="48">
        <f>IF(2731.85449="","-",2731.85449/948747.24899*100)</f>
        <v>0.28794333716469034</v>
      </c>
      <c r="F65" s="48">
        <f>IF(OR(682384.58212="",12016.42593="",79.59162=""),"-",(79.59162-12016.42593)/682384.58212*100)</f>
        <v>-1.7492825340389742</v>
      </c>
      <c r="G65" s="48">
        <f>IF(OR(877651.01761="",2731.85449="",79.59162=""),"-",(2731.85449-79.59162)/877651.01761*100)</f>
        <v>0.30220017031628177</v>
      </c>
    </row>
    <row r="66" spans="1:7" s="9" customFormat="1" ht="15.75">
      <c r="A66" s="37" t="s">
        <v>42</v>
      </c>
      <c r="B66" s="47">
        <f>IF(185449.48565="","-",185449.48565)</f>
        <v>185449.48565</v>
      </c>
      <c r="C66" s="47">
        <f>IF(201107.74358="","-",185449.48565/201107.74358*100)</f>
        <v>92.21399551739727</v>
      </c>
      <c r="D66" s="47">
        <f>IF(201107.74358="","-",201107.74358/877651.01761*100)</f>
        <v>22.914317826196136</v>
      </c>
      <c r="E66" s="47">
        <f>IF(185449.48565="","-",185449.48565/948747.24899*100)</f>
        <v>19.546774533198636</v>
      </c>
      <c r="F66" s="47">
        <f>IF(682384.58212="","-",(201107.74358-156279.08436)/682384.58212*100)</f>
        <v>6.569412673529119</v>
      </c>
      <c r="G66" s="47">
        <f>IF(877651.01761="","-",(185449.48565-201107.74358)/877651.01761*100)</f>
        <v>-1.7841098131054696</v>
      </c>
    </row>
    <row r="67" spans="1:7" s="9" customFormat="1" ht="38.25">
      <c r="A67" s="30" t="s">
        <v>257</v>
      </c>
      <c r="B67" s="48">
        <f>IF(2842.29989="","-",2842.29989)</f>
        <v>2842.29989</v>
      </c>
      <c r="C67" s="48">
        <f>IF(OR(2439.8214="",2842.29989=""),"-",2842.29989/2439.8214*100)</f>
        <v>116.496227551738</v>
      </c>
      <c r="D67" s="48">
        <f>IF(2439.8214="","-",2439.8214/877651.01761*100)</f>
        <v>0.27799448198032833</v>
      </c>
      <c r="E67" s="48">
        <f>IF(2842.29989="","-",2842.29989/948747.24899*100)</f>
        <v>0.2995845197997468</v>
      </c>
      <c r="F67" s="48">
        <f>IF(OR(682384.58212="",3058.22612="",2439.8214=""),"-",(2439.8214-3058.22612)/682384.58212*100)</f>
        <v>-0.0906240756610839</v>
      </c>
      <c r="G67" s="48">
        <f>IF(OR(877651.01761="",2842.29989="",2439.8214=""),"-",(2842.29989-2439.8214)/877651.01761*100)</f>
        <v>0.045858602328750275</v>
      </c>
    </row>
    <row r="68" spans="1:7" s="9" customFormat="1" ht="14.25" customHeight="1">
      <c r="A68" s="30" t="s">
        <v>258</v>
      </c>
      <c r="B68" s="48">
        <f>IF(47972.23545="","-",47972.23545)</f>
        <v>47972.23545</v>
      </c>
      <c r="C68" s="48">
        <f>IF(OR(52841.61857="",47972.23545=""),"-",47972.23545/52841.61857*100)</f>
        <v>90.78494707055678</v>
      </c>
      <c r="D68" s="48">
        <f>IF(52841.61857="","-",52841.61857/877651.01761*100)</f>
        <v>6.020800695235008</v>
      </c>
      <c r="E68" s="48">
        <f>IF(47972.23545="","-",47972.23545/948747.24899*100)</f>
        <v>5.056376764314143</v>
      </c>
      <c r="F68" s="48">
        <f>IF(OR(682384.58212="",38208.53154="",52841.61857=""),"-",(52841.61857-38208.53154)/682384.58212*100)</f>
        <v>2.1444046969142554</v>
      </c>
      <c r="G68" s="48">
        <f>IF(OR(877651.01761="",47972.23545="",52841.61857=""),"-",(47972.23545-52841.61857)/877651.01761*100)</f>
        <v>-0.5548199708421915</v>
      </c>
    </row>
    <row r="69" spans="1:7" ht="15.75">
      <c r="A69" s="30" t="s">
        <v>259</v>
      </c>
      <c r="B69" s="48">
        <f>IF(4426.71884="","-",4426.71884)</f>
        <v>4426.71884</v>
      </c>
      <c r="C69" s="48">
        <f>IF(OR(5840.25869="",4426.71884=""),"-",4426.71884/5840.25869*100)</f>
        <v>75.79662263213892</v>
      </c>
      <c r="D69" s="48">
        <f>IF(5840.25869="","-",5840.25869/877651.01761*100)</f>
        <v>0.6654420234028856</v>
      </c>
      <c r="E69" s="48">
        <f>IF(4426.71884="","-",4426.71884/948747.24899*100)</f>
        <v>0.4665856838807717</v>
      </c>
      <c r="F69" s="48">
        <f>IF(OR(682384.58212="",4079.85345="",5840.25869=""),"-",(5840.25869-4079.85345)/682384.58212*100)</f>
        <v>0.2579784605523847</v>
      </c>
      <c r="G69" s="48">
        <f>IF(OR(877651.01761="",4426.71884="",5840.25869=""),"-",(4426.71884-5840.25869)/877651.01761*100)</f>
        <v>-0.16105944408853087</v>
      </c>
    </row>
    <row r="70" spans="1:7" ht="15.75">
      <c r="A70" s="30" t="s">
        <v>260</v>
      </c>
      <c r="B70" s="48">
        <f>IF(91185.35873="","-",91185.35873)</f>
        <v>91185.35873</v>
      </c>
      <c r="C70" s="48">
        <f>IF(OR(101817.37001="",91185.35873=""),"-",91185.35873/101817.37001*100)</f>
        <v>89.55776280711653</v>
      </c>
      <c r="D70" s="48">
        <f>IF(101817.37001="","-",101817.37001/877651.01761*100)</f>
        <v>11.60112253812077</v>
      </c>
      <c r="E70" s="48">
        <f>IF(91185.35873="","-",91185.35873/948747.24899*100)</f>
        <v>9.611132873067348</v>
      </c>
      <c r="F70" s="48">
        <f>IF(OR(682384.58212="",81645.61907="",101817.37001=""),"-",(101817.37001-81645.61907)/682384.58212*100)</f>
        <v>2.9560678052442744</v>
      </c>
      <c r="G70" s="48">
        <f>IF(OR(877651.01761="",91185.35873="",101817.37001=""),"-",(91185.35873-101817.37001)/877651.01761*100)</f>
        <v>-1.211416732467633</v>
      </c>
    </row>
    <row r="71" spans="1:7" ht="15.75">
      <c r="A71" s="30" t="s">
        <v>261</v>
      </c>
      <c r="B71" s="48">
        <f>IF(11081.32077="","-",11081.32077)</f>
        <v>11081.32077</v>
      </c>
      <c r="C71" s="48">
        <f>IF(OR(12633.11772="",11081.32077=""),"-",11081.32077/12633.11772*100)</f>
        <v>87.71643718997973</v>
      </c>
      <c r="D71" s="48">
        <f>IF(12633.11772="","-",12633.11772/877651.01761*100)</f>
        <v>1.439423810434611</v>
      </c>
      <c r="E71" s="48">
        <f>IF(11081.32077="","-",11081.32077/948747.24899*100)</f>
        <v>1.1679950357481141</v>
      </c>
      <c r="F71" s="48">
        <f>IF(OR(682384.58212="",10154.53735="",12633.11772=""),"-",(12633.11772-10154.53735)/682384.58212*100)</f>
        <v>0.36322338384312025</v>
      </c>
      <c r="G71" s="48">
        <f>IF(OR(877651.01761="",11081.32077="",12633.11772=""),"-",(11081.32077-12633.11772)/877651.01761*100)</f>
        <v>-0.17681252785712245</v>
      </c>
    </row>
    <row r="72" spans="1:7" ht="25.5">
      <c r="A72" s="30" t="s">
        <v>262</v>
      </c>
      <c r="B72" s="48">
        <f>IF(6139.49822="","-",6139.49822)</f>
        <v>6139.49822</v>
      </c>
      <c r="C72" s="48">
        <f>IF(OR(7970.36746="",6139.49822=""),"-",6139.49822/7970.36746*100)</f>
        <v>77.02904854527247</v>
      </c>
      <c r="D72" s="48">
        <f>IF(7970.36746="","-",7970.36746/877651.01761*100)</f>
        <v>0.9081476919726853</v>
      </c>
      <c r="E72" s="48">
        <f>IF(6139.49822="","-",6139.49822/948747.24899*100)</f>
        <v>0.6471163132789977</v>
      </c>
      <c r="F72" s="48">
        <f>IF(OR(682384.58212="",6329.41863="",7970.36746=""),"-",(7970.36746-6329.41863)/682384.58212*100)</f>
        <v>0.24047272945440507</v>
      </c>
      <c r="G72" s="48">
        <f>IF(OR(877651.01761="",6139.49822="",7970.36746=""),"-",(6139.49822-7970.36746)/877651.01761*100)</f>
        <v>-0.20861016546027406</v>
      </c>
    </row>
    <row r="73" spans="1:7" ht="25.5">
      <c r="A73" s="30" t="s">
        <v>263</v>
      </c>
      <c r="B73" s="48">
        <f>IF(1248.86361="","-",1248.86361)</f>
        <v>1248.86361</v>
      </c>
      <c r="C73" s="48">
        <f>IF(OR(1068.90579="",1248.86361=""),"-",1248.86361/1068.90579*100)</f>
        <v>116.83570448243152</v>
      </c>
      <c r="D73" s="48">
        <f>IF(1068.90579="","-",1068.90579/877651.01761*100)</f>
        <v>0.12179166531485612</v>
      </c>
      <c r="E73" s="48">
        <f>IF(1248.86361="","-",1248.86361/948747.24899*100)</f>
        <v>0.131632909748038</v>
      </c>
      <c r="F73" s="48">
        <f>IF(OR(682384.58212="",805.07007="",1068.90579=""),"-",(1068.90579-805.07007)/682384.58212*100)</f>
        <v>0.03866378680191275</v>
      </c>
      <c r="G73" s="48">
        <f>IF(OR(877651.01761="",1248.86361="",1068.90579=""),"-",(1248.86361-1068.90579)/877651.01761*100)</f>
        <v>0.020504484856641227</v>
      </c>
    </row>
    <row r="74" spans="1:7" ht="15.75">
      <c r="A74" s="30" t="s">
        <v>43</v>
      </c>
      <c r="B74" s="48">
        <f>IF(20553.19014="","-",20553.19014)</f>
        <v>20553.19014</v>
      </c>
      <c r="C74" s="48">
        <f>IF(OR(16496.28394="",20553.19014=""),"-",20553.19014/16496.28394*100)</f>
        <v>124.5928490001488</v>
      </c>
      <c r="D74" s="48">
        <f>IF(16496.28394="","-",16496.28394/877651.01761*100)</f>
        <v>1.87959491973499</v>
      </c>
      <c r="E74" s="48">
        <f>IF(20553.19014="","-",20553.19014/948747.24899*100)</f>
        <v>2.166350433361482</v>
      </c>
      <c r="F74" s="48">
        <f>IF(OR(682384.58212="",11997.82813="",16496.28394=""),"-",(16496.28394-11997.82813)/682384.58212*100)</f>
        <v>0.6592258863798494</v>
      </c>
      <c r="G74" s="48">
        <f>IF(OR(877651.01761="",20553.19014="",16496.28394=""),"-",(20553.19014-16496.28394)/877651.01761*100)</f>
        <v>0.46224594042489414</v>
      </c>
    </row>
    <row r="75" spans="1:7" ht="25.5">
      <c r="A75" s="37" t="s">
        <v>264</v>
      </c>
      <c r="B75" s="47">
        <f>IF(398.42143="","-",398.42143)</f>
        <v>398.42143</v>
      </c>
      <c r="C75" s="47">
        <f>IF(325.80342="","-",398.42143/325.80342*100)</f>
        <v>122.28890353575783</v>
      </c>
      <c r="D75" s="47">
        <f>IF(325.80342="","-",325.80342/877651.01761*100)</f>
        <v>0.037122206146039775</v>
      </c>
      <c r="E75" s="47">
        <f>IF(398.42143="","-",398.42143/948747.24899*100)</f>
        <v>0.04199447539101106</v>
      </c>
      <c r="F75" s="47">
        <f>IF(682384.58212="","-",(325.80342-93.41765)/682384.58212*100)</f>
        <v>0.03405495611844496</v>
      </c>
      <c r="G75" s="47">
        <f>IF(877651.01761="","-",(398.42143-325.80342)/877651.01761*100)</f>
        <v>0.008274132718235974</v>
      </c>
    </row>
    <row r="76" spans="1:7" ht="15.75">
      <c r="A76" s="31" t="s">
        <v>265</v>
      </c>
      <c r="B76" s="49">
        <f>IF(398.42143="","-",398.42143)</f>
        <v>398.42143</v>
      </c>
      <c r="C76" s="49">
        <f>IF(OR(325.80342="",398.42143=""),"-",398.42143/325.80342*100)</f>
        <v>122.28890353575783</v>
      </c>
      <c r="D76" s="49">
        <f>IF(325.80342="","-",325.80342/877651.01761*100)</f>
        <v>0.037122206146039775</v>
      </c>
      <c r="E76" s="49">
        <f>IF(398.42143="","-",398.42143/948747.24899*100)</f>
        <v>0.04199447539101106</v>
      </c>
      <c r="F76" s="49">
        <f>IF(OR(682384.58212="",93.41765="",325.80342=""),"-",(325.80342-93.41765)/682384.58212*100)</f>
        <v>0.03405495611844496</v>
      </c>
      <c r="G76" s="49">
        <f>IF(OR(877651.01761="",398.42143="",325.80342=""),"-",(398.42143-325.80342)/877651.01761*100)</f>
        <v>0.008274132718235974</v>
      </c>
    </row>
    <row r="77" ht="15.75">
      <c r="A77" s="3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1"/>
  <sheetViews>
    <sheetView zoomScalePageLayoutView="0" workbookViewId="0" topLeftCell="A13">
      <selection activeCell="M16" sqref="M16"/>
    </sheetView>
  </sheetViews>
  <sheetFormatPr defaultColWidth="9.00390625" defaultRowHeight="15.75"/>
  <cols>
    <col min="1" max="1" width="30.25390625" style="0" customWidth="1"/>
    <col min="2" max="2" width="11.50390625" style="0" customWidth="1"/>
    <col min="3" max="3" width="10.50390625" style="0" customWidth="1"/>
    <col min="4" max="5" width="8.125" style="0" customWidth="1"/>
    <col min="6" max="6" width="9.00390625" style="0" customWidth="1"/>
    <col min="7" max="7" width="9.50390625" style="0" customWidth="1"/>
  </cols>
  <sheetData>
    <row r="1" spans="1:7" ht="15.75">
      <c r="A1" s="71" t="s">
        <v>143</v>
      </c>
      <c r="B1" s="71"/>
      <c r="C1" s="71"/>
      <c r="D1" s="71"/>
      <c r="E1" s="71"/>
      <c r="F1" s="71"/>
      <c r="G1" s="71"/>
    </row>
    <row r="2" spans="1:7" ht="15.75">
      <c r="A2" s="71" t="s">
        <v>23</v>
      </c>
      <c r="B2" s="71"/>
      <c r="C2" s="71"/>
      <c r="D2" s="71"/>
      <c r="E2" s="71"/>
      <c r="F2" s="71"/>
      <c r="G2" s="71"/>
    </row>
    <row r="3" ht="12" customHeight="1">
      <c r="A3" s="5"/>
    </row>
    <row r="4" spans="1:7" ht="57" customHeight="1">
      <c r="A4" s="79"/>
      <c r="B4" s="82" t="s">
        <v>195</v>
      </c>
      <c r="C4" s="77"/>
      <c r="D4" s="82" t="s">
        <v>0</v>
      </c>
      <c r="E4" s="77"/>
      <c r="F4" s="74" t="s">
        <v>146</v>
      </c>
      <c r="G4" s="83"/>
    </row>
    <row r="5" spans="1:7" ht="26.25" customHeight="1">
      <c r="A5" s="80"/>
      <c r="B5" s="84" t="s">
        <v>124</v>
      </c>
      <c r="C5" s="72" t="s">
        <v>193</v>
      </c>
      <c r="D5" s="86" t="s">
        <v>194</v>
      </c>
      <c r="E5" s="86"/>
      <c r="F5" s="86" t="s">
        <v>194</v>
      </c>
      <c r="G5" s="82"/>
    </row>
    <row r="6" spans="1:7" ht="26.25" customHeight="1">
      <c r="A6" s="81"/>
      <c r="B6" s="85"/>
      <c r="C6" s="73"/>
      <c r="D6" s="26">
        <v>2018</v>
      </c>
      <c r="E6" s="26">
        <v>2019</v>
      </c>
      <c r="F6" s="26" t="s">
        <v>123</v>
      </c>
      <c r="G6" s="22" t="s">
        <v>148</v>
      </c>
    </row>
    <row r="7" spans="1:7" ht="15.75">
      <c r="A7" s="28" t="s">
        <v>158</v>
      </c>
      <c r="B7" s="46">
        <f>IF(1880616.047="","-",1880616.047)</f>
        <v>1880616.047</v>
      </c>
      <c r="C7" s="46">
        <f>IF(1770611.63183="","-",1880616.047/1770611.63183*100)</f>
        <v>106.21279185070674</v>
      </c>
      <c r="D7" s="46">
        <v>100</v>
      </c>
      <c r="E7" s="46">
        <v>100</v>
      </c>
      <c r="F7" s="46">
        <f>IF(1392173.93156="","-",(1770611.63183-1392173.93156)/1392173.93156*100)</f>
        <v>27.18321983273613</v>
      </c>
      <c r="G7" s="46">
        <f>IF(1770611.63183="","-",(1880616.047-1770611.63183)/1770611.63183*100)</f>
        <v>6.2127918507067434</v>
      </c>
    </row>
    <row r="8" spans="1:7" ht="12" customHeight="1">
      <c r="A8" s="37" t="s">
        <v>218</v>
      </c>
      <c r="B8" s="47">
        <f>IF(212570.93611="","-",212570.93611)</f>
        <v>212570.93611</v>
      </c>
      <c r="C8" s="47">
        <f>IF(197298.56291="","-",212570.93611/197298.56291*100)</f>
        <v>107.74074224096944</v>
      </c>
      <c r="D8" s="47">
        <f>IF(197298.56291="","-",197298.56291/1770611.63183*100)</f>
        <v>11.142960961240485</v>
      </c>
      <c r="E8" s="47">
        <f>IF(212570.93611="","-",212570.93611/1880616.047*100)</f>
        <v>11.303260782502512</v>
      </c>
      <c r="F8" s="47">
        <f>IF(1392173.93156="","-",(197298.56291-161425.47915)/1392173.93156*100)</f>
        <v>2.5767673813431085</v>
      </c>
      <c r="G8" s="47">
        <f>IF(1770611.63183="","-",(212570.93611-197298.56291)/1770611.63183*100)</f>
        <v>0.8625478860214747</v>
      </c>
    </row>
    <row r="9" spans="1:7" ht="12.75" customHeight="1">
      <c r="A9" s="30" t="s">
        <v>24</v>
      </c>
      <c r="B9" s="48">
        <f>IF(1797.96247="","-",1797.96247)</f>
        <v>1797.96247</v>
      </c>
      <c r="C9" s="48">
        <f>IF(OR(1648.5126="",1797.96247=""),"-",1797.96247/1648.5126*100)</f>
        <v>109.06574023152749</v>
      </c>
      <c r="D9" s="48">
        <f>IF(1648.5126="","-",1648.5126/1770611.63183*100)</f>
        <v>0.09310413251358765</v>
      </c>
      <c r="E9" s="48">
        <f>IF(1797.96247="","-",1797.96247/1880616.047*100)</f>
        <v>0.09560497332074504</v>
      </c>
      <c r="F9" s="48">
        <f>IF(OR(1392173.93156="",1810.03617="",1648.5126=""),"-",(1648.5126-1810.03617)/1392173.93156*100)</f>
        <v>-0.011602255029944778</v>
      </c>
      <c r="G9" s="48">
        <f>IF(OR(1770611.63183="",1797.96247="",1648.5126=""),"-",(1797.96247-1648.5126)/1770611.63183*100)</f>
        <v>0.008440578798498986</v>
      </c>
    </row>
    <row r="10" spans="1:7" ht="14.25" customHeight="1">
      <c r="A10" s="30" t="s">
        <v>219</v>
      </c>
      <c r="B10" s="48">
        <f>IF(14024.35058="","-",14024.35058)</f>
        <v>14024.35058</v>
      </c>
      <c r="C10" s="48">
        <f>IF(OR(11151.60799="",14024.35058=""),"-",14024.35058/11151.60799*100)</f>
        <v>125.76079245769829</v>
      </c>
      <c r="D10" s="48">
        <f>IF(11151.60799="","-",11151.60799/1770611.63183*100)</f>
        <v>0.6298167135880811</v>
      </c>
      <c r="E10" s="48">
        <f>IF(14024.35058="","-",14024.35058/1880616.047*100)</f>
        <v>0.7457317298962727</v>
      </c>
      <c r="F10" s="48">
        <f>IF(OR(1392173.93156="",7158.93504="",11151.60799=""),"-",(11151.60799-7158.93504)/1392173.93156*100)</f>
        <v>0.28679411814054095</v>
      </c>
      <c r="G10" s="48">
        <f>IF(OR(1770611.63183="",14024.35058="",11151.60799=""),"-",(14024.35058-11151.60799)/1770611.63183*100)</f>
        <v>0.16224577645132163</v>
      </c>
    </row>
    <row r="11" spans="1:7" s="9" customFormat="1" ht="13.5" customHeight="1">
      <c r="A11" s="30" t="s">
        <v>220</v>
      </c>
      <c r="B11" s="48">
        <f>IF(21118.09169="","-",21118.09169)</f>
        <v>21118.09169</v>
      </c>
      <c r="C11" s="48">
        <f>IF(OR(18731.11234="",21118.09169=""),"-",21118.09169/18731.11234*100)</f>
        <v>112.74339348711632</v>
      </c>
      <c r="D11" s="48">
        <f>IF(18731.11234="","-",18731.11234/1770611.63183*100)</f>
        <v>1.0578893758108108</v>
      </c>
      <c r="E11" s="48">
        <f>IF(21118.09169="","-",21118.09169/1880616.047*100)</f>
        <v>1.1229347810621972</v>
      </c>
      <c r="F11" s="48">
        <f>IF(OR(1392173.93156="",17690.82305="",18731.11234=""),"-",(18731.11234-17690.82305)/1392173.93156*100)</f>
        <v>0.0747240891685355</v>
      </c>
      <c r="G11" s="48">
        <f>IF(OR(1770611.63183="",21118.09169="",18731.11234=""),"-",(21118.09169-18731.11234)/1770611.63183*100)</f>
        <v>0.13481100581797037</v>
      </c>
    </row>
    <row r="12" spans="1:7" s="9" customFormat="1" ht="13.5" customHeight="1">
      <c r="A12" s="30" t="s">
        <v>221</v>
      </c>
      <c r="B12" s="48">
        <f>IF(17815.16499="","-",17815.16499)</f>
        <v>17815.16499</v>
      </c>
      <c r="C12" s="48">
        <f>IF(OR(15929.59481="",17815.16499=""),"-",17815.16499/15929.59481*100)</f>
        <v>111.8368998238192</v>
      </c>
      <c r="D12" s="48">
        <f>IF(15929.59481="","-",15929.59481/1770611.63183*100)</f>
        <v>0.8996662240118749</v>
      </c>
      <c r="E12" s="48">
        <f>IF(17815.16499="","-",17815.16499/1880616.047*100)</f>
        <v>0.9473047418913149</v>
      </c>
      <c r="F12" s="48">
        <f>IF(OR(1392173.93156="",13254.20142="",15929.59481=""),"-",(15929.59481-13254.20142)/1392173.93156*100)</f>
        <v>0.19217378873070048</v>
      </c>
      <c r="G12" s="48">
        <f>IF(OR(1770611.63183="",17815.16499="",15929.59481=""),"-",(17815.16499-15929.59481)/1770611.63183*100)</f>
        <v>0.10649258968502236</v>
      </c>
    </row>
    <row r="13" spans="1:7" s="9" customFormat="1" ht="14.25" customHeight="1">
      <c r="A13" s="30" t="s">
        <v>222</v>
      </c>
      <c r="B13" s="48">
        <f>IF(34369.94304="","-",34369.94304)</f>
        <v>34369.94304</v>
      </c>
      <c r="C13" s="48">
        <f>IF(OR(31849.44934="",34369.94304=""),"-",34369.94304/31849.44934*100)</f>
        <v>107.91377481316292</v>
      </c>
      <c r="D13" s="48">
        <f>IF(31849.44934="","-",31849.44934/1770611.63183*100)</f>
        <v>1.7987823398111464</v>
      </c>
      <c r="E13" s="48">
        <f>IF(34369.94304="","-",34369.94304/1880616.047*100)</f>
        <v>1.8275895866584613</v>
      </c>
      <c r="F13" s="48">
        <f>IF(OR(1392173.93156="",24411.09662="",31849.44934=""),"-",(31849.44934-24411.09662)/1392173.93156*100)</f>
        <v>0.5342976586025394</v>
      </c>
      <c r="G13" s="48">
        <f>IF(OR(1770611.63183="",34369.94304="",31849.44934=""),"-",(34369.94304-31849.44934)/1770611.63183*100)</f>
        <v>0.1423515837515969</v>
      </c>
    </row>
    <row r="14" spans="1:7" s="9" customFormat="1" ht="15.75" customHeight="1">
      <c r="A14" s="30" t="s">
        <v>223</v>
      </c>
      <c r="B14" s="48">
        <f>IF(67197.86464="","-",67197.86464)</f>
        <v>67197.86464</v>
      </c>
      <c r="C14" s="48">
        <f>IF(OR(61429.82191="",67197.86464=""),"-",67197.86464/61429.82191*100)</f>
        <v>109.38964586036191</v>
      </c>
      <c r="D14" s="48">
        <f>IF(61429.82191="","-",61429.82191/1770611.63183*100)</f>
        <v>3.4694125355151852</v>
      </c>
      <c r="E14" s="48">
        <f>IF(67197.86464="","-",67197.86464/1880616.047*100)</f>
        <v>3.5731836249720144</v>
      </c>
      <c r="F14" s="48">
        <f>IF(OR(1392173.93156="",39093.8987="",61429.82191=""),"-",(61429.82191-39093.8987)/1392173.93156*100)</f>
        <v>1.6043917145447113</v>
      </c>
      <c r="G14" s="48">
        <f>IF(OR(1770611.63183="",67197.86464="",61429.82191=""),"-",(67197.86464-61429.82191)/1770611.63183*100)</f>
        <v>0.3257655505198783</v>
      </c>
    </row>
    <row r="15" spans="1:7" s="9" customFormat="1" ht="15.75">
      <c r="A15" s="30" t="s">
        <v>25</v>
      </c>
      <c r="B15" s="48">
        <f>IF(5970.92322="","-",5970.92322)</f>
        <v>5970.92322</v>
      </c>
      <c r="C15" s="48">
        <f>IF(OR(6238.28559="",5970.92322=""),"-",5970.92322/6238.28559*100)</f>
        <v>95.71416912318692</v>
      </c>
      <c r="D15" s="48">
        <f>IF(6238.28559="","-",6238.28559/1770611.63183*100)</f>
        <v>0.35232376642372304</v>
      </c>
      <c r="E15" s="48">
        <f>IF(5970.92322="","-",5970.92322/1880616.047*100)</f>
        <v>0.3174982596540611</v>
      </c>
      <c r="F15" s="48">
        <f>IF(OR(1392173.93156="",15542.66424="",6238.28559=""),"-",(6238.28559-15542.66424)/1392173.93156*100)</f>
        <v>-0.6683344975131075</v>
      </c>
      <c r="G15" s="48">
        <f>IF(OR(1770611.63183="",5970.92322="",6238.28559=""),"-",(5970.92322-6238.28559)/1770611.63183*100)</f>
        <v>-0.0151000007677387</v>
      </c>
    </row>
    <row r="16" spans="1:7" s="9" customFormat="1" ht="25.5">
      <c r="A16" s="30" t="s">
        <v>224</v>
      </c>
      <c r="B16" s="48">
        <f>IF(16604.12323="","-",16604.12323)</f>
        <v>16604.12323</v>
      </c>
      <c r="C16" s="48">
        <f>IF(OR(16070.55182="",16604.12323=""),"-",16604.12323/16070.55182*100)</f>
        <v>103.32018101168103</v>
      </c>
      <c r="D16" s="48">
        <f>IF(16070.55182="","-",16070.55182/1770611.63183*100)</f>
        <v>0.9076271459591859</v>
      </c>
      <c r="E16" s="48">
        <f>IF(16604.12323="","-",16604.12323/1880616.047*100)</f>
        <v>0.8829087285779179</v>
      </c>
      <c r="F16" s="48">
        <f>IF(OR(1392173.93156="",12872.62805="",16070.55182=""),"-",(16070.55182-12872.62805)/1392173.93156*100)</f>
        <v>0.22970720091106495</v>
      </c>
      <c r="G16" s="48">
        <f>IF(OR(1770611.63183="",16604.12323="",16070.55182=""),"-",(16604.12323-16070.55182)/1770611.63183*100)</f>
        <v>0.030134864156999376</v>
      </c>
    </row>
    <row r="17" spans="1:7" s="9" customFormat="1" ht="25.5">
      <c r="A17" s="30" t="s">
        <v>26</v>
      </c>
      <c r="B17" s="48">
        <f>IF(10528.27477="","-",10528.27477)</f>
        <v>10528.27477</v>
      </c>
      <c r="C17" s="48">
        <f>IF(OR(12312.14803="",10528.27477=""),"-",10528.27477/12312.14803*100)</f>
        <v>85.51127507845598</v>
      </c>
      <c r="D17" s="48">
        <f>IF(12312.14803="","-",12312.14803/1770611.63183*100)</f>
        <v>0.6953612982466906</v>
      </c>
      <c r="E17" s="48">
        <f>IF(10528.27477="","-",10528.27477/1880616.047*100)</f>
        <v>0.5598311673876725</v>
      </c>
      <c r="F17" s="48">
        <f>IF(OR(1392173.93156="",8631.35988="",12312.14803=""),"-",(12312.14803-8631.35988)/1392173.93156*100)</f>
        <v>0.26439140013744505</v>
      </c>
      <c r="G17" s="48">
        <f>IF(OR(1770611.63183="",10528.27477="",12312.14803=""),"-",(10528.27477-12312.14803)/1770611.63183*100)</f>
        <v>-0.10074898571384025</v>
      </c>
    </row>
    <row r="18" spans="1:7" s="9" customFormat="1" ht="15.75">
      <c r="A18" s="30" t="s">
        <v>225</v>
      </c>
      <c r="B18" s="48">
        <f>IF(23144.23748="","-",23144.23748)</f>
        <v>23144.23748</v>
      </c>
      <c r="C18" s="48">
        <f>IF(OR(21937.47848="",23144.23748=""),"-",23144.23748/21937.47848*100)</f>
        <v>105.50090112270733</v>
      </c>
      <c r="D18" s="48">
        <f>IF(21937.47848="","-",21937.47848/1770611.63183*100)</f>
        <v>1.2389774293601987</v>
      </c>
      <c r="E18" s="48">
        <f>IF(23144.23748="","-",23144.23748/1880616.047*100)</f>
        <v>1.230673189081854</v>
      </c>
      <c r="F18" s="48">
        <f>IF(OR(1392173.93156="",20959.83598="",21937.47848=""),"-",(21937.47848-20959.83598)/1392173.93156*100)</f>
        <v>0.07022416365062266</v>
      </c>
      <c r="G18" s="48">
        <f>IF(OR(1770611.63183="",23144.23748="",21937.47848=""),"-",(23144.23748-21937.47848)/1770611.63183*100)</f>
        <v>0.06815492332176554</v>
      </c>
    </row>
    <row r="19" spans="1:7" s="9" customFormat="1" ht="13.5" customHeight="1">
      <c r="A19" s="37" t="s">
        <v>226</v>
      </c>
      <c r="B19" s="47">
        <f>IF(32098.34114="","-",32098.34114)</f>
        <v>32098.34114</v>
      </c>
      <c r="C19" s="47">
        <f>IF(25685.30992="","-",32098.34114/25685.30992*100)</f>
        <v>124.96770037026674</v>
      </c>
      <c r="D19" s="47">
        <f>IF(25685.30992="","-",25685.30992/1770611.63183*100)</f>
        <v>1.4506461754943503</v>
      </c>
      <c r="E19" s="47">
        <f>IF(32098.34114="","-",32098.34114/1880616.047*100)</f>
        <v>1.7067992794809965</v>
      </c>
      <c r="F19" s="47">
        <f>IF(1392173.93156="","-",(25685.30992-26412.24998)/1392173.93156*100)</f>
        <v>-0.052216181004440185</v>
      </c>
      <c r="G19" s="47">
        <f>IF(1770611.63183="","-",(32098.34114-25685.30992)/1770611.63183*100)</f>
        <v>0.36219299053016324</v>
      </c>
    </row>
    <row r="20" spans="1:7" s="9" customFormat="1" ht="13.5" customHeight="1">
      <c r="A20" s="30" t="s">
        <v>184</v>
      </c>
      <c r="B20" s="48">
        <f>IF(16924.7584="","-",16924.7584)</f>
        <v>16924.7584</v>
      </c>
      <c r="C20" s="48">
        <f>IF(OR(16066.55852="",16924.7584=""),"-",16924.7584/16066.55852*100)</f>
        <v>105.34152898351998</v>
      </c>
      <c r="D20" s="48">
        <f>IF(16066.55852="","-",16066.55852/1770611.63183*100)</f>
        <v>0.90740161372342</v>
      </c>
      <c r="E20" s="48">
        <f>IF(16924.7584="","-",16924.7584/1880616.047*100)</f>
        <v>0.8999582039618743</v>
      </c>
      <c r="F20" s="48">
        <f>IF(OR(1392173.93156="",12178.28175="",16066.55852=""),"-",(16066.55852-12178.28175)/1392173.93156*100)</f>
        <v>0.2792953295457123</v>
      </c>
      <c r="G20" s="48">
        <f>IF(OR(1770611.63183="",16924.7584="",16066.55852=""),"-",(16924.7584-16066.55852)/1770611.63183*100)</f>
        <v>0.04846912019396446</v>
      </c>
    </row>
    <row r="21" spans="1:7" s="9" customFormat="1" ht="15" customHeight="1">
      <c r="A21" s="30" t="s">
        <v>227</v>
      </c>
      <c r="B21" s="48">
        <f>IF(15173.58274="","-",15173.58274)</f>
        <v>15173.58274</v>
      </c>
      <c r="C21" s="48" t="s">
        <v>116</v>
      </c>
      <c r="D21" s="48">
        <f>IF(9618.7514="","-",9618.7514/1770611.63183*100)</f>
        <v>0.5432445617709302</v>
      </c>
      <c r="E21" s="48">
        <f>IF(15173.58274="","-",15173.58274/1880616.047*100)</f>
        <v>0.8068410755191222</v>
      </c>
      <c r="F21" s="48">
        <f>IF(OR(1392173.93156="",14233.96823="",9618.7514=""),"-",(9618.7514-14233.96823)/1392173.93156*100)</f>
        <v>-0.3315115105501525</v>
      </c>
      <c r="G21" s="48">
        <f>IF(OR(1770611.63183="",15173.58274="",9618.7514=""),"-",(15173.58274-9618.7514)/1770611.63183*100)</f>
        <v>0.31372387033619864</v>
      </c>
    </row>
    <row r="22" spans="1:7" s="9" customFormat="1" ht="25.5">
      <c r="A22" s="37" t="s">
        <v>27</v>
      </c>
      <c r="B22" s="47">
        <f>IF(60155.58243="","-",60155.58243)</f>
        <v>60155.58243</v>
      </c>
      <c r="C22" s="47">
        <f>IF(59499.15266="","-",60155.58243/59499.15266*100)</f>
        <v>101.10325902244539</v>
      </c>
      <c r="D22" s="47">
        <f>IF(59499.15266="","-",59499.15266/1770611.63183*100)</f>
        <v>3.360372855932567</v>
      </c>
      <c r="E22" s="47">
        <f>IF(60155.58243="","-",60155.58243/1880616.047*100)</f>
        <v>3.198716852701619</v>
      </c>
      <c r="F22" s="47">
        <f>IF(1392173.93156="","-",(59499.15266-46423.67564)/1392173.93156*100)</f>
        <v>0.9392128902563402</v>
      </c>
      <c r="G22" s="47">
        <f>IF(1770611.63183="","-",(60155.58243-59499.15266)/1770611.63183*100)</f>
        <v>0.03707361672088166</v>
      </c>
    </row>
    <row r="23" spans="1:7" s="9" customFormat="1" ht="15.75">
      <c r="A23" s="30" t="s">
        <v>267</v>
      </c>
      <c r="B23" s="48">
        <f>IF(22583.27664="","-",22583.27664)</f>
        <v>22583.27664</v>
      </c>
      <c r="C23" s="48">
        <f>IF(OR(26953.95148="",22583.27664=""),"-",22583.27664/26953.95148*100)</f>
        <v>83.78466013325331</v>
      </c>
      <c r="D23" s="48">
        <f>IF(26953.95148="","-",26953.95148/1770611.63183*100)</f>
        <v>1.5222960809391035</v>
      </c>
      <c r="E23" s="48">
        <f>IF(22583.27664="","-",22583.27664/1880616.047*100)</f>
        <v>1.2008446208903374</v>
      </c>
      <c r="F23" s="48">
        <f>IF(OR(1392173.93156="",20817.63619="",26953.95148=""),"-",(26953.95148-20817.63619)/1392173.93156*100)</f>
        <v>0.44077217299450167</v>
      </c>
      <c r="G23" s="48">
        <f>IF(OR(1770611.63183="",22583.27664="",26953.95148=""),"-",(22583.27664-26953.95148)/1770611.63183*100)</f>
        <v>-0.2468454833024409</v>
      </c>
    </row>
    <row r="24" spans="1:7" s="9" customFormat="1" ht="25.5">
      <c r="A24" s="30" t="s">
        <v>268</v>
      </c>
      <c r="B24" s="48">
        <f>IF(418.16655="","-",418.16655)</f>
        <v>418.16655</v>
      </c>
      <c r="C24" s="48" t="s">
        <v>115</v>
      </c>
      <c r="D24" s="48">
        <f>IF(242.85012="","-",242.85012/1770611.63183*100)</f>
        <v>0.013715606270416533</v>
      </c>
      <c r="E24" s="48">
        <f>IF(418.16655="","-",418.16655/1880616.047*100)</f>
        <v>0.022235615327598022</v>
      </c>
      <c r="F24" s="48">
        <f>IF(OR(1392173.93156="",193.44462="",242.85012=""),"-",(242.85012-193.44462)/1392173.93156*100)</f>
        <v>0.00354880226385497</v>
      </c>
      <c r="G24" s="48">
        <f>IF(OR(1770611.63183="",418.16655="",242.85012=""),"-",(418.16655-242.85012)/1770611.63183*100)</f>
        <v>0.009901461554208995</v>
      </c>
    </row>
    <row r="25" spans="1:7" s="9" customFormat="1" ht="15.75">
      <c r="A25" s="30" t="s">
        <v>230</v>
      </c>
      <c r="B25" s="48">
        <f>IF(10479.26208="","-",10479.26208)</f>
        <v>10479.26208</v>
      </c>
      <c r="C25" s="48">
        <f>IF(OR(7934.6313="",10479.26208=""),"-",10479.26208/7934.6313*100)</f>
        <v>132.06993096200955</v>
      </c>
      <c r="D25" s="48">
        <f>IF(7934.6313="","-",7934.6313/1770611.63183*100)</f>
        <v>0.4481294010137746</v>
      </c>
      <c r="E25" s="48">
        <f>IF(10479.26208="","-",10479.26208/1880616.047*100)</f>
        <v>0.5572249634217867</v>
      </c>
      <c r="F25" s="48">
        <f>IF(OR(1392173.93156="",7753.66945="",7934.6313=""),"-",(7934.6313-7753.66945)/1392173.93156*100)</f>
        <v>0.012998508727801198</v>
      </c>
      <c r="G25" s="48">
        <f>IF(OR(1770611.63183="",10479.26208="",7934.6313=""),"-",(10479.26208-7934.6313)/1770611.63183*100)</f>
        <v>0.14371478952558442</v>
      </c>
    </row>
    <row r="26" spans="1:7" s="9" customFormat="1" ht="15.75">
      <c r="A26" s="30" t="s">
        <v>231</v>
      </c>
      <c r="B26" s="48">
        <f>IF(135.79225="","-",135.79225)</f>
        <v>135.79225</v>
      </c>
      <c r="C26" s="48">
        <f>IF(OR(152.40985="",135.79225=""),"-",135.79225/152.40985*100)</f>
        <v>89.09676769578869</v>
      </c>
      <c r="D26" s="48">
        <f>IF(152.40985="","-",152.40985/1770611.63183*100)</f>
        <v>0.008607751539646113</v>
      </c>
      <c r="E26" s="48">
        <f>IF(135.79225="","-",135.79225/1880616.047*100)</f>
        <v>0.00722062593354017</v>
      </c>
      <c r="F26" s="48">
        <f>IF(OR(1392173.93156="",143.86546="",152.40985=""),"-",(152.40985-143.86546)/1392173.93156*100)</f>
        <v>0.0006137444328113212</v>
      </c>
      <c r="G26" s="48">
        <f>IF(OR(1770611.63183="",135.79225="",152.40985=""),"-",(135.79225-152.40985)/1770611.63183*100)</f>
        <v>-0.000938523146536942</v>
      </c>
    </row>
    <row r="27" spans="1:7" s="9" customFormat="1" ht="38.25">
      <c r="A27" s="30" t="s">
        <v>269</v>
      </c>
      <c r="B27" s="48">
        <f>IF(2575.57036="","-",2575.57036)</f>
        <v>2575.57036</v>
      </c>
      <c r="C27" s="48">
        <f>IF(OR(2968.48748="",2575.57036=""),"-",2575.57036/2968.48748*100)</f>
        <v>86.76372655612482</v>
      </c>
      <c r="D27" s="48">
        <f>IF(2968.48748="","-",2968.48748/1770611.63183*100)</f>
        <v>0.1676532237016847</v>
      </c>
      <c r="E27" s="48">
        <f>IF(2575.57036="","-",2575.57036/1880616.047*100)</f>
        <v>0.1369535458398649</v>
      </c>
      <c r="F27" s="48">
        <f>IF(OR(1392173.93156="",2536.24117="",2968.48748=""),"-",(2968.48748-2536.24117)/1392173.93156*100)</f>
        <v>0.031048297931828575</v>
      </c>
      <c r="G27" s="48">
        <f>IF(OR(1770611.63183="",2575.57036="",2968.48748=""),"-",(2575.57036-2968.48748)/1770611.63183*100)</f>
        <v>-0.022191039126626746</v>
      </c>
    </row>
    <row r="28" spans="1:7" s="9" customFormat="1" ht="26.25" customHeight="1">
      <c r="A28" s="30" t="s">
        <v>233</v>
      </c>
      <c r="B28" s="48">
        <f>IF(8436.06726999999="","-",8436.06726999999)</f>
        <v>8436.06726999999</v>
      </c>
      <c r="C28" s="48" t="s">
        <v>215</v>
      </c>
      <c r="D28" s="48">
        <f>IF(3654.24814="","-",3654.24814/1770611.63183*100)</f>
        <v>0.2063833804267503</v>
      </c>
      <c r="E28" s="48">
        <f>IF(8436.06726999999="","-",8436.06726999999/1880616.047*100)</f>
        <v>0.448579989703767</v>
      </c>
      <c r="F28" s="48">
        <f>IF(OR(1392173.93156="",2755.414="",3654.24814=""),"-",(3654.24814-2755.414)/1392173.93156*100)</f>
        <v>0.06456335085895566</v>
      </c>
      <c r="G28" s="48">
        <f>IF(OR(1770611.63183="",8436.06726999999="",3654.24814=""),"-",(8436.06726999999-3654.24814)/1770611.63183*100)</f>
        <v>0.2700659503212336</v>
      </c>
    </row>
    <row r="29" spans="1:7" s="9" customFormat="1" ht="15.75">
      <c r="A29" s="30" t="s">
        <v>234</v>
      </c>
      <c r="B29" s="48">
        <f>IF(439.49207="","-",439.49207)</f>
        <v>439.49207</v>
      </c>
      <c r="C29" s="48">
        <f>IF(OR(326.73031="",439.49207=""),"-",439.49207/326.73031*100)</f>
        <v>134.51218223372055</v>
      </c>
      <c r="D29" s="48">
        <f>IF(326.73031="","-",326.73031/1770611.63183*100)</f>
        <v>0.01845296303980059</v>
      </c>
      <c r="E29" s="48">
        <f>IF(439.49207="","-",439.49207/1880616.047*100)</f>
        <v>0.023369579915107467</v>
      </c>
      <c r="F29" s="48">
        <f>IF(OR(1392173.93156="",443.64262="",326.73031=""),"-",(326.73031-443.64262)/1392173.93156*100)</f>
        <v>-0.008397823529779358</v>
      </c>
      <c r="G29" s="48">
        <f>IF(OR(1770611.63183="",439.49207="",326.73031=""),"-",(439.49207-326.73031)/1770611.63183*100)</f>
        <v>0.006368520231817076</v>
      </c>
    </row>
    <row r="30" spans="1:7" s="9" customFormat="1" ht="25.5">
      <c r="A30" s="30" t="s">
        <v>28</v>
      </c>
      <c r="B30" s="48">
        <f>IF(15087.95521="","-",15087.95521)</f>
        <v>15087.95521</v>
      </c>
      <c r="C30" s="48">
        <f>IF(OR(17226.271="",15087.95521=""),"-",15087.95521/17226.271*100)</f>
        <v>87.5868910340491</v>
      </c>
      <c r="D30" s="48">
        <f>IF(17226.271="","-",17226.271/1770611.63183*100)</f>
        <v>0.9728994597305305</v>
      </c>
      <c r="E30" s="48">
        <f>IF(15087.95521="","-",15087.95521/1880616.047*100)</f>
        <v>0.8022879116696169</v>
      </c>
      <c r="F30" s="48">
        <f>IF(OR(1392173.93156="",11775.96954="",17226.271=""),"-",(17226.271-11775.96954)/1392173.93156*100)</f>
        <v>0.39149572739755784</v>
      </c>
      <c r="G30" s="48">
        <f>IF(OR(1770611.63183="",15087.95521="",17226.271=""),"-",(15087.95521-17226.271)/1770611.63183*100)</f>
        <v>-0.12076707006549837</v>
      </c>
    </row>
    <row r="31" spans="1:7" s="9" customFormat="1" ht="25.5">
      <c r="A31" s="37" t="s">
        <v>235</v>
      </c>
      <c r="B31" s="47">
        <f>IF(328260.12751="","-",328260.12751)</f>
        <v>328260.12751</v>
      </c>
      <c r="C31" s="47">
        <f>IF(286502.64583="","-",328260.12751/286502.64583*100)</f>
        <v>114.57490263624908</v>
      </c>
      <c r="D31" s="47">
        <f>IF(286502.64583="","-",286502.64583/1770611.63183*100)</f>
        <v>16.180998739621273</v>
      </c>
      <c r="E31" s="47">
        <f>IF(328260.12751="","-",328260.12751/1880616.047*100)</f>
        <v>17.454925370526738</v>
      </c>
      <c r="F31" s="47">
        <f>IF(1392173.93156="","-",(286502.64583-235099.205)/1392173.93156*100)</f>
        <v>3.692314563913713</v>
      </c>
      <c r="G31" s="47">
        <f>IF(1770611.63183="","-",(328260.12751-286502.64583)/1770611.63183*100)</f>
        <v>2.358364811872491</v>
      </c>
    </row>
    <row r="32" spans="1:7" s="9" customFormat="1" ht="15.75">
      <c r="A32" s="30" t="s">
        <v>270</v>
      </c>
      <c r="B32" s="48">
        <f>IF(5847.12324="","-",5847.12324)</f>
        <v>5847.12324</v>
      </c>
      <c r="C32" s="48" t="s">
        <v>215</v>
      </c>
      <c r="D32" s="48">
        <f>IF(2538.938="","-",2538.938/1770611.63183*100)</f>
        <v>0.1433932746378664</v>
      </c>
      <c r="E32" s="48">
        <f>IF(5847.12324="","-",5847.12324/1880616.047*100)</f>
        <v>0.3109153114654881</v>
      </c>
      <c r="F32" s="48">
        <f>IF(OR(1392173.93156="",4874.0841="",2538.938=""),"-",(2538.938-4874.0841)/1392173.93156*100)</f>
        <v>-0.16773379008636896</v>
      </c>
      <c r="G32" s="48">
        <f>IF(OR(1770611.63183="",5847.12324="",2538.938=""),"-",(5847.12324-2538.938)/1770611.63183*100)</f>
        <v>0.186838557960949</v>
      </c>
    </row>
    <row r="33" spans="1:7" s="9" customFormat="1" ht="13.5" customHeight="1">
      <c r="A33" s="30" t="s">
        <v>236</v>
      </c>
      <c r="B33" s="48">
        <f>IF(167775.5464="","-",167775.5464)</f>
        <v>167775.5464</v>
      </c>
      <c r="C33" s="48">
        <f>IF(OR(153380.88102="",167775.5464=""),"-",167775.5464/153380.88102*100)</f>
        <v>109.38491504565226</v>
      </c>
      <c r="D33" s="48">
        <f>IF(153380.88102="","-",153380.88102/1770611.63183*100)</f>
        <v>8.662593098491877</v>
      </c>
      <c r="E33" s="48">
        <f>IF(167775.5464="","-",167775.5464/1880616.047*100)</f>
        <v>8.921307816533801</v>
      </c>
      <c r="F33" s="48">
        <f>IF(OR(1392173.93156="",126680.39236="",153380.88102=""),"-",(153380.88102-126680.39236)/1392173.93156*100)</f>
        <v>1.9178989100938546</v>
      </c>
      <c r="G33" s="48">
        <f>IF(OR(1770611.63183="",167775.5464="",153380.88102=""),"-",(167775.5464-153380.88102)/1770611.63183*100)</f>
        <v>0.8129770030439996</v>
      </c>
    </row>
    <row r="34" spans="1:7" s="9" customFormat="1" ht="15.75" customHeight="1">
      <c r="A34" s="30" t="s">
        <v>271</v>
      </c>
      <c r="B34" s="48">
        <f>IF(138534.54431="","-",138534.54431)</f>
        <v>138534.54431</v>
      </c>
      <c r="C34" s="48">
        <f>IF(OR(117761.80741="",138534.54431=""),"-",138534.54431/117761.80741*100)</f>
        <v>117.63962133128405</v>
      </c>
      <c r="D34" s="48">
        <f>IF(117761.80741="","-",117761.80741/1770611.63183*100)</f>
        <v>6.65091120452475</v>
      </c>
      <c r="E34" s="48">
        <f>IF(138534.54431="","-",138534.54431/1880616.047*100)</f>
        <v>7.366444869541199</v>
      </c>
      <c r="F34" s="48">
        <f>IF(OR(1392173.93156="",89569.16841="",117761.80741=""),"-",(117761.80741-89569.16841)/1392173.93156*100)</f>
        <v>2.025080226032443</v>
      </c>
      <c r="G34" s="48">
        <f>IF(OR(1770611.63183="",138534.54431="",117761.80741=""),"-",(138534.54431-117761.80741)/1770611.63183*100)</f>
        <v>1.173195551558109</v>
      </c>
    </row>
    <row r="35" spans="1:7" s="9" customFormat="1" ht="15.75">
      <c r="A35" s="30" t="s">
        <v>29</v>
      </c>
      <c r="B35" s="48">
        <f>IF(16102.91356="","-",16102.91356)</f>
        <v>16102.91356</v>
      </c>
      <c r="C35" s="48">
        <f>IF(OR(12821.0194="",16102.91356=""),"-",16102.91356/12821.0194*100)</f>
        <v>125.5977629984711</v>
      </c>
      <c r="D35" s="48">
        <f>IF(12821.0194="","-",12821.0194/1770611.63183*100)</f>
        <v>0.7241011619667803</v>
      </c>
      <c r="E35" s="48">
        <f>IF(16102.91356="","-",16102.91356/1880616.047*100)</f>
        <v>0.8562573729862468</v>
      </c>
      <c r="F35" s="48">
        <f>IF(OR(1392173.93156="",13975.56013="",12821.0194=""),"-",(12821.0194-13975.56013)/1392173.93156*100)</f>
        <v>-0.08293078212621612</v>
      </c>
      <c r="G35" s="48">
        <f>IF(OR(1770611.63183="",16102.91356="",12821.0194=""),"-",(16102.91356-12821.0194)/1770611.63183*100)</f>
        <v>0.18535369930943177</v>
      </c>
    </row>
    <row r="36" spans="1:7" s="9" customFormat="1" ht="25.5">
      <c r="A36" s="37" t="s">
        <v>237</v>
      </c>
      <c r="B36" s="47">
        <f>IF(3661.7338="","-",3661.7338)</f>
        <v>3661.7338</v>
      </c>
      <c r="C36" s="47">
        <f>IF(3574.5427="","-",3661.7338/3574.5427*100)</f>
        <v>102.43922390408149</v>
      </c>
      <c r="D36" s="47">
        <f>IF(3574.5427="","-",3574.5427/1770611.63183*100)</f>
        <v>0.20188180376436152</v>
      </c>
      <c r="E36" s="47">
        <f>IF(3661.7338="","-",3661.7338/1880616.047*100)</f>
        <v>0.19470927124339274</v>
      </c>
      <c r="F36" s="47">
        <f>IF(1392173.93156="","-",(3574.5427-4229.57483)/1392173.93156*100)</f>
        <v>-0.0470510268257935</v>
      </c>
      <c r="G36" s="47">
        <f>IF(1770611.63183="","-",(3661.7338-3574.5427)/1770611.63183*100)</f>
        <v>0.004924349215411197</v>
      </c>
    </row>
    <row r="37" spans="1:7" s="9" customFormat="1" ht="15.75">
      <c r="A37" s="30" t="s">
        <v>272</v>
      </c>
      <c r="B37" s="48">
        <f>IF(435.6481="","-",435.6481)</f>
        <v>435.6481</v>
      </c>
      <c r="C37" s="48">
        <f>IF(OR(450.54516="",435.6481=""),"-",435.6481/450.54516*100)</f>
        <v>96.69354787875204</v>
      </c>
      <c r="D37" s="48">
        <f>IF(450.54516="","-",450.54516/1770611.63183*100)</f>
        <v>0.02544573591975915</v>
      </c>
      <c r="E37" s="48">
        <f>IF(435.6481="","-",435.6481/1880616.047*100)</f>
        <v>0.02316518040431248</v>
      </c>
      <c r="F37" s="48">
        <f>IF(OR(1392173.93156="",222.23207="",450.54516=""),"-",(450.54516-222.23207)/1392173.93156*100)</f>
        <v>0.01639975327968998</v>
      </c>
      <c r="G37" s="48">
        <f>IF(OR(1770611.63183="",435.6481="",450.54516=""),"-",(435.6481-450.54516)/1770611.63183*100)</f>
        <v>-0.0008413510750860303</v>
      </c>
    </row>
    <row r="38" spans="1:7" s="9" customFormat="1" ht="25.5">
      <c r="A38" s="30" t="s">
        <v>238</v>
      </c>
      <c r="B38" s="48">
        <f>IF(2249.52903="","-",2249.52903)</f>
        <v>2249.52903</v>
      </c>
      <c r="C38" s="48">
        <f>IF(OR(2254.37661="",2249.52903=""),"-",2249.52903/2254.37661*100)</f>
        <v>99.784970267235</v>
      </c>
      <c r="D38" s="48">
        <f>IF(2254.37661="","-",2254.37661/1770611.63183*100)</f>
        <v>0.12732191348308317</v>
      </c>
      <c r="E38" s="48">
        <f>IF(2249.52903="","-",2249.52903/1880616.047*100)</f>
        <v>0.11961660295244732</v>
      </c>
      <c r="F38" s="48">
        <f>IF(OR(1392173.93156="",3241.01454="",2254.37661=""),"-",(2254.37661-3241.01454)/1392173.93156*100)</f>
        <v>-0.07087030633409602</v>
      </c>
      <c r="G38" s="48">
        <f>IF(OR(1770611.63183="",2249.52903="",2254.37661=""),"-",(2249.52903-2254.37661)/1770611.63183*100)</f>
        <v>-0.00027377997031395753</v>
      </c>
    </row>
    <row r="39" spans="1:7" s="9" customFormat="1" ht="63.75">
      <c r="A39" s="30" t="s">
        <v>273</v>
      </c>
      <c r="B39" s="48">
        <f>IF(976.55667="","-",976.55667)</f>
        <v>976.55667</v>
      </c>
      <c r="C39" s="48">
        <f>IF(OR(869.62093="",976.55667=""),"-",976.55667/869.62093*100)</f>
        <v>112.29682224874693</v>
      </c>
      <c r="D39" s="48">
        <f>IF(869.62093="","-",869.62093/1770611.63183*100)</f>
        <v>0.04911415436151919</v>
      </c>
      <c r="E39" s="48">
        <f>IF(976.55667="","-",976.55667/1880616.047*100)</f>
        <v>0.051927487886632935</v>
      </c>
      <c r="F39" s="48">
        <f>IF(OR(1392173.93156="",766.32822="",869.62093=""),"-",(869.62093-766.32822)/1392173.93156*100)</f>
        <v>0.007419526228612502</v>
      </c>
      <c r="G39" s="48">
        <f>IF(OR(1770611.63183="",976.55667="",869.62093=""),"-",(976.55667-869.62093)/1770611.63183*100)</f>
        <v>0.006039480260811204</v>
      </c>
    </row>
    <row r="40" spans="1:7" s="9" customFormat="1" ht="25.5">
      <c r="A40" s="37" t="s">
        <v>239</v>
      </c>
      <c r="B40" s="47">
        <f>IF(293735.1593="","-",293735.1593)</f>
        <v>293735.1593</v>
      </c>
      <c r="C40" s="47">
        <f>IF(281586.27307="","-",293735.1593/281586.27307*100)</f>
        <v>104.31444547972688</v>
      </c>
      <c r="D40" s="47">
        <f>IF(281586.27307="","-",281586.27307/1770611.63183*100)</f>
        <v>15.903333515264947</v>
      </c>
      <c r="E40" s="47">
        <f>IF(293735.1593="","-",293735.1593/1880616.047*100)</f>
        <v>15.61909246539573</v>
      </c>
      <c r="F40" s="47">
        <f>IF(1392173.93156="","-",(281586.27307-232941.07605)/1392173.93156*100)</f>
        <v>3.4941896207962055</v>
      </c>
      <c r="G40" s="47">
        <f>IF(1770611.63183="","-",(293735.1593-281586.27307)/1770611.63183*100)</f>
        <v>0.6861406539752385</v>
      </c>
    </row>
    <row r="41" spans="1:7" s="9" customFormat="1" ht="15.75">
      <c r="A41" s="30" t="s">
        <v>30</v>
      </c>
      <c r="B41" s="48">
        <f>IF(7074.51929="","-",7074.51929)</f>
        <v>7074.51929</v>
      </c>
      <c r="C41" s="48">
        <f>IF(OR(6617.58902="",7074.51929=""),"-",7074.51929/6617.58902*100)</f>
        <v>106.90478463710942</v>
      </c>
      <c r="D41" s="48">
        <f>IF(6617.58902="","-",6617.58902/1770611.63183*100)</f>
        <v>0.37374593620852076</v>
      </c>
      <c r="E41" s="48">
        <f>IF(7074.51929="","-",7074.51929/1880616.047*100)</f>
        <v>0.37618094885904163</v>
      </c>
      <c r="F41" s="48">
        <f>IF(OR(1392173.93156="",5923.07225="",6617.58902=""),"-",(6617.58902-5923.07225)/1392173.93156*100)</f>
        <v>0.04988721267189364</v>
      </c>
      <c r="G41" s="48">
        <f>IF(OR(1770611.63183="",7074.51929="",6617.58902=""),"-",(7074.51929-6617.58902)/1770611.63183*100)</f>
        <v>0.025806351985146716</v>
      </c>
    </row>
    <row r="42" spans="1:7" s="9" customFormat="1" ht="14.25" customHeight="1">
      <c r="A42" s="30" t="s">
        <v>31</v>
      </c>
      <c r="B42" s="48">
        <f>IF(5020.11817="","-",5020.11817)</f>
        <v>5020.11817</v>
      </c>
      <c r="C42" s="48">
        <f>IF(OR(4048.72305="",5020.11817=""),"-",5020.11817/4048.72305*100)</f>
        <v>123.99262947857102</v>
      </c>
      <c r="D42" s="48">
        <f>IF(4048.72305="","-",4048.72305/1770611.63183*100)</f>
        <v>0.22866239988582238</v>
      </c>
      <c r="E42" s="48">
        <f>IF(5020.11817="","-",5020.11817/1880616.047*100)</f>
        <v>0.2669400900842148</v>
      </c>
      <c r="F42" s="48">
        <f>IF(OR(1392173.93156="",3524.56427="",4048.72305=""),"-",(4048.72305-3524.56427)/1392173.93156*100)</f>
        <v>0.037650380323718195</v>
      </c>
      <c r="G42" s="48">
        <f>IF(OR(1770611.63183="",5020.11817="",4048.72305=""),"-",(5020.11817-4048.72305)/1770611.63183*100)</f>
        <v>0.05486212236141376</v>
      </c>
    </row>
    <row r="43" spans="1:7" s="9" customFormat="1" ht="14.25" customHeight="1">
      <c r="A43" s="30" t="s">
        <v>240</v>
      </c>
      <c r="B43" s="48">
        <f>IF(10413.81276="","-",10413.81276)</f>
        <v>10413.81276</v>
      </c>
      <c r="C43" s="48">
        <f>IF(OR(8687.98026="",10413.81276=""),"-",10413.81276/8687.98026*100)</f>
        <v>119.86459969235703</v>
      </c>
      <c r="D43" s="48">
        <f>IF(8687.98026="","-",8687.98026/1770611.63183*100)</f>
        <v>0.4906767867000068</v>
      </c>
      <c r="E43" s="48">
        <f>IF(10413.81276="","-",10413.81276/1880616.047*100)</f>
        <v>0.5537447570232289</v>
      </c>
      <c r="F43" s="48">
        <f>IF(OR(1392173.93156="",7706.80562="",8687.98026=""),"-",(8687.98026-7706.80562)/1392173.93156*100)</f>
        <v>0.07047787763850351</v>
      </c>
      <c r="G43" s="48">
        <f>IF(OR(1770611.63183="",10413.81276="",8687.98026=""),"-",(10413.81276-8687.98026)/1770611.63183*100)</f>
        <v>0.09747097946127697</v>
      </c>
    </row>
    <row r="44" spans="1:7" s="9" customFormat="1" ht="15" customHeight="1">
      <c r="A44" s="30" t="s">
        <v>241</v>
      </c>
      <c r="B44" s="48">
        <f>IF(83957.6962="","-",83957.6962)</f>
        <v>83957.6962</v>
      </c>
      <c r="C44" s="48">
        <f>IF(OR(73125.57099="",83957.6962=""),"-",83957.6962/73125.57099*100)</f>
        <v>114.81304701399367</v>
      </c>
      <c r="D44" s="48">
        <f>IF(73125.57099="","-",73125.57099/1770611.63183*100)</f>
        <v>4.129961064043259</v>
      </c>
      <c r="E44" s="48">
        <f>IF(83957.6962="","-",83957.6962/1880616.047*100)</f>
        <v>4.464371998416751</v>
      </c>
      <c r="F44" s="48">
        <f>IF(OR(1392173.93156="",62106.39756="",73125.57099=""),"-",(73125.57099-62106.39756)/1392173.93156*100)</f>
        <v>0.7915083870053842</v>
      </c>
      <c r="G44" s="48">
        <f>IF(OR(1770611.63183="",83957.6962="",73125.57099=""),"-",(83957.6962-73125.57099)/1770611.63183*100)</f>
        <v>0.6117730740763611</v>
      </c>
    </row>
    <row r="45" spans="1:7" s="9" customFormat="1" ht="38.25">
      <c r="A45" s="30" t="s">
        <v>242</v>
      </c>
      <c r="B45" s="48">
        <f>IF(35274.22754="","-",35274.22754)</f>
        <v>35274.22754</v>
      </c>
      <c r="C45" s="48">
        <f>IF(OR(36169.07308="",35274.22754=""),"-",35274.22754/36169.07308*100)</f>
        <v>97.52593731661094</v>
      </c>
      <c r="D45" s="48">
        <f>IF(36169.07308="","-",36169.07308/1770611.63183*100)</f>
        <v>2.0427445764951724</v>
      </c>
      <c r="E45" s="48">
        <f>IF(35274.22754="","-",35274.22754/1880616.047*100)</f>
        <v>1.875674069476873</v>
      </c>
      <c r="F45" s="48">
        <f>IF(OR(1392173.93156="",33597.3130499999="",36169.07308=""),"-",(36169.07308-33597.3130499999)/1392173.93156*100)</f>
        <v>0.18472979357674904</v>
      </c>
      <c r="G45" s="48">
        <f>IF(OR(1770611.63183="",35274.22754="",36169.07308=""),"-",(35274.22754-36169.07308)/1770611.63183*100)</f>
        <v>-0.05053878128402117</v>
      </c>
    </row>
    <row r="46" spans="1:7" s="9" customFormat="1" ht="15.75">
      <c r="A46" s="30" t="s">
        <v>274</v>
      </c>
      <c r="B46" s="48">
        <f>IF(37858.16539="","-",37858.16539)</f>
        <v>37858.16539</v>
      </c>
      <c r="C46" s="48">
        <f>IF(OR(36082.55136="",37858.16539=""),"-",37858.16539/36082.55136*100)</f>
        <v>104.92097693504124</v>
      </c>
      <c r="D46" s="48">
        <f>IF(36082.55136="","-",36082.55136/1770611.63183*100)</f>
        <v>2.0378580322951563</v>
      </c>
      <c r="E46" s="48">
        <f>IF(37858.16539="","-",37858.16539/1880616.047*100)</f>
        <v>2.0130725487742263</v>
      </c>
      <c r="F46" s="48">
        <f>IF(OR(1392173.93156="",25436.09141="",36082.55136=""),"-",(36082.55136-25436.09141)/1392173.93156*100)</f>
        <v>0.764736338516992</v>
      </c>
      <c r="G46" s="48">
        <f>IF(OR(1770611.63183="",37858.16539="",36082.55136=""),"-",(37858.16539-36082.55136)/1770611.63183*100)</f>
        <v>0.10028252373812964</v>
      </c>
    </row>
    <row r="47" spans="1:7" s="9" customFormat="1" ht="15.75">
      <c r="A47" s="30" t="s">
        <v>32</v>
      </c>
      <c r="B47" s="48">
        <f>IF(15827.76469="","-",15827.76469)</f>
        <v>15827.76469</v>
      </c>
      <c r="C47" s="48">
        <f>IF(OR(15933.30253="",15827.76469=""),"-",15827.76469/15933.30253*100)</f>
        <v>99.3376273387059</v>
      </c>
      <c r="D47" s="48">
        <f>IF(15933.30253="","-",15933.30253/1770611.63183*100)</f>
        <v>0.8998756273577778</v>
      </c>
      <c r="E47" s="48">
        <f>IF(15827.76469="","-",15827.76469/1880616.047*100)</f>
        <v>0.8416265890769569</v>
      </c>
      <c r="F47" s="48">
        <f>IF(OR(1392173.93156="",12343.51735="",15933.30253=""),"-",(15933.30253-12343.51735)/1392173.93156*100)</f>
        <v>0.2578546472262606</v>
      </c>
      <c r="G47" s="48">
        <f>IF(OR(1770611.63183="",15827.76469="",15933.30253=""),"-",(15827.76469-15933.30253)/1770611.63183*100)</f>
        <v>-0.005960530141266674</v>
      </c>
    </row>
    <row r="48" spans="1:7" s="9" customFormat="1" ht="14.25" customHeight="1">
      <c r="A48" s="30" t="s">
        <v>33</v>
      </c>
      <c r="B48" s="48">
        <f>IF(33670.98858="","-",33670.98858)</f>
        <v>33670.98858</v>
      </c>
      <c r="C48" s="48">
        <f>IF(OR(29919.33508="",33670.98858=""),"-",33670.98858/29919.33508*100)</f>
        <v>112.53922752617535</v>
      </c>
      <c r="D48" s="48">
        <f>IF(29919.33508="","-",29919.33508/1770611.63183*100)</f>
        <v>1.689774004764508</v>
      </c>
      <c r="E48" s="48">
        <f>IF(33670.98858="","-",33670.98858/1880616.047*100)</f>
        <v>1.7904233367418456</v>
      </c>
      <c r="F48" s="48">
        <f>IF(OR(1392173.93156="",25156.68413="",29919.33508=""),"-",(29919.33508-25156.68413)/1392173.93156*100)</f>
        <v>0.3421017189039887</v>
      </c>
      <c r="G48" s="48">
        <f>IF(OR(1770611.63183="",33670.98858="",29919.33508=""),"-",(33670.98858-29919.33508)/1770611.63183*100)</f>
        <v>0.2118846071355867</v>
      </c>
    </row>
    <row r="49" spans="1:7" s="9" customFormat="1" ht="13.5" customHeight="1">
      <c r="A49" s="30" t="s">
        <v>275</v>
      </c>
      <c r="B49" s="48">
        <f>IF(64637.86668="","-",64637.86668)</f>
        <v>64637.86668</v>
      </c>
      <c r="C49" s="48">
        <f>IF(OR(71002.1477="",64637.86668=""),"-",64637.86668/71002.1477*100)</f>
        <v>91.03649505520521</v>
      </c>
      <c r="D49" s="48">
        <f>IF(71002.1477="","-",71002.1477/1770611.63183*100)</f>
        <v>4.010035087514723</v>
      </c>
      <c r="E49" s="48">
        <f>IF(64637.86668="","-",64637.86668/1880616.047*100)</f>
        <v>3.437058126942591</v>
      </c>
      <c r="F49" s="48">
        <f>IF(OR(1392173.93156="",57146.63041="",71002.1477=""),"-",(71002.1477-57146.63041)/1392173.93156*100)</f>
        <v>0.9952432649327235</v>
      </c>
      <c r="G49" s="48">
        <f>IF(OR(1770611.63183="",64637.86668="",71002.1477=""),"-",(64637.86668-71002.1477)/1770611.63183*100)</f>
        <v>-0.35943969335738835</v>
      </c>
    </row>
    <row r="50" spans="1:7" s="9" customFormat="1" ht="25.5">
      <c r="A50" s="37" t="s">
        <v>34</v>
      </c>
      <c r="B50" s="47">
        <f>IF(330116.52261="","-",330116.52261)</f>
        <v>330116.52261</v>
      </c>
      <c r="C50" s="47">
        <f>IF(338472.42569="","-",330116.52261/338472.42569*100)</f>
        <v>97.53128986416961</v>
      </c>
      <c r="D50" s="47">
        <f>IF(338472.42569="","-",338472.42569/1770611.63183*100)</f>
        <v>19.116130245918175</v>
      </c>
      <c r="E50" s="47">
        <f>IF(330116.52261="","-",330116.52261/1880616.047*100)</f>
        <v>17.553637444315605</v>
      </c>
      <c r="F50" s="47">
        <f>IF(1392173.93156="","-",(338472.42569-256286.41733)/1392173.93156*100)</f>
        <v>5.903429628789738</v>
      </c>
      <c r="G50" s="47">
        <f>IF(1770611.63183="","-",(330116.52261-338472.42569)/1770611.63183*100)</f>
        <v>-0.471921844959521</v>
      </c>
    </row>
    <row r="51" spans="1:7" s="9" customFormat="1" ht="15.75">
      <c r="A51" s="30" t="s">
        <v>245</v>
      </c>
      <c r="B51" s="48">
        <f>IF(16402.60636="","-",16402.60636)</f>
        <v>16402.60636</v>
      </c>
      <c r="C51" s="48">
        <f>IF(OR(20447.00542="",16402.60636=""),"-",16402.60636/20447.00542*100)</f>
        <v>80.22009102592588</v>
      </c>
      <c r="D51" s="48">
        <f>IF(20447.00542="","-",20447.00542/1770611.63183*100)</f>
        <v>1.1547990000984676</v>
      </c>
      <c r="E51" s="48">
        <f>IF(16402.60636="","-",16402.60636/1880616.047*100)</f>
        <v>0.8721932574257142</v>
      </c>
      <c r="F51" s="48">
        <f>IF(OR(1392173.93156="",12033.18713="",20447.00542=""),"-",(20447.00542-12033.18713)/1392173.93156*100)</f>
        <v>0.6043654531421875</v>
      </c>
      <c r="G51" s="48">
        <f>IF(OR(1770611.63183="",16402.60636="",20447.00542=""),"-",(16402.60636-20447.00542)/1770611.63183*100)</f>
        <v>-0.22841819105299488</v>
      </c>
    </row>
    <row r="52" spans="1:7" s="9" customFormat="1" ht="15.75">
      <c r="A52" s="30" t="s">
        <v>35</v>
      </c>
      <c r="B52" s="48">
        <f>IF(19858.42986="","-",19858.42986)</f>
        <v>19858.42986</v>
      </c>
      <c r="C52" s="48">
        <f>IF(OR(20397.11644="",19858.42986=""),"-",19858.42986/20397.11644*100)</f>
        <v>97.35900620274145</v>
      </c>
      <c r="D52" s="48">
        <f>IF(20397.11644="","-",20397.11644/1770611.63183*100)</f>
        <v>1.1519813872971534</v>
      </c>
      <c r="E52" s="48">
        <f>IF(19858.42986="","-",19858.42986/1880616.047*100)</f>
        <v>1.0559534409843307</v>
      </c>
      <c r="F52" s="48">
        <f>IF(OR(1392173.93156="",16326.42629="",20397.11644=""),"-",(20397.11644-16326.42629)/1392173.93156*100)</f>
        <v>0.2923981018261556</v>
      </c>
      <c r="G52" s="48">
        <f>IF(OR(1770611.63183="",19858.42986="",20397.11644=""),"-",(19858.42986-20397.11644)/1770611.63183*100)</f>
        <v>-0.030423756984090666</v>
      </c>
    </row>
    <row r="53" spans="1:7" s="9" customFormat="1" ht="15" customHeight="1">
      <c r="A53" s="30" t="s">
        <v>36</v>
      </c>
      <c r="B53" s="48">
        <f>IF(24151.36886="","-",24151.36886)</f>
        <v>24151.36886</v>
      </c>
      <c r="C53" s="48">
        <f>IF(OR(21693.42525="",24151.36886=""),"-",24151.36886/21693.42525*100)</f>
        <v>111.3303619952778</v>
      </c>
      <c r="D53" s="48">
        <f>IF(21693.42525="","-",21693.42525/1770611.63183*100)</f>
        <v>1.225193874253438</v>
      </c>
      <c r="E53" s="48">
        <f>IF(24151.36886="","-",24151.36886/1880616.047*100)</f>
        <v>1.2842264585866312</v>
      </c>
      <c r="F53" s="48">
        <f>IF(OR(1392173.93156="",15518.34735="",21693.42525=""),"-",(21693.42525-15518.34735)/1392173.93156*100)</f>
        <v>0.44355649534972397</v>
      </c>
      <c r="G53" s="48">
        <f>IF(OR(1770611.63183="",24151.36886="",21693.42525=""),"-",(24151.36886-21693.42525)/1770611.63183*100)</f>
        <v>0.13881890109688325</v>
      </c>
    </row>
    <row r="54" spans="1:7" s="9" customFormat="1" ht="25.5">
      <c r="A54" s="30" t="s">
        <v>246</v>
      </c>
      <c r="B54" s="48">
        <f>IF(34190.53845="","-",34190.53845)</f>
        <v>34190.53845</v>
      </c>
      <c r="C54" s="48">
        <f>IF(OR(31453.71113="",34190.53845=""),"-",34190.53845/31453.71113*100)</f>
        <v>108.70112689942543</v>
      </c>
      <c r="D54" s="48">
        <f>IF(31453.71113="","-",31453.71113/1770611.63183*100)</f>
        <v>1.7764319721254342</v>
      </c>
      <c r="E54" s="48">
        <f>IF(34190.53845="","-",34190.53845/1880616.047*100)</f>
        <v>1.8180499153211787</v>
      </c>
      <c r="F54" s="48">
        <f>IF(OR(1392173.93156="",24662.84745="",31453.71113=""),"-",(31453.71113-24662.84745)/1392173.93156*100)</f>
        <v>0.48778845272519206</v>
      </c>
      <c r="G54" s="48">
        <f>IF(OR(1770611.63183="",34190.53845="",31453.71113=""),"-",(34190.53845-31453.71113)/1770611.63183*100)</f>
        <v>0.1545696001765998</v>
      </c>
    </row>
    <row r="55" spans="1:7" s="9" customFormat="1" ht="25.5">
      <c r="A55" s="30" t="s">
        <v>247</v>
      </c>
      <c r="B55" s="48">
        <f>IF(88190.57878="","-",88190.57878)</f>
        <v>88190.57878</v>
      </c>
      <c r="C55" s="48">
        <f>IF(OR(99804.06595="",88190.57878=""),"-",88190.57878/99804.06595*100)</f>
        <v>88.36371338236044</v>
      </c>
      <c r="D55" s="48">
        <f>IF(99804.06595="","-",99804.06595/1770611.63183*100)</f>
        <v>5.636700005570865</v>
      </c>
      <c r="E55" s="48">
        <f>IF(88190.57878="","-",88190.57878/1880616.047*100)</f>
        <v>4.689451572035852</v>
      </c>
      <c r="F55" s="48">
        <f>IF(OR(1392173.93156="",84120.16659="",99804.06595=""),"-",(99804.06595-84120.16659)/1392173.93156*100)</f>
        <v>1.126576141418294</v>
      </c>
      <c r="G55" s="48">
        <f>IF(OR(1770611.63183="",88190.57878="",99804.06595=""),"-",(88190.57878-99804.06595)/1770611.63183*100)</f>
        <v>-0.6559025684247308</v>
      </c>
    </row>
    <row r="56" spans="1:7" s="9" customFormat="1" ht="15.75">
      <c r="A56" s="30" t="s">
        <v>37</v>
      </c>
      <c r="B56" s="48">
        <f>IF(36438.3607199999="","-",36438.3607199999)</f>
        <v>36438.3607199999</v>
      </c>
      <c r="C56" s="48">
        <f>IF(OR(31635.99607="",36438.3607199999=""),"-",36438.3607199999/31635.99607*100)</f>
        <v>115.18006463072588</v>
      </c>
      <c r="D56" s="48">
        <f>IF(31635.99607="","-",31635.99607/1770611.63183*100)</f>
        <v>1.786726998811303</v>
      </c>
      <c r="E56" s="48">
        <f>IF(36438.3607199999="","-",36438.3607199999/1880616.047*100)</f>
        <v>1.937575762906372</v>
      </c>
      <c r="F56" s="48">
        <f>IF(OR(1392173.93156="",27011.84184="",31635.99607=""),"-",(31635.99607-27011.84184)/1392173.93156*100)</f>
        <v>0.3321534849326195</v>
      </c>
      <c r="G56" s="48">
        <f>IF(OR(1770611.63183="",36438.3607199999="",31635.99607=""),"-",(36438.3607199999-31635.99607)/1770611.63183*100)</f>
        <v>0.2712263131941848</v>
      </c>
    </row>
    <row r="57" spans="1:7" s="9" customFormat="1" ht="13.5" customHeight="1">
      <c r="A57" s="30" t="s">
        <v>248</v>
      </c>
      <c r="B57" s="48">
        <f>IF(35454.11497="","-",35454.11497)</f>
        <v>35454.11497</v>
      </c>
      <c r="C57" s="48">
        <f>IF(OR(34506.9216="",35454.11497=""),"-",35454.11497/34506.9216*100)</f>
        <v>102.74493732295147</v>
      </c>
      <c r="D57" s="48">
        <f>IF(34506.9216="","-",34506.9216/1770611.63183*100)</f>
        <v>1.948870151967525</v>
      </c>
      <c r="E57" s="48">
        <f>IF(35454.11497="","-",35454.11497/1880616.047*100)</f>
        <v>1.8852394153797203</v>
      </c>
      <c r="F57" s="48">
        <f>IF(OR(1392173.93156="",24464.28967="",34506.9216=""),"-",(34506.9216-24464.28967)/1392173.93156*100)</f>
        <v>0.7213633083006185</v>
      </c>
      <c r="G57" s="48">
        <f>IF(OR(1770611.63183="",35454.11497="",34506.9216=""),"-",(35454.11497-34506.9216)/1770611.63183*100)</f>
        <v>0.05349526417721753</v>
      </c>
    </row>
    <row r="58" spans="1:7" s="9" customFormat="1" ht="14.25" customHeight="1">
      <c r="A58" s="30" t="s">
        <v>38</v>
      </c>
      <c r="B58" s="48">
        <f>IF(29973.07295="","-",29973.07295)</f>
        <v>29973.07295</v>
      </c>
      <c r="C58" s="48">
        <f>IF(OR(33290.17708="",29973.07295=""),"-",29973.07295/33290.17708*100)</f>
        <v>90.03578706707198</v>
      </c>
      <c r="D58" s="48">
        <f>IF(33290.17708="","-",33290.17708/1770611.63183*100)</f>
        <v>1.8801512698520584</v>
      </c>
      <c r="E58" s="48">
        <f>IF(29973.07295="","-",29973.07295/1880616.047*100)</f>
        <v>1.5937901305167372</v>
      </c>
      <c r="F58" s="48">
        <f>IF(OR(1392173.93156="",18714.79665="",33290.17708=""),"-",(33290.17708-18714.79665)/1392173.93156*100)</f>
        <v>1.0469511100288715</v>
      </c>
      <c r="G58" s="48">
        <f>IF(OR(1770611.63183="",29973.07295="",33290.17708=""),"-",(29973.07295-33290.17708)/1770611.63183*100)</f>
        <v>-0.18734227598920922</v>
      </c>
    </row>
    <row r="59" spans="1:7" s="9" customFormat="1" ht="14.25" customHeight="1">
      <c r="A59" s="30" t="s">
        <v>39</v>
      </c>
      <c r="B59" s="48">
        <f>IF(45457.45166="","-",45457.45166)</f>
        <v>45457.45166</v>
      </c>
      <c r="C59" s="48">
        <f>IF(OR(45244.00675="",45457.45166=""),"-",45457.45166/45244.00675*100)</f>
        <v>100.47176394252482</v>
      </c>
      <c r="D59" s="48">
        <f>IF(45244.00675="","-",45244.00675/1770611.63183*100)</f>
        <v>2.55527558594193</v>
      </c>
      <c r="E59" s="48">
        <f>IF(45457.45166="","-",45457.45166/1880616.047*100)</f>
        <v>2.417157491159066</v>
      </c>
      <c r="F59" s="48">
        <f>IF(OR(1392173.93156="",33434.51436="",45244.00675=""),"-",(45244.00675-33434.51436)/1392173.93156*100)</f>
        <v>0.8482770810660761</v>
      </c>
      <c r="G59" s="48">
        <f>IF(OR(1770611.63183="",45457.45166="",45244.00675=""),"-",(45457.45166-45244.00675)/1770611.63183*100)</f>
        <v>0.012054868846613992</v>
      </c>
    </row>
    <row r="60" spans="1:7" s="9" customFormat="1" ht="15" customHeight="1">
      <c r="A60" s="37" t="s">
        <v>249</v>
      </c>
      <c r="B60" s="47">
        <f>IF(430508.16962="","-",430508.16962)</f>
        <v>430508.16962</v>
      </c>
      <c r="C60" s="47">
        <f>IF(404371.36885="","-",430508.16962/404371.36885*100)</f>
        <v>106.46356364060368</v>
      </c>
      <c r="D60" s="47">
        <f>IF(404371.36885="","-",404371.36885/1770611.63183*100)</f>
        <v>22.837948287511562</v>
      </c>
      <c r="E60" s="47">
        <f>IF(430508.16962="","-",430508.16962/1880616.047*100)</f>
        <v>22.89186941198104</v>
      </c>
      <c r="F60" s="47">
        <f>IF(1392173.93156="","-",(404371.36885-283826.56966)/1392173.93156*100)</f>
        <v>8.658745610537586</v>
      </c>
      <c r="G60" s="47">
        <f>IF(1770611.63183="","-",(430508.16962-404371.36885)/1770611.63183*100)</f>
        <v>1.4761453217714666</v>
      </c>
    </row>
    <row r="61" spans="1:7" s="9" customFormat="1" ht="25.5">
      <c r="A61" s="30" t="s">
        <v>250</v>
      </c>
      <c r="B61" s="48">
        <f>IF(4785.42277="","-",4785.42277)</f>
        <v>4785.42277</v>
      </c>
      <c r="C61" s="48">
        <f>IF(OR(5970.85188="",4785.42277=""),"-",4785.42277/5970.85188*100)</f>
        <v>80.14639897581918</v>
      </c>
      <c r="D61" s="48">
        <f>IF(5970.85188="","-",5970.85188/1770611.63183*100)</f>
        <v>0.33721973653978987</v>
      </c>
      <c r="E61" s="48">
        <f>IF(4785.42277="","-",4785.42277/1880616.047*100)</f>
        <v>0.2544603816198321</v>
      </c>
      <c r="F61" s="48">
        <f>IF(OR(1392173.93156="",4354.01339="",5970.85188=""),"-",(5970.85188-4354.01339)/1392173.93156*100)</f>
        <v>0.11613767887380655</v>
      </c>
      <c r="G61" s="48">
        <f>IF(OR(1770611.63183="",4785.42277="",5970.85188=""),"-",(4785.42277-5970.85188)/1770611.63183*100)</f>
        <v>-0.0669502610674036</v>
      </c>
    </row>
    <row r="62" spans="1:7" s="9" customFormat="1" ht="25.5">
      <c r="A62" s="30" t="s">
        <v>276</v>
      </c>
      <c r="B62" s="48">
        <f>IF(65409.03239="","-",65409.03239)</f>
        <v>65409.03239</v>
      </c>
      <c r="C62" s="48">
        <f>IF(OR(63334.27522="",65409.03239=""),"-",65409.03239/63334.27522*100)</f>
        <v>103.27588365508731</v>
      </c>
      <c r="D62" s="48">
        <f>IF(63334.27522="","-",63334.27522/1770611.63183*100)</f>
        <v>3.576971600177585</v>
      </c>
      <c r="E62" s="48">
        <f>IF(65409.03239="","-",65409.03239/1880616.047*100)</f>
        <v>3.4780641425633863</v>
      </c>
      <c r="F62" s="48">
        <f>IF(OR(1392173.93156="",42588.816="",63334.27522=""),"-",(63334.27522-42588.816)/1392173.93156*100)</f>
        <v>1.490148518781248</v>
      </c>
      <c r="G62" s="48">
        <f>IF(OR(1770611.63183="",65409.03239="",63334.27522=""),"-",(65409.03239-63334.27522)/1770611.63183*100)</f>
        <v>0.11717742799733277</v>
      </c>
    </row>
    <row r="63" spans="1:7" s="9" customFormat="1" ht="25.5">
      <c r="A63" s="30" t="s">
        <v>252</v>
      </c>
      <c r="B63" s="48">
        <f>IF(2897.1989="","-",2897.1989)</f>
        <v>2897.1989</v>
      </c>
      <c r="C63" s="48">
        <f>IF(OR(3220.81183="",2897.1989=""),"-",2897.1989/3220.81183*100)</f>
        <v>89.95244220771505</v>
      </c>
      <c r="D63" s="48">
        <f>IF(3220.81183="","-",3220.81183/1770611.63183*100)</f>
        <v>0.18190391230352182</v>
      </c>
      <c r="E63" s="48">
        <f>IF(2897.1989="","-",2897.1989/1880616.047*100)</f>
        <v>0.15405584274481096</v>
      </c>
      <c r="F63" s="48">
        <f>IF(OR(1392173.93156="",3006.08822="",3220.81183=""),"-",(3220.81183-3006.08822)/1392173.93156*100)</f>
        <v>0.015423619501292597</v>
      </c>
      <c r="G63" s="48">
        <f>IF(OR(1770611.63183="",2897.1989="",3220.81183=""),"-",(2897.1989-3220.81183)/1770611.63183*100)</f>
        <v>-0.018276900715123674</v>
      </c>
    </row>
    <row r="64" spans="1:7" s="9" customFormat="1" ht="38.25">
      <c r="A64" s="30" t="s">
        <v>253</v>
      </c>
      <c r="B64" s="48">
        <f>IF(57602.29707="","-",57602.29707)</f>
        <v>57602.29707</v>
      </c>
      <c r="C64" s="48">
        <f>IF(OR(48093.91509="",57602.29707=""),"-",57602.29707/48093.91509*100)</f>
        <v>119.77044697277523</v>
      </c>
      <c r="D64" s="48">
        <f>IF(48093.91509="","-",48093.91509/1770611.63183*100)</f>
        <v>2.7162317374077656</v>
      </c>
      <c r="E64" s="48">
        <f>IF(57602.29707="","-",57602.29707/1880616.047*100)</f>
        <v>3.062948290901189</v>
      </c>
      <c r="F64" s="48">
        <f>IF(OR(1392173.93156="",38094.29263="",48093.91509=""),"-",(48093.91509-38094.29263)/1392173.93156*100)</f>
        <v>0.7182739335447063</v>
      </c>
      <c r="G64" s="48">
        <f>IF(OR(1770611.63183="",57602.29707="",48093.91509=""),"-",(57602.29707-48093.91509)/1770611.63183*100)</f>
        <v>0.5370111553018938</v>
      </c>
    </row>
    <row r="65" spans="1:7" s="9" customFormat="1" ht="25.5">
      <c r="A65" s="30" t="s">
        <v>254</v>
      </c>
      <c r="B65" s="48">
        <f>IF(15095.28069="","-",15095.28069)</f>
        <v>15095.28069</v>
      </c>
      <c r="C65" s="48">
        <f>IF(OR(19108.27212="",15095.28069=""),"-",15095.28069/19108.27212*100)</f>
        <v>78.99866924231345</v>
      </c>
      <c r="D65" s="48">
        <f>IF(19108.27212="","-",19108.27212/1770611.63183*100)</f>
        <v>1.0791904772618497</v>
      </c>
      <c r="E65" s="48">
        <f>IF(15095.28069="","-",15095.28069/1880616.047*100)</f>
        <v>0.8026774372195921</v>
      </c>
      <c r="F65" s="48">
        <f>IF(OR(1392173.93156="",10851.07418="",19108.27212=""),"-",(19108.27212-10851.07418)/1392173.93156*100)</f>
        <v>0.5931153969208001</v>
      </c>
      <c r="G65" s="48">
        <f>IF(OR(1770611.63183="",15095.28069="",19108.27212=""),"-",(15095.28069-19108.27212)/1770611.63183*100)</f>
        <v>-0.22664436163521698</v>
      </c>
    </row>
    <row r="66" spans="1:7" s="9" customFormat="1" ht="38.25">
      <c r="A66" s="30" t="s">
        <v>255</v>
      </c>
      <c r="B66" s="48">
        <f>IF(44306.5849="","-",44306.5849)</f>
        <v>44306.5849</v>
      </c>
      <c r="C66" s="48">
        <f>IF(OR(41890.21316="",44306.5849=""),"-",44306.5849/41890.21316*100)</f>
        <v>105.76834434040872</v>
      </c>
      <c r="D66" s="48">
        <f>IF(41890.21316="","-",41890.21316/1770611.63183*100)</f>
        <v>2.365861175141199</v>
      </c>
      <c r="E66" s="48">
        <f>IF(44306.5849="","-",44306.5849/1880616.047*100)</f>
        <v>2.3559612272095007</v>
      </c>
      <c r="F66" s="48">
        <f>IF(OR(1392173.93156="",27661.56697="",41890.21316=""),"-",(41890.21316-27661.56697)/1392173.93156*100)</f>
        <v>1.0220451530834296</v>
      </c>
      <c r="G66" s="48">
        <f>IF(OR(1770611.63183="",44306.5849="",41890.21316=""),"-",(44306.5849-41890.21316)/1770611.63183*100)</f>
        <v>0.13647101919818422</v>
      </c>
    </row>
    <row r="67" spans="1:7" s="9" customFormat="1" ht="40.5" customHeight="1">
      <c r="A67" s="30" t="s">
        <v>277</v>
      </c>
      <c r="B67" s="48">
        <f>IF(131316.4566="","-",131316.4566)</f>
        <v>131316.4566</v>
      </c>
      <c r="C67" s="48">
        <f>IF(OR(128994.18412="",131316.4566=""),"-",131316.4566/128994.18412*100)</f>
        <v>101.80029238980235</v>
      </c>
      <c r="D67" s="48">
        <f>IF(128994.18412="","-",128994.18412/1770611.63183*100)</f>
        <v>7.285289546340504</v>
      </c>
      <c r="E67" s="48">
        <f>IF(131316.4566="","-",131316.4566/1880616.047*100)</f>
        <v>6.982629804179269</v>
      </c>
      <c r="F67" s="48">
        <f>IF(OR(1392173.93156="",85380.19793="",128994.18412=""),"-",(128994.18412-85380.19793)/1392173.93156*100)</f>
        <v>3.1327972174517287</v>
      </c>
      <c r="G67" s="48">
        <f>IF(OR(1770611.63183="",131316.4566="",128994.18412=""),"-",(131316.4566-128994.18412)/1770611.63183*100)</f>
        <v>0.1311565132778347</v>
      </c>
    </row>
    <row r="68" spans="1:7" s="9" customFormat="1" ht="25.5">
      <c r="A68" s="30" t="s">
        <v>40</v>
      </c>
      <c r="B68" s="48">
        <f>IF(107027.91284="","-",107027.91284)</f>
        <v>107027.91284</v>
      </c>
      <c r="C68" s="48">
        <f>IF(OR(93294.87131="",107027.91284=""),"-",107027.91284/93294.87131*100)</f>
        <v>114.72003909450486</v>
      </c>
      <c r="D68" s="48">
        <f>IF(93294.87131="","-",93294.87131/1770611.63183*100)</f>
        <v>5.26907593019571</v>
      </c>
      <c r="E68" s="48">
        <f>IF(107027.91284="","-",107027.91284/1880616.047*100)</f>
        <v>5.691109198538069</v>
      </c>
      <c r="F68" s="48">
        <f>IF(OR(1392173.93156="",71347.6715="",93294.87131=""),"-",(93294.87131-71347.6715)/1392173.93156*100)</f>
        <v>1.5764696718180236</v>
      </c>
      <c r="G68" s="48">
        <f>IF(OR(1770611.63183="",107027.91284="",93294.87131=""),"-",(107027.91284-93294.87131)/1770611.63183*100)</f>
        <v>0.7756100368439542</v>
      </c>
    </row>
    <row r="69" spans="1:7" s="9" customFormat="1" ht="15.75">
      <c r="A69" s="30" t="s">
        <v>41</v>
      </c>
      <c r="B69" s="48">
        <f>IF(2067.98346="","-",2067.98346)</f>
        <v>2067.98346</v>
      </c>
      <c r="C69" s="48" t="s">
        <v>279</v>
      </c>
      <c r="D69" s="48">
        <f>IF(463.97412="","-",463.97412/1770611.63183*100)</f>
        <v>0.026204172143637378</v>
      </c>
      <c r="E69" s="48">
        <f>IF(2067.98346="","-",2067.98346/1880616.047*100)</f>
        <v>0.1099630870053934</v>
      </c>
      <c r="F69" s="48">
        <f>IF(OR(1392173.93156="",542.84884="",463.97412=""),"-",(463.97412-542.84884)/1392173.93156*100)</f>
        <v>-0.005665579437449811</v>
      </c>
      <c r="G69" s="48">
        <f>IF(OR(1770611.63183="",2067.98346="",463.97412=""),"-",(2067.98346-463.97412)/1770611.63183*100)</f>
        <v>0.09059069257001266</v>
      </c>
    </row>
    <row r="70" spans="1:7" s="9" customFormat="1" ht="14.25" customHeight="1">
      <c r="A70" s="37" t="s">
        <v>42</v>
      </c>
      <c r="B70" s="47">
        <f>IF(189379.89774="","-",189379.89774)</f>
        <v>189379.89774</v>
      </c>
      <c r="C70" s="47">
        <f>IF(173376.22186="","-",189379.89774/173376.22186*100)</f>
        <v>109.23060596678755</v>
      </c>
      <c r="D70" s="47">
        <f>IF(173376.22186="","-",173376.22186/1770611.63183*100)</f>
        <v>9.791883140449526</v>
      </c>
      <c r="E70" s="47">
        <f>IF(189379.89774="","-",189379.89774/1880616.047*100)</f>
        <v>10.07009899985183</v>
      </c>
      <c r="F70" s="47">
        <f>IF(1392173.93156="","-",(173376.22186-145219.66185)/1392173.93156*100)</f>
        <v>2.022488668384213</v>
      </c>
      <c r="G70" s="47">
        <f>IF(1770611.63183="","-",(189379.89774-173376.22186)/1770611.63183*100)</f>
        <v>0.9038501494231987</v>
      </c>
    </row>
    <row r="71" spans="1:7" s="9" customFormat="1" ht="38.25">
      <c r="A71" s="30" t="s">
        <v>257</v>
      </c>
      <c r="B71" s="48">
        <f>IF(11797.97305="","-",11797.97305)</f>
        <v>11797.97305</v>
      </c>
      <c r="C71" s="48">
        <f>IF(OR(10760.40859="",11797.97305=""),"-",11797.97305/10760.40859*100)</f>
        <v>109.64242622686507</v>
      </c>
      <c r="D71" s="48">
        <f>IF(10760.40859="","-",10760.40859/1770611.63183*100)</f>
        <v>0.6077226872659067</v>
      </c>
      <c r="E71" s="48">
        <f>IF(11797.97305="","-",11797.97305/1880616.047*100)</f>
        <v>0.627346186310618</v>
      </c>
      <c r="F71" s="48">
        <f>IF(OR(1392173.93156="",9155.75706="",10760.40859=""),"-",(10760.40859-9155.75706)/1392173.93156*100)</f>
        <v>0.11526228825459385</v>
      </c>
      <c r="G71" s="48">
        <f>IF(OR(1770611.63183="",11797.97305="",10760.40859=""),"-",(11797.97305-10760.40859)/1770611.63183*100)</f>
        <v>0.058599211783536956</v>
      </c>
    </row>
    <row r="72" spans="1:7" s="9" customFormat="1" ht="15.75">
      <c r="A72" s="30" t="s">
        <v>258</v>
      </c>
      <c r="B72" s="48">
        <f>IF(15843.07939="","-",15843.07939)</f>
        <v>15843.07939</v>
      </c>
      <c r="C72" s="48">
        <f>IF(OR(16177.8831="",15843.07939=""),"-",15843.07939/16177.8831*100)</f>
        <v>97.93048504596996</v>
      </c>
      <c r="D72" s="48">
        <f>IF(16177.8831="","-",16177.8831/1770611.63183*100)</f>
        <v>0.9136889653932461</v>
      </c>
      <c r="E72" s="48">
        <f>IF(15843.07939="","-",15843.07939/1880616.047*100)</f>
        <v>0.8424409339308377</v>
      </c>
      <c r="F72" s="48">
        <f>IF(OR(1392173.93156="",13285.84466="",16177.8831=""),"-",(16177.8831-13285.84466)/1392173.93156*100)</f>
        <v>0.20773542546938267</v>
      </c>
      <c r="G72" s="48">
        <f>IF(OR(1770611.63183="",15843.07939="",16177.8831=""),"-",(15843.07939-16177.8831)/1770611.63183*100)</f>
        <v>-0.01890892977213557</v>
      </c>
    </row>
    <row r="73" spans="1:7" s="9" customFormat="1" ht="15.75">
      <c r="A73" s="30" t="s">
        <v>259</v>
      </c>
      <c r="B73" s="48">
        <f>IF(2995.70337="","-",2995.70337)</f>
        <v>2995.70337</v>
      </c>
      <c r="C73" s="48">
        <f>IF(OR(2531.44149="",2995.70337=""),"-",2995.70337/2531.44149*100)</f>
        <v>118.33982265969733</v>
      </c>
      <c r="D73" s="48">
        <f>IF(2531.44149="","-",2531.44149/1770611.63183*100)</f>
        <v>0.1429698893022436</v>
      </c>
      <c r="E73" s="48">
        <f>IF(2995.70337="","-",2995.70337/1880616.047*100)</f>
        <v>0.1592937258394031</v>
      </c>
      <c r="F73" s="48">
        <f>IF(OR(1392173.93156="",7333.95404="",2531.44149=""),"-",(2531.44149-7333.95404)/1392173.93156*100)</f>
        <v>-0.34496498182655566</v>
      </c>
      <c r="G73" s="48">
        <f>IF(OR(1770611.63183="",2995.70337="",2531.44149=""),"-",(2995.70337-2531.44149)/1770611.63183*100)</f>
        <v>0.026220424154797074</v>
      </c>
    </row>
    <row r="74" spans="1:7" s="9" customFormat="1" ht="15.75">
      <c r="A74" s="30" t="s">
        <v>260</v>
      </c>
      <c r="B74" s="48">
        <f>IF(43356.04668="","-",43356.04668)</f>
        <v>43356.04668</v>
      </c>
      <c r="C74" s="48">
        <f>IF(OR(44845.3386="",43356.04668=""),"-",43356.04668/44845.3386*100)</f>
        <v>96.67904855556158</v>
      </c>
      <c r="D74" s="48">
        <f>IF(44845.3386="","-",44845.3386/1770611.63183*100)</f>
        <v>2.5327597421039476</v>
      </c>
      <c r="E74" s="48">
        <f>IF(43356.04668="","-",43356.04668/1880616.047*100)</f>
        <v>2.305417246075429</v>
      </c>
      <c r="F74" s="48">
        <f>IF(OR(1392173.93156="",37404.43156="",44845.3386=""),"-",(44845.3386-37404.43156)/1392173.93156*100)</f>
        <v>0.5344811356769265</v>
      </c>
      <c r="G74" s="48">
        <f>IF(OR(1770611.63183="",43356.04668="",44845.3386=""),"-",(43356.04668-44845.3386)/1770611.63183*100)</f>
        <v>-0.084111721239556</v>
      </c>
    </row>
    <row r="75" spans="1:7" s="9" customFormat="1" ht="14.25" customHeight="1">
      <c r="A75" s="30" t="s">
        <v>261</v>
      </c>
      <c r="B75" s="48">
        <f>IF(17614.38539="","-",17614.38539)</f>
        <v>17614.38539</v>
      </c>
      <c r="C75" s="48">
        <f>IF(OR(14921.67224="",17614.38539=""),"-",17614.38539/14921.67224*100)</f>
        <v>118.04565270360072</v>
      </c>
      <c r="D75" s="48">
        <f>IF(14921.67224="","-",14921.67224/1770611.63183*100)</f>
        <v>0.8427411167844772</v>
      </c>
      <c r="E75" s="48">
        <f>IF(17614.38539="","-",17614.38539/1880616.047*100)</f>
        <v>0.9366284743820439</v>
      </c>
      <c r="F75" s="48">
        <f>IF(OR(1392173.93156="",13451.64814="",14921.67224=""),"-",(14921.67224-13451.64814)/1392173.93156*100)</f>
        <v>0.10559198579108327</v>
      </c>
      <c r="G75" s="48">
        <f>IF(OR(1770611.63183="",17614.38539="",14921.67224=""),"-",(17614.38539-14921.67224)/1770611.63183*100)</f>
        <v>0.152078135125373</v>
      </c>
    </row>
    <row r="76" spans="1:7" s="9" customFormat="1" ht="25.5">
      <c r="A76" s="30" t="s">
        <v>262</v>
      </c>
      <c r="B76" s="48">
        <f>IF(18727.11985="","-",18727.11985)</f>
        <v>18727.11985</v>
      </c>
      <c r="C76" s="48">
        <f>IF(OR(17370.90398="",18727.11985=""),"-",18727.11985/17370.90398*100)</f>
        <v>107.80739949723677</v>
      </c>
      <c r="D76" s="48">
        <f>IF(17370.90398="","-",17370.90398/1770611.63183*100)</f>
        <v>0.9810679918580707</v>
      </c>
      <c r="E76" s="48">
        <f>IF(18727.11985="","-",18727.11985/1880616.047*100)</f>
        <v>0.9957970889312526</v>
      </c>
      <c r="F76" s="48">
        <f>IF(OR(1392173.93156="",13391.22909="",17370.90398=""),"-",(17370.90398-13391.22909)/1392173.93156*100)</f>
        <v>0.28586046612297755</v>
      </c>
      <c r="G76" s="48">
        <f>IF(OR(1770611.63183="",18727.11985="",17370.90398=""),"-",(18727.11985-17370.90398)/1770611.63183*100)</f>
        <v>0.07659589746387778</v>
      </c>
    </row>
    <row r="77" spans="1:7" s="9" customFormat="1" ht="25.5">
      <c r="A77" s="30" t="s">
        <v>263</v>
      </c>
      <c r="B77" s="48">
        <f>IF(3868.44462="","-",3868.44462)</f>
        <v>3868.44462</v>
      </c>
      <c r="C77" s="48">
        <f>IF(OR(3988.27072="",3868.44462=""),"-",3868.44462/3988.27072*100)</f>
        <v>96.99553745438826</v>
      </c>
      <c r="D77" s="48">
        <f>IF(3988.27072="","-",3988.27072/1770611.63183*100)</f>
        <v>0.22524819380509536</v>
      </c>
      <c r="E77" s="48">
        <f>IF(3868.44462="","-",3868.44462/1880616.047*100)</f>
        <v>0.20570092583071534</v>
      </c>
      <c r="F77" s="48">
        <f>IF(OR(1392173.93156="",3067.32248="",3988.27072=""),"-",(3988.27072-3067.32248)/1392173.93156*100)</f>
        <v>0.06615180898898401</v>
      </c>
      <c r="G77" s="48">
        <f>IF(OR(1770611.63183="",3868.44462="",3988.27072=""),"-",(3868.44462-3988.27072)/1770611.63183*100)</f>
        <v>-0.006767497617541039</v>
      </c>
    </row>
    <row r="78" spans="1:7" ht="15.75">
      <c r="A78" s="30" t="s">
        <v>43</v>
      </c>
      <c r="B78" s="48">
        <f>IF(75177.14539="","-",75177.14539)</f>
        <v>75177.14539</v>
      </c>
      <c r="C78" s="48">
        <f>IF(OR(62780.30314="",75177.14539=""),"-",75177.14539/62780.30314*100)</f>
        <v>119.74638800700762</v>
      </c>
      <c r="D78" s="48">
        <f>IF(62780.30314="","-",62780.30314/1770611.63183*100)</f>
        <v>3.5456845539365385</v>
      </c>
      <c r="E78" s="48">
        <f>IF(75177.14539="","-",75177.14539/1880616.047*100)</f>
        <v>3.997474418551529</v>
      </c>
      <c r="F78" s="48">
        <f>IF(OR(1392173.93156="",48129.47482="",62780.30314=""),"-",(62780.30314-48129.47482)/1392173.93156*100)</f>
        <v>1.052370539906822</v>
      </c>
      <c r="G78" s="48">
        <f>IF(OR(1770611.63183="",75177.14539="",62780.30314=""),"-",(75177.14539-62780.30314)/1770611.63183*100)</f>
        <v>0.7001446295248469</v>
      </c>
    </row>
    <row r="79" spans="1:7" ht="13.5" customHeight="1">
      <c r="A79" s="37" t="s">
        <v>264</v>
      </c>
      <c r="B79" s="47">
        <f>IF(129.57674="","-",129.57674)</f>
        <v>129.57674</v>
      </c>
      <c r="C79" s="47">
        <f>IF(245.12834="","-",129.57674/245.12834*100)</f>
        <v>52.86077489041047</v>
      </c>
      <c r="D79" s="47">
        <f>IF(245.12834="","-",245.12834/1770611.63183*100)</f>
        <v>0.013844274802749927</v>
      </c>
      <c r="E79" s="47">
        <f>IF(129.57674="","-",129.57674/1880616.047*100)</f>
        <v>0.006890122000538262</v>
      </c>
      <c r="F79" s="47">
        <f>IF(1392173.93156="","-",(245.12834-310.02207)/1392173.93156*100)</f>
        <v>-0.004661323454554513</v>
      </c>
      <c r="G79" s="47">
        <f>IF(1770611.63183="","-",(129.57674-245.12834)/1770611.63183*100)</f>
        <v>-0.006526083864058471</v>
      </c>
    </row>
    <row r="80" spans="1:7" ht="15.75">
      <c r="A80" s="31" t="s">
        <v>278</v>
      </c>
      <c r="B80" s="49">
        <f>IF(129.57674="","-",129.57674)</f>
        <v>129.57674</v>
      </c>
      <c r="C80" s="49">
        <f>IF(OR(221.45891="",129.57674=""),"-",129.57674/221.45891*100)</f>
        <v>58.51051104694771</v>
      </c>
      <c r="D80" s="49">
        <f>IF(221.45891="","-",221.45891/1770611.63183*100)</f>
        <v>0.012507480806003352</v>
      </c>
      <c r="E80" s="49">
        <f>IF(129.57674="","-",129.57674/1880616.047*100)</f>
        <v>0.006890122000538262</v>
      </c>
      <c r="F80" s="49">
        <f>IF(OR(1392173.93156="",306.02281="",221.45891=""),"-",(221.45891-306.02281)/1392173.93156*100)</f>
        <v>-0.006074233835512345</v>
      </c>
      <c r="G80" s="49">
        <f>IF(OR(1770611.63183="",129.57674="",221.45891=""),"-",(129.57674-221.45891)/1770611.63183*100)</f>
        <v>-0.005189289867311896</v>
      </c>
    </row>
    <row r="81" ht="15.75">
      <c r="A81" s="37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A39" sqref="A39:IV39"/>
    </sheetView>
  </sheetViews>
  <sheetFormatPr defaultColWidth="9.00390625" defaultRowHeight="15.75"/>
  <cols>
    <col min="1" max="1" width="43.875" style="0" customWidth="1"/>
    <col min="2" max="3" width="12.25390625" style="0" customWidth="1"/>
    <col min="4" max="4" width="17.00390625" style="0" customWidth="1"/>
    <col min="6" max="6" width="12.125" style="0" bestFit="1" customWidth="1"/>
  </cols>
  <sheetData>
    <row r="1" spans="1:4" ht="15.75">
      <c r="A1" s="71" t="s">
        <v>144</v>
      </c>
      <c r="B1" s="71"/>
      <c r="C1" s="71"/>
      <c r="D1" s="71"/>
    </row>
    <row r="2" spans="1:4" ht="15.75">
      <c r="A2" s="71" t="s">
        <v>23</v>
      </c>
      <c r="B2" s="71"/>
      <c r="C2" s="71"/>
      <c r="D2" s="71"/>
    </row>
    <row r="3" ht="15.75">
      <c r="A3" s="5"/>
    </row>
    <row r="4" spans="1:5" ht="21.75" customHeight="1">
      <c r="A4" s="72"/>
      <c r="B4" s="76" t="s">
        <v>196</v>
      </c>
      <c r="C4" s="77"/>
      <c r="D4" s="74" t="s">
        <v>197</v>
      </c>
      <c r="E4" s="1"/>
    </row>
    <row r="5" spans="1:5" ht="20.25" customHeight="1">
      <c r="A5" s="73"/>
      <c r="B5" s="23">
        <v>2018</v>
      </c>
      <c r="C5" s="22">
        <v>2019</v>
      </c>
      <c r="D5" s="75"/>
      <c r="E5" s="1"/>
    </row>
    <row r="6" spans="1:6" ht="14.25" customHeight="1">
      <c r="A6" s="28" t="s">
        <v>173</v>
      </c>
      <c r="B6" s="46">
        <f>IF(-892960.61422="","-",-892960.61422)</f>
        <v>-892960.61422</v>
      </c>
      <c r="C6" s="46">
        <f>IF(-931868.79801="","-",-931868.79801)</f>
        <v>-931868.79801</v>
      </c>
      <c r="D6" s="46">
        <f>IF(-892960.61422="","-",-931868.79801/-892960.61422*100)</f>
        <v>104.3572116362586</v>
      </c>
      <c r="F6" s="20"/>
    </row>
    <row r="7" spans="1:4" ht="15.75">
      <c r="A7" s="37" t="s">
        <v>218</v>
      </c>
      <c r="B7" s="47">
        <f>IF(-933.91253="","-",-933.91253)</f>
        <v>-933.91253</v>
      </c>
      <c r="C7" s="47">
        <f>IF(4006.1662="","-",4006.1662)</f>
        <v>4006.1662</v>
      </c>
      <c r="D7" s="47" t="s">
        <v>22</v>
      </c>
    </row>
    <row r="8" spans="1:4" ht="15.75">
      <c r="A8" s="30" t="s">
        <v>24</v>
      </c>
      <c r="B8" s="48">
        <f>IF(OR(2117.38116="",2117.38116=0),"-",2117.38116)</f>
        <v>2117.38116</v>
      </c>
      <c r="C8" s="48">
        <f>IF(OR(-114.72212="",-114.72212=0),"-",-114.72212)</f>
        <v>-114.72212</v>
      </c>
      <c r="D8" s="48" t="s">
        <v>22</v>
      </c>
    </row>
    <row r="9" spans="1:4" ht="15.75">
      <c r="A9" s="30" t="s">
        <v>219</v>
      </c>
      <c r="B9" s="48">
        <f>IF(OR(-9343.1976="",-9343.1976=0),"-",-9343.1976)</f>
        <v>-9343.1976</v>
      </c>
      <c r="C9" s="48">
        <f>IF(OR(-12082.77852="",-12082.77852=0),"-",-12082.77852)</f>
        <v>-12082.77852</v>
      </c>
      <c r="D9" s="48">
        <f>IF(OR(-9343.1976="",-12082.77852="",-9343.1976=0,-12082.77852=0),"-",-12082.77852/-9343.1976*100)</f>
        <v>129.3216630674706</v>
      </c>
    </row>
    <row r="10" spans="1:4" ht="15.75">
      <c r="A10" s="30" t="s">
        <v>220</v>
      </c>
      <c r="B10" s="48">
        <f>IF(OR(-12399.66788="",-12399.66788=0),"-",-12399.66788)</f>
        <v>-12399.66788</v>
      </c>
      <c r="C10" s="48">
        <f>IF(OR(-16096.13211="",-16096.13211=0),"-",-16096.13211)</f>
        <v>-16096.13211</v>
      </c>
      <c r="D10" s="48">
        <f>IF(OR(-12399.66788="",-16096.13211="",-12399.66788=0,-16096.13211=0),"-",-16096.13211/-12399.66788*100)</f>
        <v>129.81099385703868</v>
      </c>
    </row>
    <row r="11" spans="1:4" ht="15.75">
      <c r="A11" s="30" t="s">
        <v>221</v>
      </c>
      <c r="B11" s="48">
        <f>IF(OR(-15925.77575="",-15925.77575=0),"-",-15925.77575)</f>
        <v>-15925.77575</v>
      </c>
      <c r="C11" s="48">
        <f>IF(OR(-17802.47388="",-17802.47388=0),"-",-17802.47388)</f>
        <v>-17802.47388</v>
      </c>
      <c r="D11" s="48">
        <f>IF(OR(-15925.77575="",-17802.47388="",-15925.77575=0,-17802.47388=0),"-",-17802.47388/-15925.77575*100)</f>
        <v>111.78402960998619</v>
      </c>
    </row>
    <row r="12" spans="1:4" ht="15.75">
      <c r="A12" s="30" t="s">
        <v>222</v>
      </c>
      <c r="B12" s="48">
        <f>IF(OR(38374.63383="",38374.63383=0),"-",38374.63383)</f>
        <v>38374.63383</v>
      </c>
      <c r="C12" s="48">
        <f>IF(OR(53456.81241="",53456.81241=0),"-",53456.81241)</f>
        <v>53456.81241</v>
      </c>
      <c r="D12" s="48">
        <f>IF(OR(38374.63383="",53456.81241="",38374.63383=0,53456.81241=0),"-",53456.81241/38374.63383*100)</f>
        <v>139.30246903935085</v>
      </c>
    </row>
    <row r="13" spans="1:4" ht="15.75">
      <c r="A13" s="30" t="s">
        <v>223</v>
      </c>
      <c r="B13" s="48">
        <f>IF(OR(32203.16528="",32203.16528=0),"-",32203.16528)</f>
        <v>32203.16528</v>
      </c>
      <c r="C13" s="48">
        <f>IF(OR(34680.17597="",34680.17597=0),"-",34680.17597)</f>
        <v>34680.17597</v>
      </c>
      <c r="D13" s="48">
        <f>IF(OR(32203.16528="",34680.17597="",32203.16528=0,34680.17597=0),"-",34680.17597/32203.16528*100)</f>
        <v>107.69182367156425</v>
      </c>
    </row>
    <row r="14" spans="1:4" ht="15.75">
      <c r="A14" s="30" t="s">
        <v>25</v>
      </c>
      <c r="B14" s="48">
        <f>IF(OR(1391.77472="",1391.77472=0),"-",1391.77472)</f>
        <v>1391.77472</v>
      </c>
      <c r="C14" s="48">
        <f>IF(OR(-2004.02725="",-2004.02725=0),"-",-2004.02725)</f>
        <v>-2004.02725</v>
      </c>
      <c r="D14" s="48" t="s">
        <v>22</v>
      </c>
    </row>
    <row r="15" spans="1:4" ht="15.75">
      <c r="A15" s="30" t="s">
        <v>224</v>
      </c>
      <c r="B15" s="48">
        <f>IF(OR(-12530.50236="",-12530.50236=0),"-",-12530.50236)</f>
        <v>-12530.50236</v>
      </c>
      <c r="C15" s="48">
        <f>IF(OR(-13218.06908="",-13218.06908=0),"-",-13218.06908)</f>
        <v>-13218.06908</v>
      </c>
      <c r="D15" s="48">
        <f>IF(OR(-12530.50236="",-13218.06908="",-12530.50236=0,-13218.06908=0),"-",-13218.06908/-12530.50236*100)</f>
        <v>105.48714409244162</v>
      </c>
    </row>
    <row r="16" spans="1:4" ht="15.75">
      <c r="A16" s="30" t="s">
        <v>26</v>
      </c>
      <c r="B16" s="48">
        <f>IF(OR(-3679.23331="",-3679.23331=0),"-",-3679.23331)</f>
        <v>-3679.23331</v>
      </c>
      <c r="C16" s="48">
        <f>IF(OR(-617.36977="",-617.36977=0),"-",-617.36977)</f>
        <v>-617.36977</v>
      </c>
      <c r="D16" s="48">
        <f>IF(OR(-3679.23331="",-617.36977="",-3679.23331=0,-617.36977=0),"-",-617.36977/-3679.23331*100)</f>
        <v>16.779848353786512</v>
      </c>
    </row>
    <row r="17" spans="1:4" ht="15.75">
      <c r="A17" s="30" t="s">
        <v>225</v>
      </c>
      <c r="B17" s="48">
        <f>IF(OR(-21142.49062="",-21142.49062=0),"-",-21142.49062)</f>
        <v>-21142.49062</v>
      </c>
      <c r="C17" s="48">
        <f>IF(OR(-22195.24945="",-22195.24945=0),"-",-22195.24945)</f>
        <v>-22195.24945</v>
      </c>
      <c r="D17" s="48">
        <f>IF(OR(-21142.49062="",-22195.24945="",-21142.49062=0,-22195.24945=0),"-",-22195.24945/-21142.49062*100)</f>
        <v>104.97935105622858</v>
      </c>
    </row>
    <row r="18" spans="1:4" ht="15.75">
      <c r="A18" s="37" t="s">
        <v>226</v>
      </c>
      <c r="B18" s="47">
        <f>IF(44289.07793="","-",44289.07793)</f>
        <v>44289.07793</v>
      </c>
      <c r="C18" s="47">
        <f>IF(34326.16094="","-",34326.16094)</f>
        <v>34326.16094</v>
      </c>
      <c r="D18" s="47">
        <f>IF(44289.07793="","-",34326.16094/44289.07793*100)</f>
        <v>77.5047992515296</v>
      </c>
    </row>
    <row r="19" spans="1:4" ht="15.75">
      <c r="A19" s="30" t="s">
        <v>184</v>
      </c>
      <c r="B19" s="48">
        <f>IF(OR(46787.048="",46787.048=0),"-",46787.048)</f>
        <v>46787.048</v>
      </c>
      <c r="C19" s="48">
        <f>IF(OR(41421.58535="",41421.58535=0),"-",41421.58535)</f>
        <v>41421.58535</v>
      </c>
      <c r="D19" s="48">
        <f>IF(OR(46787.048="",41421.58535="",46787.048=0,41421.58535=0),"-",41421.58535/46787.048*100)</f>
        <v>88.53216246940819</v>
      </c>
    </row>
    <row r="20" spans="1:4" ht="15.75">
      <c r="A20" s="30" t="s">
        <v>227</v>
      </c>
      <c r="B20" s="48">
        <f>IF(OR(-2497.97007="",-2497.97007=0),"-",-2497.97007)</f>
        <v>-2497.97007</v>
      </c>
      <c r="C20" s="48">
        <f>IF(OR(-7095.42441="",-7095.42441=0),"-",-7095.42441)</f>
        <v>-7095.42441</v>
      </c>
      <c r="D20" s="48" t="s">
        <v>205</v>
      </c>
    </row>
    <row r="21" spans="1:4" ht="15.75">
      <c r="A21" s="37" t="s">
        <v>27</v>
      </c>
      <c r="B21" s="47">
        <f>IF(44778.32044="","-",44778.32044)</f>
        <v>44778.32044</v>
      </c>
      <c r="C21" s="47">
        <f>IF(57695.73247="","-",57695.73247)</f>
        <v>57695.73247</v>
      </c>
      <c r="D21" s="47">
        <f>IF(44778.32044="","-",57695.73247/44778.32044*100)</f>
        <v>128.84746882659095</v>
      </c>
    </row>
    <row r="22" spans="1:4" ht="15.75">
      <c r="A22" s="30" t="s">
        <v>228</v>
      </c>
      <c r="B22" s="48">
        <f>IF(OR(1310.39998="",1310.39998=0),"-",1310.39998)</f>
        <v>1310.39998</v>
      </c>
      <c r="C22" s="48">
        <f>IF(OR(467.64384="",467.64384=0),"-",467.64384)</f>
        <v>467.64384</v>
      </c>
      <c r="D22" s="48">
        <f>IF(OR(1310.39998="",467.64384="",1310.39998=0,467.64384=0),"-",467.64384/1310.39998*100)</f>
        <v>35.68710677178124</v>
      </c>
    </row>
    <row r="23" spans="1:4" ht="15.75">
      <c r="A23" s="30" t="s">
        <v>267</v>
      </c>
      <c r="B23" s="48">
        <f>IF(OR(64521.05898="",64521.05898=0),"-",64521.05898)</f>
        <v>64521.05898</v>
      </c>
      <c r="C23" s="48">
        <f>IF(OR(83168.36484="",83168.36484=0),"-",83168.36484)</f>
        <v>83168.36484</v>
      </c>
      <c r="D23" s="48">
        <f>IF(OR(64521.05898="",83168.36484="",64521.05898=0,83168.36484=0),"-",83168.36484/64521.05898*100)</f>
        <v>128.9011156276592</v>
      </c>
    </row>
    <row r="24" spans="1:4" ht="15.75">
      <c r="A24" s="30" t="s">
        <v>268</v>
      </c>
      <c r="B24" s="48">
        <f>IF(OR(-242.80264="",-242.80264=0),"-",-242.80264)</f>
        <v>-242.80264</v>
      </c>
      <c r="C24" s="48">
        <f>IF(OR(-417.92819="",-417.92819=0),"-",-417.92819)</f>
        <v>-417.92819</v>
      </c>
      <c r="D24" s="48" t="s">
        <v>115</v>
      </c>
    </row>
    <row r="25" spans="1:4" ht="15.75">
      <c r="A25" s="30" t="s">
        <v>230</v>
      </c>
      <c r="B25" s="48">
        <f>IF(OR(-7729.12953="",-7729.12953=0),"-",-7729.12953)</f>
        <v>-7729.12953</v>
      </c>
      <c r="C25" s="48">
        <f>IF(OR(-10303.75553="",-10303.75553=0),"-",-10303.75553)</f>
        <v>-10303.75553</v>
      </c>
      <c r="D25" s="48">
        <f>IF(OR(-7729.12953="",-10303.75553="",-7729.12953=0,-10303.75553=0),"-",-10303.75553/-7729.12953*100)</f>
        <v>133.31068511669775</v>
      </c>
    </row>
    <row r="26" spans="1:4" ht="15.75">
      <c r="A26" s="30" t="s">
        <v>231</v>
      </c>
      <c r="B26" s="48">
        <f>IF(OR(826.62091="",826.62091=0),"-",826.62091)</f>
        <v>826.62091</v>
      </c>
      <c r="C26" s="48">
        <f>IF(OR(691.80321="",691.80321=0),"-",691.80321)</f>
        <v>691.80321</v>
      </c>
      <c r="D26" s="48">
        <f>IF(OR(826.62091="",691.80321="",826.62091=0,691.80321=0),"-",691.80321/826.62091*100)</f>
        <v>83.69050451433657</v>
      </c>
    </row>
    <row r="27" spans="1:4" ht="25.5">
      <c r="A27" s="30" t="s">
        <v>232</v>
      </c>
      <c r="B27" s="48">
        <f>IF(OR(-2904.65742="",-2904.65742=0),"-",-2904.65742)</f>
        <v>-2904.65742</v>
      </c>
      <c r="C27" s="48">
        <f>IF(OR(-2472.23121="",-2472.23121=0),"-",-2472.23121)</f>
        <v>-2472.23121</v>
      </c>
      <c r="D27" s="48">
        <f>IF(OR(-2904.65742="",-2472.23121="",-2904.65742=0,-2472.23121=0),"-",-2472.23121/-2904.65742*100)</f>
        <v>85.11266054913973</v>
      </c>
    </row>
    <row r="28" spans="1:4" ht="25.5">
      <c r="A28" s="30" t="s">
        <v>233</v>
      </c>
      <c r="B28" s="48">
        <f>IF(OR(-231.7431="",-231.7431=0),"-",-231.7431)</f>
        <v>-231.7431</v>
      </c>
      <c r="C28" s="48">
        <f>IF(OR(-5329.79858="",-5329.79858=0),"-",-5329.79858)</f>
        <v>-5329.79858</v>
      </c>
      <c r="D28" s="48" t="s">
        <v>281</v>
      </c>
    </row>
    <row r="29" spans="1:4" ht="15.75">
      <c r="A29" s="30" t="s">
        <v>234</v>
      </c>
      <c r="B29" s="48">
        <f>IF(OR(4693.04867="",4693.04867=0),"-",4693.04867)</f>
        <v>4693.04867</v>
      </c>
      <c r="C29" s="48">
        <f>IF(OR(5167.77626="",5167.77626=0),"-",5167.77626)</f>
        <v>5167.77626</v>
      </c>
      <c r="D29" s="48">
        <f>IF(OR(4693.04867="",5167.77626="",4693.04867=0,5167.77626=0),"-",5167.77626/4693.04867*100)</f>
        <v>110.11554798130827</v>
      </c>
    </row>
    <row r="30" spans="1:4" ht="15.75">
      <c r="A30" s="30" t="s">
        <v>28</v>
      </c>
      <c r="B30" s="48">
        <f>IF(OR(-15464.47541="",-15464.47541=0),"-",-15464.47541)</f>
        <v>-15464.47541</v>
      </c>
      <c r="C30" s="48">
        <f>IF(OR(-13276.14217="",-13276.14217=0),"-",-13276.14217)</f>
        <v>-13276.14217</v>
      </c>
      <c r="D30" s="48">
        <f>IF(OR(-15464.47541="",-13276.14217="",-15464.47541=0,-13276.14217=0),"-",-13276.14217/-15464.47541*100)</f>
        <v>85.84928888965138</v>
      </c>
    </row>
    <row r="31" spans="1:4" ht="15.75">
      <c r="A31" s="37" t="s">
        <v>235</v>
      </c>
      <c r="B31" s="47">
        <f>IF(-282175.52363="","-",-282175.52363)</f>
        <v>-282175.52363</v>
      </c>
      <c r="C31" s="47">
        <f>IF(-323284.99561="","-",-323284.99561)</f>
        <v>-323284.99561</v>
      </c>
      <c r="D31" s="47">
        <f>IF(-282175.52363="","-",-323284.99561/-282175.52363*100)</f>
        <v>114.56875899481076</v>
      </c>
    </row>
    <row r="32" spans="1:4" ht="15.75">
      <c r="A32" s="30" t="s">
        <v>270</v>
      </c>
      <c r="B32" s="48">
        <f>IF(OR(-2525.92004="",-2525.92004=0),"-",-2525.92004)</f>
        <v>-2525.92004</v>
      </c>
      <c r="C32" s="48">
        <f>IF(OR(-5847.02593="",-5847.02593=0),"-",-5847.02593)</f>
        <v>-5847.02593</v>
      </c>
      <c r="D32" s="48" t="s">
        <v>215</v>
      </c>
    </row>
    <row r="33" spans="1:4" ht="15.75">
      <c r="A33" s="30" t="s">
        <v>236</v>
      </c>
      <c r="B33" s="48">
        <f>IF(OR(-149078.87687="",-149078.87687=0),"-",-149078.87687)</f>
        <v>-149078.87687</v>
      </c>
      <c r="C33" s="48">
        <f>IF(OR(-162802.9479="",-162802.9479=0),"-",-162802.9479)</f>
        <v>-162802.9479</v>
      </c>
      <c r="D33" s="48">
        <f>IF(OR(-149078.87687="",-162802.9479="",-149078.87687=0,-162802.9479=0),"-",-162802.9479/-149078.87687*100)</f>
        <v>109.20591254652909</v>
      </c>
    </row>
    <row r="34" spans="1:4" ht="15.75">
      <c r="A34" s="30" t="s">
        <v>271</v>
      </c>
      <c r="B34" s="48">
        <f>IF(OR(-117752.42604="",-117752.42604=0),"-",-117752.42604)</f>
        <v>-117752.42604</v>
      </c>
      <c r="C34" s="48">
        <f>IF(OR(-138534.54431="",-138534.54431=0),"-",-138534.54431)</f>
        <v>-138534.54431</v>
      </c>
      <c r="D34" s="48">
        <f>IF(OR(-117752.42604="",-138534.54431="",-117752.42604=0,-138534.54431=0),"-",-138534.54431/-117752.42604*100)</f>
        <v>117.64899371410011</v>
      </c>
    </row>
    <row r="35" spans="1:4" ht="15.75">
      <c r="A35" s="30" t="s">
        <v>29</v>
      </c>
      <c r="B35" s="48">
        <f>IF(OR(-12818.30068="",-12818.30068=0),"-",-12818.30068)</f>
        <v>-12818.30068</v>
      </c>
      <c r="C35" s="48">
        <f>IF(OR(-16100.47747="",-16100.47747=0),"-",-16100.47747)</f>
        <v>-16100.47747</v>
      </c>
      <c r="D35" s="48">
        <f>IF(OR(-12818.30068="",-16100.47747="",-12818.30068=0,-16100.47747=0),"-",-16100.47747/-12818.30068*100)</f>
        <v>125.6053970954284</v>
      </c>
    </row>
    <row r="36" spans="1:4" ht="15.75">
      <c r="A36" s="37" t="s">
        <v>237</v>
      </c>
      <c r="B36" s="47">
        <f>IF(30917.65001="","-",30917.65001)</f>
        <v>30917.65001</v>
      </c>
      <c r="C36" s="47">
        <f>IF(22725.10075="","-",22725.10075)</f>
        <v>22725.10075</v>
      </c>
      <c r="D36" s="47">
        <f>IF(30917.65001="","-",22725.10075/30917.65001*100)</f>
        <v>73.5020311784686</v>
      </c>
    </row>
    <row r="37" spans="1:4" ht="15.75">
      <c r="A37" s="30" t="s">
        <v>272</v>
      </c>
      <c r="B37" s="48">
        <f>IF(OR(-450.54208="",-450.54208=0),"-",-450.54208)</f>
        <v>-450.54208</v>
      </c>
      <c r="C37" s="48">
        <f>IF(OR(-435.6481="",-435.6481=0),"-",-435.6481)</f>
        <v>-435.6481</v>
      </c>
      <c r="D37" s="48">
        <f>IF(OR(-450.54208="",-435.6481="",-450.54208=0,-435.6481=0),"-",-435.6481/-450.54208*100)</f>
        <v>96.69420889609246</v>
      </c>
    </row>
    <row r="38" spans="1:4" ht="15.75">
      <c r="A38" s="30" t="s">
        <v>238</v>
      </c>
      <c r="B38" s="48">
        <f>IF(OR(32203.19448="",32203.19448=0),"-",32203.19448)</f>
        <v>32203.19448</v>
      </c>
      <c r="C38" s="48">
        <f>IF(OR(24137.16976="",24137.16976=0),"-",24137.16976)</f>
        <v>24137.16976</v>
      </c>
      <c r="D38" s="48">
        <f>IF(OR(32203.19448="",24137.16976="",32203.19448=0,24137.16976=0),"-",24137.16976/32203.19448*100)</f>
        <v>74.95271866581604</v>
      </c>
    </row>
    <row r="39" spans="1:4" ht="38.25">
      <c r="A39" s="30" t="s">
        <v>273</v>
      </c>
      <c r="B39" s="48">
        <f>IF(OR(-835.00239="",-835.00239=0),"-",-835.00239)</f>
        <v>-835.00239</v>
      </c>
      <c r="C39" s="48">
        <f>IF(OR(-976.42091="",-976.42091=0),"-",-976.42091)</f>
        <v>-976.42091</v>
      </c>
      <c r="D39" s="48">
        <f>IF(OR(-835.00239="",-976.42091="",-835.00239=0,-976.42091=0),"-",-976.42091/-835.00239*100)</f>
        <v>116.93630122423961</v>
      </c>
    </row>
    <row r="40" spans="1:4" ht="14.25" customHeight="1">
      <c r="A40" s="37" t="s">
        <v>239</v>
      </c>
      <c r="B40" s="47">
        <f>IF(-239455.33483="","-",-239455.33483)</f>
        <v>-239455.33483</v>
      </c>
      <c r="C40" s="47">
        <f>IF(-254786.33191="","-",-254786.33191)</f>
        <v>-254786.33191</v>
      </c>
      <c r="D40" s="47">
        <f>IF(-239455.33483="","-",-254786.33191/-239455.33483*100)</f>
        <v>106.40244540422712</v>
      </c>
    </row>
    <row r="41" spans="1:4" ht="15" customHeight="1">
      <c r="A41" s="30" t="s">
        <v>30</v>
      </c>
      <c r="B41" s="48">
        <f>IF(OR(1394.73136="",1394.73136=0),"-",1394.73136)</f>
        <v>1394.73136</v>
      </c>
      <c r="C41" s="48">
        <f>IF(OR(-1981.69484="",-1981.69484=0),"-",-1981.69484)</f>
        <v>-1981.69484</v>
      </c>
      <c r="D41" s="48" t="s">
        <v>22</v>
      </c>
    </row>
    <row r="42" spans="1:4" ht="15.75">
      <c r="A42" s="30" t="s">
        <v>31</v>
      </c>
      <c r="B42" s="48">
        <f>IF(OR(-3861.66569="",-3861.66569=0),"-",-3861.66569)</f>
        <v>-3861.66569</v>
      </c>
      <c r="C42" s="48">
        <f>IF(OR(-4701.84907="",-4701.84907=0),"-",-4701.84907)</f>
        <v>-4701.84907</v>
      </c>
      <c r="D42" s="48">
        <f>IF(OR(-3861.66569="",-4701.84907="",-3861.66569=0,-4701.84907=0),"-",-4701.84907/-3861.66569*100)</f>
        <v>121.75702009046776</v>
      </c>
    </row>
    <row r="43" spans="1:4" ht="15.75">
      <c r="A43" s="30" t="s">
        <v>240</v>
      </c>
      <c r="B43" s="48">
        <f>IF(OR(-7985.07175="",-7985.07175=0),"-",-7985.07175)</f>
        <v>-7985.07175</v>
      </c>
      <c r="C43" s="48">
        <f>IF(OR(-10108.03552="",-10108.03552=0),"-",-10108.03552)</f>
        <v>-10108.03552</v>
      </c>
      <c r="D43" s="48">
        <f>IF(OR(-7985.07175="",-10108.03552="",-7985.07175=0,-10108.03552=0),"-",-10108.03552/-7985.07175*100)</f>
        <v>126.58665866089432</v>
      </c>
    </row>
    <row r="44" spans="1:4" ht="15.75">
      <c r="A44" s="30" t="s">
        <v>241</v>
      </c>
      <c r="B44" s="48">
        <f>IF(OR(-50316.311="",-50316.311=0),"-",-50316.311)</f>
        <v>-50316.311</v>
      </c>
      <c r="C44" s="48">
        <f>IF(OR(-57325.71087="",-57325.71087=0),"-",-57325.71087)</f>
        <v>-57325.71087</v>
      </c>
      <c r="D44" s="48">
        <f>IF(OR(-50316.311="",-57325.71087="",-50316.311=0,-57325.71087=0),"-",-57325.71087/-50316.311*100)</f>
        <v>113.93067124893159</v>
      </c>
    </row>
    <row r="45" spans="1:4" ht="25.5">
      <c r="A45" s="30" t="s">
        <v>242</v>
      </c>
      <c r="B45" s="48">
        <f>IF(OR(-28194.02007="",-28194.02007=0),"-",-28194.02007)</f>
        <v>-28194.02007</v>
      </c>
      <c r="C45" s="48">
        <f>IF(OR(-30803.55788="",-30803.55788=0),"-",-30803.55788)</f>
        <v>-30803.55788</v>
      </c>
      <c r="D45" s="48">
        <f>IF(OR(-28194.02007="",-30803.55788="",-28194.02007=0,-30803.55788=0),"-",-30803.55788/-28194.02007*100)</f>
        <v>109.25564287576248</v>
      </c>
    </row>
    <row r="46" spans="1:4" ht="15.75">
      <c r="A46" s="30" t="s">
        <v>243</v>
      </c>
      <c r="B46" s="48">
        <f>IF(OR(-36082.55136="",-36082.55136=0),"-",-36082.55136)</f>
        <v>-36082.55136</v>
      </c>
      <c r="C46" s="48">
        <f>IF(OR(-37837.99135="",-37837.99135=0),"-",-37837.99135)</f>
        <v>-37837.99135</v>
      </c>
      <c r="D46" s="48">
        <f>IF(OR(-36082.55136="",-37837.99135="",-36082.55136=0,-37837.99135=0),"-",-37837.99135/-36082.55136*100)</f>
        <v>104.86506614370408</v>
      </c>
    </row>
    <row r="47" spans="1:4" ht="15.75">
      <c r="A47" s="30" t="s">
        <v>32</v>
      </c>
      <c r="B47" s="48">
        <f>IF(OR(-15082.61667="",-15082.61667=0),"-",-15082.61667)</f>
        <v>-15082.61667</v>
      </c>
      <c r="C47" s="48">
        <f>IF(OR(-15242.76187="",-15242.76187=0),"-",-15242.76187)</f>
        <v>-15242.76187</v>
      </c>
      <c r="D47" s="48">
        <f>IF(OR(-15082.61667="",-15242.76187="",-15082.61667=0,-15242.76187=0),"-",-15242.76187/-15082.61667*100)</f>
        <v>101.06178658189025</v>
      </c>
    </row>
    <row r="48" spans="1:4" ht="15.75">
      <c r="A48" s="30" t="s">
        <v>33</v>
      </c>
      <c r="B48" s="48">
        <f>IF(OR(-29383.27451="",-29383.27451=0),"-",-29383.27451)</f>
        <v>-29383.27451</v>
      </c>
      <c r="C48" s="48">
        <f>IF(OR(-32838.48977="",-32838.48977=0),"-",-32838.48977)</f>
        <v>-32838.48977</v>
      </c>
      <c r="D48" s="48">
        <f>IF(OR(-29383.27451="",-32838.48977="",-29383.27451=0,-32838.48977=0),"-",-32838.48977/-29383.27451*100)</f>
        <v>111.7591225539689</v>
      </c>
    </row>
    <row r="49" spans="1:4" ht="15.75">
      <c r="A49" s="30" t="s">
        <v>244</v>
      </c>
      <c r="B49" s="48">
        <f>IF(OR(-69944.55514="",-69944.55514=0),"-",-69944.55514)</f>
        <v>-69944.55514</v>
      </c>
      <c r="C49" s="48">
        <f>IF(OR(-63946.24074="",-63946.24074=0),"-",-63946.24074)</f>
        <v>-63946.24074</v>
      </c>
      <c r="D49" s="48">
        <f>IF(OR(-69944.55514="",-63946.24074="",-69944.55514=0,-63946.24074=0),"-",-63946.24074/-69944.55514*100)</f>
        <v>91.42418678910195</v>
      </c>
    </row>
    <row r="50" spans="1:4" ht="15" customHeight="1">
      <c r="A50" s="37" t="s">
        <v>34</v>
      </c>
      <c r="B50" s="47">
        <f>IF(-279516.47538="","-",-279516.47538)</f>
        <v>-279516.47538</v>
      </c>
      <c r="C50" s="47">
        <f>IF(-274905.6101="","-",-274905.6101)</f>
        <v>-274905.6101</v>
      </c>
      <c r="D50" s="47">
        <f>IF(-279516.47538="","-",-274905.6101/-279516.47538*100)</f>
        <v>98.350413773023</v>
      </c>
    </row>
    <row r="51" spans="1:4" ht="15" customHeight="1">
      <c r="A51" s="30" t="s">
        <v>245</v>
      </c>
      <c r="B51" s="48">
        <f>IF(OR(-19891.96638="",-19891.96638=0),"-",-19891.96638)</f>
        <v>-19891.96638</v>
      </c>
      <c r="C51" s="48">
        <f>IF(OR(-16307.89898="",-16307.89898=0),"-",-16307.89898)</f>
        <v>-16307.89898</v>
      </c>
      <c r="D51" s="48">
        <f>IF(OR(-19891.96638="",-16307.89898="",-19891.96638=0,-16307.89898=0),"-",-16307.89898/-19891.96638*100)</f>
        <v>81.98233733391218</v>
      </c>
    </row>
    <row r="52" spans="1:4" ht="15.75">
      <c r="A52" s="30" t="s">
        <v>35</v>
      </c>
      <c r="B52" s="48">
        <f>IF(OR(-19950.47022="",-19950.47022=0),"-",-19950.47022)</f>
        <v>-19950.47022</v>
      </c>
      <c r="C52" s="48">
        <f>IF(OR(-19280.06872="",-19280.06872=0),"-",-19280.06872)</f>
        <v>-19280.06872</v>
      </c>
      <c r="D52" s="48">
        <f>IF(OR(-19950.47022="",-19280.06872="",-19950.47022=0,-19280.06872=0),"-",-19280.06872/-19950.47022*100)</f>
        <v>96.63967068140612</v>
      </c>
    </row>
    <row r="53" spans="1:4" ht="15.75">
      <c r="A53" s="30" t="s">
        <v>36</v>
      </c>
      <c r="B53" s="48">
        <f>IF(OR(-16540.8708="",-16540.8708=0),"-",-16540.8708)</f>
        <v>-16540.8708</v>
      </c>
      <c r="C53" s="48">
        <f>IF(OR(-17375.6923="",-17375.6923=0),"-",-17375.6923)</f>
        <v>-17375.6923</v>
      </c>
      <c r="D53" s="48">
        <f>IF(OR(-16540.8708="",-17375.6923="",-16540.8708=0,-17375.6923=0),"-",-17375.6923/-16540.8708*100)</f>
        <v>105.047022675493</v>
      </c>
    </row>
    <row r="54" spans="1:4" ht="25.5">
      <c r="A54" s="30" t="s">
        <v>246</v>
      </c>
      <c r="B54" s="48">
        <f>IF(OR(-27757.15219="",-27757.15219=0),"-",-27757.15219)</f>
        <v>-27757.15219</v>
      </c>
      <c r="C54" s="48">
        <f>IF(OR(-30966.48603="",-30966.48603=0),"-",-30966.48603)</f>
        <v>-30966.48603</v>
      </c>
      <c r="D54" s="48">
        <f>IF(OR(-27757.15219="",-30966.48603="",-27757.15219=0,-30966.48603=0),"-",-30966.48603/-27757.15219*100)</f>
        <v>111.5621869924978</v>
      </c>
    </row>
    <row r="55" spans="1:4" ht="25.5">
      <c r="A55" s="30" t="s">
        <v>247</v>
      </c>
      <c r="B55" s="48">
        <f>IF(OR(-73657.79232="",-73657.79232=0),"-",-73657.79232)</f>
        <v>-73657.79232</v>
      </c>
      <c r="C55" s="48">
        <f>IF(OR(-67057.0748="",-67057.0748=0),"-",-67057.0748)</f>
        <v>-67057.0748</v>
      </c>
      <c r="D55" s="48">
        <f>IF(OR(-73657.79232="",-67057.0748="",-73657.79232=0,-67057.0748=0),"-",-67057.0748/-73657.79232*100)</f>
        <v>91.03867043513368</v>
      </c>
    </row>
    <row r="56" spans="1:4" ht="15.75">
      <c r="A56" s="30" t="s">
        <v>37</v>
      </c>
      <c r="B56" s="48">
        <f>IF(OR(-17858.87991="",-17858.87991=0),"-",-17858.87991)</f>
        <v>-17858.87991</v>
      </c>
      <c r="C56" s="48">
        <f>IF(OR(-21315.34611="",-21315.34611=0),"-",-21315.34611)</f>
        <v>-21315.34611</v>
      </c>
      <c r="D56" s="48">
        <f>IF(OR(-17858.87991="",-21315.34611="",-17858.87991=0,-21315.34611=0),"-",-21315.34611/-17858.87991*100)</f>
        <v>119.3543280285152</v>
      </c>
    </row>
    <row r="57" spans="1:4" ht="15.75">
      <c r="A57" s="30" t="s">
        <v>248</v>
      </c>
      <c r="B57" s="48">
        <f>IF(OR(-34123.89141="",-34123.89141=0),"-",-34123.89141)</f>
        <v>-34123.89141</v>
      </c>
      <c r="C57" s="48">
        <f>IF(OR(-34939.15829="",-34939.15829=0),"-",-34939.15829)</f>
        <v>-34939.15829</v>
      </c>
      <c r="D57" s="48">
        <f>IF(OR(-34123.89141="",-34939.15829="",-34123.89141=0,-34939.15829=0),"-",-34939.15829/-34123.89141*100)</f>
        <v>102.38913806811931</v>
      </c>
    </row>
    <row r="58" spans="1:4" ht="15.75">
      <c r="A58" s="30" t="s">
        <v>38</v>
      </c>
      <c r="B58" s="48">
        <f>IF(OR(-32527.27685="",-32527.27685=0),"-",-32527.27685)</f>
        <v>-32527.27685</v>
      </c>
      <c r="C58" s="48">
        <f>IF(OR(-29765.67566="",-29765.67566=0),"-",-29765.67566)</f>
        <v>-29765.67566</v>
      </c>
      <c r="D58" s="48">
        <f>IF(OR(-32527.27685="",-29765.67566="",-32527.27685=0,-29765.67566=0),"-",-29765.67566/-32527.27685*100)</f>
        <v>91.50989121304202</v>
      </c>
    </row>
    <row r="59" spans="1:4" ht="15.75">
      <c r="A59" s="30" t="s">
        <v>39</v>
      </c>
      <c r="B59" s="48">
        <f>IF(OR(-37208.1753="",-37208.1753=0),"-",-37208.1753)</f>
        <v>-37208.1753</v>
      </c>
      <c r="C59" s="48">
        <f>IF(OR(-37898.20921="",-37898.20921=0),"-",-37898.20921)</f>
        <v>-37898.20921</v>
      </c>
      <c r="D59" s="48">
        <f>IF(OR(-37208.1753="",-37898.20921="",-37208.1753=0,-37898.20921=0),"-",-37898.20921/-37208.1753*100)</f>
        <v>101.85452230440335</v>
      </c>
    </row>
    <row r="60" spans="1:4" ht="15.75">
      <c r="A60" s="37" t="s">
        <v>249</v>
      </c>
      <c r="B60" s="47">
        <f>IF(-238676.61303="","-",-238676.61303)</f>
        <v>-238676.61303</v>
      </c>
      <c r="C60" s="47">
        <f>IF(-193983.45335="","-",-193983.45335)</f>
        <v>-193983.45335</v>
      </c>
      <c r="D60" s="47">
        <f>IF(-238676.61303="","-",-193983.45335/-238676.61303*100)</f>
        <v>81.27459615224957</v>
      </c>
    </row>
    <row r="61" spans="1:4" ht="15.75">
      <c r="A61" s="30" t="s">
        <v>250</v>
      </c>
      <c r="B61" s="48">
        <f>IF(OR(-4995.86606="",-4995.86606=0),"-",-4995.86606)</f>
        <v>-4995.86606</v>
      </c>
      <c r="C61" s="48">
        <f>IF(OR(-3450.70104="",-3450.70104=0),"-",-3450.70104)</f>
        <v>-3450.70104</v>
      </c>
      <c r="D61" s="48">
        <f>IF(OR(-4995.86606="",-3450.70104="",-4995.86606=0,-3450.70104=0),"-",-3450.70104/-4995.86606*100)</f>
        <v>69.07112797976012</v>
      </c>
    </row>
    <row r="62" spans="1:4" ht="15.75">
      <c r="A62" s="30" t="s">
        <v>276</v>
      </c>
      <c r="B62" s="48">
        <f>IF(OR(-59296.32606="",-59296.32606=0),"-",-59296.32606)</f>
        <v>-59296.32606</v>
      </c>
      <c r="C62" s="48">
        <f>IF(OR(-61003.28721="",-61003.28721=0),"-",-61003.28721)</f>
        <v>-61003.28721</v>
      </c>
      <c r="D62" s="48">
        <f>IF(OR(-59296.32606="",-61003.28721="",-59296.32606=0,-61003.28721=0),"-",-61003.28721/-59296.32606*100)</f>
        <v>102.87869630957032</v>
      </c>
    </row>
    <row r="63" spans="1:4" ht="15.75">
      <c r="A63" s="30" t="s">
        <v>252</v>
      </c>
      <c r="B63" s="48">
        <f>IF(OR(-2721.15057="",-2721.15057=0),"-",-2721.15057)</f>
        <v>-2721.15057</v>
      </c>
      <c r="C63" s="48">
        <f>IF(OR(-2147.70325="",-2147.70325=0),"-",-2147.70325)</f>
        <v>-2147.70325</v>
      </c>
      <c r="D63" s="48">
        <f>IF(OR(-2721.15057="",-2147.70325="",-2721.15057=0,-2147.70325=0),"-",-2147.70325/-2721.15057*100)</f>
        <v>78.926292197054</v>
      </c>
    </row>
    <row r="64" spans="1:4" ht="25.5">
      <c r="A64" s="30" t="s">
        <v>253</v>
      </c>
      <c r="B64" s="48">
        <f>IF(OR(-41273.13996="",-41273.13996=0),"-",-41273.13996)</f>
        <v>-41273.13996</v>
      </c>
      <c r="C64" s="48">
        <f>IF(OR(-50948.85862="",-50948.85862=0),"-",-50948.85862)</f>
        <v>-50948.85862</v>
      </c>
      <c r="D64" s="48">
        <f>IF(OR(-41273.13996="",-50948.85862="",-41273.13996=0,-50948.85862=0),"-",-50948.85862/-41273.13996*100)</f>
        <v>123.44313679399545</v>
      </c>
    </row>
    <row r="65" spans="1:4" ht="25.5">
      <c r="A65" s="30" t="s">
        <v>254</v>
      </c>
      <c r="B65" s="48">
        <f>IF(OR(-18671.80948="",-18671.80948=0),"-",-18671.80948)</f>
        <v>-18671.80948</v>
      </c>
      <c r="C65" s="48">
        <f>IF(OR(-14768.12406="",-14768.12406=0),"-",-14768.12406)</f>
        <v>-14768.12406</v>
      </c>
      <c r="D65" s="48">
        <f>IF(OR(-18671.80948="",-14768.12406="",-18671.80948=0,-14768.12406=0),"-",-14768.12406/-18671.80948*100)</f>
        <v>79.09315953453056</v>
      </c>
    </row>
    <row r="66" spans="1:4" ht="25.5">
      <c r="A66" s="30" t="s">
        <v>255</v>
      </c>
      <c r="B66" s="48">
        <f>IF(OR(-40871.05081="",-40871.05081=0),"-",-40871.05081)</f>
        <v>-40871.05081</v>
      </c>
      <c r="C66" s="48">
        <f>IF(OR(-43027.45863="",-43027.45863=0),"-",-43027.45863)</f>
        <v>-43027.45863</v>
      </c>
      <c r="D66" s="48">
        <f>IF(OR(-40871.05081="",-43027.45863="",-40871.05081=0,-43027.45863=0),"-",-43027.45863/-40871.05081*100)</f>
        <v>105.27612522130796</v>
      </c>
    </row>
    <row r="67" spans="1:4" ht="25.5">
      <c r="A67" s="30" t="s">
        <v>277</v>
      </c>
      <c r="B67" s="48">
        <f>IF(OR(16307.91851="",16307.91851=0),"-",16307.91851)</f>
        <v>16307.91851</v>
      </c>
      <c r="C67" s="48">
        <f>IF(OR(78844.62696="",78844.62696=0),"-",78844.62696)</f>
        <v>78844.62696</v>
      </c>
      <c r="D67" s="48" t="s">
        <v>282</v>
      </c>
    </row>
    <row r="68" spans="1:4" ht="15.75">
      <c r="A68" s="30" t="s">
        <v>40</v>
      </c>
      <c r="B68" s="48">
        <f>IF(OR(-86770.8061="",-86770.8061=0),"-",-86770.8061)</f>
        <v>-86770.8061</v>
      </c>
      <c r="C68" s="48">
        <f>IF(OR(-98145.81853="",-98145.81853=0),"-",-98145.81853)</f>
        <v>-98145.81853</v>
      </c>
      <c r="D68" s="48">
        <f>IF(OR(-86770.8061="",-98145.81853="",-86770.8061=0,-98145.81853=0),"-",-98145.81853/-86770.8061*100)</f>
        <v>113.10926213695738</v>
      </c>
    </row>
    <row r="69" spans="1:4" ht="15.75">
      <c r="A69" s="30" t="s">
        <v>41</v>
      </c>
      <c r="B69" s="48">
        <f>IF(OR(-384.3825="",-384.3825=0),"-",-384.3825)</f>
        <v>-384.3825</v>
      </c>
      <c r="C69" s="48">
        <f>IF(OR(663.87103="",663.87103=0),"-",663.87103)</f>
        <v>663.87103</v>
      </c>
      <c r="D69" s="48" t="s">
        <v>22</v>
      </c>
    </row>
    <row r="70" spans="1:4" ht="15.75">
      <c r="A70" s="37" t="s">
        <v>42</v>
      </c>
      <c r="B70" s="47">
        <f>IF(27731.52172="","-",27731.52172)</f>
        <v>27731.52172</v>
      </c>
      <c r="C70" s="47">
        <f>IF(-3930.41209="","-",-3930.41209)</f>
        <v>-3930.41209</v>
      </c>
      <c r="D70" s="47" t="s">
        <v>22</v>
      </c>
    </row>
    <row r="71" spans="1:4" ht="25.5">
      <c r="A71" s="30" t="s">
        <v>257</v>
      </c>
      <c r="B71" s="48">
        <f>IF(OR(-8320.58719="",-8320.58719=0),"-",-8320.58719)</f>
        <v>-8320.58719</v>
      </c>
      <c r="C71" s="48">
        <f>IF(OR(-8955.67316="",-8955.67316=0),"-",-8955.67316)</f>
        <v>-8955.67316</v>
      </c>
      <c r="D71" s="48">
        <f>IF(OR(-8320.58719="",-8955.67316="",-8320.58719=0,-8955.67316=0),"-",-8955.67316/-8320.58719*100)</f>
        <v>107.63270614799</v>
      </c>
    </row>
    <row r="72" spans="1:4" ht="15.75">
      <c r="A72" s="30" t="s">
        <v>258</v>
      </c>
      <c r="B72" s="48">
        <f>IF(OR(36663.73547="",36663.73547=0),"-",36663.73547)</f>
        <v>36663.73547</v>
      </c>
      <c r="C72" s="48">
        <f>IF(OR(32129.15606="",32129.15606=0),"-",32129.15606)</f>
        <v>32129.15606</v>
      </c>
      <c r="D72" s="48">
        <f>IF(OR(36663.73547="",32129.15606="",36663.73547=0,32129.15606=0),"-",32129.15606/36663.73547*100)</f>
        <v>87.63197652429496</v>
      </c>
    </row>
    <row r="73" spans="1:4" ht="15.75">
      <c r="A73" s="30" t="s">
        <v>259</v>
      </c>
      <c r="B73" s="48">
        <f>IF(OR(3308.8172="",3308.8172=0),"-",3308.8172)</f>
        <v>3308.8172</v>
      </c>
      <c r="C73" s="48">
        <f>IF(OR(1431.01547="",1431.01547=0),"-",1431.01547)</f>
        <v>1431.01547</v>
      </c>
      <c r="D73" s="48">
        <f>IF(OR(3308.8172="",1431.01547="",3308.8172=0,1431.01547=0),"-",1431.01547/3308.8172*100)</f>
        <v>43.24855026744905</v>
      </c>
    </row>
    <row r="74" spans="1:4" ht="15.75">
      <c r="A74" s="30" t="s">
        <v>260</v>
      </c>
      <c r="B74" s="48">
        <f>IF(OR(56972.03141="",56972.03141=0),"-",56972.03141)</f>
        <v>56972.03141</v>
      </c>
      <c r="C74" s="48">
        <f>IF(OR(47829.31205="",47829.31205=0),"-",47829.31205)</f>
        <v>47829.31205</v>
      </c>
      <c r="D74" s="48">
        <f>IF(OR(56972.03141="",47829.31205="",56972.03141=0,47829.31205=0),"-",47829.31205/56972.03141*100)</f>
        <v>83.95226722002539</v>
      </c>
    </row>
    <row r="75" spans="1:4" ht="15.75">
      <c r="A75" s="30" t="s">
        <v>261</v>
      </c>
      <c r="B75" s="48">
        <f>IF(OR(-2288.55452="",-2288.55452=0),"-",-2288.55452)</f>
        <v>-2288.55452</v>
      </c>
      <c r="C75" s="48">
        <f>IF(OR(-6533.06462="",-6533.06462=0),"-",-6533.06462)</f>
        <v>-6533.06462</v>
      </c>
      <c r="D75" s="48" t="s">
        <v>283</v>
      </c>
    </row>
    <row r="76" spans="1:4" ht="15.75">
      <c r="A76" s="30" t="s">
        <v>262</v>
      </c>
      <c r="B76" s="48">
        <f>IF(OR(-9400.53652="",-9400.53652=0),"-",-9400.53652)</f>
        <v>-9400.53652</v>
      </c>
      <c r="C76" s="48">
        <f>IF(OR(-12587.62163="",-12587.62163=0),"-",-12587.62163)</f>
        <v>-12587.62163</v>
      </c>
      <c r="D76" s="48">
        <f>IF(OR(-9400.53652="",-12587.62163="",-9400.53652=0,-12587.62163=0),"-",-12587.62163/-9400.53652*100)</f>
        <v>133.90322566397518</v>
      </c>
    </row>
    <row r="77" spans="1:4" ht="25.5">
      <c r="A77" s="30" t="s">
        <v>263</v>
      </c>
      <c r="B77" s="48">
        <f>IF(OR(-2919.36493="",-2919.36493=0),"-",-2919.36493)</f>
        <v>-2919.36493</v>
      </c>
      <c r="C77" s="48">
        <f>IF(OR(-2619.58101="",-2619.58101=0),"-",-2619.58101)</f>
        <v>-2619.58101</v>
      </c>
      <c r="D77" s="48">
        <f>IF(OR(-2919.36493="",-2619.58101="",-2919.36493=0,-2619.58101=0),"-",-2619.58101/-2919.36493*100)</f>
        <v>89.73119403746485</v>
      </c>
    </row>
    <row r="78" spans="1:4" ht="15.75">
      <c r="A78" s="30" t="s">
        <v>43</v>
      </c>
      <c r="B78" s="48">
        <f>IF(OR(-46284.0192="",-46284.0192=0),"-",-46284.0192)</f>
        <v>-46284.0192</v>
      </c>
      <c r="C78" s="48">
        <f>IF(OR(-54623.95525="",-54623.95525=0),"-",-54623.95525)</f>
        <v>-54623.95525</v>
      </c>
      <c r="D78" s="48">
        <f>IF(OR(-46284.0192="",-54623.95525="",-46284.0192=0,-54623.95525=0),"-",-54623.95525/-46284.0192*100)</f>
        <v>118.01904025223462</v>
      </c>
    </row>
    <row r="79" spans="1:4" ht="15.75">
      <c r="A79" s="37" t="s">
        <v>264</v>
      </c>
      <c r="B79" s="47">
        <f>IF(80.67508="","-",80.67508)</f>
        <v>80.67508</v>
      </c>
      <c r="C79" s="47">
        <f>IF(268.84469="","-",268.84469)</f>
        <v>268.84469</v>
      </c>
      <c r="D79" s="47" t="s">
        <v>177</v>
      </c>
    </row>
    <row r="80" spans="1:4" ht="15.75">
      <c r="A80" s="30" t="s">
        <v>280</v>
      </c>
      <c r="B80" s="48">
        <f>IF(OR(-8.18899="",-8.18899=0),"-",-8.18899)</f>
        <v>-8.18899</v>
      </c>
      <c r="C80" s="48" t="str">
        <f>IF(OR(0="",0=0),"-",0)</f>
        <v>-</v>
      </c>
      <c r="D80" s="48" t="str">
        <f>IF(OR(-8.18899="",0="",-8.18899=0,0=0),"-",0/-8.18899*100)</f>
        <v>-</v>
      </c>
    </row>
    <row r="81" spans="1:4" ht="15.75">
      <c r="A81" s="30" t="s">
        <v>265</v>
      </c>
      <c r="B81" s="48">
        <f>IF(OR(310.32298="",310.32298=0),"-",310.32298)</f>
        <v>310.32298</v>
      </c>
      <c r="C81" s="48">
        <f>IF(OR(398.42143="",398.42143=0),"-",398.42143)</f>
        <v>398.42143</v>
      </c>
      <c r="D81" s="48">
        <f>IF(OR(310.32298="",398.42143="",310.32298=0,398.42143=0),"-",398.42143/310.32298*100)</f>
        <v>128.38927687533808</v>
      </c>
    </row>
    <row r="82" spans="1:4" ht="15.75">
      <c r="A82" s="31" t="s">
        <v>278</v>
      </c>
      <c r="B82" s="49">
        <f>IF(OR(-221.45891="",-221.45891=0),"-",-221.45891)</f>
        <v>-221.45891</v>
      </c>
      <c r="C82" s="49">
        <f>IF(OR(-129.57674="",-129.57674=0),"-",-129.57674)</f>
        <v>-129.57674</v>
      </c>
      <c r="D82" s="49">
        <f>IF(OR(-221.45891="",-129.57674="",-221.45891=0,-129.57674=0),"-",-129.57674/-221.45891*100)</f>
        <v>58.51051104694771</v>
      </c>
    </row>
    <row r="83" spans="1:4" ht="15.75">
      <c r="A83" s="32" t="s">
        <v>21</v>
      </c>
      <c r="B83" s="11"/>
      <c r="C83" s="11"/>
      <c r="D83" s="12"/>
    </row>
    <row r="84" ht="15.75">
      <c r="C84" s="11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2019-06-12T14:03:08Z</cp:lastPrinted>
  <dcterms:created xsi:type="dcterms:W3CDTF">2016-09-01T07:59:47Z</dcterms:created>
  <dcterms:modified xsi:type="dcterms:W3CDTF">2019-06-14T05:25:06Z</dcterms:modified>
  <cp:category/>
  <cp:version/>
  <cp:contentType/>
  <cp:contentStatus/>
</cp:coreProperties>
</file>