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875" activeTab="0"/>
  </bookViews>
  <sheets>
    <sheet name="Export_Tari" sheetId="1" r:id="rId1"/>
    <sheet name="Import_Tari" sheetId="2" r:id="rId2"/>
    <sheet name="Balanta Comerciala_Tari" sheetId="3" r:id="rId3"/>
    <sheet name="Export_Moduri_Transport" sheetId="4" r:id="rId4"/>
    <sheet name="Import_Moduri_Transport" sheetId="5" r:id="rId5"/>
    <sheet name="Export_Grupe_Marfuri_CSCI" sheetId="6" r:id="rId6"/>
    <sheet name="Import_Grupe_Marfuri_CSCI" sheetId="7" r:id="rId7"/>
    <sheet name="Balanta_Comerciala_Gr_Marf_CSCI" sheetId="8" r:id="rId8"/>
    <sheet name="Лист1" sheetId="9" r:id="rId9"/>
  </sheets>
  <definedNames>
    <definedName name="_xlnm.Print_Titles" localSheetId="2">'Balanta Comerciala_Tari'!$3:$3</definedName>
    <definedName name="_xlnm.Print_Titles" localSheetId="7">'Balanta_Comerciala_Gr_Marf_CSCI'!$4:$4</definedName>
    <definedName name="_xlnm.Print_Titles" localSheetId="5">'Export_Grupe_Marfuri_CSCI'!$4:$5</definedName>
    <definedName name="_xlnm.Print_Titles" localSheetId="0">'Export_Tari'!$3:$4</definedName>
    <definedName name="_xlnm.Print_Titles" localSheetId="6">'Import_Grupe_Marfuri_CSCI'!$4:$5</definedName>
    <definedName name="_xlnm.Print_Titles" localSheetId="1">'Import_Tari'!$3:$4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<sst xmlns="http://schemas.openxmlformats.org/spreadsheetml/2006/main" count="790" uniqueCount="291">
  <si>
    <t>Gradul de influenţă a ţărilor, grupelor de ţări  la creşterea (+),  scăderea (-) exporturilor, %</t>
  </si>
  <si>
    <t>România</t>
  </si>
  <si>
    <t>Italia</t>
  </si>
  <si>
    <t>Germania</t>
  </si>
  <si>
    <t>Polonia</t>
  </si>
  <si>
    <t>Bulgaria</t>
  </si>
  <si>
    <t>Republica Cehă</t>
  </si>
  <si>
    <t>Austria</t>
  </si>
  <si>
    <t>Grecia</t>
  </si>
  <si>
    <t>Olanda</t>
  </si>
  <si>
    <t>Belarus</t>
  </si>
  <si>
    <t>Ucraina</t>
  </si>
  <si>
    <t>Kazahstan</t>
  </si>
  <si>
    <t>Azerbaidjan</t>
  </si>
  <si>
    <t>Uzbekistan</t>
  </si>
  <si>
    <t>Turkmenistan</t>
  </si>
  <si>
    <t>Armenia</t>
  </si>
  <si>
    <t>Tadjikistan</t>
  </si>
  <si>
    <t>Statele Unite ale Americii</t>
  </si>
  <si>
    <t>de 2,0 ori</t>
  </si>
  <si>
    <t>¹ În preţuri curente</t>
  </si>
  <si>
    <t>x</t>
  </si>
  <si>
    <t>conform Clasificării Standard de Comerţ Internaţional</t>
  </si>
  <si>
    <t>Animale vii</t>
  </si>
  <si>
    <t>Materiale brute necomestibile, exclusiv combustibili</t>
  </si>
  <si>
    <t>Produse chimice organice</t>
  </si>
  <si>
    <t>Produse chimice anorganice</t>
  </si>
  <si>
    <t>Materiale plastice sub forme primare</t>
  </si>
  <si>
    <t>Materiale plastice prelucrate</t>
  </si>
  <si>
    <t>Cauciuc prelucrat</t>
  </si>
  <si>
    <t>Articole din minerale nemetalice</t>
  </si>
  <si>
    <t>Metale neferoase</t>
  </si>
  <si>
    <t>Articole prelucrate din metal</t>
  </si>
  <si>
    <t>Alte echipamente de transport</t>
  </si>
  <si>
    <t>Articole manufacturate diverse</t>
  </si>
  <si>
    <t>Alte articole diverse</t>
  </si>
  <si>
    <t>Coreea de Sud</t>
  </si>
  <si>
    <t>Arabia Saudită</t>
  </si>
  <si>
    <t>Hong Kong, RAS a Chinei</t>
  </si>
  <si>
    <t>Africa de Sud</t>
  </si>
  <si>
    <t>Spania</t>
  </si>
  <si>
    <t>Belgia</t>
  </si>
  <si>
    <t>Ungaria</t>
  </si>
  <si>
    <t>Lituania</t>
  </si>
  <si>
    <t>Slovacia</t>
  </si>
  <si>
    <t>Letonia</t>
  </si>
  <si>
    <t>Estonia</t>
  </si>
  <si>
    <t>Cipru</t>
  </si>
  <si>
    <t>Danemarca</t>
  </si>
  <si>
    <t>Finlanda</t>
  </si>
  <si>
    <t>Suedia</t>
  </si>
  <si>
    <t>Portugalia</t>
  </si>
  <si>
    <t>Slovenia</t>
  </si>
  <si>
    <t>Irlanda</t>
  </si>
  <si>
    <t>Luxemburg</t>
  </si>
  <si>
    <t>Malta</t>
  </si>
  <si>
    <t>Turcia</t>
  </si>
  <si>
    <t>Irak</t>
  </si>
  <si>
    <t>Georgia</t>
  </si>
  <si>
    <t>China</t>
  </si>
  <si>
    <t>Liban</t>
  </si>
  <si>
    <t>Malaysia</t>
  </si>
  <si>
    <t>Israel</t>
  </si>
  <si>
    <t>Egipt</t>
  </si>
  <si>
    <t>Myanmar</t>
  </si>
  <si>
    <t>Indonezia</t>
  </si>
  <si>
    <t>Serbia</t>
  </si>
  <si>
    <t>Iordania</t>
  </si>
  <si>
    <t>Canada</t>
  </si>
  <si>
    <t>India</t>
  </si>
  <si>
    <t>Taiwan,  provincie a Chinei</t>
  </si>
  <si>
    <t>Bangladesh</t>
  </si>
  <si>
    <t>Vietnam</t>
  </si>
  <si>
    <t>Iran</t>
  </si>
  <si>
    <t>Pakistan</t>
  </si>
  <si>
    <t>Emiratele Arabe Unite</t>
  </si>
  <si>
    <t>Japonia</t>
  </si>
  <si>
    <t>Nigeria</t>
  </si>
  <si>
    <t>Norvegia</t>
  </si>
  <si>
    <t>Cambodjia</t>
  </si>
  <si>
    <t>Ecuador</t>
  </si>
  <si>
    <t>Islanda</t>
  </si>
  <si>
    <t>Argentina</t>
  </si>
  <si>
    <t>Thailanda</t>
  </si>
  <si>
    <t>Brazilia</t>
  </si>
  <si>
    <t>Mexic</t>
  </si>
  <si>
    <t>Maroc</t>
  </si>
  <si>
    <t>Singapore</t>
  </si>
  <si>
    <t>Filipine</t>
  </si>
  <si>
    <t>Chile</t>
  </si>
  <si>
    <t>Costa Rica</t>
  </si>
  <si>
    <t>Uruguay</t>
  </si>
  <si>
    <t>Tunisia</t>
  </si>
  <si>
    <t>Columbia</t>
  </si>
  <si>
    <t>Australia</t>
  </si>
  <si>
    <t>Noua Zeelandă</t>
  </si>
  <si>
    <t>Mongolia</t>
  </si>
  <si>
    <t>Peru</t>
  </si>
  <si>
    <t>Kenya</t>
  </si>
  <si>
    <t>mii dolari        SUA</t>
  </si>
  <si>
    <t>EXPORT - total</t>
  </si>
  <si>
    <t>Oman</t>
  </si>
  <si>
    <t>Ghana</t>
  </si>
  <si>
    <t>Albania</t>
  </si>
  <si>
    <t>de 1,8 ori</t>
  </si>
  <si>
    <t>de 1,7 ori</t>
  </si>
  <si>
    <t>de 1,6 ori</t>
  </si>
  <si>
    <t>Qatar</t>
  </si>
  <si>
    <t>Ponderea, %</t>
  </si>
  <si>
    <t>Swaziland</t>
  </si>
  <si>
    <t>2018¹</t>
  </si>
  <si>
    <t>Belize</t>
  </si>
  <si>
    <t>-</t>
  </si>
  <si>
    <t>Transport maritim</t>
  </si>
  <si>
    <t>Transport feroviar</t>
  </si>
  <si>
    <t>Transport rutier</t>
  </si>
  <si>
    <t>Transport aerian</t>
  </si>
  <si>
    <t>Expedieri poștale</t>
  </si>
  <si>
    <t>Instalații fixe de transport</t>
  </si>
  <si>
    <t>Autopropulsie</t>
  </si>
  <si>
    <r>
      <rPr>
        <b/>
        <sz val="12"/>
        <rFont val="Times New Roman"/>
        <family val="1"/>
      </rPr>
      <t xml:space="preserve">Anexa 1. </t>
    </r>
    <r>
      <rPr>
        <b/>
        <i/>
        <sz val="12"/>
        <rFont val="Times New Roman"/>
        <family val="1"/>
      </rPr>
      <t>Exporturile structurate pe principalele ţări de destinaţie a mărfurilor şi grupe de ţări</t>
    </r>
  </si>
  <si>
    <r>
      <rPr>
        <b/>
        <sz val="12"/>
        <color indexed="8"/>
        <rFont val="Times New Roman"/>
        <family val="1"/>
      </rPr>
      <t xml:space="preserve">Anexa 2. </t>
    </r>
    <r>
      <rPr>
        <b/>
        <i/>
        <sz val="12"/>
        <color indexed="8"/>
        <rFont val="Times New Roman"/>
        <family val="1"/>
      </rPr>
      <t>Importurile structurate pe principalele ţări de origine a mărfurilor şi grupe de ţări</t>
    </r>
  </si>
  <si>
    <r>
      <rPr>
        <b/>
        <sz val="12"/>
        <color indexed="8"/>
        <rFont val="Times New Roman"/>
        <family val="1"/>
      </rPr>
      <t xml:space="preserve">Anexa 3. </t>
    </r>
    <r>
      <rPr>
        <b/>
        <i/>
        <sz val="12"/>
        <color indexed="8"/>
        <rFont val="Times New Roman"/>
        <family val="1"/>
      </rPr>
      <t>Balanţa comercială structurată pe principalele ţări şi grupe de ţări</t>
    </r>
  </si>
  <si>
    <r>
      <rPr>
        <b/>
        <sz val="12"/>
        <rFont val="Times New Roman"/>
        <family val="1"/>
      </rPr>
      <t xml:space="preserve">Anexa 4. </t>
    </r>
    <r>
      <rPr>
        <b/>
        <i/>
        <sz val="12"/>
        <rFont val="Times New Roman"/>
        <family val="1"/>
      </rPr>
      <t xml:space="preserve">Exporturile structurate pe grupe de ţări și moduri de transport a mărfurilor </t>
    </r>
  </si>
  <si>
    <r>
      <rPr>
        <b/>
        <sz val="12"/>
        <rFont val="Times New Roman"/>
        <family val="1"/>
      </rPr>
      <t>Anexa 5.</t>
    </r>
    <r>
      <rPr>
        <b/>
        <i/>
        <sz val="12"/>
        <rFont val="Times New Roman"/>
        <family val="1"/>
      </rPr>
      <t xml:space="preserve"> Importurile structurate pe grupe de ţări și moduri de transport a mărfurilor</t>
    </r>
  </si>
  <si>
    <r>
      <rPr>
        <b/>
        <sz val="12"/>
        <color indexed="8"/>
        <rFont val="Times New Roman"/>
        <family val="1"/>
      </rPr>
      <t>Anexa 6.</t>
    </r>
    <r>
      <rPr>
        <b/>
        <i/>
        <sz val="12"/>
        <color indexed="8"/>
        <rFont val="Times New Roman"/>
        <family val="1"/>
      </rPr>
      <t xml:space="preserve"> Exporturile structurate pe grupe de mărfuri, </t>
    </r>
  </si>
  <si>
    <r>
      <rPr>
        <b/>
        <sz val="12"/>
        <color indexed="8"/>
        <rFont val="Times New Roman"/>
        <family val="1"/>
      </rPr>
      <t>Anexa 7.</t>
    </r>
    <r>
      <rPr>
        <b/>
        <i/>
        <sz val="12"/>
        <color indexed="8"/>
        <rFont val="Times New Roman"/>
        <family val="1"/>
      </rPr>
      <t xml:space="preserve"> Importurile structurate pe grupe de mărfuri, </t>
    </r>
  </si>
  <si>
    <r>
      <rPr>
        <b/>
        <sz val="12"/>
        <color indexed="8"/>
        <rFont val="Times New Roman"/>
        <family val="1"/>
      </rPr>
      <t xml:space="preserve">Anexa 8. </t>
    </r>
    <r>
      <rPr>
        <b/>
        <i/>
        <sz val="12"/>
        <color indexed="8"/>
        <rFont val="Times New Roman"/>
        <family val="1"/>
      </rPr>
      <t xml:space="preserve">Balanţa comercială structurată pe grupe de mărfuri, </t>
    </r>
  </si>
  <si>
    <t>Gradul de influenţă a ţărilor, grupelor de ţări  la creşterea (+),  scăderea (-) importurilor, %</t>
  </si>
  <si>
    <t>2019¹</t>
  </si>
  <si>
    <t>de 1,5 ori</t>
  </si>
  <si>
    <t>Kârgâzstan</t>
  </si>
  <si>
    <t>Siria</t>
  </si>
  <si>
    <t>Afganistan</t>
  </si>
  <si>
    <t>Kuwait</t>
  </si>
  <si>
    <t>Statul Palestina</t>
  </si>
  <si>
    <t>Montenegro</t>
  </si>
  <si>
    <t>Libia</t>
  </si>
  <si>
    <t>IMPORT - total</t>
  </si>
  <si>
    <t>Insulele Faroe</t>
  </si>
  <si>
    <t>San Marino</t>
  </si>
  <si>
    <t>Tanzania</t>
  </si>
  <si>
    <t>Etiopia</t>
  </si>
  <si>
    <t>Bahrain</t>
  </si>
  <si>
    <t>Senegal</t>
  </si>
  <si>
    <t xml:space="preserve">   din care:</t>
  </si>
  <si>
    <t xml:space="preserve">IMPORT - total      </t>
  </si>
  <si>
    <t>BALANŢA COMERCIALĂ - total, mii dolari SUA</t>
  </si>
  <si>
    <t>Cote D'Ivoire</t>
  </si>
  <si>
    <t>Madagascar</t>
  </si>
  <si>
    <t xml:space="preserve">     din care:</t>
  </si>
  <si>
    <t>Franţa</t>
  </si>
  <si>
    <t>Regatul Unit al Marii Britanii şi Irlandei de Nord</t>
  </si>
  <si>
    <t>Croaţia</t>
  </si>
  <si>
    <t>Federaţia Rusă</t>
  </si>
  <si>
    <t>Şri Lanka</t>
  </si>
  <si>
    <t>Elveţia</t>
  </si>
  <si>
    <t>Gibraltar</t>
  </si>
  <si>
    <t>Mali</t>
  </si>
  <si>
    <t>Somalia</t>
  </si>
  <si>
    <t>Macedonia de Nord</t>
  </si>
  <si>
    <t>de 2,3 ori</t>
  </si>
  <si>
    <t>Niger</t>
  </si>
  <si>
    <t>de 2,2 ori</t>
  </si>
  <si>
    <t>de 2,4 ori</t>
  </si>
  <si>
    <t>Celelalte ţări ale lumii - total</t>
  </si>
  <si>
    <t>Insulele Folkland</t>
  </si>
  <si>
    <t>de 6,1 ori</t>
  </si>
  <si>
    <t>Liberia</t>
  </si>
  <si>
    <t>Ţările CSI - total</t>
  </si>
  <si>
    <t>de 1,9 ori</t>
  </si>
  <si>
    <t>de 3,5 ori</t>
  </si>
  <si>
    <t>Guinea</t>
  </si>
  <si>
    <t>Burkina Faso</t>
  </si>
  <si>
    <t>Zimbabwe</t>
  </si>
  <si>
    <t>Guatemala</t>
  </si>
  <si>
    <t>Mauritius</t>
  </si>
  <si>
    <t>Liechtenştein</t>
  </si>
  <si>
    <t>Jamaica</t>
  </si>
  <si>
    <t>Cuba</t>
  </si>
  <si>
    <t>de 2,1 ori</t>
  </si>
  <si>
    <t>Andorra</t>
  </si>
  <si>
    <t>Laos</t>
  </si>
  <si>
    <t>Kosovo</t>
  </si>
  <si>
    <t>de 2,7 ori</t>
  </si>
  <si>
    <t>de 3,0 ori</t>
  </si>
  <si>
    <t>Produse alimentare şi animale vii</t>
  </si>
  <si>
    <t>Carne şi preparate din carne</t>
  </si>
  <si>
    <t>Produse lactate şi ouă de păsări</t>
  </si>
  <si>
    <t>Peşte, crustacee, moluşte</t>
  </si>
  <si>
    <t>Cereale şi preparate pe bază de cereale</t>
  </si>
  <si>
    <t>Legume şi fructe</t>
  </si>
  <si>
    <t>Zahăr, preparate pe bază de zahăr; miere</t>
  </si>
  <si>
    <t>Cafea, ceai, cacao, condimente şi înlocuitori ai acestora</t>
  </si>
  <si>
    <t>Hrană destinată animalelor (exclusiv cereale nemăcinate)</t>
  </si>
  <si>
    <t>Produse şi preparate alimentare diverse</t>
  </si>
  <si>
    <t>Băuturi şi tutun</t>
  </si>
  <si>
    <t>Băuturi (alcoolice şi nealcoolice)</t>
  </si>
  <si>
    <t>Tutun brut şi prelucrat</t>
  </si>
  <si>
    <t>Piei crude, piei tăbăcite şi blănuri brute</t>
  </si>
  <si>
    <t>Seminţe şi fructe oleaginoase</t>
  </si>
  <si>
    <t>Lemn şi plută</t>
  </si>
  <si>
    <t>Pastă de hârtie şi deşeuri de hârtie</t>
  </si>
  <si>
    <t>Fibre textile (cu excepţia lânii în fuior şi a lânii pieptănate) şi deşeurile lor (neprelucrate în fire sau ţesături)</t>
  </si>
  <si>
    <t>Îngrăşăminte naturale şi minerale naturale (exclusiv cărbune, petrol şi pietre preţioase)</t>
  </si>
  <si>
    <t>Minereuri metalifere şi deşeuri de metale</t>
  </si>
  <si>
    <t>Alte materii brute de origine animală sau vegetală</t>
  </si>
  <si>
    <t>Combustibili minerali, lubrifianţi şi materiale derivate</t>
  </si>
  <si>
    <t>Petrol, produse petroliere şi produse înrudite</t>
  </si>
  <si>
    <t>Energie electrică</t>
  </si>
  <si>
    <t>Uleiuri, grăsimi şi ceruri de origine animală sau vegetală</t>
  </si>
  <si>
    <t>Grăsimi şi uleiuri vegetale fixate, brute, rafinate sau fracţionate</t>
  </si>
  <si>
    <t>Alte uleiuri şi grăsimi animale sau vegetale prelucrate; ceară de origine animală sau vegetală, amestecuri sau preparate necomestibile din uleiuri animale sau vegetale</t>
  </si>
  <si>
    <t>Produse chimice şi produse derivate nespecificate în altă parte</t>
  </si>
  <si>
    <t>Produse tanante şi colorante</t>
  </si>
  <si>
    <t>Produse medicinale şi farmaceutice</t>
  </si>
  <si>
    <t>Uleiuri esenţiale, rezinoide şi substanţe parfumate, preparate pentru toaletă, produse pentru înfrumuseţare</t>
  </si>
  <si>
    <t>Alte materiale şi produse chimice</t>
  </si>
  <si>
    <t>Îngrăşăminte minerale sau chimice</t>
  </si>
  <si>
    <t>Mărfuri manufacturate, clasificate mai ales după materia primă</t>
  </si>
  <si>
    <t>Piele, altă piele şi blană prelucrate</t>
  </si>
  <si>
    <t>Articole din lemn (exclusiv mobilă)</t>
  </si>
  <si>
    <t>Hârtie, carton şi articole din pastă de celuloză, din hârtie sau din carton</t>
  </si>
  <si>
    <t>Fier şi oţel</t>
  </si>
  <si>
    <t>Maşini şi echipamente pentru transport</t>
  </si>
  <si>
    <t>Maşini  generatoare de putere şi echipamentele lor</t>
  </si>
  <si>
    <t>Maşini şi aparate specializate pentru industriile specifice</t>
  </si>
  <si>
    <t>Maşini şi aparate pentru prelucrarea metalelor</t>
  </si>
  <si>
    <t>Maşini şi aparate industriale cu aplicaţii generale; părţi şi piese detaşate ale acestor maşini</t>
  </si>
  <si>
    <t>Maşini şi aparate de birou sau pentru prelucrarea automată a datelor</t>
  </si>
  <si>
    <t>Aparate şi echipamente de telecomunicaţii şi pentru înregistrarea şi reproducerea sunetului şi imaginii</t>
  </si>
  <si>
    <t>Maşini şi aparate electrice şi părţi ale acestora (inclusiv echivalente neelectrice ale maşinilor şi aparatelor de uz casnic)</t>
  </si>
  <si>
    <t>Vehicule rutiere (inclusiv vehicule cu pernă de aer)</t>
  </si>
  <si>
    <t>Mobilă şi părţile ei</t>
  </si>
  <si>
    <t>Articole de voiaj; sacoşe şi similare</t>
  </si>
  <si>
    <t>Îmbrăcăminte şi accesorii</t>
  </si>
  <si>
    <t>Instrumente şi aparate, profesionale, ştiinţifice şi de control</t>
  </si>
  <si>
    <t>Aparate fotografice, echipamente şi furnituri de optică; ceasuri şi orologii</t>
  </si>
  <si>
    <t>Bunuri neclasificate în altă secţiune din CSCI</t>
  </si>
  <si>
    <t>Cauciuc brut (inclusiv cauciuc sintetic şi regenerat)</t>
  </si>
  <si>
    <t>Cărbune, cocs şi brichete</t>
  </si>
  <si>
    <t>Gaz şi produse industriale obţinute din gaz</t>
  </si>
  <si>
    <t>Uleiuri şi grăsimi de origine animală</t>
  </si>
  <si>
    <t>Încălţăminte</t>
  </si>
  <si>
    <t>de 4,8 ori</t>
  </si>
  <si>
    <t>Fire, tesături, articole textile necuprinse în altă parte şi produse conexe</t>
  </si>
  <si>
    <t>Construcţii prefabricate; alte instalaţii şi accesorii pentru instalaţii sanitare, de încalzit şi de iluminat</t>
  </si>
  <si>
    <t>Bosnia şi Herţegovina</t>
  </si>
  <si>
    <t>Republica Dominicană</t>
  </si>
  <si>
    <t>Sierra Leone</t>
  </si>
  <si>
    <t>Ţările Uniunii Europene (UE-28) - total</t>
  </si>
  <si>
    <t>Țările Uniunii Europene (UE-28) - total</t>
  </si>
  <si>
    <t xml:space="preserve">Țările CSI - total </t>
  </si>
  <si>
    <t>Celelalte țări ale lumii - total</t>
  </si>
  <si>
    <t xml:space="preserve">EXPORT - total      </t>
  </si>
  <si>
    <t xml:space="preserve">Celelalte țări ale lumii - total </t>
  </si>
  <si>
    <t>de 14,6 ori</t>
  </si>
  <si>
    <t>Construcţii prefabricate; alte instalaţii şi accesorii pentru instalaţii sanitare, de încălzit şi de iluminat</t>
  </si>
  <si>
    <t>Instrumente şi aparate, profesionale, ştiintifice şi de control</t>
  </si>
  <si>
    <t>de 4,7 ori</t>
  </si>
  <si>
    <t>de 3,6 ori</t>
  </si>
  <si>
    <t>de 14,7 ori</t>
  </si>
  <si>
    <t>de 4,0 ori</t>
  </si>
  <si>
    <t>în % faţă de 2018¹</t>
  </si>
  <si>
    <t>2019                                 în % faţă de            2018</t>
  </si>
  <si>
    <t>mii dolari SUA</t>
  </si>
  <si>
    <t>Nepal</t>
  </si>
  <si>
    <t>de 7,7 ori</t>
  </si>
  <si>
    <t>de 3,7 ori</t>
  </si>
  <si>
    <t>de 48,6 ori</t>
  </si>
  <si>
    <t>de 12,4 ori</t>
  </si>
  <si>
    <t>de 4,3 ori</t>
  </si>
  <si>
    <t>de 6,6 ori</t>
  </si>
  <si>
    <t>de 13,2 ori</t>
  </si>
  <si>
    <t>de 48,3 ori</t>
  </si>
  <si>
    <t>de 6,5 ori</t>
  </si>
  <si>
    <t>de 3,4 ori</t>
  </si>
  <si>
    <t>de 2,9 ori</t>
  </si>
  <si>
    <t>de 2,5 ori</t>
  </si>
  <si>
    <t>de 2,6 ori</t>
  </si>
  <si>
    <t>de 33,0 ori</t>
  </si>
  <si>
    <t>de 1,6ori</t>
  </si>
  <si>
    <t>Bosnia şi Hertegovina</t>
  </si>
  <si>
    <t>Uganda</t>
  </si>
  <si>
    <t>Trinidad Tobago</t>
  </si>
  <si>
    <t>Republica Yemen</t>
  </si>
  <si>
    <t>de 31,7 ori</t>
  </si>
  <si>
    <t>de 52,6 ori</t>
  </si>
  <si>
    <t>de 20,8 ori</t>
  </si>
  <si>
    <t>de 2,8 ori</t>
  </si>
  <si>
    <t>de 3,8 ori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</si>
</sst>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#,##0.000"/>
    <numFmt numFmtId="166" formatCode="0.0"/>
  </numFmts>
  <fonts count="64">
    <font>
      <sz val="12"/>
      <color indexed="8"/>
      <name val="Times New Roman"/>
      <family val="2"/>
    </font>
    <font>
      <sz val="11"/>
      <color indexed="8"/>
      <name val="Calibri"/>
      <family val="2"/>
    </font>
    <font>
      <b/>
      <i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6"/>
      <color indexed="8"/>
      <name val="Times New Roman"/>
      <family val="1"/>
    </font>
    <font>
      <b/>
      <sz val="9"/>
      <color indexed="8"/>
      <name val="Times New Roman"/>
      <family val="1"/>
    </font>
    <font>
      <sz val="8"/>
      <name val="Times New Roman"/>
      <family val="2"/>
    </font>
    <font>
      <sz val="10"/>
      <name val="Times New Roman"/>
      <family val="1"/>
    </font>
    <font>
      <b/>
      <i/>
      <sz val="8"/>
      <color indexed="8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2"/>
      <color indexed="10"/>
      <name val="Times New Roman"/>
      <family val="1"/>
    </font>
    <font>
      <sz val="10"/>
      <color indexed="10"/>
      <name val="Arial"/>
      <family val="2"/>
    </font>
    <font>
      <b/>
      <i/>
      <sz val="12"/>
      <name val="Times New Roman"/>
      <family val="1"/>
    </font>
    <font>
      <sz val="12"/>
      <color indexed="60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1"/>
      <color indexed="10"/>
      <name val="Calibri"/>
      <family val="2"/>
    </font>
    <font>
      <b/>
      <sz val="10"/>
      <color indexed="10"/>
      <name val="Times New Roman"/>
      <family val="1"/>
    </font>
    <font>
      <sz val="10"/>
      <color indexed="10"/>
      <name val="Calibri"/>
      <family val="2"/>
    </font>
    <font>
      <b/>
      <sz val="11"/>
      <color indexed="10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Times New Roman"/>
      <family val="1"/>
    </font>
    <font>
      <sz val="10"/>
      <color rgb="FFFF0000"/>
      <name val="Arial"/>
      <family val="2"/>
    </font>
    <font>
      <sz val="12"/>
      <color rgb="FFC00000"/>
      <name val="Times New Roman"/>
      <family val="1"/>
    </font>
    <font>
      <b/>
      <sz val="10"/>
      <color rgb="FFFF0000"/>
      <name val="Times New Roman"/>
      <family val="1"/>
    </font>
    <font>
      <b/>
      <sz val="11"/>
      <color rgb="FFFF0000"/>
      <name val="Times New Roman"/>
      <family val="1"/>
    </font>
    <font>
      <sz val="10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/>
      <right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0" borderId="0">
      <alignment/>
      <protection/>
    </xf>
    <xf numFmtId="0" fontId="13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</cellStyleXfs>
  <cellXfs count="83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4" fillId="0" borderId="0" xfId="0" applyFont="1" applyAlignment="1">
      <alignment horizontal="justify"/>
    </xf>
    <xf numFmtId="164" fontId="11" fillId="0" borderId="0" xfId="0" applyNumberFormat="1" applyFont="1" applyFill="1" applyAlignment="1" applyProtection="1">
      <alignment horizontal="right"/>
      <protection/>
    </xf>
    <xf numFmtId="164" fontId="9" fillId="0" borderId="0" xfId="0" applyNumberFormat="1" applyFont="1" applyFill="1" applyAlignment="1" applyProtection="1">
      <alignment horizontal="right"/>
      <protection/>
    </xf>
    <xf numFmtId="0" fontId="12" fillId="0" borderId="0" xfId="0" applyFont="1" applyAlignment="1">
      <alignment/>
    </xf>
    <xf numFmtId="0" fontId="7" fillId="0" borderId="0" xfId="0" applyFont="1" applyBorder="1" applyAlignment="1">
      <alignment vertical="top" wrapText="1"/>
    </xf>
    <xf numFmtId="0" fontId="13" fillId="0" borderId="0" xfId="0" applyFont="1" applyAlignment="1">
      <alignment/>
    </xf>
    <xf numFmtId="0" fontId="58" fillId="0" borderId="0" xfId="0" applyFont="1" applyAlignment="1">
      <alignment/>
    </xf>
    <xf numFmtId="0" fontId="59" fillId="0" borderId="0" xfId="0" applyFont="1" applyAlignment="1">
      <alignment/>
    </xf>
    <xf numFmtId="0" fontId="60" fillId="0" borderId="0" xfId="0" applyFont="1" applyAlignment="1">
      <alignment/>
    </xf>
    <xf numFmtId="2" fontId="12" fillId="0" borderId="0" xfId="0" applyNumberFormat="1" applyFont="1" applyFill="1" applyAlignment="1" applyProtection="1">
      <alignment horizontal="right"/>
      <protection/>
    </xf>
    <xf numFmtId="4" fontId="0" fillId="0" borderId="0" xfId="0" applyNumberForma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0" fillId="0" borderId="0" xfId="0" applyFill="1" applyAlignment="1">
      <alignment/>
    </xf>
    <xf numFmtId="4" fontId="57" fillId="0" borderId="0" xfId="0" applyNumberFormat="1" applyFont="1" applyAlignment="1">
      <alignment horizontal="right" vertical="top" wrapText="1"/>
    </xf>
    <xf numFmtId="4" fontId="61" fillId="0" borderId="0" xfId="0" applyNumberFormat="1" applyFont="1" applyFill="1" applyAlignment="1" applyProtection="1">
      <alignment horizontal="right" vertical="top" wrapText="1"/>
      <protection/>
    </xf>
    <xf numFmtId="4" fontId="0" fillId="0" borderId="0" xfId="0" applyNumberFormat="1" applyAlignment="1">
      <alignment horizontal="right" vertical="top"/>
    </xf>
    <xf numFmtId="4" fontId="62" fillId="0" borderId="0" xfId="0" applyNumberFormat="1" applyFont="1" applyFill="1" applyBorder="1" applyAlignment="1" applyProtection="1">
      <alignment horizontal="right" vertical="top" wrapText="1"/>
      <protection/>
    </xf>
    <xf numFmtId="4" fontId="63" fillId="0" borderId="0" xfId="0" applyNumberFormat="1" applyFont="1" applyAlignment="1">
      <alignment horizontal="right" vertical="top" wrapText="1"/>
    </xf>
    <xf numFmtId="0" fontId="11" fillId="0" borderId="0" xfId="0" applyFont="1" applyAlignment="1">
      <alignment/>
    </xf>
    <xf numFmtId="0" fontId="3" fillId="0" borderId="0" xfId="0" applyFont="1" applyAlignment="1">
      <alignment/>
    </xf>
    <xf numFmtId="0" fontId="24" fillId="0" borderId="0" xfId="0" applyFont="1" applyAlignment="1">
      <alignment/>
    </xf>
    <xf numFmtId="0" fontId="24" fillId="0" borderId="0" xfId="0" applyNumberFormat="1" applyFont="1" applyFill="1" applyBorder="1" applyAlignment="1" applyProtection="1">
      <alignment horizontal="left" vertical="top" wrapText="1"/>
      <protection/>
    </xf>
    <xf numFmtId="4" fontId="61" fillId="0" borderId="0" xfId="0" applyNumberFormat="1" applyFont="1" applyFill="1" applyBorder="1" applyAlignment="1" applyProtection="1">
      <alignment horizontal="right" vertical="top" wrapText="1"/>
      <protection/>
    </xf>
    <xf numFmtId="38" fontId="9" fillId="0" borderId="0" xfId="0" applyNumberFormat="1" applyFont="1" applyFill="1" applyAlignment="1" applyProtection="1">
      <alignment horizontal="left" vertical="top" wrapText="1"/>
      <protection/>
    </xf>
    <xf numFmtId="4" fontId="9" fillId="0" borderId="0" xfId="0" applyNumberFormat="1" applyFont="1" applyFill="1" applyAlignment="1" applyProtection="1">
      <alignment horizontal="right" vertical="top" wrapText="1"/>
      <protection/>
    </xf>
    <xf numFmtId="0" fontId="11" fillId="0" borderId="1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25" fillId="0" borderId="15" xfId="0" applyNumberFormat="1" applyFont="1" applyFill="1" applyBorder="1" applyAlignment="1" applyProtection="1">
      <alignment/>
      <protection/>
    </xf>
    <xf numFmtId="4" fontId="25" fillId="0" borderId="15" xfId="0" applyNumberFormat="1" applyFont="1" applyFill="1" applyBorder="1" applyAlignment="1" applyProtection="1">
      <alignment horizontal="right" vertical="top"/>
      <protection/>
    </xf>
    <xf numFmtId="0" fontId="9" fillId="0" borderId="0" xfId="0" applyNumberFormat="1" applyFont="1" applyFill="1" applyBorder="1" applyAlignment="1" applyProtection="1">
      <alignment horizontal="left" vertical="top" wrapText="1"/>
      <protection/>
    </xf>
    <xf numFmtId="0" fontId="11" fillId="0" borderId="0" xfId="0" applyNumberFormat="1" applyFont="1" applyFill="1" applyAlignment="1" applyProtection="1">
      <alignment horizontal="left" vertical="top" wrapText="1"/>
      <protection/>
    </xf>
    <xf numFmtId="4" fontId="11" fillId="0" borderId="0" xfId="0" applyNumberFormat="1" applyFont="1" applyFill="1" applyAlignment="1" applyProtection="1">
      <alignment horizontal="right" vertical="top"/>
      <protection/>
    </xf>
    <xf numFmtId="4" fontId="9" fillId="0" borderId="0" xfId="0" applyNumberFormat="1" applyFont="1" applyFill="1" applyAlignment="1" applyProtection="1">
      <alignment horizontal="right" vertical="top"/>
      <protection/>
    </xf>
    <xf numFmtId="38" fontId="9" fillId="0" borderId="16" xfId="0" applyNumberFormat="1" applyFont="1" applyFill="1" applyBorder="1" applyAlignment="1" applyProtection="1">
      <alignment horizontal="left" vertical="top" wrapText="1"/>
      <protection/>
    </xf>
    <xf numFmtId="4" fontId="9" fillId="0" borderId="16" xfId="0" applyNumberFormat="1" applyFont="1" applyFill="1" applyBorder="1" applyAlignment="1" applyProtection="1">
      <alignment horizontal="right" vertical="top"/>
      <protection/>
    </xf>
    <xf numFmtId="165" fontId="9" fillId="0" borderId="0" xfId="0" applyNumberFormat="1" applyFont="1" applyFill="1" applyAlignment="1" applyProtection="1">
      <alignment horizontal="right" vertical="top"/>
      <protection/>
    </xf>
    <xf numFmtId="0" fontId="25" fillId="0" borderId="15" xfId="0" applyNumberFormat="1" applyFont="1" applyFill="1" applyBorder="1" applyAlignment="1" applyProtection="1">
      <alignment horizontal="left" vertical="top" wrapText="1"/>
      <protection/>
    </xf>
    <xf numFmtId="38" fontId="11" fillId="0" borderId="0" xfId="0" applyNumberFormat="1" applyFont="1" applyFill="1" applyAlignment="1" applyProtection="1">
      <alignment horizontal="left" vertical="top" wrapText="1"/>
      <protection/>
    </xf>
    <xf numFmtId="38" fontId="9" fillId="0" borderId="0" xfId="0" applyNumberFormat="1" applyFont="1" applyFill="1" applyBorder="1" applyAlignment="1" applyProtection="1">
      <alignment horizontal="left" vertical="top" wrapText="1"/>
      <protection/>
    </xf>
    <xf numFmtId="38" fontId="11" fillId="0" borderId="16" xfId="0" applyNumberFormat="1" applyFont="1" applyFill="1" applyBorder="1" applyAlignment="1" applyProtection="1">
      <alignment horizontal="left" vertical="top" wrapText="1"/>
      <protection/>
    </xf>
    <xf numFmtId="4" fontId="11" fillId="0" borderId="16" xfId="0" applyNumberFormat="1" applyFont="1" applyFill="1" applyBorder="1" applyAlignment="1" applyProtection="1">
      <alignment horizontal="right" vertical="top"/>
      <protection/>
    </xf>
    <xf numFmtId="4" fontId="11" fillId="0" borderId="0" xfId="0" applyNumberFormat="1" applyFont="1" applyFill="1" applyAlignment="1" applyProtection="1">
      <alignment horizontal="right" vertical="top" wrapText="1"/>
      <protection/>
    </xf>
    <xf numFmtId="166" fontId="11" fillId="0" borderId="0" xfId="0" applyNumberFormat="1" applyFont="1" applyFill="1" applyAlignment="1" applyProtection="1">
      <alignment horizontal="right" vertical="top"/>
      <protection/>
    </xf>
    <xf numFmtId="166" fontId="9" fillId="0" borderId="0" xfId="0" applyNumberFormat="1" applyFont="1" applyFill="1" applyAlignment="1" applyProtection="1">
      <alignment horizontal="right" vertical="top"/>
      <protection/>
    </xf>
    <xf numFmtId="4" fontId="11" fillId="0" borderId="16" xfId="0" applyNumberFormat="1" applyFont="1" applyFill="1" applyBorder="1" applyAlignment="1" applyProtection="1">
      <alignment horizontal="right" vertical="top" wrapText="1"/>
      <protection/>
    </xf>
    <xf numFmtId="166" fontId="11" fillId="0" borderId="16" xfId="0" applyNumberFormat="1" applyFont="1" applyFill="1" applyBorder="1" applyAlignment="1" applyProtection="1">
      <alignment horizontal="right" vertical="top"/>
      <protection/>
    </xf>
    <xf numFmtId="0" fontId="25" fillId="0" borderId="0" xfId="0" applyFont="1" applyAlignment="1">
      <alignment horizontal="left" vertical="top" wrapText="1"/>
    </xf>
    <xf numFmtId="4" fontId="25" fillId="0" borderId="0" xfId="0" applyNumberFormat="1" applyFont="1" applyFill="1" applyAlignment="1" applyProtection="1">
      <alignment horizontal="right" vertical="top"/>
      <protection/>
    </xf>
    <xf numFmtId="4" fontId="25" fillId="0" borderId="0" xfId="0" applyNumberFormat="1" applyFont="1" applyFill="1" applyBorder="1" applyAlignment="1" applyProtection="1">
      <alignment horizontal="right" vertical="top"/>
      <protection/>
    </xf>
    <xf numFmtId="4" fontId="25" fillId="0" borderId="15" xfId="0" applyNumberFormat="1" applyFont="1" applyFill="1" applyBorder="1" applyAlignment="1" applyProtection="1">
      <alignment horizontal="right" vertical="top" wrapText="1"/>
      <protection/>
    </xf>
    <xf numFmtId="0" fontId="9" fillId="0" borderId="0" xfId="0" applyFont="1" applyAlignment="1">
      <alignment horizontal="left" vertical="top" wrapText="1"/>
    </xf>
    <xf numFmtId="0" fontId="9" fillId="0" borderId="0" xfId="0" applyNumberFormat="1" applyFont="1" applyFill="1" applyAlignment="1" applyProtection="1">
      <alignment horizontal="left" vertical="top" wrapText="1"/>
      <protection/>
    </xf>
    <xf numFmtId="4" fontId="9" fillId="0" borderId="0" xfId="0" applyNumberFormat="1" applyFont="1" applyAlignment="1">
      <alignment horizontal="right" vertical="top" wrapText="1"/>
    </xf>
    <xf numFmtId="4" fontId="11" fillId="0" borderId="0" xfId="0" applyNumberFormat="1" applyFont="1" applyFill="1" applyBorder="1" applyAlignment="1" applyProtection="1">
      <alignment horizontal="right" vertical="top"/>
      <protection/>
    </xf>
    <xf numFmtId="4" fontId="9" fillId="0" borderId="0" xfId="0" applyNumberFormat="1" applyFont="1" applyBorder="1" applyAlignment="1">
      <alignment horizontal="right" vertical="top" wrapText="1"/>
    </xf>
    <xf numFmtId="0" fontId="9" fillId="0" borderId="16" xfId="0" applyNumberFormat="1" applyFont="1" applyFill="1" applyBorder="1" applyAlignment="1" applyProtection="1">
      <alignment horizontal="left" vertical="top" wrapText="1"/>
      <protection/>
    </xf>
    <xf numFmtId="4" fontId="9" fillId="0" borderId="16" xfId="0" applyNumberFormat="1" applyFont="1" applyBorder="1" applyAlignment="1">
      <alignment horizontal="right" vertical="top" wrapText="1"/>
    </xf>
    <xf numFmtId="4" fontId="9" fillId="0" borderId="16" xfId="0" applyNumberFormat="1" applyFont="1" applyFill="1" applyBorder="1" applyAlignment="1" applyProtection="1">
      <alignment horizontal="right" vertical="top" wrapText="1"/>
      <protection/>
    </xf>
    <xf numFmtId="4" fontId="9" fillId="0" borderId="0" xfId="0" applyNumberFormat="1" applyFont="1" applyFill="1" applyBorder="1" applyAlignment="1" applyProtection="1">
      <alignment horizontal="right" vertical="top"/>
      <protection/>
    </xf>
    <xf numFmtId="4" fontId="11" fillId="0" borderId="0" xfId="0" applyNumberFormat="1" applyFont="1" applyFill="1" applyAlignment="1" applyProtection="1">
      <alignment horizontal="left" vertical="top" wrapText="1"/>
      <protection/>
    </xf>
    <xf numFmtId="4" fontId="9" fillId="0" borderId="0" xfId="0" applyNumberFormat="1" applyFont="1" applyFill="1" applyAlignment="1" applyProtection="1">
      <alignment horizontal="left" vertical="top" wrapText="1"/>
      <protection/>
    </xf>
    <xf numFmtId="0" fontId="16" fillId="0" borderId="0" xfId="0" applyFont="1" applyAlignment="1">
      <alignment horizontal="center"/>
    </xf>
    <xf numFmtId="0" fontId="9" fillId="0" borderId="17" xfId="0" applyFont="1" applyBorder="1" applyAlignment="1">
      <alignment vertical="top" wrapText="1"/>
    </xf>
    <xf numFmtId="0" fontId="9" fillId="0" borderId="13" xfId="0" applyFont="1" applyBorder="1" applyAlignment="1">
      <alignment vertical="top" wrapText="1"/>
    </xf>
    <xf numFmtId="0" fontId="11" fillId="0" borderId="10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1" fillId="0" borderId="11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Обычный 2" xfId="63"/>
    <cellStyle name="Обычный 3" xfId="64"/>
    <cellStyle name="Обычный 3 2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G117"/>
  <sheetViews>
    <sheetView tabSelected="1" zoomScalePageLayoutView="0" workbookViewId="0" topLeftCell="A1">
      <selection activeCell="I60" sqref="I60"/>
    </sheetView>
  </sheetViews>
  <sheetFormatPr defaultColWidth="9.00390625" defaultRowHeight="15.75"/>
  <cols>
    <col min="1" max="1" width="28.50390625" style="9" customWidth="1"/>
    <col min="2" max="2" width="11.875" style="9" customWidth="1"/>
    <col min="3" max="3" width="10.875" style="9" customWidth="1"/>
    <col min="4" max="5" width="9.125" style="9" customWidth="1"/>
    <col min="6" max="6" width="10.125" style="9" customWidth="1"/>
    <col min="7" max="7" width="9.875" style="9" customWidth="1"/>
  </cols>
  <sheetData>
    <row r="1" spans="1:7" ht="15.75">
      <c r="A1" s="73" t="s">
        <v>120</v>
      </c>
      <c r="B1" s="73"/>
      <c r="C1" s="73"/>
      <c r="D1" s="73"/>
      <c r="E1" s="73"/>
      <c r="F1" s="73"/>
      <c r="G1" s="73"/>
    </row>
    <row r="3" spans="1:7" ht="54" customHeight="1">
      <c r="A3" s="74"/>
      <c r="B3" s="76">
        <v>2019</v>
      </c>
      <c r="C3" s="77"/>
      <c r="D3" s="76" t="s">
        <v>108</v>
      </c>
      <c r="E3" s="77"/>
      <c r="F3" s="78" t="s">
        <v>0</v>
      </c>
      <c r="G3" s="79"/>
    </row>
    <row r="4" spans="1:7" ht="30" customHeight="1">
      <c r="A4" s="75"/>
      <c r="B4" s="34" t="s">
        <v>99</v>
      </c>
      <c r="C4" s="35" t="s">
        <v>263</v>
      </c>
      <c r="D4" s="19">
        <v>2018</v>
      </c>
      <c r="E4" s="19">
        <v>2019</v>
      </c>
      <c r="F4" s="19" t="s">
        <v>110</v>
      </c>
      <c r="G4" s="17" t="s">
        <v>129</v>
      </c>
    </row>
    <row r="5" spans="1:7" ht="15.75" customHeight="1">
      <c r="A5" s="39" t="s">
        <v>100</v>
      </c>
      <c r="B5" s="40">
        <f>IF(2779195.26316="","-",2779195.26316)</f>
        <v>2779195.26316</v>
      </c>
      <c r="C5" s="40">
        <f>IF(2706173.30142="","-",2779195.26316/2706173.30142*100)</f>
        <v>102.69834757817186</v>
      </c>
      <c r="D5" s="40">
        <v>100</v>
      </c>
      <c r="E5" s="40">
        <v>100</v>
      </c>
      <c r="F5" s="40">
        <f>IF(2424972.02699="","-",(2706173.30142-2424972.02699)/2424972.02699*100)</f>
        <v>11.596062606092872</v>
      </c>
      <c r="G5" s="40">
        <f>IF(2706173.30142="","-",(2779195.26316-2706173.30142)/2706173.30142*100)</f>
        <v>2.698347578171865</v>
      </c>
    </row>
    <row r="6" spans="1:7" ht="15.75" customHeight="1">
      <c r="A6" s="41" t="s">
        <v>145</v>
      </c>
      <c r="B6" s="24"/>
      <c r="C6" s="24"/>
      <c r="D6" s="24"/>
      <c r="E6" s="24"/>
      <c r="F6" s="24"/>
      <c r="G6" s="24"/>
    </row>
    <row r="7" spans="1:7" ht="15.75" customHeight="1">
      <c r="A7" s="42" t="s">
        <v>250</v>
      </c>
      <c r="B7" s="43">
        <f>IF(1830546.00251="","-",1830546.00251)</f>
        <v>1830546.00251</v>
      </c>
      <c r="C7" s="43">
        <f>IF(1861863.96271="","-",1830546.00251/1861863.96271*100)</f>
        <v>98.31792435821059</v>
      </c>
      <c r="D7" s="43">
        <f>IF(1861863.96271="","-",1861863.96271/2706173.30142*100)</f>
        <v>68.80061826539459</v>
      </c>
      <c r="E7" s="43">
        <f>IF(1830546.00251="","-",1830546.00251/2779195.26316*100)</f>
        <v>65.86604499421293</v>
      </c>
      <c r="F7" s="43">
        <f>IF(2424972.02699="","-",(1861863.96271-1596839.59621)/2424972.02699*100)</f>
        <v>10.92896592415385</v>
      </c>
      <c r="G7" s="43">
        <f>IF(2706173.30142="","-",(1830546.00251-1861863.96271)/2706173.30142*100)</f>
        <v>-1.1572784412427222</v>
      </c>
    </row>
    <row r="8" spans="1:7" ht="15.75" customHeight="1">
      <c r="A8" s="31" t="s">
        <v>1</v>
      </c>
      <c r="B8" s="44">
        <f>IF(765413.34043="","-",765413.34043)</f>
        <v>765413.34043</v>
      </c>
      <c r="C8" s="44">
        <f>IF(OR(792137.25516="",765413.34043=""),"-",765413.34043/792137.25516*100)</f>
        <v>96.62635300184157</v>
      </c>
      <c r="D8" s="44">
        <f>IF(792137.25516="","-",792137.25516/2706173.30142*100)</f>
        <v>29.27149029015787</v>
      </c>
      <c r="E8" s="44">
        <f>IF(765413.34043="","-",765413.34043/2779195.26316*100)</f>
        <v>27.540826316741413</v>
      </c>
      <c r="F8" s="44">
        <f>IF(OR(2424972.02699="",600607.99038="",792137.25516=""),"-",(792137.25516-600607.99038)/2424972.02699*100)</f>
        <v>7.898205119410632</v>
      </c>
      <c r="G8" s="44">
        <f>IF(OR(2706173.30142="",765413.34043="",792137.25516=""),"-",(765413.34043-792137.25516)/2706173.30142*100)</f>
        <v>-0.9875167534901487</v>
      </c>
    </row>
    <row r="9" spans="1:7" ht="15.75" customHeight="1">
      <c r="A9" s="31" t="s">
        <v>2</v>
      </c>
      <c r="B9" s="44">
        <f>IF(267046.85922="","-",267046.85922)</f>
        <v>267046.85922</v>
      </c>
      <c r="C9" s="44">
        <f>IF(OR(309606.99167="",267046.85922=""),"-",267046.85922/309606.99167*100)</f>
        <v>86.25349762922554</v>
      </c>
      <c r="D9" s="44">
        <f>IF(309606.99167="","-",309606.99167/2706173.30142*100)</f>
        <v>11.44076735616086</v>
      </c>
      <c r="E9" s="44">
        <f>IF(267046.85922="","-",267046.85922/2779195.26316*100)</f>
        <v>9.608783620203871</v>
      </c>
      <c r="F9" s="44">
        <f>IF(OR(2424972.02699="",236025.89038="",309606.99167=""),"-",(309606.99167-236025.89038)/2424972.02699*100)</f>
        <v>3.0343072196726597</v>
      </c>
      <c r="G9" s="44">
        <f>IF(OR(2706173.30142="",267046.85922="",309606.99167=""),"-",(267046.85922-309606.99167)/2706173.30142*100)</f>
        <v>-1.5727053558494433</v>
      </c>
    </row>
    <row r="10" spans="1:7" ht="15.75" customHeight="1">
      <c r="A10" s="31" t="s">
        <v>3</v>
      </c>
      <c r="B10" s="44">
        <f>IF(245960.30266="","-",245960.30266)</f>
        <v>245960.30266</v>
      </c>
      <c r="C10" s="47">
        <f>IF(OR(219902.73735="",245960.30266=""),"-",245960.30266/219902.73735*100)</f>
        <v>111.8495866054302</v>
      </c>
      <c r="D10" s="44">
        <f>IF(219902.73735="","-",219902.73735/2706173.30142*100)</f>
        <v>8.12596655338412</v>
      </c>
      <c r="E10" s="44">
        <f>IF(245960.30266="","-",245960.30266/2779195.26316*100)</f>
        <v>8.850054759388811</v>
      </c>
      <c r="F10" s="44">
        <f>IF(OR(2424972.02699="",166125.33701="",219902.73735=""),"-",(219902.73735-166125.33701)/2424972.02699*100)</f>
        <v>2.2176503374660075</v>
      </c>
      <c r="G10" s="44">
        <f>IF(OR(2706173.30142="",245960.30266="",219902.73735=""),"-",(245960.30266-219902.73735)/2706173.30142*100)</f>
        <v>0.9628934442715436</v>
      </c>
    </row>
    <row r="11" spans="1:7" ht="15.75" customHeight="1">
      <c r="A11" s="31" t="s">
        <v>4</v>
      </c>
      <c r="B11" s="44">
        <f>IF(113039.83757="","-",113039.83757)</f>
        <v>113039.83757</v>
      </c>
      <c r="C11" s="44">
        <f>IF(OR(98055.76385="",113039.83757=""),"-",113039.83757/98055.76385*100)</f>
        <v>115.2811758653186</v>
      </c>
      <c r="D11" s="44">
        <f>IF(98055.76385="","-",98055.76385/2706173.30142*100)</f>
        <v>3.623410363207248</v>
      </c>
      <c r="E11" s="44">
        <f>IF(113039.83757="","-",113039.83757/2779195.26316*100)</f>
        <v>4.067358600830064</v>
      </c>
      <c r="F11" s="44">
        <f>IF(OR(2424972.02699="",102922.8802="",98055.76385=""),"-",(98055.76385-102922.8802)/2424972.02699*100)</f>
        <v>-0.20070814408697782</v>
      </c>
      <c r="G11" s="44">
        <f>IF(OR(2706173.30142="",113039.83757="",98055.76385=""),"-",(113039.83757-98055.76385)/2706173.30142*100)</f>
        <v>0.553699709923879</v>
      </c>
    </row>
    <row r="12" spans="1:7" ht="13.5" customHeight="1">
      <c r="A12" s="31" t="s">
        <v>6</v>
      </c>
      <c r="B12" s="44">
        <f>IF(64817.8432="","-",64817.8432)</f>
        <v>64817.8432</v>
      </c>
      <c r="C12" s="44" t="s">
        <v>130</v>
      </c>
      <c r="D12" s="44">
        <f>IF(42723.27087="","-",42723.27087/2706173.30142*100)</f>
        <v>1.5787337362164495</v>
      </c>
      <c r="E12" s="44">
        <f>IF(64817.8432="","-",64817.8432/2779195.26316*100)</f>
        <v>2.3322522191658037</v>
      </c>
      <c r="F12" s="44">
        <f>IF(OR(2424972.02699="",29881.34593="",42723.27087=""),"-",(42723.27087-29881.34593)/2424972.02699*100)</f>
        <v>0.5295700237804416</v>
      </c>
      <c r="G12" s="44">
        <f>IF(OR(2706173.30142="",64817.8432="",42723.27087=""),"-",(64817.8432-42723.27087)/2706173.30142*100)</f>
        <v>0.8164507542220746</v>
      </c>
    </row>
    <row r="13" spans="1:7" ht="14.25" customHeight="1">
      <c r="A13" s="31" t="s">
        <v>5</v>
      </c>
      <c r="B13" s="44">
        <f>IF(62957.59931="","-",62957.59931)</f>
        <v>62957.59931</v>
      </c>
      <c r="C13" s="44">
        <f>IF(OR(48413.00075="",62957.59931=""),"-",62957.59931/48413.00075*100)</f>
        <v>130.04275367087217</v>
      </c>
      <c r="D13" s="44">
        <f>IF(48413.00075="","-",48413.00075/2706173.30142*100)</f>
        <v>1.7889837552013552</v>
      </c>
      <c r="E13" s="44">
        <f>IF(62957.59931="","-",62957.59931/2779195.26316*100)</f>
        <v>2.2653175955120175</v>
      </c>
      <c r="F13" s="44">
        <f>IF(OR(2424972.02699="",78127.71864="",48413.00075=""),"-",(48413.00075-78127.71864)/2424972.02699*100)</f>
        <v>-1.2253633262270427</v>
      </c>
      <c r="G13" s="44">
        <f>IF(OR(2706173.30142="",62957.59931="",48413.00075=""),"-",(62957.59931-48413.00075)/2706173.30142*100)</f>
        <v>0.537459982787062</v>
      </c>
    </row>
    <row r="14" spans="1:7" s="12" customFormat="1" ht="25.5">
      <c r="A14" s="31" t="s">
        <v>152</v>
      </c>
      <c r="B14" s="44">
        <f>IF(49936.30894="","-",49936.30894)</f>
        <v>49936.30894</v>
      </c>
      <c r="C14" s="44">
        <f>IF(OR(78819.44556="",49936.30894=""),"-",49936.30894/78819.44556*100)</f>
        <v>63.35531617256406</v>
      </c>
      <c r="D14" s="44">
        <f>IF(78819.44556="","-",78819.44556/2706173.30142*100)</f>
        <v>2.912579379843906</v>
      </c>
      <c r="E14" s="44">
        <f>IF(49936.30894="","-",49936.30894/2779195.26316*100)</f>
        <v>1.7967902292414473</v>
      </c>
      <c r="F14" s="44">
        <f>IF(OR(2424972.02699="",136149.05672="",78819.44556=""),"-",(78819.44556-136149.05672)/2424972.02699*100)</f>
        <v>-2.3641349476167135</v>
      </c>
      <c r="G14" s="44">
        <f>IF(OR(2706173.30142="",49936.30894="",78819.44556=""),"-",(49936.30894-78819.44556)/2706173.30142*100)</f>
        <v>-1.0673055049668938</v>
      </c>
    </row>
    <row r="15" spans="1:7" s="12" customFormat="1" ht="15.75">
      <c r="A15" s="31" t="s">
        <v>8</v>
      </c>
      <c r="B15" s="44">
        <f>IF(39276.09025="","-",39276.09025)</f>
        <v>39276.09025</v>
      </c>
      <c r="C15" s="44">
        <f>IF(OR(37443.4421="",39276.09025=""),"-",39276.09025/37443.4421*100)</f>
        <v>104.89444358535619</v>
      </c>
      <c r="D15" s="44">
        <f>IF(37443.4421="","-",37443.4421/2706173.30142*100)</f>
        <v>1.3836306078532534</v>
      </c>
      <c r="E15" s="44">
        <f>IF(39276.09025="","-",39276.09025/2779195.26316*100)</f>
        <v>1.4132180912449566</v>
      </c>
      <c r="F15" s="44">
        <f>IF(OR(2424972.02699="",29492.2928="",37443.4421=""),"-",(37443.4421-29492.2928)/2424972.02699*100)</f>
        <v>0.3278862276143192</v>
      </c>
      <c r="G15" s="44">
        <f>IF(OR(2706173.30142="",39276.09025="",37443.4421=""),"-",(39276.09025-37443.4421)/2706173.30142*100)</f>
        <v>0.06772101953109812</v>
      </c>
    </row>
    <row r="16" spans="1:7" s="12" customFormat="1" ht="15.75">
      <c r="A16" s="31" t="s">
        <v>40</v>
      </c>
      <c r="B16" s="44">
        <f>IF(38145.47781="","-",38145.47781)</f>
        <v>38145.47781</v>
      </c>
      <c r="C16" s="44">
        <f>IF(OR(25558.1734="",38145.47781=""),"-",38145.47781/25558.1734*100)</f>
        <v>149.24962442738573</v>
      </c>
      <c r="D16" s="44">
        <f>IF(25558.1734="","-",25558.1734/2706173.30142*100)</f>
        <v>0.9444396405281568</v>
      </c>
      <c r="E16" s="44">
        <f>IF(38145.47781="","-",38145.47781/2779195.26316*100)</f>
        <v>1.372536802852342</v>
      </c>
      <c r="F16" s="44">
        <f>IF(OR(2424972.02699="",27939.42992="",25558.1734=""),"-",(25558.1734-27939.42992)/2424972.02699*100)</f>
        <v>-0.09819727788595305</v>
      </c>
      <c r="G16" s="44">
        <f>IF(OR(2706173.30142="",38145.47781="",25558.1734=""),"-",(38145.47781-25558.1734)/2706173.30142*100)</f>
        <v>0.4651329759034689</v>
      </c>
    </row>
    <row r="17" spans="1:7" s="12" customFormat="1" ht="15.75">
      <c r="A17" s="31" t="s">
        <v>9</v>
      </c>
      <c r="B17" s="44">
        <f>IF(37885.94716="","-",37885.94716)</f>
        <v>37885.94716</v>
      </c>
      <c r="C17" s="44">
        <f>IF(OR(37495.8782="",37885.94716=""),"-",37885.94716/37495.8782*100)</f>
        <v>101.04029823736734</v>
      </c>
      <c r="D17" s="44">
        <f>IF(37495.8782="","-",37495.8782/2706173.30142*100)</f>
        <v>1.3855682553783577</v>
      </c>
      <c r="E17" s="44">
        <f>IF(37885.94716="","-",37885.94716/2779195.26316*100)</f>
        <v>1.3631984647571302</v>
      </c>
      <c r="F17" s="44">
        <f>IF(OR(2424972.02699="",27854.53346="",37495.8782=""),"-",(37495.8782-27854.53346)/2424972.02699*100)</f>
        <v>0.39758581264821163</v>
      </c>
      <c r="G17" s="44">
        <f>IF(OR(2706173.30142="",37885.94716="",37495.8782=""),"-",(37885.94716-37495.8782)/2706173.30142*100)</f>
        <v>0.01441404213822244</v>
      </c>
    </row>
    <row r="18" spans="1:7" s="12" customFormat="1" ht="15.75">
      <c r="A18" s="31" t="s">
        <v>151</v>
      </c>
      <c r="B18" s="44">
        <f>IF(36001.17881="","-",36001.17881)</f>
        <v>36001.17881</v>
      </c>
      <c r="C18" s="44">
        <f>IF(OR(48358.65056="",36001.17881=""),"-",36001.17881/48358.65056*100)</f>
        <v>74.446202268056</v>
      </c>
      <c r="D18" s="44">
        <f>IF(48358.65056="","-",48358.65056/2706173.30142*100)</f>
        <v>1.7869753771728127</v>
      </c>
      <c r="E18" s="44">
        <f>IF(36001.17881="","-",36001.17881/2779195.26316*100)</f>
        <v>1.2953814108428618</v>
      </c>
      <c r="F18" s="44">
        <f>IF(OR(2424972.02699="",50832.82295="",48358.65056=""),"-",(48358.65056-50832.82295)/2424972.02699*100)</f>
        <v>-0.10202890435280895</v>
      </c>
      <c r="G18" s="44">
        <f>IF(OR(2706173.30142="",36001.17881="",48358.65056=""),"-",(36001.17881-48358.65056)/2706173.30142*100)</f>
        <v>-0.4566400734023839</v>
      </c>
    </row>
    <row r="19" spans="1:7" s="12" customFormat="1" ht="15.75">
      <c r="A19" s="31" t="s">
        <v>7</v>
      </c>
      <c r="B19" s="44">
        <f>IF(31000.69436="","-",31000.69436)</f>
        <v>31000.69436</v>
      </c>
      <c r="C19" s="44">
        <f>IF(OR(39351.95228="",31000.69436=""),"-",31000.69436/39351.95228*100)</f>
        <v>78.77803403353792</v>
      </c>
      <c r="D19" s="44">
        <f>IF(39351.95228="","-",39351.95228/2706173.30142*100)</f>
        <v>1.4541549227224657</v>
      </c>
      <c r="E19" s="44">
        <f>IF(31000.69436="","-",31000.69436/2779195.26316*100)</f>
        <v>1.1154557857425103</v>
      </c>
      <c r="F19" s="44">
        <f>IF(OR(2424972.02699="",40861.22697="",39351.95228=""),"-",(39351.95228-40861.22697)/2424972.02699*100)</f>
        <v>-0.06223884948781842</v>
      </c>
      <c r="G19" s="44">
        <f>IF(OR(2706173.30142="",31000.69436="",39351.95228=""),"-",(31000.69436-39351.95228)/2706173.30142*100)</f>
        <v>-0.3086002627997946</v>
      </c>
    </row>
    <row r="20" spans="1:7" s="14" customFormat="1" ht="15.75">
      <c r="A20" s="31" t="s">
        <v>41</v>
      </c>
      <c r="B20" s="44">
        <f>IF(13368.13775="","-",13368.13775)</f>
        <v>13368.13775</v>
      </c>
      <c r="C20" s="44">
        <f>IF(OR(14754.73939="",13368.13775=""),"-",13368.13775/14754.73939*100)</f>
        <v>90.60233052344003</v>
      </c>
      <c r="D20" s="44">
        <f>IF(14754.73939="","-",14754.73939/2706173.30142*100)</f>
        <v>0.5452252219862566</v>
      </c>
      <c r="E20" s="44">
        <f>IF(13368.13775="","-",13368.13775/2779195.26316*100)</f>
        <v>0.48100750340226767</v>
      </c>
      <c r="F20" s="44">
        <f>IF(OR(2424972.02699="",12930.65402="",14754.73939=""),"-",(14754.73939-12930.65402)/2424972.02699*100)</f>
        <v>0.07522088295031383</v>
      </c>
      <c r="G20" s="44">
        <f>IF(OR(2706173.30142="",13368.13775="",14754.73939=""),"-",(13368.13775-14754.73939)/2706173.30142*100)</f>
        <v>-0.051238464265108766</v>
      </c>
    </row>
    <row r="21" spans="1:7" s="12" customFormat="1" ht="15.75">
      <c r="A21" s="31" t="s">
        <v>44</v>
      </c>
      <c r="B21" s="44">
        <f>IF(12513.70102="","-",12513.70102)</f>
        <v>12513.70102</v>
      </c>
      <c r="C21" s="44">
        <f>IF(OR(17526.75276="",12513.70102=""),"-",12513.70102/17526.75276*100)</f>
        <v>71.39771520346363</v>
      </c>
      <c r="D21" s="44">
        <f>IF(17526.75276="","-",17526.75276/2706173.30142*100)</f>
        <v>0.6476581803095631</v>
      </c>
      <c r="E21" s="44">
        <f>IF(12513.70102="","-",12513.70102/2779195.26316*100)</f>
        <v>0.45026346964090874</v>
      </c>
      <c r="F21" s="44">
        <f>IF(OR(2424972.02699="",10046.05284="",17526.75276=""),"-",(17526.75276-10046.05284)/2424972.02699*100)</f>
        <v>0.3084860293949629</v>
      </c>
      <c r="G21" s="44">
        <f>IF(OR(2706173.30142="",12513.70102="",17526.75276=""),"-",(12513.70102-17526.75276)/2706173.30142*100)</f>
        <v>-0.1852450372402063</v>
      </c>
    </row>
    <row r="22" spans="1:7" s="12" customFormat="1" ht="15.75">
      <c r="A22" s="31" t="s">
        <v>42</v>
      </c>
      <c r="B22" s="44">
        <f>IF(11132.94197="","-",11132.94197)</f>
        <v>11132.94197</v>
      </c>
      <c r="C22" s="44">
        <f>IF(OR(8233.02862="",11132.94197=""),"-",11132.94197/8233.02862*100)</f>
        <v>135.22292322603394</v>
      </c>
      <c r="D22" s="44">
        <f>IF(8233.02862="","-",8233.02862/2706173.30142*100)</f>
        <v>0.3042313888648563</v>
      </c>
      <c r="E22" s="44">
        <f>IF(11132.94197="","-",11132.94197/2779195.26316*100)</f>
        <v>0.400581496290463</v>
      </c>
      <c r="F22" s="44">
        <f>IF(OR(2424972.02699="",9927.99007="",8233.02862=""),"-",(8233.02862-9927.99007)/2424972.02699*100)</f>
        <v>-0.06989612379586391</v>
      </c>
      <c r="G22" s="44">
        <f>IF(OR(2706173.30142="",11132.94197="",8233.02862=""),"-",(11132.94197-8233.02862)/2706173.30142*100)</f>
        <v>0.10715918852936507</v>
      </c>
    </row>
    <row r="23" spans="1:7" s="12" customFormat="1" ht="15.75">
      <c r="A23" s="31" t="s">
        <v>47</v>
      </c>
      <c r="B23" s="44">
        <f>IF(9666.2654="","-",9666.2654)</f>
        <v>9666.2654</v>
      </c>
      <c r="C23" s="44">
        <f>IF(OR(10551.52967="",9666.2654=""),"-",9666.2654/10551.52967*100)</f>
        <v>91.61008595258966</v>
      </c>
      <c r="D23" s="44">
        <f>IF(10551.52967="","-",10551.52967/2706173.30142*100)</f>
        <v>0.3899059112165262</v>
      </c>
      <c r="E23" s="44">
        <f>IF(9666.2654="","-",9666.2654/2779195.26316*100)</f>
        <v>0.3478080697723004</v>
      </c>
      <c r="F23" s="44">
        <f>IF(OR(2424972.02699="",7802.82751="",10551.52967=""),"-",(10551.52967-7802.82751)/2424972.02699*100)</f>
        <v>0.11334985020061572</v>
      </c>
      <c r="G23" s="44">
        <f>IF(OR(2706173.30142="",9666.2654="",10551.52967=""),"-",(9666.2654-10551.52967)/2706173.30142*100)</f>
        <v>-0.03271277081683861</v>
      </c>
    </row>
    <row r="24" spans="1:7" s="12" customFormat="1" ht="15.75">
      <c r="A24" s="31" t="s">
        <v>43</v>
      </c>
      <c r="B24" s="44">
        <f>IF(8472.4664="","-",8472.4664)</f>
        <v>8472.4664</v>
      </c>
      <c r="C24" s="44">
        <f>IF(OR(9005.51064="",8472.4664=""),"-",8472.4664/9005.51064*100)</f>
        <v>94.0809104412984</v>
      </c>
      <c r="D24" s="44">
        <f>IF(9005.51064="","-",9005.51064/2706173.30142*100)</f>
        <v>0.3327765681257211</v>
      </c>
      <c r="E24" s="44">
        <f>IF(8472.4664="","-",8472.4664/2779195.26316*100)</f>
        <v>0.30485322540333626</v>
      </c>
      <c r="F24" s="44">
        <f>IF(OR(2424972.02699="",9080.02737="",9005.51064=""),"-",(9005.51064-9080.02737)/2424972.02699*100)</f>
        <v>-0.00307289029195497</v>
      </c>
      <c r="G24" s="44">
        <f>IF(OR(2706173.30142="",8472.4664="",9005.51064=""),"-",(8472.4664-9005.51064)/2706173.30142*100)</f>
        <v>-0.01969734309773505</v>
      </c>
    </row>
    <row r="25" spans="1:7" s="12" customFormat="1" ht="15.75">
      <c r="A25" s="31" t="s">
        <v>51</v>
      </c>
      <c r="B25" s="44">
        <f>IF(8274.15075="","-",8274.15075)</f>
        <v>8274.15075</v>
      </c>
      <c r="C25" s="44">
        <f>IF(OR(9375.33506="",8274.15075=""),"-",8274.15075/9375.33506*100)</f>
        <v>88.25445380935538</v>
      </c>
      <c r="D25" s="44">
        <f>IF(9375.33506="","-",9375.33506/2706173.30142*100)</f>
        <v>0.3464425229190058</v>
      </c>
      <c r="E25" s="44">
        <f>IF(8274.15075="","-",8274.15075/2779195.26316*100)</f>
        <v>0.297717503324762</v>
      </c>
      <c r="F25" s="44">
        <f>IF(OR(2424972.02699="",5732.2128="",9375.33506=""),"-",(9375.33506-5732.2128)/2424972.02699*100)</f>
        <v>0.1502335787568663</v>
      </c>
      <c r="G25" s="44">
        <f>IF(OR(2706173.30142="",8274.15075="",9375.33506=""),"-",(8274.15075-9375.33506)/2706173.30142*100)</f>
        <v>-0.04069156655348637</v>
      </c>
    </row>
    <row r="26" spans="1:7" s="12" customFormat="1" ht="15.75">
      <c r="A26" s="31" t="s">
        <v>45</v>
      </c>
      <c r="B26" s="44">
        <f>IF(7489.29676="","-",7489.29676)</f>
        <v>7489.29676</v>
      </c>
      <c r="C26" s="44">
        <f>IF(OR(6643.55539="",7489.29676=""),"-",7489.29676/6643.55539*100)</f>
        <v>112.73025240781503</v>
      </c>
      <c r="D26" s="44">
        <f>IF(6643.55539="","-",6643.55539/2706173.30142*100)</f>
        <v>0.24549630234375427</v>
      </c>
      <c r="E26" s="44">
        <f>IF(7489.29676="","-",7489.29676/2779195.26316*100)</f>
        <v>0.26947717057795073</v>
      </c>
      <c r="F26" s="44">
        <f>IF(OR(2424972.02699="",6384.52336="",6643.55539=""),"-",(6643.55539-6384.52336)/2424972.02699*100)</f>
        <v>0.01068185641388714</v>
      </c>
      <c r="G26" s="44">
        <f>IF(OR(2706173.30142="",7489.29676="",6643.55539=""),"-",(7489.29676-6643.55539)/2706173.30142*100)</f>
        <v>0.03125229894021263</v>
      </c>
    </row>
    <row r="27" spans="1:7" s="9" customFormat="1" ht="15.75">
      <c r="A27" s="31" t="s">
        <v>46</v>
      </c>
      <c r="B27" s="44">
        <f>IF(3655.91559="","-",3655.91559)</f>
        <v>3655.91559</v>
      </c>
      <c r="C27" s="44">
        <f>IF(OR(3135.95604="",3655.91559=""),"-",3655.91559/3135.95604*100)</f>
        <v>116.58057521750209</v>
      </c>
      <c r="D27" s="44">
        <f>IF(3135.95604="","-",3135.95604/2706173.30142*100)</f>
        <v>0.11588156746482133</v>
      </c>
      <c r="E27" s="44">
        <f>IF(3655.91559="","-",3655.91559/2779195.26316*100)</f>
        <v>0.1315458340931091</v>
      </c>
      <c r="F27" s="44">
        <f>IF(OR(2424972.02699="",3615.54822="",3135.95604=""),"-",(3135.95604-3615.54822)/2424972.02699*100)</f>
        <v>-0.019777225248874087</v>
      </c>
      <c r="G27" s="44">
        <f>IF(OR(2706173.30142="",3655.91559="",3135.95604=""),"-",(3655.91559-3135.95604)/2706173.30142*100)</f>
        <v>0.019213830456725135</v>
      </c>
    </row>
    <row r="28" spans="1:7" s="9" customFormat="1" ht="15.75">
      <c r="A28" s="31" t="s">
        <v>153</v>
      </c>
      <c r="B28" s="44">
        <f>IF(1150.08881="","-",1150.08881)</f>
        <v>1150.08881</v>
      </c>
      <c r="C28" s="44">
        <f>IF(OR(986.10014="",1150.08881=""),"-",1150.08881/986.10014*100)</f>
        <v>116.63002197728112</v>
      </c>
      <c r="D28" s="44">
        <f>IF(986.10014="","-",986.10014/2706173.30142*100)</f>
        <v>0.03643891318721412</v>
      </c>
      <c r="E28" s="44">
        <f>IF(1150.08881="","-",1150.08881/2779195.26316*100)</f>
        <v>0.041382080102292856</v>
      </c>
      <c r="F28" s="44">
        <f>IF(OR(2424972.02699="",803.93446="",986.10014=""),"-",(986.10014-803.93446)/2424972.02699*100)</f>
        <v>0.007512073457858128</v>
      </c>
      <c r="G28" s="44">
        <f>IF(OR(2706173.30142="",1150.08881="",986.10014=""),"-",(1150.08881-986.10014)/2706173.30142*100)</f>
        <v>0.006059799271316098</v>
      </c>
    </row>
    <row r="29" spans="1:7" s="12" customFormat="1" ht="15.75">
      <c r="A29" s="31" t="s">
        <v>49</v>
      </c>
      <c r="B29" s="44">
        <f>IF(1036.58988="","-",1036.58988)</f>
        <v>1036.58988</v>
      </c>
      <c r="C29" s="44" t="s">
        <v>184</v>
      </c>
      <c r="D29" s="44">
        <f>IF(388.59108="","-",388.59108/2706173.30142*100)</f>
        <v>0.014359430705938016</v>
      </c>
      <c r="E29" s="44">
        <f>IF(1036.58988="","-",1036.58988/2779195.26316*100)</f>
        <v>0.0372982026034895</v>
      </c>
      <c r="F29" s="44">
        <f>IF(OR(2424972.02699="",253.55923="",388.59108=""),"-",(388.59108-253.55923)/2424972.02699*100)</f>
        <v>0.005568387944153254</v>
      </c>
      <c r="G29" s="44">
        <f>IF(OR(2706173.30142="",1036.58988="",388.59108=""),"-",(1036.58988-388.59108)/2706173.30142*100)</f>
        <v>0.02394520704420438</v>
      </c>
    </row>
    <row r="30" spans="1:7" s="12" customFormat="1" ht="15.75">
      <c r="A30" s="31" t="s">
        <v>48</v>
      </c>
      <c r="B30" s="44">
        <f>IF(791.22556="","-",791.22556)</f>
        <v>791.22556</v>
      </c>
      <c r="C30" s="44">
        <f>IF(OR(1611.76679="",791.22556=""),"-",791.22556/1611.76679*100)</f>
        <v>49.09057345697016</v>
      </c>
      <c r="D30" s="44">
        <f>IF(1611.76679="","-",1611.76679/2706173.30142*100)</f>
        <v>0.05955889037683816</v>
      </c>
      <c r="E30" s="44">
        <f>IF(791.22556="","-",791.22556/2779195.26316*100)</f>
        <v>0.028469592276879487</v>
      </c>
      <c r="F30" s="44">
        <f>IF(OR(2424972.02699="",1480.11979="",1611.76679=""),"-",(1611.76679-1480.11979)/2424972.02699*100)</f>
        <v>0.005428804890727212</v>
      </c>
      <c r="G30" s="44">
        <f>IF(OR(2706173.30142="",791.22556="",1611.76679=""),"-",(791.22556-1611.76679)/2706173.30142*100)</f>
        <v>-0.03032108954624009</v>
      </c>
    </row>
    <row r="31" spans="1:7" s="9" customFormat="1" ht="15.75">
      <c r="A31" s="31" t="s">
        <v>50</v>
      </c>
      <c r="B31" s="44">
        <f>IF(656.91533="","-",656.91533)</f>
        <v>656.91533</v>
      </c>
      <c r="C31" s="44">
        <f>IF(OR(755.52356="",656.91533=""),"-",656.91533/755.52356*100)</f>
        <v>86.94835803664415</v>
      </c>
      <c r="D31" s="44">
        <f>IF(755.52356="","-",755.52356/2706173.30142*100)</f>
        <v>0.027918520946295534</v>
      </c>
      <c r="E31" s="44">
        <f>IF(656.91533="","-",656.91533/2779195.26316*100)</f>
        <v>0.023636890099369062</v>
      </c>
      <c r="F31" s="44">
        <f>IF(OR(2424972.02699="",1014.42085="",755.52356=""),"-",(755.52356-1014.42085)/2424972.02699*100)</f>
        <v>-0.010676300061133348</v>
      </c>
      <c r="G31" s="44">
        <f>IF(OR(2706173.30142="",656.91533="",755.52356=""),"-",(656.91533-755.52356)/2706173.30142*100)</f>
        <v>-0.0036438253953749973</v>
      </c>
    </row>
    <row r="32" spans="1:7" s="9" customFormat="1" ht="15.75">
      <c r="A32" s="31" t="s">
        <v>55</v>
      </c>
      <c r="B32" s="44">
        <f>IF(461.08919="","-",461.08919)</f>
        <v>461.08919</v>
      </c>
      <c r="C32" s="44">
        <f>IF(OR(592.0215="",461.08919=""),"-",461.08919/592.0215*100)</f>
        <v>77.88385894769024</v>
      </c>
      <c r="D32" s="44">
        <f>IF(592.0215="","-",592.0215/2706173.30142*100)</f>
        <v>0.021876703154574424</v>
      </c>
      <c r="E32" s="44">
        <f>IF(461.08919="","-",461.08919/2779195.26316*100)</f>
        <v>0.016590744670301878</v>
      </c>
      <c r="F32" s="44">
        <f>IF(OR(2424972.02699="",23.06785="",592.0215=""),"-",(592.0215-23.06785)/2424972.02699*100)</f>
        <v>0.02346227682907396</v>
      </c>
      <c r="G32" s="44">
        <f>IF(OR(2706173.30142="",461.08919="",592.0215=""),"-",(461.08919-592.0215)/2706173.30142*100)</f>
        <v>-0.004838282527260777</v>
      </c>
    </row>
    <row r="33" spans="1:7" s="9" customFormat="1" ht="15.75">
      <c r="A33" s="31" t="s">
        <v>53</v>
      </c>
      <c r="B33" s="44">
        <f>IF(262.50602="","-",262.50602)</f>
        <v>262.50602</v>
      </c>
      <c r="C33" s="44">
        <f>IF(OR(330.22087="",262.50602=""),"-",262.50602/330.22087*100)</f>
        <v>79.49407316381911</v>
      </c>
      <c r="D33" s="44">
        <f>IF(330.22087="","-",330.22087/2706173.30142*100)</f>
        <v>0.012202502693627361</v>
      </c>
      <c r="E33" s="44">
        <f>IF(262.50602="","-",262.50602/2779195.26316*100)</f>
        <v>0.009445396783726719</v>
      </c>
      <c r="F33" s="44">
        <f>IF(OR(2424972.02699="",616.67545="",330.22087=""),"-",(330.22087-616.67545)/2424972.02699*100)</f>
        <v>-0.011812696262544607</v>
      </c>
      <c r="G33" s="44">
        <f>IF(OR(2706173.30142="",262.50602="",330.22087=""),"-",(262.50602-330.22087)/2706173.30142*100)</f>
        <v>-0.0025022362745382295</v>
      </c>
    </row>
    <row r="34" spans="1:7" s="9" customFormat="1" ht="15.75">
      <c r="A34" s="31" t="s">
        <v>54</v>
      </c>
      <c r="B34" s="44">
        <f>IF(69.23089="","-",69.23089)</f>
        <v>69.23089</v>
      </c>
      <c r="C34" s="44">
        <f>IF(OR(98.41519="",69.23089=""),"-",69.23089/98.41519*100)</f>
        <v>70.34573626286755</v>
      </c>
      <c r="D34" s="44">
        <f>IF(98.41519="","-",98.41519/2706173.30142*100)</f>
        <v>0.003636692075424695</v>
      </c>
      <c r="E34" s="44">
        <f>IF(69.23089="","-",69.23089/2779195.26316*100)</f>
        <v>0.0024910408749503664</v>
      </c>
      <c r="F34" s="44">
        <f>IF(OR(2424972.02699="",36.15205="",98.41519=""),"-",(98.41519-36.15205)/2424972.02699*100)</f>
        <v>0.002567581782676652</v>
      </c>
      <c r="G34" s="44">
        <f>IF(OR(2706173.30142="",69.23089="",98.41519=""),"-",(69.23089-98.41519)/2706173.30142*100)</f>
        <v>-0.0010784342593538347</v>
      </c>
    </row>
    <row r="35" spans="1:7" s="9" customFormat="1" ht="15.75">
      <c r="A35" s="31" t="s">
        <v>52</v>
      </c>
      <c r="B35" s="44">
        <f>IF(64.00147="","-",64.00147)</f>
        <v>64.00147</v>
      </c>
      <c r="C35" s="44" t="s">
        <v>267</v>
      </c>
      <c r="D35" s="44">
        <f>IF(8.35426="","-",8.35426/2706173.30142*100)</f>
        <v>0.00030871119730640687</v>
      </c>
      <c r="E35" s="44">
        <f>IF(64.00147="","-",64.00147/2779195.26316*100)</f>
        <v>0.0023028777735908004</v>
      </c>
      <c r="F35" s="44">
        <f>IF(OR(2424972.02699="",271.30498="",8.35426=""),"-",(8.35426-271.30498)/2424972.02699*100)</f>
        <v>-0.010843453741872146</v>
      </c>
      <c r="G35" s="44">
        <f>IF(OR(2706173.30142="",64.00147="",8.35426=""),"-",(64.00147-8.35426)/2706173.30142*100)</f>
        <v>0.0020563062229163394</v>
      </c>
    </row>
    <row r="36" spans="1:7" s="9" customFormat="1" ht="15.75">
      <c r="A36" s="42" t="s">
        <v>169</v>
      </c>
      <c r="B36" s="43">
        <f>IF(434982.68756="","-",434982.68756)</f>
        <v>434982.68756</v>
      </c>
      <c r="C36" s="43">
        <f>IF(415922.25392="","-",434982.68756/415922.25392*100)</f>
        <v>104.5826914670611</v>
      </c>
      <c r="D36" s="43">
        <f>IF(415922.25392="","-",415922.25392/2706173.30142*100)</f>
        <v>15.369387234060536</v>
      </c>
      <c r="E36" s="43">
        <f>IF(434982.68756="","-",434982.68756/2779195.26316*100)</f>
        <v>15.651389930242471</v>
      </c>
      <c r="F36" s="43">
        <f>IF(2424972.02699="","-",(415922.25392-462820.44579)/2424972.02699*100)</f>
        <v>-1.9339683653263613</v>
      </c>
      <c r="G36" s="43">
        <f>IF(2706173.30142="","-",(434982.68756-415922.25392)/2706173.30142*100)</f>
        <v>0.7043315973148687</v>
      </c>
    </row>
    <row r="37" spans="1:7" s="9" customFormat="1" ht="15.75">
      <c r="A37" s="31" t="s">
        <v>154</v>
      </c>
      <c r="B37" s="44">
        <f>IF(249876.2479="","-",249876.2479)</f>
        <v>249876.2479</v>
      </c>
      <c r="C37" s="44">
        <f>IF(OR(218571.09808="",249876.2479=""),"-",249876.2479/218571.09808*100)</f>
        <v>114.32263922128527</v>
      </c>
      <c r="D37" s="44">
        <f>IF(218571.09808="","-",218571.09808/2706173.30142*100)</f>
        <v>8.076759088758655</v>
      </c>
      <c r="E37" s="44">
        <f>IF(249876.2479="","-",249876.2479/2779195.26316*100)</f>
        <v>8.990956886414873</v>
      </c>
      <c r="F37" s="44">
        <f>IF(OR(2424972.02699="",254534.81514="",218571.09808=""),"-",(218571.09808-254534.81514)/2424972.02699*100)</f>
        <v>-1.4830569862135692</v>
      </c>
      <c r="G37" s="44">
        <f>IF(OR(2706173.30142="",249876.2479="",218571.09808=""),"-",(249876.2479-218571.09808)/2706173.30142*100)</f>
        <v>1.1568050650552706</v>
      </c>
    </row>
    <row r="38" spans="1:7" s="9" customFormat="1" ht="15.75">
      <c r="A38" s="31" t="s">
        <v>10</v>
      </c>
      <c r="B38" s="44">
        <f>IF(80496.18705="","-",80496.18705)</f>
        <v>80496.18705</v>
      </c>
      <c r="C38" s="44">
        <f>IF(OR(87234.06028="",80496.18705=""),"-",80496.18705/87234.06028*100)</f>
        <v>92.27609811079172</v>
      </c>
      <c r="D38" s="44">
        <f>IF(87234.06028="","-",87234.06028/2706173.30142*100)</f>
        <v>3.223520837864523</v>
      </c>
      <c r="E38" s="44">
        <f>IF(80496.18705="","-",80496.18705/2779195.26316*100)</f>
        <v>2.8963847239173197</v>
      </c>
      <c r="F38" s="44">
        <f>IF(OR(2424972.02699="",109993.99949="",87234.06028=""),"-",(87234.06028-109993.99949)/2424972.02699*100)</f>
        <v>-0.9385650208200877</v>
      </c>
      <c r="G38" s="44">
        <f>IF(OR(2706173.30142="",80496.18705="",87234.06028=""),"-",(80496.18705-87234.06028)/2706173.30142*100)</f>
        <v>-0.2489815868948405</v>
      </c>
    </row>
    <row r="39" spans="1:7" s="9" customFormat="1" ht="14.25" customHeight="1">
      <c r="A39" s="31" t="s">
        <v>11</v>
      </c>
      <c r="B39" s="44">
        <f>IF(80163.21642="","-",80163.21642)</f>
        <v>80163.21642</v>
      </c>
      <c r="C39" s="44">
        <f>IF(OR(80275.94023="",80163.21642=""),"-",80163.21642/80275.94023*100)</f>
        <v>99.85957958302696</v>
      </c>
      <c r="D39" s="44">
        <f>IF(80275.94023="","-",80275.94023/2706173.30142*100)</f>
        <v>2.966400569685508</v>
      </c>
      <c r="E39" s="44">
        <f>IF(80163.21642="","-",80163.21642/2779195.26316*100)</f>
        <v>2.884403894991273</v>
      </c>
      <c r="F39" s="44">
        <f>IF(OR(2424972.02699="",65524.03276="",80275.94023=""),"-",(80275.94023-65524.03276)/2424972.02699*100)</f>
        <v>0.6083330985186999</v>
      </c>
      <c r="G39" s="44">
        <f>IF(OR(2706173.30142="",80163.21642="",80275.94023=""),"-",(80163.21642-80275.94023)/2706173.30142*100)</f>
        <v>-0.00416543204904308</v>
      </c>
    </row>
    <row r="40" spans="1:7" s="13" customFormat="1" ht="14.25" customHeight="1">
      <c r="A40" s="31" t="s">
        <v>12</v>
      </c>
      <c r="B40" s="44">
        <f>IF(9891.51508="","-",9891.51508)</f>
        <v>9891.51508</v>
      </c>
      <c r="C40" s="44">
        <f>IF(OR(16118.54397="",9891.51508=""),"-",9891.51508/16118.54397*100)</f>
        <v>61.36729904642869</v>
      </c>
      <c r="D40" s="44">
        <f>IF(16118.54397="","-",16118.54397/2706173.30142*100)</f>
        <v>0.595621276787491</v>
      </c>
      <c r="E40" s="44">
        <f>IF(9891.51508="","-",9891.51508/2779195.26316*100)</f>
        <v>0.3559129223886612</v>
      </c>
      <c r="F40" s="44">
        <f>IF(OR(2424972.02699="",17041.15958="",16118.54397=""),"-",(16118.54397-17041.15958)/2424972.02699*100)</f>
        <v>-0.03804644341176986</v>
      </c>
      <c r="G40" s="44">
        <f>IF(OR(2706173.30142="",9891.51508="",16118.54397=""),"-",(9891.51508-16118.54397)/2706173.30142*100)</f>
        <v>-0.23010458667715467</v>
      </c>
    </row>
    <row r="41" spans="1:7" s="13" customFormat="1" ht="14.25" customHeight="1">
      <c r="A41" s="31" t="s">
        <v>13</v>
      </c>
      <c r="B41" s="44">
        <f>IF(5008.53334="","-",5008.53334)</f>
        <v>5008.53334</v>
      </c>
      <c r="C41" s="44">
        <f>IF(OR(5341.97176="",5008.53334=""),"-",5008.53334/5341.97176*100)</f>
        <v>93.75813959750322</v>
      </c>
      <c r="D41" s="44">
        <f>IF(5341.97176="","-",5341.97176/2706173.30142*100)</f>
        <v>0.19739947021119925</v>
      </c>
      <c r="E41" s="44">
        <f>IF(5008.53334="","-",5008.53334/2779195.26316*100)</f>
        <v>0.18021523735274356</v>
      </c>
      <c r="F41" s="44">
        <f>IF(OR(2424972.02699="",6587.42692="",5341.97176=""),"-",(5341.97176-6587.42692)/2424972.02699*100)</f>
        <v>-0.05135956811617009</v>
      </c>
      <c r="G41" s="44">
        <f>IF(OR(2706173.30142="",5008.53334="",5341.97176=""),"-",(5008.53334-5341.97176)/2706173.30142*100)</f>
        <v>-0.012321399365851277</v>
      </c>
    </row>
    <row r="42" spans="1:7" s="13" customFormat="1" ht="14.25" customHeight="1">
      <c r="A42" s="31" t="s">
        <v>14</v>
      </c>
      <c r="B42" s="44">
        <f>IF(3580.63222="","-",3580.63222)</f>
        <v>3580.63222</v>
      </c>
      <c r="C42" s="44">
        <f>IF(OR(3913.20599="",3580.63222=""),"-",3580.63222/3913.20599*100)</f>
        <v>91.50124550432879</v>
      </c>
      <c r="D42" s="44">
        <f>IF(3913.20599="","-",3913.20599/2706173.30142*100)</f>
        <v>0.14460293388995593</v>
      </c>
      <c r="E42" s="44">
        <f>IF(3580.63222="","-",3580.63222/2779195.26316*100)</f>
        <v>0.1288370150692021</v>
      </c>
      <c r="F42" s="44">
        <f>IF(OR(2424972.02699="",5563.01228="",3913.20599=""),"-",(3913.20599-5563.01228)/2424972.02699*100)</f>
        <v>-0.06803403386256066</v>
      </c>
      <c r="G42" s="44">
        <f>IF(OR(2706173.30142="",3580.63222="",3913.20599=""),"-",(3580.63222-3913.20599)/2706173.30142*100)</f>
        <v>-0.012289448344845091</v>
      </c>
    </row>
    <row r="43" spans="1:7" s="13" customFormat="1" ht="14.25" customHeight="1">
      <c r="A43" s="31" t="s">
        <v>16</v>
      </c>
      <c r="B43" s="44">
        <f>IF(3554.56727="","-",3554.56727)</f>
        <v>3554.56727</v>
      </c>
      <c r="C43" s="44" t="s">
        <v>130</v>
      </c>
      <c r="D43" s="44">
        <f>IF(2327.34721="","-",2327.34721/2706173.30142*100)</f>
        <v>0.08600141050755249</v>
      </c>
      <c r="E43" s="44">
        <f>IF(3554.56727="","-",3554.56727/2779195.26316*100)</f>
        <v>0.12789915545402833</v>
      </c>
      <c r="F43" s="44">
        <f>IF(OR(2424972.02699="",1249.8772="",2327.34721=""),"-",(2327.34721-1249.8772)/2424972.02699*100)</f>
        <v>0.04443226552750842</v>
      </c>
      <c r="G43" s="44">
        <f>IF(OR(2706173.30142="",3554.56727="",2327.34721=""),"-",(3554.56727-2327.34721)/2706173.30142*100)</f>
        <v>0.04534890871017187</v>
      </c>
    </row>
    <row r="44" spans="1:7" s="11" customFormat="1" ht="14.25" customHeight="1">
      <c r="A44" s="31" t="s">
        <v>131</v>
      </c>
      <c r="B44" s="44">
        <f>IF(1395.20772="","-",1395.20772)</f>
        <v>1395.20772</v>
      </c>
      <c r="C44" s="44">
        <f>IF(OR(1230.88088="",1395.20772=""),"-",1395.20772/1230.88088*100)</f>
        <v>113.35034467348295</v>
      </c>
      <c r="D44" s="44">
        <f>IF(1230.88088="","-",1230.88088/2706173.30142*100)</f>
        <v>0.0454841853385415</v>
      </c>
      <c r="E44" s="44">
        <f>IF(1395.20772="","-",1395.20772/2779195.26316*100)</f>
        <v>0.050201860174935005</v>
      </c>
      <c r="F44" s="44">
        <f>IF(OR(2424972.02699="",1285.5327="",1230.88088=""),"-",(1230.88088-1285.5327)/2424972.02699*100)</f>
        <v>-0.0022537092960959507</v>
      </c>
      <c r="G44" s="44">
        <f>IF(OR(2706173.30142="",1395.20772="",1230.88088=""),"-",(1395.20772-1230.88088)/2706173.30142*100)</f>
        <v>0.0060722955146210915</v>
      </c>
    </row>
    <row r="45" spans="1:7" s="13" customFormat="1" ht="14.25" customHeight="1">
      <c r="A45" s="31" t="s">
        <v>15</v>
      </c>
      <c r="B45" s="44">
        <f>IF(840.19358="","-",840.19358)</f>
        <v>840.19358</v>
      </c>
      <c r="C45" s="44" t="s">
        <v>130</v>
      </c>
      <c r="D45" s="44">
        <f>IF(554.38407="","-",554.38407/2706173.30142*100)</f>
        <v>0.020485904199450202</v>
      </c>
      <c r="E45" s="44">
        <f>IF(840.19358="","-",840.19358/2779195.26316*100)</f>
        <v>0.030231541883267432</v>
      </c>
      <c r="F45" s="44">
        <f>IF(OR(2424972.02699="",633.23341="",554.38407=""),"-",(554.38407-633.23341)/2424972.02699*100)</f>
        <v>-0.003251556682815511</v>
      </c>
      <c r="G45" s="44">
        <f>IF(OR(2706173.30142="",840.19358="",554.38407=""),"-",(840.19358-554.38407)/2706173.30142*100)</f>
        <v>0.010561389762068392</v>
      </c>
    </row>
    <row r="46" spans="1:7" s="11" customFormat="1" ht="14.25" customHeight="1">
      <c r="A46" s="31" t="s">
        <v>17</v>
      </c>
      <c r="B46" s="44">
        <f>IF(176.38698="","-",176.38698)</f>
        <v>176.38698</v>
      </c>
      <c r="C46" s="44">
        <f>IF(OR(354.82145="",176.38698=""),"-",176.38698/354.82145*100)</f>
        <v>49.71147601138544</v>
      </c>
      <c r="D46" s="44">
        <f>IF(354.82145="","-",354.82145/2706173.30142*100)</f>
        <v>0.013111556817658942</v>
      </c>
      <c r="E46" s="44">
        <f>IF(176.38698="","-",176.38698/2779195.26316*100)</f>
        <v>0.006346692596167011</v>
      </c>
      <c r="F46" s="44">
        <f>IF(OR(2424972.02699="",407.35631="",354.82145=""),"-",(354.82145-407.35631)/2424972.02699*100)</f>
        <v>-0.0021664109694992627</v>
      </c>
      <c r="G46" s="44">
        <f>IF(OR(2706173.30142="",176.38698="",354.82145=""),"-",(176.38698-354.82145)/2706173.30142*100)</f>
        <v>-0.006593608395529244</v>
      </c>
    </row>
    <row r="47" spans="1:7" s="11" customFormat="1" ht="14.25" customHeight="1">
      <c r="A47" s="42" t="s">
        <v>165</v>
      </c>
      <c r="B47" s="43">
        <f>IF(513666.57309="","-",513666.57309)</f>
        <v>513666.57309</v>
      </c>
      <c r="C47" s="43">
        <f>IF(428387.08479="","-",513666.57309/428387.08479*100)</f>
        <v>119.9071100245249</v>
      </c>
      <c r="D47" s="43">
        <f>IF(428387.08479="","-",428387.08479/2706173.30142*100)</f>
        <v>15.829994500544887</v>
      </c>
      <c r="E47" s="43">
        <f>IF(513666.57309="","-",513666.57309/2779195.26316*100)</f>
        <v>18.4825650755446</v>
      </c>
      <c r="F47" s="43">
        <f>IF(2424972.02699="","-",(428387.08479-365311.98499)/2424972.02699*100)</f>
        <v>2.6010650472653913</v>
      </c>
      <c r="G47" s="43">
        <f>IF(2706173.30142="","-",(513666.57309-428387.08479)/2706173.30142*100)</f>
        <v>3.15129442209971</v>
      </c>
    </row>
    <row r="48" spans="1:7" s="11" customFormat="1" ht="14.25" customHeight="1">
      <c r="A48" s="31" t="s">
        <v>56</v>
      </c>
      <c r="B48" s="44">
        <f>IF(175543.37425="","-",175543.37425)</f>
        <v>175543.37425</v>
      </c>
      <c r="C48" s="44" t="s">
        <v>106</v>
      </c>
      <c r="D48" s="44">
        <f>IF(107124.79787="","-",107124.79787/2706173.30142*100)</f>
        <v>3.958534282109309</v>
      </c>
      <c r="E48" s="44">
        <f>IF(175543.37425="","-",175543.37425/2779195.26316*100)</f>
        <v>6.316338278815419</v>
      </c>
      <c r="F48" s="44">
        <f>IF(OR(2424972.02699="",104063.31636="",107124.79787=""),"-",(107124.79787-104063.31636)/2424972.02699*100)</f>
        <v>0.12624811651126822</v>
      </c>
      <c r="G48" s="44">
        <f>IF(OR(2706173.30142="",175543.37425="",107124.79787=""),"-",(175543.37425-107124.79787)/2706173.30142*100)</f>
        <v>2.5282407576816674</v>
      </c>
    </row>
    <row r="49" spans="1:7" s="11" customFormat="1" ht="14.25" customHeight="1">
      <c r="A49" s="31" t="s">
        <v>156</v>
      </c>
      <c r="B49" s="44">
        <f>IF(85378.69695="","-",85378.69695)</f>
        <v>85378.69695</v>
      </c>
      <c r="C49" s="44">
        <f>IF(OR(60114.76714="",85378.69695=""),"-",85378.69695/60114.76714*100)</f>
        <v>142.02616264180708</v>
      </c>
      <c r="D49" s="44">
        <f>IF(60114.76714="","-",60114.76714/2706173.30142*100)</f>
        <v>2.2213938445278507</v>
      </c>
      <c r="E49" s="44">
        <f>IF(85378.69695="","-",85378.69695/2779195.26316*100)</f>
        <v>3.072065431376805</v>
      </c>
      <c r="F49" s="44">
        <f>IF(OR(2424972.02699="",44055.18099="",60114.76714=""),"-",(60114.76714-44055.18099)/2424972.02699*100)</f>
        <v>0.6622586145842675</v>
      </c>
      <c r="G49" s="44">
        <f>IF(OR(2706173.30142="",85378.69695="",60114.76714=""),"-",(85378.69695-60114.76714)/2706173.30142*100)</f>
        <v>0.9335665900163655</v>
      </c>
    </row>
    <row r="50" spans="1:7" s="11" customFormat="1" ht="14.25" customHeight="1">
      <c r="A50" s="31" t="s">
        <v>18</v>
      </c>
      <c r="B50" s="44">
        <f>IF(24335.80652="","-",24335.80652)</f>
        <v>24335.80652</v>
      </c>
      <c r="C50" s="44">
        <f>IF(OR(21768.70865="",24335.80652=""),"-",24335.80652/21768.70865*100)</f>
        <v>111.79260520811829</v>
      </c>
      <c r="D50" s="44">
        <f>IF(21768.70865="","-",21768.70865/2706173.30142*100)</f>
        <v>0.8044092608029718</v>
      </c>
      <c r="E50" s="44">
        <f>IF(24335.80652="","-",24335.80652/2779195.26316*100)</f>
        <v>0.8756421991137717</v>
      </c>
      <c r="F50" s="44">
        <f>IF(OR(2424972.02699="",18829.07644="",21768.70865=""),"-",(21768.70865-18829.07644)/2424972.02699*100)</f>
        <v>0.121223345147153</v>
      </c>
      <c r="G50" s="44">
        <f>IF(OR(2706173.30142="",24335.80652="",21768.70865=""),"-",(24335.80652-21768.70865)/2706173.30142*100)</f>
        <v>0.09486080838403714</v>
      </c>
    </row>
    <row r="51" spans="1:7" s="9" customFormat="1" ht="15.75">
      <c r="A51" s="31" t="s">
        <v>58</v>
      </c>
      <c r="B51" s="44">
        <f>IF(20969.42495="","-",20969.42495)</f>
        <v>20969.42495</v>
      </c>
      <c r="C51" s="44">
        <f>IF(OR(20811.87308="",20969.42495=""),"-",20969.42495/20811.87308*100)</f>
        <v>100.75702878541675</v>
      </c>
      <c r="D51" s="44">
        <f>IF(20811.87308="","-",20811.87308/2706173.30142*100)</f>
        <v>0.7690517480561747</v>
      </c>
      <c r="E51" s="44">
        <f>IF(20969.42495="","-",20969.42495/2779195.26316*100)</f>
        <v>0.7545142735367701</v>
      </c>
      <c r="F51" s="44">
        <f>IF(OR(2424972.02699="",18037.84859="",20811.87308=""),"-",(20811.87308-18037.84859)/2424972.02699*100)</f>
        <v>0.11439408203991784</v>
      </c>
      <c r="G51" s="44">
        <f>IF(OR(2706173.30142="",20969.42495="",20811.87308=""),"-",(20969.42495-20811.87308)/2706173.30142*100)</f>
        <v>0.005821943107535934</v>
      </c>
    </row>
    <row r="52" spans="1:7" s="9" customFormat="1" ht="15.75">
      <c r="A52" s="31" t="s">
        <v>59</v>
      </c>
      <c r="B52" s="44">
        <f>IF(17421.87454="","-",17421.87454)</f>
        <v>17421.87454</v>
      </c>
      <c r="C52" s="44">
        <f>IF(OR(18780.16118="",17421.87454=""),"-",17421.87454/18780.16118*100)</f>
        <v>92.76743885751891</v>
      </c>
      <c r="D52" s="44">
        <f>IF(18780.16118="","-",18780.16118/2706173.30142*100)</f>
        <v>0.6939748156611241</v>
      </c>
      <c r="E52" s="44">
        <f>IF(17421.87454="","-",17421.87454/2779195.26316*100)</f>
        <v>0.6268675962044848</v>
      </c>
      <c r="F52" s="44">
        <f>IF(OR(2424972.02699="",19003.80862="",18780.16118=""),"-",(18780.16118-19003.80862)/2424972.02699*100)</f>
        <v>-0.009222681231403866</v>
      </c>
      <c r="G52" s="44">
        <f>IF(OR(2706173.30142="",17421.87454="",18780.16118=""),"-",(17421.87454-18780.16118)/2706173.30142*100)</f>
        <v>-0.05019215285611124</v>
      </c>
    </row>
    <row r="53" spans="1:7" s="9" customFormat="1" ht="15.75">
      <c r="A53" s="31" t="s">
        <v>132</v>
      </c>
      <c r="B53" s="44">
        <f>IF(15907.46473="","-",15907.46473)</f>
        <v>15907.46473</v>
      </c>
      <c r="C53" s="44" t="s">
        <v>268</v>
      </c>
      <c r="D53" s="44">
        <f>IF(4263.42163="","-",4263.42163/2706173.30142*100)</f>
        <v>0.1575442942904976</v>
      </c>
      <c r="E53" s="44">
        <f>IF(15907.46473="","-",15907.46473/2779195.26316*100)</f>
        <v>0.5723766494878413</v>
      </c>
      <c r="F53" s="44">
        <f>IF(OR(2424972.02699="",5011.79659="",4263.42163=""),"-",(4263.42163-5011.79659)/2424972.02699*100)</f>
        <v>-0.030861179084565423</v>
      </c>
      <c r="G53" s="44">
        <f>IF(OR(2706173.30142="",15907.46473="",4263.42163=""),"-",(15907.46473-4263.42163)/2706173.30142*100)</f>
        <v>0.43027706665682</v>
      </c>
    </row>
    <row r="54" spans="1:7" s="12" customFormat="1" ht="15.75">
      <c r="A54" s="31" t="s">
        <v>60</v>
      </c>
      <c r="B54" s="44">
        <f>IF(14362.4507="","-",14362.4507)</f>
        <v>14362.4507</v>
      </c>
      <c r="C54" s="44">
        <f>IF(OR(13952.91019="",14362.4507=""),"-",14362.4507/13952.91019*100)</f>
        <v>102.93516194416212</v>
      </c>
      <c r="D54" s="44">
        <f>IF(13952.91019="","-",13952.91019/2706173.30142*100)</f>
        <v>0.5155955896349486</v>
      </c>
      <c r="E54" s="44">
        <f>IF(14362.4507="","-",14362.4507/2779195.26316*100)</f>
        <v>0.5167845127826538</v>
      </c>
      <c r="F54" s="44">
        <f>IF(OR(2424972.02699="",7986.94117="",13952.91019=""),"-",(13952.91019-7986.94117)/2424972.02699*100)</f>
        <v>0.24602217896118445</v>
      </c>
      <c r="G54" s="44">
        <f>IF(OR(2706173.30142="",14362.4507="",13952.91019=""),"-",(14362.4507-13952.91019)/2706173.30142*100)</f>
        <v>0.015133565532743313</v>
      </c>
    </row>
    <row r="55" spans="1:7" s="14" customFormat="1" ht="15.75">
      <c r="A55" s="31" t="s">
        <v>65</v>
      </c>
      <c r="B55" s="44">
        <f>IF(12473.92108="","-",12473.92108)</f>
        <v>12473.92108</v>
      </c>
      <c r="C55" s="44">
        <f>IF(OR(8755.66798="",12473.92108=""),"-",12473.92108/8755.66798*100)</f>
        <v>142.46681245215512</v>
      </c>
      <c r="D55" s="44">
        <f>IF(8755.66798="","-",8755.66798/2706173.30142*100)</f>
        <v>0.32354424513040875</v>
      </c>
      <c r="E55" s="44">
        <f>IF(12473.92108="","-",12473.92108/2779195.26316*100)</f>
        <v>0.44883212220997043</v>
      </c>
      <c r="F55" s="44">
        <f>IF(OR(2424972.02699="",4937.19075="",8755.66798=""),"-",(8755.66798-4937.19075)/2424972.02699*100)</f>
        <v>0.1574647949543439</v>
      </c>
      <c r="G55" s="44">
        <f>IF(OR(2706173.30142="",12473.92108="",8755.66798=""),"-",(12473.92108-8755.66798)/2706173.30142*100)</f>
        <v>0.13739892777927176</v>
      </c>
    </row>
    <row r="56" spans="1:7" s="9" customFormat="1" ht="15.75">
      <c r="A56" s="31" t="s">
        <v>61</v>
      </c>
      <c r="B56" s="44">
        <f>IF(11543.91882="","-",11543.91882)</f>
        <v>11543.91882</v>
      </c>
      <c r="C56" s="44">
        <f>IF(OR(9543.49682="",11543.91882=""),"-",11543.91882/9543.49682*100)</f>
        <v>120.9611009227538</v>
      </c>
      <c r="D56" s="44">
        <f>IF(9543.49682="","-",9543.49682/2706173.30142*100)</f>
        <v>0.35265652850067947</v>
      </c>
      <c r="E56" s="44">
        <f>IF(11543.91882="","-",11543.91882/2779195.26316*100)</f>
        <v>0.41536911684551214</v>
      </c>
      <c r="F56" s="44">
        <f>IF(OR(2424972.02699="",7824.81706="",9543.49682=""),"-",(9543.49682-7824.81706)/2424972.02699*100)</f>
        <v>0.07087420971751636</v>
      </c>
      <c r="G56" s="44">
        <f>IF(OR(2706173.30142="",11543.91882="",9543.49682=""),"-",(11543.91882-9543.49682)/2706173.30142*100)</f>
        <v>0.07392069084970747</v>
      </c>
    </row>
    <row r="57" spans="1:7" s="14" customFormat="1" ht="15.75">
      <c r="A57" s="31" t="s">
        <v>66</v>
      </c>
      <c r="B57" s="44">
        <f>IF(8620.21519="","-",8620.21519)</f>
        <v>8620.21519</v>
      </c>
      <c r="C57" s="44">
        <f>IF(OR(20847.21472="",8620.21519=""),"-",8620.21519/20847.21472*100)</f>
        <v>41.34948148123645</v>
      </c>
      <c r="D57" s="44">
        <f>IF(20847.21472="","-",20847.21472/2706173.30142*100)</f>
        <v>0.7703577117201224</v>
      </c>
      <c r="E57" s="44">
        <f>IF(8620.21519="","-",8620.21519/2779195.26316*100)</f>
        <v>0.3101694689922091</v>
      </c>
      <c r="F57" s="44">
        <f>IF(OR(2424972.02699="",10948.7462="",20847.21472=""),"-",(20847.21472-10948.7462)/2424972.02699*100)</f>
        <v>0.40818897743272065</v>
      </c>
      <c r="G57" s="44">
        <f>IF(OR(2706173.30142="",8620.21519="",20847.21472=""),"-",(8620.21519-20847.21472)/2706173.30142*100)</f>
        <v>-0.45181879237313344</v>
      </c>
    </row>
    <row r="58" spans="1:7" s="12" customFormat="1" ht="15.75">
      <c r="A58" s="31" t="s">
        <v>57</v>
      </c>
      <c r="B58" s="44">
        <f>IF(8587.73564="","-",8587.73564)</f>
        <v>8587.73564</v>
      </c>
      <c r="C58" s="44">
        <f>IF(OR(11143.6216="",8587.73564=""),"-",8587.73564/11143.6216*100)</f>
        <v>77.06413541536622</v>
      </c>
      <c r="D58" s="44">
        <f>IF(11143.6216="","-",11143.6216/2706173.30142*100)</f>
        <v>0.41178521693908704</v>
      </c>
      <c r="E58" s="44">
        <f>IF(8587.73564="","-",8587.73564/2779195.26316*100)</f>
        <v>0.3090008015570513</v>
      </c>
      <c r="F58" s="44">
        <f>IF(OR(2424972.02699="",13176.34272="",11143.6216=""),"-",(11143.6216-13176.34272)/2424972.02699*100)</f>
        <v>-0.08382451827797445</v>
      </c>
      <c r="G58" s="44">
        <f>IF(OR(2706173.30142="",8587.73564="",11143.6216=""),"-",(8587.73564-11143.6216)/2706173.30142*100)</f>
        <v>-0.09444649973668942</v>
      </c>
    </row>
    <row r="59" spans="1:7" s="9" customFormat="1" ht="15.75">
      <c r="A59" s="31" t="s">
        <v>68</v>
      </c>
      <c r="B59" s="44">
        <f>IF(6712.22343="","-",6712.22343)</f>
        <v>6712.22343</v>
      </c>
      <c r="C59" s="44">
        <f>IF(OR(4534.09385="",6712.22343=""),"-",6712.22343/4534.09385*100)</f>
        <v>148.03891697124885</v>
      </c>
      <c r="D59" s="44">
        <f>IF(4534.09385="","-",4534.09385/2706173.30142*100)</f>
        <v>0.16754632261063407</v>
      </c>
      <c r="E59" s="44">
        <f>IF(6712.22343="","-",6712.22343/2779195.26316*100)</f>
        <v>0.2415167987285668</v>
      </c>
      <c r="F59" s="44">
        <f>IF(OR(2424972.02699="",4837.67416="",4534.09385=""),"-",(4534.09385-4837.67416)/2424972.02699*100)</f>
        <v>-0.01251892007912433</v>
      </c>
      <c r="G59" s="44">
        <f>IF(OR(2706173.30142="",6712.22343="",4534.09385=""),"-",(6712.22343-4534.09385)/2706173.30142*100)</f>
        <v>0.08048743880730322</v>
      </c>
    </row>
    <row r="60" spans="1:7" s="9" customFormat="1" ht="15.75">
      <c r="A60" s="31" t="s">
        <v>62</v>
      </c>
      <c r="B60" s="44">
        <f>IF(6555.28925="","-",6555.28925)</f>
        <v>6555.28925</v>
      </c>
      <c r="C60" s="44">
        <f>IF(OR(4800.61488="",6555.28925=""),"-",6555.28925/4800.61488*100)</f>
        <v>136.55103385422993</v>
      </c>
      <c r="D60" s="44">
        <f>IF(4800.61488="","-",4800.61488/2706173.30142*100)</f>
        <v>0.17739495388122378</v>
      </c>
      <c r="E60" s="44">
        <f>IF(6555.28925="","-",6555.28925/2779195.26316*100)</f>
        <v>0.23587004975485262</v>
      </c>
      <c r="F60" s="44">
        <f>IF(OR(2424972.02699="",3820.05726="",4800.61488=""),"-",(4800.61488-3820.05726)/2424972.02699*100)</f>
        <v>0.04043583221110878</v>
      </c>
      <c r="G60" s="44">
        <f>IF(OR(2706173.30142="",6555.28925="",4800.61488=""),"-",(6555.28925-4800.61488)/2706173.30142*100)</f>
        <v>0.06483968964882168</v>
      </c>
    </row>
    <row r="61" spans="1:7" s="14" customFormat="1" ht="15.75">
      <c r="A61" s="31" t="s">
        <v>133</v>
      </c>
      <c r="B61" s="44">
        <f>IF(3534.06758="","-",3534.06758)</f>
        <v>3534.06758</v>
      </c>
      <c r="C61" s="44" t="s">
        <v>269</v>
      </c>
      <c r="D61" s="44">
        <f>IF(72.77239="","-",72.77239/2706173.30142*100)</f>
        <v>0.002689125266360969</v>
      </c>
      <c r="E61" s="44">
        <f>IF(3534.06758="","-",3534.06758/2779195.26316*100)</f>
        <v>0.12716154301377497</v>
      </c>
      <c r="F61" s="44">
        <f>IF(OR(2424972.02699="",1251.1606="",72.77239=""),"-",(72.77239-1251.1606)/2424972.02699*100)</f>
        <v>-0.04859388879065445</v>
      </c>
      <c r="G61" s="44">
        <f>IF(OR(2706173.30142="",3534.06758="",72.77239=""),"-",(3534.06758-72.77239)/2706173.30142*100)</f>
        <v>0.12790367816369216</v>
      </c>
    </row>
    <row r="62" spans="1:7" s="9" customFormat="1" ht="15.75">
      <c r="A62" s="31" t="s">
        <v>70</v>
      </c>
      <c r="B62" s="44">
        <f>IF(3157.32996="","-",3157.32996)</f>
        <v>3157.32996</v>
      </c>
      <c r="C62" s="44" t="s">
        <v>170</v>
      </c>
      <c r="D62" s="44">
        <f>IF(1671.30575="","-",1671.30575/2706173.30142*100)</f>
        <v>0.061759006680134725</v>
      </c>
      <c r="E62" s="44">
        <f>IF(3157.32996="","-",3157.32996/2779195.26316*100)</f>
        <v>0.11360590606397528</v>
      </c>
      <c r="F62" s="44">
        <f>IF(OR(2424972.02699="",1319.20847="",1671.30575=""),"-",(1671.30575-1319.20847)/2424972.02699*100)</f>
        <v>0.014519642951801024</v>
      </c>
      <c r="G62" s="44">
        <f>IF(OR(2706173.30142="",3157.32996="",1671.30575=""),"-",(3157.32996-1671.30575)/2706173.30142*100)</f>
        <v>0.05491238159877804</v>
      </c>
    </row>
    <row r="63" spans="1:7" s="12" customFormat="1" ht="15.75">
      <c r="A63" s="31" t="s">
        <v>37</v>
      </c>
      <c r="B63" s="44">
        <f>IF(3066.65897="","-",3066.65897)</f>
        <v>3066.65897</v>
      </c>
      <c r="C63" s="44">
        <f>IF(OR(6599.96393="",3066.65897=""),"-",3066.65897/6599.96393*100)</f>
        <v>46.46478378556835</v>
      </c>
      <c r="D63" s="44">
        <f>IF(6599.96393="","-",6599.96393/2706173.30142*100)</f>
        <v>0.2438854868066589</v>
      </c>
      <c r="E63" s="44">
        <f>IF(3066.65897="","-",3066.65897/2779195.26316*100)</f>
        <v>0.11034341525586612</v>
      </c>
      <c r="F63" s="44">
        <f>IF(OR(2424972.02699="",3856.41045="",6599.96393=""),"-",(6599.96393-3856.41045)/2424972.02699*100)</f>
        <v>0.11313753105042781</v>
      </c>
      <c r="G63" s="44">
        <f>IF(OR(2706173.30142="",3066.65897="",6599.96393=""),"-",(3066.65897-6599.96393)/2706173.30142*100)</f>
        <v>-0.130564622677564</v>
      </c>
    </row>
    <row r="64" spans="1:7" s="9" customFormat="1" ht="15.75">
      <c r="A64" s="31" t="s">
        <v>63</v>
      </c>
      <c r="B64" s="44">
        <f>IF(2417.41419="","-",2417.41419)</f>
        <v>2417.41419</v>
      </c>
      <c r="C64" s="44">
        <f>IF(OR(1824.60754="",2417.41419=""),"-",2417.41419/1824.60754*100)</f>
        <v>132.48954292932495</v>
      </c>
      <c r="D64" s="44">
        <f>IF(1824.60754="","-",1824.60754/2706173.30142*100)</f>
        <v>0.067423898500609</v>
      </c>
      <c r="E64" s="44">
        <f>IF(2417.41419="","-",2417.41419/2779195.26316*100)</f>
        <v>0.0869825241156806</v>
      </c>
      <c r="F64" s="44">
        <f>IF(OR(2424972.02699="",1229.80969="",1824.60754=""),"-",(1824.60754-1229.80969)/2424972.02699*100)</f>
        <v>0.024528029328993683</v>
      </c>
      <c r="G64" s="44">
        <f>IF(OR(2706173.30142="",2417.41419="",1824.60754=""),"-",(2417.41419-1824.60754)/2706173.30142*100)</f>
        <v>0.02190571644797984</v>
      </c>
    </row>
    <row r="65" spans="1:7" s="12" customFormat="1" ht="15.75">
      <c r="A65" s="31" t="s">
        <v>86</v>
      </c>
      <c r="B65" s="44">
        <f>IF(2087.03896="","-",2087.03896)</f>
        <v>2087.03896</v>
      </c>
      <c r="C65" s="44">
        <f>IF(OR(2196.9289="",2087.03896=""),"-",2087.03896/2196.9289*100)</f>
        <v>94.99802019082183</v>
      </c>
      <c r="D65" s="44">
        <f>IF(2196.9289="","-",2196.9289/2706173.30142*100)</f>
        <v>0.0811821215901884</v>
      </c>
      <c r="E65" s="44">
        <f>IF(2087.03896="","-",2087.03896/2779195.26316*100)</f>
        <v>0.075095081934869</v>
      </c>
      <c r="F65" s="44">
        <f>IF(OR(2424972.02699="",866.0086="",2196.9289=""),"-",(2196.9289-866.0086)/2424972.02699*100)</f>
        <v>0.05488394444087697</v>
      </c>
      <c r="G65" s="44">
        <f>IF(OR(2706173.30142="",2087.03896="",2196.9289=""),"-",(2087.03896-2196.9289)/2706173.30142*100)</f>
        <v>-0.004060713330603694</v>
      </c>
    </row>
    <row r="66" spans="1:7" s="9" customFormat="1" ht="15.75">
      <c r="A66" s="31" t="s">
        <v>247</v>
      </c>
      <c r="B66" s="44">
        <f>IF(1914.91517="","-",1914.91517)</f>
        <v>1914.91517</v>
      </c>
      <c r="C66" s="44">
        <f>IF(OR(1588.22189="",1914.91517=""),"-",1914.91517/1588.22189*100)</f>
        <v>120.56975048996459</v>
      </c>
      <c r="D66" s="44">
        <f>IF(1588.22189="","-",1588.22189/2706173.30142*100)</f>
        <v>0.0586888463191407</v>
      </c>
      <c r="E66" s="44">
        <f>IF(1914.91517="","-",1914.91517/2779195.26316*100)</f>
        <v>0.06890178590124335</v>
      </c>
      <c r="F66" s="44">
        <f>IF(OR(2424972.02699="",2041.05144="",1588.22189=""),"-",(1588.22189-2041.05144)/2424972.02699*100)</f>
        <v>-0.01867359891000785</v>
      </c>
      <c r="G66" s="44">
        <f>IF(OR(2706173.30142="",1914.91517="",1588.22189=""),"-",(1914.91517-1588.22189)/2706173.30142*100)</f>
        <v>0.012072149253286013</v>
      </c>
    </row>
    <row r="67" spans="1:7" s="12" customFormat="1" ht="15.75">
      <c r="A67" s="31" t="s">
        <v>76</v>
      </c>
      <c r="B67" s="44">
        <f>IF(1888.55541="","-",1888.55541)</f>
        <v>1888.55541</v>
      </c>
      <c r="C67" s="44">
        <f>IF(OR(1533.57003="",1888.55541=""),"-",1888.55541/1533.57003*100)</f>
        <v>123.1476471928706</v>
      </c>
      <c r="D67" s="44">
        <f>IF(1533.57003="","-",1533.57003/2706173.30142*100)</f>
        <v>0.056669320815311265</v>
      </c>
      <c r="E67" s="44">
        <f>IF(1888.55541="","-",1888.55541/2779195.26316*100)</f>
        <v>0.06795331853914702</v>
      </c>
      <c r="F67" s="44">
        <f>IF(OR(2424972.02699="",1050.68346="",1533.57003=""),"-",(1533.57003-1050.68346)/2424972.02699*100)</f>
        <v>0.019913077949991188</v>
      </c>
      <c r="G67" s="44">
        <f>IF(OR(2706173.30142="",1888.55541="",1533.57003=""),"-",(1888.55541-1533.57003)/2706173.30142*100)</f>
        <v>0.013117614448924234</v>
      </c>
    </row>
    <row r="68" spans="1:7" s="9" customFormat="1" ht="15.75">
      <c r="A68" s="31" t="s">
        <v>75</v>
      </c>
      <c r="B68" s="44">
        <f>IF(1869.02685="","-",1869.02685)</f>
        <v>1869.02685</v>
      </c>
      <c r="C68" s="44">
        <f>IF(OR(11714.49288="",1869.02685=""),"-",1869.02685/11714.49288*100)</f>
        <v>15.95482509696143</v>
      </c>
      <c r="D68" s="44">
        <f>IF(11714.49288="","-",11714.49288/2706173.30142*100)</f>
        <v>0.4328803655646554</v>
      </c>
      <c r="E68" s="44">
        <f>IF(1869.02685="","-",1869.02685/2779195.26316*100)</f>
        <v>0.06725064894774178</v>
      </c>
      <c r="F68" s="44">
        <f>IF(OR(2424972.02699="",2462.72739="",11714.49288=""),"-",(11714.49288-2462.72739)/2424972.02699*100)</f>
        <v>0.3815205036193249</v>
      </c>
      <c r="G68" s="44">
        <f>IF(OR(2706173.30142="",1869.02685="",11714.49288=""),"-",(1869.02685-11714.49288)/2706173.30142*100)</f>
        <v>-0.3638150603597274</v>
      </c>
    </row>
    <row r="69" spans="1:7" s="9" customFormat="1" ht="15.75">
      <c r="A69" s="31" t="s">
        <v>71</v>
      </c>
      <c r="B69" s="44">
        <f>IF(1749.78378="","-",1749.78378)</f>
        <v>1749.78378</v>
      </c>
      <c r="C69" s="44">
        <f>IF(OR(2301.01538="",1749.78378=""),"-",1749.78378/2301.01538*100)</f>
        <v>76.04398454737839</v>
      </c>
      <c r="D69" s="44">
        <f>IF(2301.01538="","-",2301.01538/2706173.30142*100)</f>
        <v>0.08502838228403911</v>
      </c>
      <c r="E69" s="44">
        <f>IF(1749.78378="","-",1749.78378/2779195.26316*100)</f>
        <v>0.06296008787847678</v>
      </c>
      <c r="F69" s="44">
        <f>IF(OR(2424972.02699="",283.66265="",2301.01538=""),"-",(2301.01538-283.66265)/2424972.02699*100)</f>
        <v>0.0831907629262034</v>
      </c>
      <c r="G69" s="44">
        <f>IF(OR(2706173.30142="",1749.78378="",2301.01538=""),"-",(1749.78378-2301.01538)/2706173.30142*100)</f>
        <v>-0.020369412399078586</v>
      </c>
    </row>
    <row r="70" spans="1:7" s="12" customFormat="1" ht="15.75">
      <c r="A70" s="31" t="s">
        <v>77</v>
      </c>
      <c r="B70" s="44">
        <f>IF(1650.09515="","-",1650.09515)</f>
        <v>1650.09515</v>
      </c>
      <c r="C70" s="44">
        <f>IF(OR(1504.88143="",1650.09515=""),"-",1650.09515/1504.88143*100)</f>
        <v>109.64951238716529</v>
      </c>
      <c r="D70" s="44">
        <f>IF(1504.88143="","-",1504.88143/2706173.30142*100)</f>
        <v>0.055609203934217706</v>
      </c>
      <c r="E70" s="44">
        <f>IF(1650.09515="","-",1650.09515/2779195.26316*100)</f>
        <v>0.0593731276054281</v>
      </c>
      <c r="F70" s="44">
        <f>IF(OR(2424972.02699="",930.07398="",1504.88143=""),"-",(1504.88143-930.07398)/2424972.02699*100)</f>
        <v>0.023703673428079927</v>
      </c>
      <c r="G70" s="44">
        <f>IF(OR(2706173.30142="",1650.09515="",1504.88143=""),"-",(1650.09515-1504.88143)/2706173.30142*100)</f>
        <v>0.005366017022036347</v>
      </c>
    </row>
    <row r="71" spans="1:7" s="14" customFormat="1" ht="15.75">
      <c r="A71" s="31" t="s">
        <v>64</v>
      </c>
      <c r="B71" s="44">
        <f>IF(1644.63353="","-",1644.63353)</f>
        <v>1644.63353</v>
      </c>
      <c r="C71" s="44">
        <f>IF(OR(3526.15639="",1644.63353=""),"-",1644.63353/3526.15639*100)</f>
        <v>46.640969602598936</v>
      </c>
      <c r="D71" s="44">
        <f>IF(3526.15639="","-",3526.15639/2706173.30142*100)</f>
        <v>0.13030046479838278</v>
      </c>
      <c r="E71" s="44">
        <f>IF(1644.63353="","-",1644.63353/2779195.26316*100)</f>
        <v>0.05917660956754867</v>
      </c>
      <c r="F71" s="44">
        <f>IF(OR(2424972.02699="",4567.61742="",3526.15639=""),"-",(3526.15639-4567.61742)/2424972.02699*100)</f>
        <v>-0.04294734200677418</v>
      </c>
      <c r="G71" s="44">
        <f>IF(OR(2706173.30142="",1644.63353="",3526.15639=""),"-",(1644.63353-3526.15639)/2706173.30142*100)</f>
        <v>-0.06952706461972394</v>
      </c>
    </row>
    <row r="72" spans="1:7" s="9" customFormat="1" ht="15.75">
      <c r="A72" s="31" t="s">
        <v>72</v>
      </c>
      <c r="B72" s="44">
        <f>IF(1547.41336="","-",1547.41336)</f>
        <v>1547.41336</v>
      </c>
      <c r="C72" s="44">
        <f>IF(OR(1429.48117="",1547.41336=""),"-",1547.41336/1429.48117*100)</f>
        <v>108.24999954354068</v>
      </c>
      <c r="D72" s="44">
        <f>IF(1429.48117="","-",1429.48117/2706173.30142*100)</f>
        <v>0.05282297217439525</v>
      </c>
      <c r="E72" s="44">
        <f>IF(1547.41336="","-",1547.41336/2779195.26316*100)</f>
        <v>0.055678468530511255</v>
      </c>
      <c r="F72" s="44">
        <f>IF(OR(2424972.02699="",2981.81627="",1429.48117=""),"-",(1429.48117-2981.81627)/2424972.02699*100)</f>
        <v>-0.06401455698137838</v>
      </c>
      <c r="G72" s="44">
        <f>IF(OR(2706173.30142="",1547.41336="",1429.48117=""),"-",(1547.41336-1429.48117)/2706173.30142*100)</f>
        <v>0.00435789496327223</v>
      </c>
    </row>
    <row r="73" spans="1:7" s="9" customFormat="1" ht="15.75">
      <c r="A73" s="31" t="s">
        <v>109</v>
      </c>
      <c r="B73" s="44">
        <f>IF(1542.98229="","-",1542.98229)</f>
        <v>1542.98229</v>
      </c>
      <c r="C73" s="44" t="s">
        <v>180</v>
      </c>
      <c r="D73" s="44">
        <f>IF(737.04172="","-",737.04172/2706173.30142*100)</f>
        <v>0.027235569858488184</v>
      </c>
      <c r="E73" s="44">
        <f>IF(1542.98229="","-",1542.98229/2779195.26316*100)</f>
        <v>0.05551903137045501</v>
      </c>
      <c r="F73" s="44">
        <f>IF(OR(2424972.02699="",482.15933="",737.04172=""),"-",(737.04172-482.15933)/2424972.02699*100)</f>
        <v>0.010510735264702132</v>
      </c>
      <c r="G73" s="44">
        <f>IF(OR(2706173.30142="",1542.98229="",737.04172=""),"-",(1542.98229-737.04172)/2706173.30142*100)</f>
        <v>0.02978155795037597</v>
      </c>
    </row>
    <row r="74" spans="1:7" s="9" customFormat="1" ht="15.75">
      <c r="A74" s="31" t="s">
        <v>160</v>
      </c>
      <c r="B74" s="44">
        <f>IF(1538.97181="","-",1538.97181)</f>
        <v>1538.97181</v>
      </c>
      <c r="C74" s="44">
        <f>IF(OR(2499.886="",1538.97181=""),"-",1538.97181/2499.886*100)</f>
        <v>61.56167961259034</v>
      </c>
      <c r="D74" s="44">
        <f>IF(2499.886="","-",2499.886/2706173.30142*100)</f>
        <v>0.09237715850231189</v>
      </c>
      <c r="E74" s="44">
        <f>IF(1538.97181="","-",1538.97181/2779195.26316*100)</f>
        <v>0.05537472772784445</v>
      </c>
      <c r="F74" s="44">
        <f>IF(OR(2424972.02699="",4550.26714="",2499.886=""),"-",(2499.886-4550.26714)/2424972.02699*100)</f>
        <v>-0.08455277492602825</v>
      </c>
      <c r="G74" s="44">
        <f>IF(OR(2706173.30142="",1538.97181="",2499.886=""),"-",(1538.97181-2499.886)/2706173.30142*100)</f>
        <v>-0.03550822814990389</v>
      </c>
    </row>
    <row r="75" spans="1:7" s="9" customFormat="1" ht="15.75">
      <c r="A75" s="31" t="s">
        <v>39</v>
      </c>
      <c r="B75" s="44">
        <f>IF(1495.39589="","-",1495.39589)</f>
        <v>1495.39589</v>
      </c>
      <c r="C75" s="44">
        <f>IF(OR(1607.57384="",1495.39589=""),"-",1495.39589/1607.57384*100)</f>
        <v>93.02190996091352</v>
      </c>
      <c r="D75" s="44">
        <f>IF(1607.57384="","-",1607.57384/2706173.30142*100)</f>
        <v>0.05940395018886868</v>
      </c>
      <c r="E75" s="44">
        <f>IF(1495.39589="","-",1495.39589/2779195.26316*100)</f>
        <v>0.053806794715809396</v>
      </c>
      <c r="F75" s="44">
        <f>IF(OR(2424972.02699="",226.87066="",1607.57384=""),"-",(1607.57384-226.87066)/2424972.02699*100)</f>
        <v>0.056936870389956616</v>
      </c>
      <c r="G75" s="44">
        <f>IF(OR(2706173.30142="",1495.39589="",1607.57384=""),"-",(1495.39589-1607.57384)/2706173.30142*100)</f>
        <v>-0.004145261130953339</v>
      </c>
    </row>
    <row r="76" spans="1:7" s="9" customFormat="1" ht="15.75">
      <c r="A76" s="31" t="s">
        <v>182</v>
      </c>
      <c r="B76" s="44">
        <f>IF(1287.3617="","-",1287.3617)</f>
        <v>1287.3617</v>
      </c>
      <c r="C76" s="44" t="str">
        <f>IF(OR(""="",1287.3617=""),"-",1287.3617/""*100)</f>
        <v>-</v>
      </c>
      <c r="D76" s="44" t="str">
        <f>IF(""="","-",""/2706173.30142*100)</f>
        <v>-</v>
      </c>
      <c r="E76" s="44">
        <f>IF(1287.3617="","-",1287.3617/2779195.26316*100)</f>
        <v>0.04632138364168929</v>
      </c>
      <c r="F76" s="44" t="str">
        <f>IF(OR(2424972.02699="",""="",""=""),"-",(""-"")/2424972.02699*100)</f>
        <v>-</v>
      </c>
      <c r="G76" s="44" t="str">
        <f>IF(OR(2706173.30142="",1287.3617="",""=""),"-",(1287.3617-"")/2706173.30142*100)</f>
        <v>-</v>
      </c>
    </row>
    <row r="77" spans="1:7" s="9" customFormat="1" ht="15.75">
      <c r="A77" s="31" t="s">
        <v>92</v>
      </c>
      <c r="B77" s="44">
        <f>IF(1203.84333="","-",1203.84333)</f>
        <v>1203.84333</v>
      </c>
      <c r="C77" s="44">
        <f>IF(OR(1136.89844="",1203.84333=""),"-",1203.84333/1136.89844*100)</f>
        <v>105.88837908863698</v>
      </c>
      <c r="D77" s="44">
        <f>IF(1136.89844="","-",1136.89844/2706173.30142*100)</f>
        <v>0.0420112946722015</v>
      </c>
      <c r="E77" s="44">
        <f>IF(1203.84333="","-",1203.84333/2779195.26316*100)</f>
        <v>0.043316255822601187</v>
      </c>
      <c r="F77" s="44">
        <f>IF(OR(2424972.02699="",17.77175="",1136.89844=""),"-",(1136.89844-17.77175)/2424972.02699*100)</f>
        <v>0.04615008658013748</v>
      </c>
      <c r="G77" s="44">
        <f>IF(OR(2706173.30142="",1203.84333="",1136.89844=""),"-",(1203.84333-1136.89844)/2706173.30142*100)</f>
        <v>0.002473784290343573</v>
      </c>
    </row>
    <row r="78" spans="1:7" s="9" customFormat="1" ht="15.75">
      <c r="A78" s="31" t="s">
        <v>135</v>
      </c>
      <c r="B78" s="44">
        <f>IF(1063.66979="","-",1063.66979)</f>
        <v>1063.66979</v>
      </c>
      <c r="C78" s="44" t="str">
        <f>IF(OR(""="",1063.66979=""),"-",1063.66979/""*100)</f>
        <v>-</v>
      </c>
      <c r="D78" s="44" t="str">
        <f>IF(""="","-",""/2706173.30142*100)</f>
        <v>-</v>
      </c>
      <c r="E78" s="44">
        <f>IF(1063.66979="","-",1063.66979/2779195.26316*100)</f>
        <v>0.038272582142738196</v>
      </c>
      <c r="F78" s="44" t="str">
        <f>IF(OR(2424972.02699="",""="",""=""),"-",(""-"")/2424972.02699*100)</f>
        <v>-</v>
      </c>
      <c r="G78" s="44" t="str">
        <f>IF(OR(2706173.30142="",1063.66979="",""=""),"-",(1063.66979-"")/2706173.30142*100)</f>
        <v>-</v>
      </c>
    </row>
    <row r="79" spans="1:7" s="9" customFormat="1" ht="15.75">
      <c r="A79" s="31" t="s">
        <v>157</v>
      </c>
      <c r="B79" s="44">
        <f>IF(1021.81361="","-",1021.81361)</f>
        <v>1021.81361</v>
      </c>
      <c r="C79" s="44" t="s">
        <v>256</v>
      </c>
      <c r="D79" s="44">
        <f>IF(69.77432="","-",69.77432/2706173.30142*100)</f>
        <v>0.0025783389394680523</v>
      </c>
      <c r="E79" s="44">
        <f>IF(1021.81361="","-",1021.81361/2779195.26316*100)</f>
        <v>0.03676652819414271</v>
      </c>
      <c r="F79" s="44">
        <f>IF(OR(2424972.02699="",1034.90358="",69.77432=""),"-",(69.77432-1034.90358)/2424972.02699*100)</f>
        <v>-0.03979960384112009</v>
      </c>
      <c r="G79" s="44">
        <f>IF(OR(2706173.30142="",1021.81361="",69.77432=""),"-",(1021.81361-69.77432)/2706173.30142*100)</f>
        <v>0.03518027797777919</v>
      </c>
    </row>
    <row r="80" spans="1:7" s="9" customFormat="1" ht="15.75">
      <c r="A80" s="31" t="s">
        <v>142</v>
      </c>
      <c r="B80" s="44">
        <f>IF(1007.61255="","-",1007.61255)</f>
        <v>1007.61255</v>
      </c>
      <c r="C80" s="44">
        <f>IF(OR(1740.84344="",1007.61255=""),"-",1007.61255/1740.84344*100)</f>
        <v>57.88071039863297</v>
      </c>
      <c r="D80" s="44">
        <f>IF(1740.84344="","-",1740.84344/2706173.30142*100)</f>
        <v>0.06432860153806609</v>
      </c>
      <c r="E80" s="44">
        <f>IF(1007.61255="","-",1007.61255/2779195.26316*100)</f>
        <v>0.03625555078322653</v>
      </c>
      <c r="F80" s="44" t="str">
        <f>IF(OR(2424972.02699="",""="",1740.84344=""),"-",(1740.84344-"")/2424972.02699*100)</f>
        <v>-</v>
      </c>
      <c r="G80" s="44">
        <f>IF(OR(2706173.30142="",1007.61255="",1740.84344=""),"-",(1007.61255-1740.84344)/2706173.30142*100)</f>
        <v>-0.0270947499783275</v>
      </c>
    </row>
    <row r="81" spans="1:7" ht="15.75">
      <c r="A81" s="31" t="s">
        <v>102</v>
      </c>
      <c r="B81" s="44">
        <f>IF(1004.40352="","-",1004.40352)</f>
        <v>1004.40352</v>
      </c>
      <c r="C81" s="44">
        <f>IF(OR(1016.46587="",1004.40352=""),"-",1004.40352/1016.46587*100)</f>
        <v>98.8133049661569</v>
      </c>
      <c r="D81" s="44">
        <f>IF(1016.46587="","-",1016.46587/2706173.30142*100)</f>
        <v>0.03756100429586803</v>
      </c>
      <c r="E81" s="44">
        <f>IF(1004.40352="","-",1004.40352/2779195.26316*100)</f>
        <v>0.03614008462499944</v>
      </c>
      <c r="F81" s="44">
        <f>IF(OR(2424972.02699="",589.0533="",1016.46587=""),"-",(1016.46587-589.0533)/2424972.02699*100)</f>
        <v>0.017625463932898492</v>
      </c>
      <c r="G81" s="44">
        <f>IF(OR(2706173.30142="",1004.40352="",1016.46587=""),"-",(1004.40352-1016.46587)/2706173.30142*100)</f>
        <v>-0.00044573457264065856</v>
      </c>
    </row>
    <row r="82" spans="1:7" ht="15.75">
      <c r="A82" s="31" t="s">
        <v>96</v>
      </c>
      <c r="B82" s="44">
        <f>IF(951.0528="","-",951.0528)</f>
        <v>951.0528</v>
      </c>
      <c r="C82" s="44">
        <f>IF(OR(636.46013="",951.0528=""),"-",951.0528/636.46013*100)</f>
        <v>149.42849601592482</v>
      </c>
      <c r="D82" s="44">
        <f>IF(636.46013="","-",636.46013/2706173.30142*100)</f>
        <v>0.023518823782129283</v>
      </c>
      <c r="E82" s="44">
        <f>IF(951.0528="","-",951.0528/2779195.26316*100)</f>
        <v>0.03422043829042203</v>
      </c>
      <c r="F82" s="44">
        <f>IF(OR(2424972.02699="",373.79712="",636.46013=""),"-",(636.46013-373.79712)/2424972.02699*100)</f>
        <v>0.01083158927511551</v>
      </c>
      <c r="G82" s="44">
        <f>IF(OR(2706173.30142="",951.0528="",636.46013=""),"-",(951.0528-636.46013)/2706173.30142*100)</f>
        <v>0.011625000876142152</v>
      </c>
    </row>
    <row r="83" spans="1:7" ht="15.75">
      <c r="A83" s="31" t="s">
        <v>38</v>
      </c>
      <c r="B83" s="44">
        <f>IF(887.71033="","-",887.71033)</f>
        <v>887.71033</v>
      </c>
      <c r="C83" s="44">
        <f>IF(OR(711.66834="",887.71033=""),"-",887.71033/711.66834*100)</f>
        <v>124.73652122841379</v>
      </c>
      <c r="D83" s="44">
        <f>IF(711.66834="","-",711.66834/2706173.30142*100)</f>
        <v>0.026297958805024384</v>
      </c>
      <c r="E83" s="44">
        <f>IF(887.71033="","-",887.71033/2779195.26316*100)</f>
        <v>0.03194127241677347</v>
      </c>
      <c r="F83" s="44">
        <f>IF(OR(2424972.02699="",758.66905="",711.66834=""),"-",(711.66834-758.66905)/2424972.02699*100)</f>
        <v>-0.0019381959658454173</v>
      </c>
      <c r="G83" s="44">
        <f>IF(OR(2706173.30142="",887.71033="",711.66834=""),"-",(887.71033-711.66834)/2706173.30142*100)</f>
        <v>0.006505200162444371</v>
      </c>
    </row>
    <row r="84" spans="1:7" ht="15.75">
      <c r="A84" s="31" t="s">
        <v>136</v>
      </c>
      <c r="B84" s="44">
        <f>IF(787.3835="","-",787.3835)</f>
        <v>787.3835</v>
      </c>
      <c r="C84" s="44" t="s">
        <v>270</v>
      </c>
      <c r="D84" s="44">
        <f>IF(63.71608="","-",63.71608/2706173.30142*100)</f>
        <v>0.0023544715324242725</v>
      </c>
      <c r="E84" s="44">
        <f>IF(787.3835="","-",787.3835/2779195.26316*100)</f>
        <v>0.02833134866186874</v>
      </c>
      <c r="F84" s="44">
        <f>IF(OR(2424972.02699="",310.38589="",63.71608=""),"-",(63.71608-310.38589)/2424972.02699*100)</f>
        <v>-0.010172068265306106</v>
      </c>
      <c r="G84" s="44">
        <f>IF(OR(2706173.30142="",787.3835="",63.71608=""),"-",(787.3835-63.71608)/2706173.30142*100)</f>
        <v>0.026741355389925423</v>
      </c>
    </row>
    <row r="85" spans="1:7" ht="15.75">
      <c r="A85" s="31" t="s">
        <v>84</v>
      </c>
      <c r="B85" s="44">
        <f>IF(752.84311="","-",752.84311)</f>
        <v>752.84311</v>
      </c>
      <c r="C85" s="44" t="s">
        <v>271</v>
      </c>
      <c r="D85" s="44">
        <f>IF(176.07306="","-",176.07306/2706173.30142*100)</f>
        <v>0.006506348278124312</v>
      </c>
      <c r="E85" s="44">
        <f>IF(752.84311="","-",752.84311/2779195.26316*100)</f>
        <v>0.027088528826290616</v>
      </c>
      <c r="F85" s="44">
        <f>IF(OR(2424972.02699="",0.7427="",176.07306=""),"-",(176.07306-0.7427)/2424972.02699*100)</f>
        <v>0.00723020134041006</v>
      </c>
      <c r="G85" s="44">
        <f>IF(OR(2706173.30142="",752.84311="",176.07306=""),"-",(752.84311-176.07306)/2706173.30142*100)</f>
        <v>0.02131312320971291</v>
      </c>
    </row>
    <row r="86" spans="1:7" ht="15.75">
      <c r="A86" s="31" t="s">
        <v>74</v>
      </c>
      <c r="B86" s="44">
        <f>IF(711.50068="","-",711.50068)</f>
        <v>711.50068</v>
      </c>
      <c r="C86" s="44" t="s">
        <v>105</v>
      </c>
      <c r="D86" s="44">
        <f>IF(410.34197="","-",410.34197/2706173.30142*100)</f>
        <v>0.015163181522213779</v>
      </c>
      <c r="E86" s="44">
        <f>IF(711.50068="","-",711.50068/2779195.26316*100)</f>
        <v>0.02560096044460761</v>
      </c>
      <c r="F86" s="44">
        <f>IF(OR(2424972.02699="",795.00121="",410.34197=""),"-",(410.34197-795.00121)/2424972.02699*100)</f>
        <v>-0.015862419678195582</v>
      </c>
      <c r="G86" s="44">
        <f>IF(OR(2706173.30142="",711.50068="",410.34197=""),"-",(711.50068-410.34197)/2706173.30142*100)</f>
        <v>0.011128581818539637</v>
      </c>
    </row>
    <row r="87" spans="1:7" ht="15.75">
      <c r="A87" s="31" t="s">
        <v>143</v>
      </c>
      <c r="B87" s="44">
        <f>IF(685.3698="","-",685.3698)</f>
        <v>685.3698</v>
      </c>
      <c r="C87" s="44" t="s">
        <v>272</v>
      </c>
      <c r="D87" s="44">
        <f>IF(103.82492="","-",103.82492/2706173.30142*100)</f>
        <v>0.00383659538528151</v>
      </c>
      <c r="E87" s="44">
        <f>IF(685.3698="","-",685.3698/2779195.26316*100)</f>
        <v>0.024660728559990453</v>
      </c>
      <c r="F87" s="44" t="str">
        <f>IF(OR(2424972.02699="",""="",103.82492=""),"-",(103.82492-"")/2424972.02699*100)</f>
        <v>-</v>
      </c>
      <c r="G87" s="44">
        <f>IF(OR(2706173.30142="",685.3698="",103.82492=""),"-",(685.3698-103.82492)/2706173.30142*100)</f>
        <v>0.021489565346566986</v>
      </c>
    </row>
    <row r="88" spans="1:7" ht="15.75">
      <c r="A88" s="31" t="s">
        <v>101</v>
      </c>
      <c r="B88" s="44">
        <f>IF(627.52627="","-",627.52627)</f>
        <v>627.52627</v>
      </c>
      <c r="C88" s="44">
        <f>IF(OR(581.76587="",627.52627=""),"-",627.52627/581.76587*100)</f>
        <v>107.86577596929156</v>
      </c>
      <c r="D88" s="44">
        <f>IF(581.76587="","-",581.76587/2706173.30142*100)</f>
        <v>0.021497731490246107</v>
      </c>
      <c r="E88" s="44">
        <f>IF(627.52627="","-",627.52627/2779195.26316*100)</f>
        <v>0.022579423558979808</v>
      </c>
      <c r="F88" s="44">
        <f>IF(OR(2424972.02699="",782.2788="",581.76587=""),"-",(581.76587-782.2788)/2424972.02699*100)</f>
        <v>-0.0082686698142612</v>
      </c>
      <c r="G88" s="44">
        <f>IF(OR(2706173.30142="",627.52627="",581.76587=""),"-",(627.52627-581.76587)/2706173.30142*100)</f>
        <v>0.0016909633975026035</v>
      </c>
    </row>
    <row r="89" spans="1:7" ht="15.75">
      <c r="A89" s="31" t="s">
        <v>88</v>
      </c>
      <c r="B89" s="44">
        <f>IF(600.57503="","-",600.57503)</f>
        <v>600.57503</v>
      </c>
      <c r="C89" s="44">
        <f>IF(OR(570.51401="",600.57503=""),"-",600.57503/570.51401*100)</f>
        <v>105.26911162093985</v>
      </c>
      <c r="D89" s="44">
        <f>IF(570.51401="","-",570.51401/2706173.30142*100)</f>
        <v>0.021081946588588262</v>
      </c>
      <c r="E89" s="44">
        <f>IF(600.57503="","-",600.57503/2779195.26316*100)</f>
        <v>0.021609673777190246</v>
      </c>
      <c r="F89" s="44">
        <f>IF(OR(2424972.02699="",59.2493="",570.51401=""),"-",(570.51401-59.2493)/2424972.02699*100)</f>
        <v>0.021083324026405698</v>
      </c>
      <c r="G89" s="44">
        <f>IF(OR(2706173.30142="",600.57503="",570.51401=""),"-",(600.57503-570.51401)/2706173.30142*100)</f>
        <v>0.0011108312976196382</v>
      </c>
    </row>
    <row r="90" spans="1:7" ht="15.75">
      <c r="A90" s="31" t="s">
        <v>107</v>
      </c>
      <c r="B90" s="44">
        <f>IF(502.36997="","-",502.36997)</f>
        <v>502.36997</v>
      </c>
      <c r="C90" s="44">
        <f>IF(OR(989.95466="",502.36997=""),"-",502.36997/989.95466*100)</f>
        <v>50.74676551348322</v>
      </c>
      <c r="D90" s="44">
        <f>IF(989.95466="","-",989.95466/2706173.30142*100)</f>
        <v>0.03658134752421602</v>
      </c>
      <c r="E90" s="44">
        <f>IF(502.36997="","-",502.36997/2779195.26316*100)</f>
        <v>0.018076094783955388</v>
      </c>
      <c r="F90" s="44">
        <f>IF(OR(2424972.02699="",993.71318="",989.95466=""),"-",(989.95466-993.71318)/2424972.02699*100)</f>
        <v>-0.00015499230334072118</v>
      </c>
      <c r="G90" s="44">
        <f>IF(OR(2706173.30142="",502.36997="",989.95466=""),"-",(502.36997-989.95466)/2706173.30142*100)</f>
        <v>-0.018017496874429717</v>
      </c>
    </row>
    <row r="91" spans="1:7" ht="15.75">
      <c r="A91" s="31" t="s">
        <v>137</v>
      </c>
      <c r="B91" s="44">
        <f>IF(459.89037="","-",459.89037)</f>
        <v>459.89037</v>
      </c>
      <c r="C91" s="44" t="s">
        <v>260</v>
      </c>
      <c r="D91" s="44">
        <f>IF(126.82018="","-",126.82018/2706173.30142*100)</f>
        <v>0.004686328844255988</v>
      </c>
      <c r="E91" s="44">
        <f>IF(459.89037="","-",459.89037/2779195.26316*100)</f>
        <v>0.016547609162124707</v>
      </c>
      <c r="F91" s="44">
        <f>IF(OR(2424972.02699="",403.42283="",126.82018=""),"-",(126.82018-403.42283)/2424972.02699*100)</f>
        <v>-0.011406426421476433</v>
      </c>
      <c r="G91" s="44">
        <f>IF(OR(2706173.30142="",459.89037="",126.82018=""),"-",(459.89037-126.82018)/2706173.30142*100)</f>
        <v>0.012307792328940257</v>
      </c>
    </row>
    <row r="92" spans="1:7" ht="15.75">
      <c r="A92" s="31" t="s">
        <v>83</v>
      </c>
      <c r="B92" s="44">
        <f>IF(441.93182="","-",441.93182)</f>
        <v>441.93182</v>
      </c>
      <c r="C92" s="44">
        <f>IF(OR(1831.40841="",441.93182=""),"-",441.93182/1831.40841*100)</f>
        <v>24.130708234543928</v>
      </c>
      <c r="D92" s="44">
        <f>IF(1831.40841="","-",1831.40841/2706173.30142*100)</f>
        <v>0.06767520797869864</v>
      </c>
      <c r="E92" s="44">
        <f>IF(441.93182="","-",441.93182/2779195.26316*100)</f>
        <v>0.015901431103387632</v>
      </c>
      <c r="F92" s="44">
        <f>IF(OR(2424972.02699="",758.2889="",1831.40841=""),"-",(1831.40841-758.2889)/2424972.02699*100)</f>
        <v>0.044252861396179115</v>
      </c>
      <c r="G92" s="44">
        <f>IF(OR(2706173.30142="",441.93182="",1831.40841=""),"-",(441.93182-1831.40841)/2706173.30142*100)</f>
        <v>-0.05134470099423808</v>
      </c>
    </row>
    <row r="93" spans="1:7" ht="15.75">
      <c r="A93" s="31" t="s">
        <v>144</v>
      </c>
      <c r="B93" s="44">
        <f>IF(441.7962="","-",441.7962)</f>
        <v>441.7962</v>
      </c>
      <c r="C93" s="44">
        <f>IF(OR(497.59067="",441.7962=""),"-",441.7962/497.59067*100)</f>
        <v>88.78707472549677</v>
      </c>
      <c r="D93" s="44">
        <f>IF(497.59067="","-",497.59067/2706173.30142*100)</f>
        <v>0.018387243335040708</v>
      </c>
      <c r="E93" s="44">
        <f>IF(441.7962="","-",441.7962/2779195.26316*100)</f>
        <v>0.015896551273539124</v>
      </c>
      <c r="F93" s="44">
        <f>IF(OR(2424972.02699="",242.01661="",497.59067=""),"-",(497.59067-242.01661)/2424972.02699*100)</f>
        <v>0.010539258067946939</v>
      </c>
      <c r="G93" s="44">
        <f>IF(OR(2706173.30142="",441.7962="",497.59067=""),"-",(441.7962-497.59067)/2706173.30142*100)</f>
        <v>-0.002061747855199191</v>
      </c>
    </row>
    <row r="94" spans="1:7" ht="15.75">
      <c r="A94" s="31" t="s">
        <v>148</v>
      </c>
      <c r="B94" s="44">
        <f>IF(436.8705="","-",436.8705)</f>
        <v>436.8705</v>
      </c>
      <c r="C94" s="44">
        <f>IF(OR(774.78693="",436.8705=""),"-",436.8705/774.78693*100)</f>
        <v>56.38588921472901</v>
      </c>
      <c r="D94" s="44">
        <f>IF(774.78693="","-",774.78693/2706173.30142*100)</f>
        <v>0.028630351559282955</v>
      </c>
      <c r="E94" s="44">
        <f>IF(436.8705="","-",436.8705/2779195.26316*100)</f>
        <v>0.01571931651550347</v>
      </c>
      <c r="F94" s="44">
        <f>IF(OR(2424972.02699="",558.22111="",774.78693=""),"-",(774.78693-558.22111)/2424972.02699*100)</f>
        <v>0.00893065229576329</v>
      </c>
      <c r="G94" s="44">
        <f>IF(OR(2706173.30142="",436.8705="",774.78693=""),"-",(436.8705-774.78693)/2706173.30142*100)</f>
        <v>-0.012486873247278228</v>
      </c>
    </row>
    <row r="95" spans="1:7" ht="15.75">
      <c r="A95" s="31" t="s">
        <v>158</v>
      </c>
      <c r="B95" s="44">
        <f>IF(427.85064="","-",427.85064)</f>
        <v>427.85064</v>
      </c>
      <c r="C95" s="44">
        <f>IF(OR(964.16862="",427.85064=""),"-",427.85064/964.16862*100)</f>
        <v>44.3750845158184</v>
      </c>
      <c r="D95" s="44">
        <f>IF(964.16862="","-",964.16862/2706173.30142*100)</f>
        <v>0.03562848763211416</v>
      </c>
      <c r="E95" s="44">
        <f>IF(427.85064="","-",427.85064/2779195.26316*100)</f>
        <v>0.015394767171325895</v>
      </c>
      <c r="F95" s="44">
        <f>IF(OR(2424972.02699="",40.27163="",964.16862=""),"-",(964.16862-40.27163)/2424972.02699*100)</f>
        <v>0.038099284433676064</v>
      </c>
      <c r="G95" s="44">
        <f>IF(OR(2706173.30142="",427.85064="",964.16862=""),"-",(427.85064-964.16862)/2706173.30142*100)</f>
        <v>-0.019818316133655593</v>
      </c>
    </row>
    <row r="96" spans="1:7" ht="15.75">
      <c r="A96" s="31" t="s">
        <v>94</v>
      </c>
      <c r="B96" s="44">
        <f>IF(427.16446="","-",427.16446)</f>
        <v>427.16446</v>
      </c>
      <c r="C96" s="44">
        <f>IF(OR(364.6437="",427.16446=""),"-",427.16446/364.6437*100)</f>
        <v>117.1457123762182</v>
      </c>
      <c r="D96" s="44">
        <f>IF(364.6437="","-",364.6437/2706173.30142*100)</f>
        <v>0.013474513986545575</v>
      </c>
      <c r="E96" s="44">
        <f>IF(427.16446="","-",427.16446/2779195.26316*100)</f>
        <v>0.015370077290442184</v>
      </c>
      <c r="F96" s="44">
        <f>IF(OR(2424972.02699="",375.41272="",364.6437=""),"-",(364.6437-375.41272)/2424972.02699*100)</f>
        <v>-0.00044408842164530107</v>
      </c>
      <c r="G96" s="44">
        <f>IF(OR(2706173.30142="",427.16446="",364.6437=""),"-",(427.16446-364.6437)/2706173.30142*100)</f>
        <v>0.002310301412226398</v>
      </c>
    </row>
    <row r="97" spans="1:7" ht="15.75">
      <c r="A97" s="31" t="s">
        <v>79</v>
      </c>
      <c r="B97" s="44">
        <f>IF(406.0211="","-",406.0211)</f>
        <v>406.0211</v>
      </c>
      <c r="C97" s="44" t="s">
        <v>273</v>
      </c>
      <c r="D97" s="44">
        <f>IF(30.86="","-",30.86/2706173.30142*100)</f>
        <v>0.0011403556447699395</v>
      </c>
      <c r="E97" s="44">
        <f>IF(406.0211="","-",406.0211/2779195.26316*100)</f>
        <v>0.014609304548768767</v>
      </c>
      <c r="F97" s="44">
        <f>IF(OR(2424972.02699="",2.55="",30.86=""),"-",(30.86-2.55)/2424972.02699*100)</f>
        <v>0.0011674361470940275</v>
      </c>
      <c r="G97" s="44">
        <f>IF(OR(2706173.30142="",406.0211="",30.86=""),"-",(406.0211-30.86)/2706173.30142*100)</f>
        <v>0.01386315871947828</v>
      </c>
    </row>
    <row r="98" spans="1:7" ht="15.75">
      <c r="A98" s="31" t="s">
        <v>103</v>
      </c>
      <c r="B98" s="44">
        <f>IF(378.33183="","-",378.33183)</f>
        <v>378.33183</v>
      </c>
      <c r="C98" s="44" t="s">
        <v>184</v>
      </c>
      <c r="D98" s="44">
        <f>IF(141.43929="","-",141.43929/2706173.30142*100)</f>
        <v>0.005226542214638771</v>
      </c>
      <c r="E98" s="44">
        <f>IF(378.33183="","-",378.33183/2779195.26316*100)</f>
        <v>0.013612999238125832</v>
      </c>
      <c r="F98" s="44">
        <f>IF(OR(2424972.02699="",244.88711="",141.43929=""),"-",(141.43929-244.88711)/2424972.02699*100)</f>
        <v>-0.0042659386932559695</v>
      </c>
      <c r="G98" s="44">
        <f>IF(OR(2706173.30142="",378.33183="",141.43929=""),"-",(378.33183-141.43929)/2706173.30142*100)</f>
        <v>0.008753783058745584</v>
      </c>
    </row>
    <row r="99" spans="1:7" ht="15.75">
      <c r="A99" s="31" t="s">
        <v>36</v>
      </c>
      <c r="B99" s="44">
        <f>IF(374.6978="","-",374.6978)</f>
        <v>374.6978</v>
      </c>
      <c r="C99" s="44">
        <f>IF(OR(705.08306="",374.6978=""),"-",374.6978/705.08306*100)</f>
        <v>53.142363113928724</v>
      </c>
      <c r="D99" s="44">
        <f>IF(705.08306="","-",705.08306/2706173.30142*100)</f>
        <v>0.026054615926852303</v>
      </c>
      <c r="E99" s="44">
        <f>IF(374.6978="","-",374.6978/2779195.26316*100)</f>
        <v>0.01348224088342613</v>
      </c>
      <c r="F99" s="44">
        <f>IF(OR(2424972.02699="",340.21188="",705.08306=""),"-",(705.08306-340.21188)/2424972.02699*100)</f>
        <v>0.015046407791057982</v>
      </c>
      <c r="G99" s="44">
        <f>IF(OR(2706173.30142="",374.6978="",705.08306=""),"-",(374.6978-705.08306)/2706173.30142*100)</f>
        <v>-0.012208577323064945</v>
      </c>
    </row>
    <row r="100" spans="1:7" ht="15.75">
      <c r="A100" s="31" t="s">
        <v>134</v>
      </c>
      <c r="B100" s="44">
        <f>IF(323.94286="","-",323.94286)</f>
        <v>323.94286</v>
      </c>
      <c r="C100" s="44">
        <f>IF(OR(555.49575="",323.94286=""),"-",323.94286/555.49575*100)</f>
        <v>58.315992516594406</v>
      </c>
      <c r="D100" s="44">
        <f>IF(555.49575="","-",555.49575/2706173.30142*100)</f>
        <v>0.0205269836084968</v>
      </c>
      <c r="E100" s="44">
        <f>IF(323.94286="","-",323.94286/2779195.26316*100)</f>
        <v>0.011655994967106793</v>
      </c>
      <c r="F100" s="44">
        <f>IF(OR(2424972.02699="",40.7972="",555.49575=""),"-",(555.49575-40.7972)/2424972.02699*100)</f>
        <v>0.021224927309321184</v>
      </c>
      <c r="G100" s="44">
        <f>IF(OR(2706173.30142="",323.94286="",555.49575=""),"-",(323.94286-555.49575)/2706173.30142*100)</f>
        <v>-0.008556469383483246</v>
      </c>
    </row>
    <row r="101" spans="1:7" ht="15.75">
      <c r="A101" s="31" t="s">
        <v>111</v>
      </c>
      <c r="B101" s="44">
        <f>IF(256.45194="","-",256.45194)</f>
        <v>256.45194</v>
      </c>
      <c r="C101" s="44">
        <f>IF(OR(410.61178="",256.45194=""),"-",256.45194/410.61178*100)</f>
        <v>62.45606007699048</v>
      </c>
      <c r="D101" s="44">
        <f>IF(410.61178="","-",410.61178/2706173.30142*100)</f>
        <v>0.0151731516893076</v>
      </c>
      <c r="E101" s="44">
        <f>IF(256.45194="","-",256.45194/2779195.26316*100)</f>
        <v>0.009227561064148081</v>
      </c>
      <c r="F101" s="44" t="str">
        <f>IF(OR(2424972.02699="",""="",410.61178=""),"-",(410.61178-"")/2424972.02699*100)</f>
        <v>-</v>
      </c>
      <c r="G101" s="44">
        <f>IF(OR(2706173.30142="",256.45194="",410.61178=""),"-",(256.45194-410.61178)/2706173.30142*100)</f>
        <v>-0.00569659895466075</v>
      </c>
    </row>
    <row r="102" spans="1:7" ht="15.75">
      <c r="A102" s="31" t="s">
        <v>69</v>
      </c>
      <c r="B102" s="44">
        <f>IF(241.40866="","-",241.40866)</f>
        <v>241.40866</v>
      </c>
      <c r="C102" s="44">
        <f>IF(OR(332.14792="",241.40866=""),"-",241.40866/332.14792*100)</f>
        <v>72.68106932597982</v>
      </c>
      <c r="D102" s="44">
        <f>IF(332.14792="","-",332.14792/2706173.30142*100)</f>
        <v>0.01227371210209314</v>
      </c>
      <c r="E102" s="44">
        <f>IF(241.40866="","-",241.40866/2779195.26316*100)</f>
        <v>0.008686279197436223</v>
      </c>
      <c r="F102" s="44">
        <f>IF(OR(2424972.02699="",1034.22504="",332.14792=""),"-",(332.14792-1034.22504)/2424972.02699*100)</f>
        <v>-0.028951967782962607</v>
      </c>
      <c r="G102" s="44">
        <f>IF(OR(2706173.30142="",241.40866="",332.14792=""),"-",(241.40866-332.14792)/2706173.30142*100)</f>
        <v>-0.0033530469002996492</v>
      </c>
    </row>
    <row r="103" spans="1:7" ht="15.75">
      <c r="A103" s="31" t="s">
        <v>87</v>
      </c>
      <c r="B103" s="44">
        <f>IF(217.5923="","-",217.5923)</f>
        <v>217.5923</v>
      </c>
      <c r="C103" s="44">
        <f>IF(OR(282.3723="",217.5923=""),"-",217.5923/282.3723*100)</f>
        <v>77.05865624921424</v>
      </c>
      <c r="D103" s="44">
        <f>IF(282.3723="","-",282.3723/2706173.30142*100)</f>
        <v>0.010434376093054788</v>
      </c>
      <c r="E103" s="44">
        <f>IF(217.5923="","-",217.5923/2779195.26316*100)</f>
        <v>0.007829327535359759</v>
      </c>
      <c r="F103" s="44">
        <f>IF(OR(2424972.02699="",305.46957="",282.3723=""),"-",(282.3723-305.46957)/2424972.02699*100)</f>
        <v>-0.0009524757293249892</v>
      </c>
      <c r="G103" s="44">
        <f>IF(OR(2706173.30142="",217.5923="",282.3723=""),"-",(217.5923-282.3723)/2706173.30142*100)</f>
        <v>-0.0023937860877575076</v>
      </c>
    </row>
    <row r="104" spans="1:7" ht="15.75">
      <c r="A104" s="31" t="s">
        <v>168</v>
      </c>
      <c r="B104" s="44">
        <f>IF(197.6455="","-",197.6455)</f>
        <v>197.6455</v>
      </c>
      <c r="C104" s="44">
        <f>IF(OR(149.798="",197.6455=""),"-",197.6455/149.798*100)</f>
        <v>131.94134768154447</v>
      </c>
      <c r="D104" s="44">
        <f>IF(149.798="","-",149.798/2706173.30142*100)</f>
        <v>0.005535417850785723</v>
      </c>
      <c r="E104" s="44">
        <f>IF(197.6455="","-",197.6455/2779195.26316*100)</f>
        <v>0.007111608983359922</v>
      </c>
      <c r="F104" s="44" t="str">
        <f>IF(OR(2424972.02699="",""="",149.798=""),"-",(149.798-"")/2424972.02699*100)</f>
        <v>-</v>
      </c>
      <c r="G104" s="44">
        <f>IF(OR(2706173.30142="",197.6455="",149.798=""),"-",(197.6455-149.798)/2706173.30142*100)</f>
        <v>0.0017680870613457447</v>
      </c>
    </row>
    <row r="105" spans="1:7" ht="15.75">
      <c r="A105" s="31" t="s">
        <v>183</v>
      </c>
      <c r="B105" s="44">
        <f>IF(184.19083="","-",184.19083)</f>
        <v>184.19083</v>
      </c>
      <c r="C105" s="44">
        <f>IF(OR(333.18916="",184.19083=""),"-",184.19083/333.18916*100)</f>
        <v>55.2811592069802</v>
      </c>
      <c r="D105" s="44">
        <f>IF(333.18916="","-",333.18916/2706173.30142*100)</f>
        <v>0.01231218857362782</v>
      </c>
      <c r="E105" s="44">
        <f>IF(184.19083="","-",184.19083/2779195.26316*100)</f>
        <v>0.0066274879077971435</v>
      </c>
      <c r="F105" s="44">
        <f>IF(OR(2424972.02699="",7.414="",333.18916=""),"-",(333.18916-7.414)/2424972.02699*100)</f>
        <v>0.013434182183304146</v>
      </c>
      <c r="G105" s="44">
        <f>IF(OR(2706173.30142="",184.19083="",333.18916=""),"-",(184.19083-333.18916)/2706173.30142*100)</f>
        <v>-0.005505868006377001</v>
      </c>
    </row>
    <row r="106" spans="1:7" ht="15.75">
      <c r="A106" s="31" t="s">
        <v>78</v>
      </c>
      <c r="B106" s="44">
        <f>IF(174.67336="","-",174.67336)</f>
        <v>174.67336</v>
      </c>
      <c r="C106" s="44">
        <f>IF(OR(424.15862="",174.67336=""),"-",174.67336/424.15862*100)</f>
        <v>41.181141149506765</v>
      </c>
      <c r="D106" s="44">
        <f>IF(424.15862="","-",424.15862/2706173.30142*100)</f>
        <v>0.015673741950577698</v>
      </c>
      <c r="E106" s="44">
        <f>IF(174.67336="","-",174.67336/2779195.26316*100)</f>
        <v>0.006285033740356658</v>
      </c>
      <c r="F106" s="44">
        <f>IF(OR(2424972.02699="",222.86683="",424.15862=""),"-",(424.15862-222.86683)/2424972.02699*100)</f>
        <v>0.008300788122898625</v>
      </c>
      <c r="G106" s="44">
        <f>IF(OR(2706173.30142="",174.67336="",424.15862=""),"-",(174.67336-424.15862)/2706173.30142*100)</f>
        <v>-0.009219116154500842</v>
      </c>
    </row>
    <row r="107" spans="1:7" ht="15.75">
      <c r="A107" s="31" t="s">
        <v>266</v>
      </c>
      <c r="B107" s="44">
        <f>IF(165.7069="","-",165.7069)</f>
        <v>165.7069</v>
      </c>
      <c r="C107" s="44" t="s">
        <v>163</v>
      </c>
      <c r="D107" s="44">
        <f>IF(74.18292="","-",74.18292/2706173.30142*100)</f>
        <v>0.0027412479445079988</v>
      </c>
      <c r="E107" s="44">
        <f>IF(165.7069="","-",165.7069/2779195.26316*100)</f>
        <v>0.005962405815688817</v>
      </c>
      <c r="F107" s="44" t="str">
        <f>IF(OR(2424972.02699="",""="",74.18292=""),"-",(74.18292-"")/2424972.02699*100)</f>
        <v>-</v>
      </c>
      <c r="G107" s="44">
        <f>IF(OR(2706173.30142="",165.7069="",74.18292=""),"-",(165.7069-74.18292)/2706173.30142*100)</f>
        <v>0.003382044304109237</v>
      </c>
    </row>
    <row r="108" spans="1:7" ht="15.75">
      <c r="A108" s="31" t="s">
        <v>162</v>
      </c>
      <c r="B108" s="44">
        <f>IF(129.95407="","-",129.95407)</f>
        <v>129.95407</v>
      </c>
      <c r="C108" s="44" t="s">
        <v>274</v>
      </c>
      <c r="D108" s="44">
        <f>IF(2.68831="","-",2.68831/2706173.30142*100)</f>
        <v>9.933990548903035E-05</v>
      </c>
      <c r="E108" s="44">
        <f>IF(129.95407="","-",129.95407/2779195.26316*100)</f>
        <v>0.004675960402013627</v>
      </c>
      <c r="F108" s="44">
        <f>IF(OR(2424972.02699="",0.17028="",2.68831=""),"-",(2.68831-0.17028)/2424972.02699*100)</f>
        <v>0.00010383748645239047</v>
      </c>
      <c r="G108" s="44">
        <f>IF(OR(2706173.30142="",129.95407="",2.68831=""),"-",(129.95407-2.68831)/2706173.30142*100)</f>
        <v>0.004702794160788606</v>
      </c>
    </row>
    <row r="109" spans="1:7" ht="15.75">
      <c r="A109" s="31" t="s">
        <v>90</v>
      </c>
      <c r="B109" s="44">
        <f>IF(124.28553="","-",124.28553)</f>
        <v>124.28553</v>
      </c>
      <c r="C109" s="44" t="str">
        <f>IF(OR(""="",124.28553=""),"-",124.28553/""*100)</f>
        <v>-</v>
      </c>
      <c r="D109" s="44" t="str">
        <f>IF(""="","-",""/2706173.30142*100)</f>
        <v>-</v>
      </c>
      <c r="E109" s="44">
        <f>IF(124.28553="","-",124.28553/2779195.26316*100)</f>
        <v>0.004471997043442168</v>
      </c>
      <c r="F109" s="44" t="str">
        <f>IF(OR(2424972.02699="",2.55="",""=""),"-",(""-2.55)/2424972.02699*100)</f>
        <v>-</v>
      </c>
      <c r="G109" s="44" t="str">
        <f>IF(OR(2706173.30142="",124.28553="",""=""),"-",(124.28553-"")/2706173.30142*100)</f>
        <v>-</v>
      </c>
    </row>
    <row r="110" spans="1:7" ht="15.75">
      <c r="A110" s="31" t="s">
        <v>173</v>
      </c>
      <c r="B110" s="44">
        <f>IF(117.36746="","-",117.36746)</f>
        <v>117.36746</v>
      </c>
      <c r="C110" s="44">
        <f>IF(OR(168.24637="",117.36746=""),"-",117.36746/168.24637*100)</f>
        <v>69.75928217648915</v>
      </c>
      <c r="D110" s="44">
        <f>IF(168.24637="","-",168.24637/2706173.30142*100)</f>
        <v>0.006217132136796884</v>
      </c>
      <c r="E110" s="44">
        <f>IF(117.36746="","-",117.36746/2779195.26316*100)</f>
        <v>0.004223073547792064</v>
      </c>
      <c r="F110" s="44">
        <f>IF(OR(2424972.02699="",25.98037="",168.24637=""),"-",(168.24637-25.98037)/2424972.02699*100)</f>
        <v>0.005866706849257469</v>
      </c>
      <c r="G110" s="44">
        <f>IF(OR(2706173.30142="",117.36746="",168.24637=""),"-",(117.36746-168.24637)/2706173.30142*100)</f>
        <v>-0.0018801053862035565</v>
      </c>
    </row>
    <row r="111" spans="1:7" ht="15.75">
      <c r="A111" s="31" t="s">
        <v>91</v>
      </c>
      <c r="B111" s="44">
        <f>IF(109.51939="","-",109.51939)</f>
        <v>109.51939</v>
      </c>
      <c r="C111" s="44">
        <f>IF(OR(153.04917="",109.51939=""),"-",109.51939/153.04917*100)</f>
        <v>71.55830377910576</v>
      </c>
      <c r="D111" s="44">
        <f>IF(153.04917="","-",153.04917/2706173.30142*100)</f>
        <v>0.0056555568676880785</v>
      </c>
      <c r="E111" s="44">
        <f>IF(109.51939="","-",109.51939/2779195.26316*100)</f>
        <v>0.003940687128096004</v>
      </c>
      <c r="F111" s="44">
        <f>IF(OR(2424972.02699="",103.57465="",153.04917=""),"-",(153.04917-103.57465)/2424972.02699*100)</f>
        <v>0.0020402099261083153</v>
      </c>
      <c r="G111" s="44">
        <f>IF(OR(2706173.30142="",109.51939="",153.04917=""),"-",(109.51939-153.04917)/2706173.30142*100)</f>
        <v>-0.0016085363039077647</v>
      </c>
    </row>
    <row r="112" spans="1:7" ht="15.75">
      <c r="A112" s="31" t="s">
        <v>98</v>
      </c>
      <c r="B112" s="44">
        <f>IF(102.43682="","-",102.43682)</f>
        <v>102.43682</v>
      </c>
      <c r="C112" s="44">
        <f>IF(OR(115.99082="",102.43682=""),"-",102.43682/115.99082*100)</f>
        <v>88.31459248240508</v>
      </c>
      <c r="D112" s="44">
        <f>IF(115.99082="","-",115.99082/2706173.30142*100)</f>
        <v>0.0042861563943128326</v>
      </c>
      <c r="E112" s="44">
        <f>IF(102.43682="","-",102.43682/2779195.26316*100)</f>
        <v>0.003685844652870029</v>
      </c>
      <c r="F112" s="44">
        <f>IF(OR(2424972.02699="",60.96444="",115.99082=""),"-",(115.99082-60.96444)/2424972.02699*100)</f>
        <v>0.002269155247464919</v>
      </c>
      <c r="G112" s="44">
        <f>IF(OR(2706173.30142="",102.43682="",115.99082=""),"-",(102.43682-115.99082)/2706173.30142*100)</f>
        <v>-0.0005008548415169074</v>
      </c>
    </row>
    <row r="113" spans="1:7" ht="15.75">
      <c r="A113" s="31" t="s">
        <v>172</v>
      </c>
      <c r="B113" s="44">
        <f>IF(97.79062="","-",97.79062)</f>
        <v>97.79062</v>
      </c>
      <c r="C113" s="44" t="s">
        <v>104</v>
      </c>
      <c r="D113" s="44">
        <f>IF(55.6754="","-",55.6754/2706173.30142*100)</f>
        <v>0.002057347915256782</v>
      </c>
      <c r="E113" s="44">
        <f>IF(97.79062="","-",97.79062/2779195.26316*100)</f>
        <v>0.0035186667628675406</v>
      </c>
      <c r="F113" s="44">
        <f>IF(OR(2424972.02699="",55.15="",55.6754=""),"-",(55.6754-55.15)/2424972.02699*100)</f>
        <v>2.1666229307071976E-05</v>
      </c>
      <c r="G113" s="44">
        <f>IF(OR(2706173.30142="",97.79062="",55.6754=""),"-",(97.79062-55.6754)/2706173.30142*100)</f>
        <v>0.0015562647069905333</v>
      </c>
    </row>
    <row r="114" spans="1:7" ht="15.75">
      <c r="A114" s="31" t="s">
        <v>159</v>
      </c>
      <c r="B114" s="44">
        <f>IF(89.75482="","-",89.75482)</f>
        <v>89.75482</v>
      </c>
      <c r="C114" s="44">
        <f>IF(OR(74.06953="",89.75482=""),"-",89.75482/74.06953*100)</f>
        <v>121.17644056874668</v>
      </c>
      <c r="D114" s="44">
        <f>IF(74.06953="","-",74.06953/2706173.30142*100)</f>
        <v>0.0027370578950407123</v>
      </c>
      <c r="E114" s="44">
        <f>IF(89.75482="","-",89.75482/2779195.26316*100)</f>
        <v>0.003229525510127237</v>
      </c>
      <c r="F114" s="44">
        <f>IF(OR(2424972.02699="",45.3129="",74.06953=""),"-",(74.06953-45.3129)/2424972.02699*100)</f>
        <v>0.0011858540915086022</v>
      </c>
      <c r="G114" s="44">
        <f>IF(OR(2706173.30142="",89.75482="",74.06953=""),"-",(89.75482-74.06953)/2706173.30142*100)</f>
        <v>0.0005796114384754854</v>
      </c>
    </row>
    <row r="115" spans="1:7" ht="15.75">
      <c r="A115" s="31" t="s">
        <v>249</v>
      </c>
      <c r="B115" s="44">
        <f>IF(85.37911="","-",85.37911)</f>
        <v>85.37911</v>
      </c>
      <c r="C115" s="44">
        <f>IF(OR(80.10248="",85.37911=""),"-",85.37911/80.10248*100)</f>
        <v>106.58734910579548</v>
      </c>
      <c r="D115" s="44">
        <f>IF(80.10248="","-",80.10248/2706173.30142*100)</f>
        <v>0.002959990772134517</v>
      </c>
      <c r="E115" s="44">
        <f>IF(85.37911="","-",85.37911/2779195.26316*100)</f>
        <v>0.0030720802935926945</v>
      </c>
      <c r="F115" s="44">
        <f>IF(OR(2424972.02699="",23.37671="",80.10248=""),"-",(80.10248-23.37671)/2424972.02699*100)</f>
        <v>0.0023392339939859405</v>
      </c>
      <c r="G115" s="44">
        <f>IF(OR(2706173.30142="",85.37911="",80.10248=""),"-",(85.37911-80.10248)/2706173.30142*100)</f>
        <v>0.0001949849256598316</v>
      </c>
    </row>
    <row r="116" spans="1:7" ht="15.75">
      <c r="A116" s="45" t="s">
        <v>95</v>
      </c>
      <c r="B116" s="46">
        <f>IF(81.87974="","-",81.87974)</f>
        <v>81.87974</v>
      </c>
      <c r="C116" s="46" t="s">
        <v>171</v>
      </c>
      <c r="D116" s="46">
        <f>IF(23.65="","-",23.65/2706173.30142*100)</f>
        <v>0.0008739277705382071</v>
      </c>
      <c r="E116" s="46">
        <f>IF(81.87974="","-",81.87974/2779195.26316*100)</f>
        <v>0.0029461672263682943</v>
      </c>
      <c r="F116" s="46">
        <f>IF(OR(2424972.02699="",0.162="",23.65=""),"-",(23.65-0.162)/2424972.02699*100)</f>
        <v>0.0009685884925095203</v>
      </c>
      <c r="G116" s="46">
        <f>IF(OR(2706173.30142="",81.87974="",23.65=""),"-",(81.87974-23.65)/2706173.30142*100)</f>
        <v>0.0021517372878316894</v>
      </c>
    </row>
    <row r="117" ht="15.75">
      <c r="A117" s="27" t="s">
        <v>20</v>
      </c>
    </row>
  </sheetData>
  <sheetProtection/>
  <mergeCells count="5">
    <mergeCell ref="A1:G1"/>
    <mergeCell ref="A3:A4"/>
    <mergeCell ref="B3:C3"/>
    <mergeCell ref="D3:E3"/>
    <mergeCell ref="F3:G3"/>
  </mergeCells>
  <printOptions/>
  <pageMargins left="0.5905511811023623" right="0.3937007874015748" top="0.3937007874015748" bottom="0.3937007874015748" header="0.11811023622047245" footer="0.1181102362204724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G116"/>
  <sheetViews>
    <sheetView zoomScalePageLayoutView="0" workbookViewId="0" topLeftCell="A1">
      <selection activeCell="A116" sqref="A116"/>
    </sheetView>
  </sheetViews>
  <sheetFormatPr defaultColWidth="9.00390625" defaultRowHeight="15.75"/>
  <cols>
    <col min="1" max="1" width="28.625" style="0" customWidth="1"/>
    <col min="2" max="2" width="11.75390625" style="0" customWidth="1"/>
    <col min="3" max="3" width="10.625" style="0" customWidth="1"/>
    <col min="4" max="4" width="9.375" style="0" customWidth="1"/>
    <col min="5" max="5" width="9.25390625" style="0" customWidth="1"/>
    <col min="6" max="6" width="10.00390625" style="0" customWidth="1"/>
    <col min="7" max="7" width="9.75390625" style="0" customWidth="1"/>
  </cols>
  <sheetData>
    <row r="1" spans="1:7" ht="15.75">
      <c r="A1" s="80" t="s">
        <v>121</v>
      </c>
      <c r="B1" s="80"/>
      <c r="C1" s="80"/>
      <c r="D1" s="80"/>
      <c r="E1" s="80"/>
      <c r="F1" s="80"/>
      <c r="G1" s="80"/>
    </row>
    <row r="2" ht="15.75">
      <c r="A2" s="2"/>
    </row>
    <row r="3" spans="1:7" ht="55.5" customHeight="1">
      <c r="A3" s="74"/>
      <c r="B3" s="76">
        <v>2019</v>
      </c>
      <c r="C3" s="77"/>
      <c r="D3" s="76" t="s">
        <v>108</v>
      </c>
      <c r="E3" s="77"/>
      <c r="F3" s="78" t="s">
        <v>128</v>
      </c>
      <c r="G3" s="79"/>
    </row>
    <row r="4" spans="1:7" ht="30" customHeight="1">
      <c r="A4" s="75"/>
      <c r="B4" s="34" t="s">
        <v>99</v>
      </c>
      <c r="C4" s="35" t="s">
        <v>263</v>
      </c>
      <c r="D4" s="36">
        <v>2018</v>
      </c>
      <c r="E4" s="36">
        <v>2019</v>
      </c>
      <c r="F4" s="36" t="s">
        <v>110</v>
      </c>
      <c r="G4" s="33" t="s">
        <v>129</v>
      </c>
    </row>
    <row r="5" spans="1:7" s="3" customFormat="1" ht="15">
      <c r="A5" s="48" t="s">
        <v>138</v>
      </c>
      <c r="B5" s="40">
        <f>IF(5841782.33754="","-",5841782.33754)</f>
        <v>5841782.33754</v>
      </c>
      <c r="C5" s="40">
        <f>IF(5760057.05112="","-",5841782.33754/5760057.05112*100)</f>
        <v>101.41882772505019</v>
      </c>
      <c r="D5" s="40">
        <v>100</v>
      </c>
      <c r="E5" s="40">
        <v>100</v>
      </c>
      <c r="F5" s="40">
        <f>IF(4831335.29052="","-",(5760057.05112-4831335.29052)/4831335.29052*100)</f>
        <v>19.222879488871918</v>
      </c>
      <c r="G5" s="40">
        <f>IF(5760057.05112="","-",(5841782.33754-5760057.05112)/5760057.05112*100)</f>
        <v>1.4188277250502044</v>
      </c>
    </row>
    <row r="6" spans="1:7" s="3" customFormat="1" ht="15">
      <c r="A6" s="41" t="s">
        <v>145</v>
      </c>
      <c r="B6" s="24"/>
      <c r="C6" s="24"/>
      <c r="D6" s="24"/>
      <c r="E6" s="24"/>
      <c r="F6" s="24"/>
      <c r="G6" s="24"/>
    </row>
    <row r="7" spans="1:7" s="3" customFormat="1" ht="15">
      <c r="A7" s="42" t="s">
        <v>250</v>
      </c>
      <c r="B7" s="43">
        <f>IF(2889992.61973="","-",2889992.61973)</f>
        <v>2889992.61973</v>
      </c>
      <c r="C7" s="43">
        <f>IF(2850800.33024="","-",2889992.61973/2850800.33024*100)</f>
        <v>101.37478198926335</v>
      </c>
      <c r="D7" s="43">
        <f>IF(2850800.33024="","-",2850800.33024/5760057.05112*100)</f>
        <v>49.49257107940768</v>
      </c>
      <c r="E7" s="43">
        <f>IF(2889992.61973="","-",2889992.61973/5841782.33754*100)</f>
        <v>49.47107668080267</v>
      </c>
      <c r="F7" s="43">
        <f>IF(4831335.29052="","-",(2850800.33024-2389159.54058)/4831335.29052*100)</f>
        <v>9.55513873288462</v>
      </c>
      <c r="G7" s="43">
        <f>IF(5760057.05112="","-",(2889992.61973-2850800.33024)/5760057.05112*100)</f>
        <v>0.6804149532230628</v>
      </c>
    </row>
    <row r="8" spans="1:7" s="3" customFormat="1" ht="15">
      <c r="A8" s="31" t="s">
        <v>1</v>
      </c>
      <c r="B8" s="44">
        <f>IF(841178.45825="","-",841178.45825)</f>
        <v>841178.45825</v>
      </c>
      <c r="C8" s="44">
        <f>IF(OR(838184.56726="",841178.45825=""),"-",841178.45825/838184.56726*100)</f>
        <v>100.35718755831869</v>
      </c>
      <c r="D8" s="44">
        <f>IF(838184.56726="","-",838184.56726/5760057.05112*100)</f>
        <v>14.551671273759718</v>
      </c>
      <c r="E8" s="44">
        <f>IF(841178.45825="","-",841178.45825/5841782.33754*100)</f>
        <v>14.39934611812709</v>
      </c>
      <c r="F8" s="44">
        <f>IF(OR(4831335.29052="",694523.21008="",838184.56726=""),"-",(838184.56726-694523.21008)/4831335.29052*100)</f>
        <v>2.973533165083595</v>
      </c>
      <c r="G8" s="44">
        <f>IF(OR(5760057.05112="",841178.45825="",838184.56726=""),"-",(841178.45825-838184.56726)/5760057.05112*100)</f>
        <v>0.05197675931730304</v>
      </c>
    </row>
    <row r="9" spans="1:7" s="3" customFormat="1" ht="15">
      <c r="A9" s="31" t="s">
        <v>3</v>
      </c>
      <c r="B9" s="44">
        <f>IF(484247.08975="","-",484247.08975)</f>
        <v>484247.08975</v>
      </c>
      <c r="C9" s="44">
        <f>IF(OR(483123.67837="",484247.08975=""),"-",484247.08975/483123.67837*100)</f>
        <v>100.23253080531889</v>
      </c>
      <c r="D9" s="44">
        <f>IF(483123.67837="","-",483123.67837/5760057.05112*100)</f>
        <v>8.38748078503945</v>
      </c>
      <c r="E9" s="44">
        <f>IF(484247.08975="","-",484247.08975/5841782.33754*100)</f>
        <v>8.289372348541123</v>
      </c>
      <c r="F9" s="44">
        <f>IF(OR(4831335.29052="",390600.11077="",483123.67837=""),"-",(483123.67837-390600.11077)/4831335.29052*100)</f>
        <v>1.9150723772276539</v>
      </c>
      <c r="G9" s="44">
        <f>IF(OR(5760057.05112="",484247.08975="",483123.67837=""),"-",(484247.08975-483123.67837)/5760057.05112*100)</f>
        <v>0.01950347661541939</v>
      </c>
    </row>
    <row r="10" spans="1:7" ht="12.75" customHeight="1">
      <c r="A10" s="31" t="s">
        <v>2</v>
      </c>
      <c r="B10" s="44">
        <f>IF(406433.66852="","-",406433.66852)</f>
        <v>406433.66852</v>
      </c>
      <c r="C10" s="44">
        <f>IF(OR(389487.58469="",406433.66852=""),"-",406433.66852/389487.58469*100)</f>
        <v>104.35086623967429</v>
      </c>
      <c r="D10" s="44">
        <f>IF(389487.58469="","-",389487.58469/5760057.05112*100)</f>
        <v>6.761870259848678</v>
      </c>
      <c r="E10" s="44">
        <f>IF(406433.66852="","-",406433.66852/5841782.33754*100)</f>
        <v>6.957357276189634</v>
      </c>
      <c r="F10" s="44">
        <f>IF(OR(4831335.29052="",331266.4648="",389487.58469=""),"-",(389487.58469-331266.4648)/4831335.29052*100)</f>
        <v>1.205073057219624</v>
      </c>
      <c r="G10" s="44">
        <f>IF(OR(5760057.05112="",406433.66852="",389487.58469=""),"-",(406433.66852-389487.58469)/5760057.05112*100)</f>
        <v>0.29419993030633224</v>
      </c>
    </row>
    <row r="11" spans="1:7" ht="15.75">
      <c r="A11" s="31" t="s">
        <v>4</v>
      </c>
      <c r="B11" s="44">
        <f>IF(201624.70556="","-",201624.70556)</f>
        <v>201624.70556</v>
      </c>
      <c r="C11" s="44">
        <f>IF(OR(202725.14401="",201624.70556=""),"-",201624.70556/202725.14401*100)</f>
        <v>99.45717712749746</v>
      </c>
      <c r="D11" s="44">
        <f>IF(202725.14401="","-",202725.14401/5760057.05112*100)</f>
        <v>3.51949889056362</v>
      </c>
      <c r="E11" s="44">
        <f>IF(201624.70556="","-",201624.70556/5841782.33754*100)</f>
        <v>3.451424478182545</v>
      </c>
      <c r="F11" s="44">
        <f>IF(OR(4831335.29052="",165713.7717="",202725.14401=""),"-",(202725.14401-165713.7717)/4831335.29052*100)</f>
        <v>0.7660692145010788</v>
      </c>
      <c r="G11" s="44">
        <f>IF(OR(5760057.05112="",201624.70556="",202725.14401=""),"-",(201624.70556-202725.14401)/5760057.05112*100)</f>
        <v>-0.01910464497545237</v>
      </c>
    </row>
    <row r="12" spans="1:7" s="9" customFormat="1" ht="15.75">
      <c r="A12" s="31" t="s">
        <v>151</v>
      </c>
      <c r="B12" s="44">
        <f>IF(147009.41632="","-",147009.41632)</f>
        <v>147009.41632</v>
      </c>
      <c r="C12" s="44">
        <f>IF(OR(132375.45209="",147009.41632=""),"-",147009.41632/132375.45209*100)</f>
        <v>111.0548927304517</v>
      </c>
      <c r="D12" s="44">
        <f>IF(132375.45209="","-",132375.45209/5760057.05112*100)</f>
        <v>2.2981621694920644</v>
      </c>
      <c r="E12" s="44">
        <f>IF(147009.41632="","-",147009.41632/5841782.33754*100)</f>
        <v>2.5165164983176402</v>
      </c>
      <c r="F12" s="44">
        <f>IF(OR(4831335.29052="",112676.72672="",132375.45209=""),"-",(132375.45209-112676.72672)/4831335.29052*100)</f>
        <v>0.40772838533174566</v>
      </c>
      <c r="G12" s="44">
        <f>IF(OR(5760057.05112="",147009.41632="",132375.45209=""),"-",(147009.41632-132375.45209)/5760057.05112*100)</f>
        <v>0.2540593626091693</v>
      </c>
    </row>
    <row r="13" spans="1:7" s="9" customFormat="1" ht="15.75">
      <c r="A13" s="31" t="s">
        <v>6</v>
      </c>
      <c r="B13" s="44">
        <f>IF(112931.32057="","-",112931.32057)</f>
        <v>112931.32057</v>
      </c>
      <c r="C13" s="44">
        <f>IF(OR(86955.14385="",112931.32057=""),"-",112931.32057/86955.14385*100)</f>
        <v>129.87307658855653</v>
      </c>
      <c r="D13" s="44">
        <f>IF(86955.14385="","-",86955.14385/5760057.05112*100)</f>
        <v>1.509622961687371</v>
      </c>
      <c r="E13" s="44">
        <f>IF(112931.32057="","-",112931.32057/5841782.33754*100)</f>
        <v>1.9331654971855023</v>
      </c>
      <c r="F13" s="44">
        <f>IF(OR(4831335.29052="",68215.10561="",86955.14385=""),"-",(86955.14385-68215.10561)/4831335.29052*100)</f>
        <v>0.38788527628731373</v>
      </c>
      <c r="G13" s="44">
        <f>IF(OR(5760057.05112="",112931.32057="",86955.14385=""),"-",(112931.32057-86955.14385)/5760057.05112*100)</f>
        <v>0.4509708235433038</v>
      </c>
    </row>
    <row r="14" spans="1:7" s="9" customFormat="1" ht="15.75">
      <c r="A14" s="31" t="s">
        <v>42</v>
      </c>
      <c r="B14" s="44">
        <f>IF(108721.36541="","-",108721.36541)</f>
        <v>108721.36541</v>
      </c>
      <c r="C14" s="44">
        <f>IF(OR(110729.93634="",108721.36541=""),"-",108721.36541/110729.93634*100)</f>
        <v>98.18606332091385</v>
      </c>
      <c r="D14" s="44">
        <f>IF(110729.93634="","-",110729.93634/5760057.05112*100)</f>
        <v>1.9223756875545075</v>
      </c>
      <c r="E14" s="44">
        <f>IF(108721.36541="","-",108721.36541/5841782.33754*100)</f>
        <v>1.8610992181503128</v>
      </c>
      <c r="F14" s="44">
        <f>IF(OR(4831335.29052="",99638.15919="",110729.93634=""),"-",(110729.93634-99638.15919)/4831335.29052*100)</f>
        <v>0.22957995011781054</v>
      </c>
      <c r="G14" s="44">
        <f>IF(OR(5760057.05112="",108721.36541="",110729.93634=""),"-",(108721.36541-110729.93634)/5760057.05112*100)</f>
        <v>-0.03487067770638574</v>
      </c>
    </row>
    <row r="15" spans="1:7" s="9" customFormat="1" ht="15.75">
      <c r="A15" s="31" t="s">
        <v>7</v>
      </c>
      <c r="B15" s="44">
        <f>IF(92148.84823="","-",92148.84823)</f>
        <v>92148.84823</v>
      </c>
      <c r="C15" s="44">
        <f>IF(OR(103639.04136="",92148.84823=""),"-",92148.84823/103639.04136*100)</f>
        <v>88.91325799696686</v>
      </c>
      <c r="D15" s="44">
        <f>IF(103639.04136="","-",103639.04136/5760057.05112*100)</f>
        <v>1.7992710912446288</v>
      </c>
      <c r="E15" s="44">
        <f>IF(92148.84823="","-",92148.84823/5841782.33754*100)</f>
        <v>1.577409819565518</v>
      </c>
      <c r="F15" s="44">
        <f>IF(OR(4831335.29052="",80297.6847="",103639.04136=""),"-",(103639.04136-80297.6847)/4831335.29052*100)</f>
        <v>0.48312433843704017</v>
      </c>
      <c r="G15" s="44">
        <f>IF(OR(5760057.05112="",92148.84823="",103639.04136=""),"-",(92148.84823-103639.04136)/5760057.05112*100)</f>
        <v>-0.1994805438214508</v>
      </c>
    </row>
    <row r="16" spans="1:7" s="9" customFormat="1" ht="15.75">
      <c r="A16" s="31" t="s">
        <v>40</v>
      </c>
      <c r="B16" s="44">
        <f>IF(81009.36214="","-",81009.36214)</f>
        <v>81009.36214</v>
      </c>
      <c r="C16" s="44">
        <f>IF(OR(75866.1085="",81009.36214=""),"-",81009.36214/75866.1085*100)</f>
        <v>106.77938244321572</v>
      </c>
      <c r="D16" s="44">
        <f>IF(75866.1085="","-",75866.1085/5760057.05112*100)</f>
        <v>1.3171068936764854</v>
      </c>
      <c r="E16" s="44">
        <f>IF(81009.36214="","-",81009.36214/5841782.33754*100)</f>
        <v>1.3867233912401022</v>
      </c>
      <c r="F16" s="44">
        <f>IF(OR(4831335.29052="",60740.92086="",75866.1085=""),"-",(75866.1085-60740.92086)/4831335.29052*100)</f>
        <v>0.3130643337811495</v>
      </c>
      <c r="G16" s="44">
        <f>IF(OR(5760057.05112="",81009.36214="",75866.1085=""),"-",(81009.36214-75866.1085)/5760057.05112*100)</f>
        <v>0.08929171350828771</v>
      </c>
    </row>
    <row r="17" spans="1:7" s="9" customFormat="1" ht="25.5">
      <c r="A17" s="31" t="s">
        <v>152</v>
      </c>
      <c r="B17" s="44">
        <f>IF(58733.88129="","-",58733.88129)</f>
        <v>58733.88129</v>
      </c>
      <c r="C17" s="44">
        <f>IF(OR(59937.68841="",58733.88129=""),"-",58733.88129/59937.68841*100)</f>
        <v>97.9915689911739</v>
      </c>
      <c r="D17" s="44">
        <f>IF(59937.68841="","-",59937.68841/5760057.05112*100)</f>
        <v>1.0405745616416346</v>
      </c>
      <c r="E17" s="44">
        <f>IF(58733.88129="","-",58733.88129/5841782.33754*100)</f>
        <v>1.0054102993973084</v>
      </c>
      <c r="F17" s="44">
        <f>IF(OR(4831335.29052="",57121.54679="",59937.68841=""),"-",(59937.68841-57121.54679)/4831335.29052*100)</f>
        <v>0.058289095056718754</v>
      </c>
      <c r="G17" s="44">
        <f>IF(OR(5760057.05112="",58733.88129="",59937.68841=""),"-",(58733.88129-59937.68841)/5760057.05112*100)</f>
        <v>-0.020899222165966805</v>
      </c>
    </row>
    <row r="18" spans="1:7" s="9" customFormat="1" ht="15.75">
      <c r="A18" s="31" t="s">
        <v>9</v>
      </c>
      <c r="B18" s="44">
        <f>IF(57120.30365="","-",57120.30365)</f>
        <v>57120.30365</v>
      </c>
      <c r="C18" s="44">
        <f>IF(OR(60668.39155="",57120.30365=""),"-",57120.30365/60668.39155*100)</f>
        <v>94.15166974209983</v>
      </c>
      <c r="D18" s="44">
        <f>IF(60668.39155="","-",60668.39155/5760057.05112*100)</f>
        <v>1.0532602543963254</v>
      </c>
      <c r="E18" s="44">
        <f>IF(57120.30365="","-",57120.30365/5841782.33754*100)</f>
        <v>0.9777889751718071</v>
      </c>
      <c r="F18" s="44">
        <f>IF(OR(4831335.29052="",47757.14559="",60668.39155=""),"-",(60668.39155-47757.14559)/4831335.29052*100)</f>
        <v>0.2672397004888964</v>
      </c>
      <c r="G18" s="44">
        <f>IF(OR(5760057.05112="",57120.30365="",60668.39155=""),"-",(57120.30365-60668.39155)/5760057.05112*100)</f>
        <v>-0.061598138152296596</v>
      </c>
    </row>
    <row r="19" spans="1:7" s="9" customFormat="1" ht="15" customHeight="1">
      <c r="A19" s="31" t="s">
        <v>5</v>
      </c>
      <c r="B19" s="44">
        <f>IF(56212.97546="","-",56212.97546)</f>
        <v>56212.97546</v>
      </c>
      <c r="C19" s="44">
        <f>IF(OR(64568.10126="",56212.97546=""),"-",56212.97546/64568.10126*100)</f>
        <v>87.05997909655737</v>
      </c>
      <c r="D19" s="44">
        <f>IF(64568.10126="","-",64568.10126/5760057.05112*100)</f>
        <v>1.1209628773979803</v>
      </c>
      <c r="E19" s="44">
        <f>IF(56212.97546="","-",56212.97546/5841782.33754*100)</f>
        <v>0.9622572737564805</v>
      </c>
      <c r="F19" s="44">
        <f>IF(OR(4831335.29052="",74125.47142="",64568.10126=""),"-",(64568.10126-74125.47142)/4831335.29052*100)</f>
        <v>-0.19782046960709557</v>
      </c>
      <c r="G19" s="44">
        <f>IF(OR(5760057.05112="",56212.97546="",64568.10126=""),"-",(56212.97546-64568.10126)/5760057.05112*100)</f>
        <v>-0.14505283065513058</v>
      </c>
    </row>
    <row r="20" spans="1:7" s="9" customFormat="1" ht="15.75">
      <c r="A20" s="31" t="s">
        <v>41</v>
      </c>
      <c r="B20" s="44">
        <f>IF(41515.41899="","-",41515.41899)</f>
        <v>41515.41899</v>
      </c>
      <c r="C20" s="44">
        <f>IF(OR(45726.99698="",41515.41899=""),"-",41515.41899/45726.99698*100)</f>
        <v>90.78973414361312</v>
      </c>
      <c r="D20" s="44">
        <f>IF(45726.99698="","-",45726.99698/5760057.05112*100)</f>
        <v>0.7938636123596854</v>
      </c>
      <c r="E20" s="44">
        <f>IF(41515.41899="","-",41515.41899/5841782.33754*100)</f>
        <v>0.7106635713422066</v>
      </c>
      <c r="F20" s="44">
        <f>IF(OR(4831335.29052="",38505.36225="",45726.99698=""),"-",(45726.99698-38505.36225)/4831335.29052*100)</f>
        <v>0.14947492350966052</v>
      </c>
      <c r="G20" s="44">
        <f>IF(OR(5760057.05112="",41515.41899="",45726.99698=""),"-",(41515.41899-45726.99698)/5760057.05112*100)</f>
        <v>-0.07311694923544369</v>
      </c>
    </row>
    <row r="21" spans="1:7" s="9" customFormat="1" ht="15.75">
      <c r="A21" s="31" t="s">
        <v>44</v>
      </c>
      <c r="B21" s="44">
        <f>IF(34164.28784="","-",34164.28784)</f>
        <v>34164.28784</v>
      </c>
      <c r="C21" s="44">
        <f>IF(OR(33084.21683="",34164.28784=""),"-",34164.28784/33084.21683*100)</f>
        <v>103.26461108494675</v>
      </c>
      <c r="D21" s="44">
        <f>IF(33084.21683="","-",33084.21683/5760057.05112*100)</f>
        <v>0.5743730754119357</v>
      </c>
      <c r="E21" s="44">
        <f>IF(34164.28784="","-",34164.28784/5841782.33754*100)</f>
        <v>0.5848264427870952</v>
      </c>
      <c r="F21" s="44">
        <f>IF(OR(4831335.29052="",24265.35307="",33084.21683=""),"-",(33084.21683-24265.35307)/4831335.29052*100)</f>
        <v>0.18253470789544013</v>
      </c>
      <c r="G21" s="44">
        <f>IF(OR(5760057.05112="",34164.28784="",33084.21683=""),"-",(34164.28784-33084.21683)/5760057.05112*100)</f>
        <v>0.018751047088847634</v>
      </c>
    </row>
    <row r="22" spans="1:7" s="9" customFormat="1" ht="15.75" customHeight="1">
      <c r="A22" s="31" t="s">
        <v>50</v>
      </c>
      <c r="B22" s="44">
        <f>IF(25187.349="","-",25187.349)</f>
        <v>25187.349</v>
      </c>
      <c r="C22" s="44">
        <f>IF(OR(25423.31143="",25187.349=""),"-",25187.349/25423.31143*100)</f>
        <v>99.07186587140822</v>
      </c>
      <c r="D22" s="44">
        <f>IF(25423.31143="","-",25423.31143/5760057.05112*100)</f>
        <v>0.44137256288210946</v>
      </c>
      <c r="E22" s="44">
        <f>IF(25187.349="","-",25187.349/5841782.33754*100)</f>
        <v>0.43115863523608283</v>
      </c>
      <c r="F22" s="44">
        <f>IF(OR(4831335.29052="",19716.22791="",25423.31143=""),"-",(25423.31143-19716.22791)/4831335.29052*100)</f>
        <v>0.11812642213423656</v>
      </c>
      <c r="G22" s="44">
        <f>IF(OR(5760057.05112="",25187.349="",25423.31143=""),"-",(25187.349-25423.31143)/5760057.05112*100)</f>
        <v>-0.004096529390349044</v>
      </c>
    </row>
    <row r="23" spans="1:7" s="9" customFormat="1" ht="15.75">
      <c r="A23" s="31" t="s">
        <v>52</v>
      </c>
      <c r="B23" s="44">
        <f>IF(23497.51419="","-",23497.51419)</f>
        <v>23497.51419</v>
      </c>
      <c r="C23" s="44">
        <f>IF(OR(23172.22561="",23497.51419=""),"-",23497.51419/23172.22561*100)</f>
        <v>101.40378652216997</v>
      </c>
      <c r="D23" s="44">
        <f>IF(23172.22561="","-",23172.22561/5760057.05112*100)</f>
        <v>0.40229159892599214</v>
      </c>
      <c r="E23" s="44">
        <f>IF(23497.51419="","-",23497.51419/5841782.33754*100)</f>
        <v>0.4022319359453387</v>
      </c>
      <c r="F23" s="44">
        <f>IF(OR(4831335.29052="",17370.45538="",23172.22561=""),"-",(23172.22561-17370.45538)/4831335.29052*100)</f>
        <v>0.12008626769051155</v>
      </c>
      <c r="G23" s="44">
        <f>IF(OR(5760057.05112="",23497.51419="",23172.22561=""),"-",(23497.51419-23172.22561)/5760057.05112*100)</f>
        <v>0.005647315245545188</v>
      </c>
    </row>
    <row r="24" spans="1:7" s="9" customFormat="1" ht="15.75">
      <c r="A24" s="31" t="s">
        <v>8</v>
      </c>
      <c r="B24" s="44">
        <f>IF(22223.51785="","-",22223.51785)</f>
        <v>22223.51785</v>
      </c>
      <c r="C24" s="44">
        <f>IF(OR(24131.34437="",22223.51785=""),"-",22223.51785/24131.34437*100)</f>
        <v>92.09398991308663</v>
      </c>
      <c r="D24" s="44">
        <f>IF(24131.34437="","-",24131.34437/5760057.05112*100)</f>
        <v>0.4189428013617997</v>
      </c>
      <c r="E24" s="44">
        <f>IF(22223.51785="","-",22223.51785/5841782.33754*100)</f>
        <v>0.3804235859181022</v>
      </c>
      <c r="F24" s="44">
        <f>IF(OR(4831335.29052="",25538.72334="",24131.34437=""),"-",(24131.34437-25538.72334)/4831335.29052*100)</f>
        <v>-0.02913022767766806</v>
      </c>
      <c r="G24" s="44">
        <f>IF(OR(5760057.05112="",22223.51785="",24131.34437=""),"-",(22223.51785-24131.34437)/5760057.05112*100)</f>
        <v>-0.03312166013406128</v>
      </c>
    </row>
    <row r="25" spans="1:7" s="9" customFormat="1" ht="15.75">
      <c r="A25" s="31" t="s">
        <v>51</v>
      </c>
      <c r="B25" s="44">
        <f>IF(20367.14132="","-",20367.14132)</f>
        <v>20367.14132</v>
      </c>
      <c r="C25" s="44">
        <f>IF(OR(17823.61844="",20367.14132=""),"-",20367.14132/17823.61844*100)</f>
        <v>114.27051913483399</v>
      </c>
      <c r="D25" s="44">
        <f>IF(17823.61844="","-",17823.61844/5760057.05112*100)</f>
        <v>0.30943475527788966</v>
      </c>
      <c r="E25" s="44">
        <f>IF(20367.14132="","-",20367.14132/5841782.33754*100)</f>
        <v>0.34864601491771247</v>
      </c>
      <c r="F25" s="44">
        <f>IF(OR(4831335.29052="",13783.83186="",17823.61844=""),"-",(17823.61844-13783.83186)/4831335.29052*100)</f>
        <v>0.08361635732313649</v>
      </c>
      <c r="G25" s="44">
        <f>IF(OR(5760057.05112="",20367.14132="",17823.61844=""),"-",(20367.14132-17823.61844)/5760057.05112*100)</f>
        <v>0.04415794596175799</v>
      </c>
    </row>
    <row r="26" spans="1:7" s="9" customFormat="1" ht="15.75">
      <c r="A26" s="31" t="s">
        <v>43</v>
      </c>
      <c r="B26" s="44">
        <f>IF(15341.14561="","-",15341.14561)</f>
        <v>15341.14561</v>
      </c>
      <c r="C26" s="44">
        <f>IF(OR(13489.16068="",15341.14561=""),"-",15341.14561/13489.16068*100)</f>
        <v>113.72943042146339</v>
      </c>
      <c r="D26" s="44">
        <f>IF(13489.16068="","-",13489.16068/5760057.05112*100)</f>
        <v>0.23418449783196393</v>
      </c>
      <c r="E26" s="44">
        <f>IF(15341.14561="","-",15341.14561/5841782.33754*100)</f>
        <v>0.26261070206974235</v>
      </c>
      <c r="F26" s="44">
        <f>IF(OR(4831335.29052="",12399.86157="",13489.16068=""),"-",(13489.16068-12399.86157)/4831335.29052*100)</f>
        <v>0.02254654343981081</v>
      </c>
      <c r="G26" s="44">
        <f>IF(OR(5760057.05112="",15341.14561="",13489.16068=""),"-",(15341.14561-13489.16068)/5760057.05112*100)</f>
        <v>0.03215219768769294</v>
      </c>
    </row>
    <row r="27" spans="1:7" s="9" customFormat="1" ht="15.75">
      <c r="A27" s="31" t="s">
        <v>49</v>
      </c>
      <c r="B27" s="44">
        <f>IF(13862.20346="","-",13862.20346)</f>
        <v>13862.20346</v>
      </c>
      <c r="C27" s="44">
        <f>IF(OR(13422.88689="",13862.20346=""),"-",13862.20346/13422.88689*100)</f>
        <v>103.27289184212145</v>
      </c>
      <c r="D27" s="44">
        <f>IF(13422.88689="","-",13422.88689/5760057.05112*100)</f>
        <v>0.2330339225961316</v>
      </c>
      <c r="E27" s="44">
        <f>IF(13862.20346="","-",13862.20346/5841782.33754*100)</f>
        <v>0.23729407668820188</v>
      </c>
      <c r="F27" s="44">
        <f>IF(OR(4831335.29052="",13382.24857="",13422.88689=""),"-",(13422.88689-13382.24857)/4831335.29052*100)</f>
        <v>0.0008411405451354234</v>
      </c>
      <c r="G27" s="44">
        <f>IF(OR(5760057.05112="",13862.20346="",13422.88689=""),"-",(13862.20346-13422.88689)/5760057.05112*100)</f>
        <v>0.007626948242024426</v>
      </c>
    </row>
    <row r="28" spans="1:7" s="9" customFormat="1" ht="15.75">
      <c r="A28" s="31" t="s">
        <v>48</v>
      </c>
      <c r="B28" s="44">
        <f>IF(12811.64595="","-",12811.64595)</f>
        <v>12811.64595</v>
      </c>
      <c r="C28" s="44">
        <f>IF(OR(16450.67318="",12811.64595=""),"-",12811.64595/16450.67318*100)</f>
        <v>77.87915916763717</v>
      </c>
      <c r="D28" s="44">
        <f>IF(16450.67318="","-",16450.67318/5760057.05112*100)</f>
        <v>0.28559913615441174</v>
      </c>
      <c r="E28" s="44">
        <f>IF(12811.64595="","-",12811.64595/5841782.33754*100)</f>
        <v>0.2193105667027478</v>
      </c>
      <c r="F28" s="44">
        <f>IF(OR(4831335.29052="",14573.01641="",16450.67318=""),"-",(16450.67318-14573.01641)/4831335.29052*100)</f>
        <v>0.03886413707788655</v>
      </c>
      <c r="G28" s="44">
        <f>IF(OR(5760057.05112="",12811.64595="",16450.67318=""),"-",(12811.64595-16450.67318)/5760057.05112*100)</f>
        <v>-0.06317693032732062</v>
      </c>
    </row>
    <row r="29" spans="1:7" s="9" customFormat="1" ht="15.75">
      <c r="A29" s="31" t="s">
        <v>45</v>
      </c>
      <c r="B29" s="44">
        <f>IF(11942.49097="","-",11942.49097)</f>
        <v>11942.49097</v>
      </c>
      <c r="C29" s="44">
        <f>IF(OR(12871.34906="",11942.49097=""),"-",11942.49097/12871.34906*100)</f>
        <v>92.78352186961823</v>
      </c>
      <c r="D29" s="44">
        <f>IF(12871.34906="","-",12871.34906/5760057.05112*100)</f>
        <v>0.22345870788722938</v>
      </c>
      <c r="E29" s="44">
        <f>IF(11942.49097="","-",11942.49097/5841782.33754*100)</f>
        <v>0.20443231671361853</v>
      </c>
      <c r="F29" s="44">
        <f>IF(OR(4831335.29052="",8833.81871="",12871.34906=""),"-",(12871.34906-8833.81871)/4831335.29052*100)</f>
        <v>0.08356965739725007</v>
      </c>
      <c r="G29" s="44">
        <f>IF(OR(5760057.05112="",11942.49097="",12871.34906=""),"-",(11942.49097-12871.34906)/5760057.05112*100)</f>
        <v>-0.016125848785115596</v>
      </c>
    </row>
    <row r="30" spans="1:7" s="9" customFormat="1" ht="15.75">
      <c r="A30" s="31" t="s">
        <v>53</v>
      </c>
      <c r="B30" s="44">
        <f>IF(8295.22667="","-",8295.22667)</f>
        <v>8295.22667</v>
      </c>
      <c r="C30" s="44">
        <f>IF(OR(6668.19074="",8295.22667=""),"-",8295.22667/6668.19074*100)</f>
        <v>124.39996085054999</v>
      </c>
      <c r="D30" s="44">
        <f>IF(6668.19074="","-",6668.19074/5760057.05112*100)</f>
        <v>0.11576605371822525</v>
      </c>
      <c r="E30" s="44">
        <f>IF(8295.22667="","-",8295.22667/5841782.33754*100)</f>
        <v>0.14199821545376434</v>
      </c>
      <c r="F30" s="44">
        <f>IF(OR(4831335.29052="",7187.18191="",6668.19074=""),"-",(6668.19074-7187.18191)/4831335.29052*100)</f>
        <v>-0.010742189038677562</v>
      </c>
      <c r="G30" s="44">
        <f>IF(OR(5760057.05112="",8295.22667="",6668.19074=""),"-",(8295.22667-6668.19074)/5760057.05112*100)</f>
        <v>0.028246871785473634</v>
      </c>
    </row>
    <row r="31" spans="1:7" s="9" customFormat="1" ht="15.75">
      <c r="A31" s="31" t="s">
        <v>153</v>
      </c>
      <c r="B31" s="44">
        <f>IF(5866.71501="","-",5866.71501)</f>
        <v>5866.71501</v>
      </c>
      <c r="C31" s="44" t="s">
        <v>104</v>
      </c>
      <c r="D31" s="44">
        <f>IF(3191.69142="","-",3191.69142/5760057.05112*100)</f>
        <v>0.05541076054757826</v>
      </c>
      <c r="E31" s="44">
        <f>IF(5866.71501="","-",5866.71501/5841782.33754*100)</f>
        <v>0.1004267990660963</v>
      </c>
      <c r="F31" s="44">
        <f>IF(OR(4831335.29052="",2039.62269="",3191.69142=""),"-",(3191.69142-2039.62269)/4831335.29052*100)</f>
        <v>0.023845762314625076</v>
      </c>
      <c r="G31" s="44">
        <f>IF(OR(5760057.05112="",5866.71501="",3191.69142=""),"-",(5866.71501-3191.69142)/5760057.05112*100)</f>
        <v>0.0464409217870483</v>
      </c>
    </row>
    <row r="32" spans="1:7" s="9" customFormat="1" ht="15.75">
      <c r="A32" s="31" t="s">
        <v>46</v>
      </c>
      <c r="B32" s="44">
        <f>IF(4815.69723="","-",4815.69723)</f>
        <v>4815.69723</v>
      </c>
      <c r="C32" s="44">
        <f>IF(OR(5167.38245="",4815.69723=""),"-",4815.69723/5167.38245*100)</f>
        <v>93.19413216647047</v>
      </c>
      <c r="D32" s="44">
        <f>IF(5167.38245="","-",5167.38245/5760057.05112*100)</f>
        <v>0.08971061231060622</v>
      </c>
      <c r="E32" s="44">
        <f>IF(4815.69723="","-",4815.69723/5841782.33754*100)</f>
        <v>0.08243541014963442</v>
      </c>
      <c r="F32" s="44">
        <f>IF(OR(4831335.29052="",5231.18685="",5167.38245=""),"-",(5167.38245-5231.18685)/4831335.29052*100)</f>
        <v>-0.0013206369701808187</v>
      </c>
      <c r="G32" s="44">
        <f>IF(OR(5760057.05112="",4815.69723="",5167.38245=""),"-",(4815.69723-5167.38245)/5760057.05112*100)</f>
        <v>-0.006105585706509934</v>
      </c>
    </row>
    <row r="33" spans="1:7" s="9" customFormat="1" ht="15.75">
      <c r="A33" s="31" t="s">
        <v>54</v>
      </c>
      <c r="B33" s="44">
        <f>IF(1950.34458="","-",1950.34458)</f>
        <v>1950.34458</v>
      </c>
      <c r="C33" s="44" t="s">
        <v>19</v>
      </c>
      <c r="D33" s="44">
        <f>IF(985.28782="","-",985.28782/5760057.05112*100)</f>
        <v>0.01710552189423919</v>
      </c>
      <c r="E33" s="44">
        <f>IF(1950.34458="","-",1950.34458/5841782.33754*100)</f>
        <v>0.03338612203105976</v>
      </c>
      <c r="F33" s="44">
        <f>IF(OR(4831335.29052="",2367.71409="",985.28782=""),"-",(985.28782-2367.71409)/4831335.29052*100)</f>
        <v>-0.028613751413870687</v>
      </c>
      <c r="G33" s="44">
        <f>IF(OR(5760057.05112="",1950.34458="",985.28782=""),"-",(1950.34458-985.28782)/5760057.05112*100)</f>
        <v>0.01675429169251634</v>
      </c>
    </row>
    <row r="34" spans="1:7" s="9" customFormat="1" ht="15.75">
      <c r="A34" s="31" t="s">
        <v>47</v>
      </c>
      <c r="B34" s="44">
        <f>IF(674.39721="","-",674.39721)</f>
        <v>674.39721</v>
      </c>
      <c r="C34" s="44">
        <f>IF(OR(828.87414="",674.39721=""),"-",674.39721/828.87414*100)</f>
        <v>81.36304143835396</v>
      </c>
      <c r="D34" s="44">
        <f>IF(828.87414="","-",828.87414/5760057.05112*100)</f>
        <v>0.014390033512581819</v>
      </c>
      <c r="E34" s="44">
        <f>IF(674.39721="","-",674.39721/5841782.33754*100)</f>
        <v>0.011544374148729266</v>
      </c>
      <c r="F34" s="44">
        <f>IF(OR(4831335.29052="",1044.77789="",828.87414=""),"-",(828.87414-1044.77789)/4831335.29052*100)</f>
        <v>-0.0044688214958635624</v>
      </c>
      <c r="G34" s="44">
        <f>IF(OR(5760057.05112="",674.39721="",828.87414=""),"-",(674.39721-828.87414)/5760057.05112*100)</f>
        <v>-0.0026818645827468525</v>
      </c>
    </row>
    <row r="35" spans="1:7" s="9" customFormat="1" ht="15.75">
      <c r="A35" s="31" t="s">
        <v>55</v>
      </c>
      <c r="B35" s="44">
        <f>IF(106.1287="","-",106.1287)</f>
        <v>106.1287</v>
      </c>
      <c r="C35" s="44">
        <f>IF(OR(102.28251="",106.1287=""),"-",106.1287/102.28251*100)</f>
        <v>103.76035942019803</v>
      </c>
      <c r="D35" s="44">
        <f>IF(102.28251="","-",102.28251/5760057.05112*100)</f>
        <v>0.0017757204328403646</v>
      </c>
      <c r="E35" s="44">
        <f>IF(106.1287="","-",106.1287/5841782.33754*100)</f>
        <v>0.0018167178074746833</v>
      </c>
      <c r="F35" s="44">
        <f>IF(OR(4831335.29052="",243.83985="",102.28251=""),"-",(102.28251-243.83985)/4831335.29052*100)</f>
        <v>-0.0029299837723488673</v>
      </c>
      <c r="G35" s="44">
        <f>IF(OR(5760057.05112="",106.1287="",102.28251=""),"-",(106.1287-102.28251)/5760057.05112*100)</f>
        <v>6.67734705726939E-05</v>
      </c>
    </row>
    <row r="36" spans="1:7" s="9" customFormat="1" ht="15.75">
      <c r="A36" s="42" t="s">
        <v>169</v>
      </c>
      <c r="B36" s="43">
        <f>IF(1416554.43348="","-",1416554.43348)</f>
        <v>1416554.43348</v>
      </c>
      <c r="C36" s="43">
        <f>IF(1449078.77262="","-",1416554.43348/1449078.77262*100)</f>
        <v>97.75551614208008</v>
      </c>
      <c r="D36" s="43">
        <f>IF(1449078.77262="","-",1449078.77262/5760057.05112*100)</f>
        <v>25.15736840381186</v>
      </c>
      <c r="E36" s="43">
        <f>IF(1416554.43348="","-",1416554.43348/5841782.33754*100)</f>
        <v>24.248668499287447</v>
      </c>
      <c r="F36" s="43">
        <f>IF(4831335.29052="","-",(1449078.77262-1206051.90242)/4831335.29052*100)</f>
        <v>5.0302215761523525</v>
      </c>
      <c r="G36" s="43">
        <f>IF(5760057.05112="","-",(1416554.43348-1449078.77262)/5760057.05112*100)</f>
        <v>-0.5646530729010044</v>
      </c>
    </row>
    <row r="37" spans="1:7" s="9" customFormat="1" ht="15.75">
      <c r="A37" s="31" t="s">
        <v>154</v>
      </c>
      <c r="B37" s="44">
        <f>IF(691796.54883="","-",691796.54883)</f>
        <v>691796.54883</v>
      </c>
      <c r="C37" s="44">
        <f>IF(OR(720656.62772="",691796.54883=""),"-",691796.54883/720656.62772*100)</f>
        <v>95.99530792059639</v>
      </c>
      <c r="D37" s="44">
        <f>IF(720656.62772="","-",720656.62772/5760057.05112*100)</f>
        <v>12.511275866267221</v>
      </c>
      <c r="E37" s="44">
        <f>IF(691796.54883="","-",691796.54883/5841782.33754*100)</f>
        <v>11.842217132679384</v>
      </c>
      <c r="F37" s="44">
        <f>IF(OR(4831335.29052="",571704.23301="",720656.62772=""),"-",(720656.62772-571704.23301)/4831335.29052*100)</f>
        <v>3.0830481792947175</v>
      </c>
      <c r="G37" s="44">
        <f>IF(OR(5760057.05112="",691796.54883="",720656.62772=""),"-",(691796.54883-720656.62772)/5760057.05112*100)</f>
        <v>-0.501038073648739</v>
      </c>
    </row>
    <row r="38" spans="1:7" s="9" customFormat="1" ht="15.75">
      <c r="A38" s="31" t="s">
        <v>11</v>
      </c>
      <c r="B38" s="44">
        <f>IF(568963.77757="","-",568963.77757)</f>
        <v>568963.77757</v>
      </c>
      <c r="C38" s="44">
        <f>IF(OR(577085.76695="",568963.77757=""),"-",568963.77757/577085.76695*100)</f>
        <v>98.59258539282193</v>
      </c>
      <c r="D38" s="44">
        <f>IF(577085.76695="","-",577085.76695/5760057.05112*100)</f>
        <v>10.018750887854313</v>
      </c>
      <c r="E38" s="44">
        <f>IF(568963.77757="","-",568963.77757/5841782.33754*100)</f>
        <v>9.739557975547463</v>
      </c>
      <c r="F38" s="44">
        <f>IF(OR(4831335.29052="",511096.14361="",577085.76695=""),"-",(577085.76695-511096.14361)/4831335.29052*100)</f>
        <v>1.3658671851958637</v>
      </c>
      <c r="G38" s="44">
        <f>IF(OR(5760057.05112="",568963.77757="",577085.76695=""),"-",(568963.77757-577085.76695)/5760057.05112*100)</f>
        <v>-0.14100536345244474</v>
      </c>
    </row>
    <row r="39" spans="1:7" s="9" customFormat="1" ht="15.75">
      <c r="A39" s="31" t="s">
        <v>10</v>
      </c>
      <c r="B39" s="44">
        <f>IF(131004.4321="","-",131004.4321)</f>
        <v>131004.4321</v>
      </c>
      <c r="C39" s="44">
        <f>IF(OR(128169.79631="",131004.4321=""),"-",131004.4321/128169.79631*100)</f>
        <v>102.21162541535446</v>
      </c>
      <c r="D39" s="44">
        <f>IF(128169.79631="","-",128169.79631/5760057.05112*100)</f>
        <v>2.2251480353841</v>
      </c>
      <c r="E39" s="44">
        <f>IF(131004.4321="","-",131004.4321/5841782.33754*100)</f>
        <v>2.2425421648826194</v>
      </c>
      <c r="F39" s="44">
        <f>IF(OR(4831335.29052="",114591.45571="",128169.79631=""),"-",(128169.79631-114591.45571)/4831335.29052*100)</f>
        <v>0.28104736648361583</v>
      </c>
      <c r="G39" s="44">
        <f>IF(OR(5760057.05112="",131004.4321="",128169.79631=""),"-",(131004.4321-128169.79631)/5760057.05112*100)</f>
        <v>0.049211939479815156</v>
      </c>
    </row>
    <row r="40" spans="1:7" s="9" customFormat="1" ht="15.75">
      <c r="A40" s="31" t="s">
        <v>12</v>
      </c>
      <c r="B40" s="44">
        <f>IF(11652.20355="","-",11652.20355)</f>
        <v>11652.20355</v>
      </c>
      <c r="C40" s="44" t="s">
        <v>170</v>
      </c>
      <c r="D40" s="44">
        <f>IF(5995.31764="","-",5995.31764/5760057.05112*100)</f>
        <v>0.10408434476936745</v>
      </c>
      <c r="E40" s="44">
        <f>IF(11652.20355="","-",11652.20355/5841782.33754*100)</f>
        <v>0.19946315827485614</v>
      </c>
      <c r="F40" s="44">
        <f>IF(OR(4831335.29052="",1737.21811="",5995.31764=""),"-",(5995.31764-1737.21811)/4831335.29052*100)</f>
        <v>0.08813504495031016</v>
      </c>
      <c r="G40" s="44">
        <f>IF(OR(5760057.05112="",11652.20355="",5995.31764=""),"-",(11652.20355-5995.31764)/5760057.05112*100)</f>
        <v>0.09820885209635313</v>
      </c>
    </row>
    <row r="41" spans="1:7" s="9" customFormat="1" ht="15.75">
      <c r="A41" s="31" t="s">
        <v>14</v>
      </c>
      <c r="B41" s="44">
        <f>IF(7973.77505="","-",7973.77505)</f>
        <v>7973.77505</v>
      </c>
      <c r="C41" s="44" t="s">
        <v>19</v>
      </c>
      <c r="D41" s="44">
        <f>IF(4051.81038="","-",4051.81038/5760057.05112*100)</f>
        <v>0.0703432334791225</v>
      </c>
      <c r="E41" s="44">
        <f>IF(7973.77505="","-",7973.77505/5841782.33754*100)</f>
        <v>0.1364955862658483</v>
      </c>
      <c r="F41" s="44">
        <f>IF(OR(4831335.29052="",5775.31274="",4051.81038=""),"-",(4051.81038-5775.31274)/4831335.29052*100)</f>
        <v>-0.035673416485538484</v>
      </c>
      <c r="G41" s="44">
        <f>IF(OR(5760057.05112="",7973.77505="",4051.81038=""),"-",(7973.77505-4051.81038)/5760057.05112*100)</f>
        <v>0.0680889900081355</v>
      </c>
    </row>
    <row r="42" spans="1:7" s="9" customFormat="1" ht="15.75">
      <c r="A42" s="31" t="s">
        <v>15</v>
      </c>
      <c r="B42" s="44">
        <f>IF(3075.88093="","-",3075.88093)</f>
        <v>3075.88093</v>
      </c>
      <c r="C42" s="44">
        <f>IF(OR(10953.42423="",3075.88093=""),"-",3075.88093/10953.42423*100)</f>
        <v>28.081455309432492</v>
      </c>
      <c r="D42" s="44">
        <f>IF(10953.42423="","-",10953.42423/5760057.05112*100)</f>
        <v>0.19016173160767896</v>
      </c>
      <c r="E42" s="44">
        <f>IF(3075.88093="","-",3075.88093/5841782.33754*100)</f>
        <v>0.052653124547863014</v>
      </c>
      <c r="F42" s="44">
        <f>IF(OR(4831335.29052="",4.60647="",10953.42423=""),"-",(10953.42423-4.60647)/4831335.29052*100)</f>
        <v>0.22662094641793265</v>
      </c>
      <c r="G42" s="44">
        <f>IF(OR(5760057.05112="",3075.88093="",10953.42423=""),"-",(3075.88093-10953.42423)/5760057.05112*100)</f>
        <v>-0.13676154993062561</v>
      </c>
    </row>
    <row r="43" spans="1:7" s="9" customFormat="1" ht="15.75">
      <c r="A43" s="31" t="s">
        <v>16</v>
      </c>
      <c r="B43" s="44">
        <f>IF(1119.59468="","-",1119.59468)</f>
        <v>1119.59468</v>
      </c>
      <c r="C43" s="44">
        <f>IF(OR(1244.24646="",1119.59468=""),"-",1119.59468/1244.24646*100)</f>
        <v>89.98174525648237</v>
      </c>
      <c r="D43" s="44">
        <f>IF(1244.24646="","-",1244.24646/5760057.05112*100)</f>
        <v>0.021601287087218445</v>
      </c>
      <c r="E43" s="44">
        <f>IF(1119.59468="","-",1119.59468/5841782.33754*100)</f>
        <v>0.019165292633471623</v>
      </c>
      <c r="F43" s="44">
        <f>IF(OR(4831335.29052="",647.735="",1244.24646=""),"-",(1244.24646-647.735)/4831335.29052*100)</f>
        <v>0.01234672040192427</v>
      </c>
      <c r="G43" s="44">
        <f>IF(OR(5760057.05112="",1119.59468="",1244.24646=""),"-",(1119.59468-1244.24646)/5760057.05112*100)</f>
        <v>-0.002164071968276122</v>
      </c>
    </row>
    <row r="44" spans="1:7" s="9" customFormat="1" ht="15.75">
      <c r="A44" s="31" t="s">
        <v>13</v>
      </c>
      <c r="B44" s="44">
        <f>IF(807.16822="","-",807.16822)</f>
        <v>807.16822</v>
      </c>
      <c r="C44" s="44">
        <f>IF(OR(575.5034="",807.16822=""),"-",807.16822/575.5034*100)</f>
        <v>140.25429215535476</v>
      </c>
      <c r="D44" s="44">
        <f>IF(575.5034="","-",575.5034/5760057.05112*100)</f>
        <v>0.009991279511512784</v>
      </c>
      <c r="E44" s="44">
        <f>IF(807.16822="","-",807.16822/5841782.33754*100)</f>
        <v>0.013817156705977204</v>
      </c>
      <c r="F44" s="44">
        <f>IF(OR(4831335.29052="",216.17286="",575.5034=""),"-",(575.5034-216.17286)/4831335.29052*100)</f>
        <v>0.007437499539828564</v>
      </c>
      <c r="G44" s="44">
        <f>IF(OR(5760057.05112="",807.16822="",575.5034=""),"-",(807.16822-575.5034)/5760057.05112*100)</f>
        <v>0.004021918844622458</v>
      </c>
    </row>
    <row r="45" spans="1:7" s="9" customFormat="1" ht="15.75">
      <c r="A45" s="31" t="s">
        <v>131</v>
      </c>
      <c r="B45" s="44">
        <f>IF(160.91697="","-",160.91697)</f>
        <v>160.91697</v>
      </c>
      <c r="C45" s="44">
        <f>IF(OR(345.97243="",160.91697=""),"-",160.91697/345.97243*100)</f>
        <v>46.51150093086897</v>
      </c>
      <c r="D45" s="44">
        <f>IF(345.97243="","-",345.97243/5760057.05112*100)</f>
        <v>0.006006406306908509</v>
      </c>
      <c r="E45" s="44">
        <f>IF(160.91697="","-",160.91697/5841782.33754*100)</f>
        <v>0.0027545868829437223</v>
      </c>
      <c r="F45" s="44">
        <f>IF(OR(4831335.29052="",276.37843="",345.97243=""),"-",(345.97243-276.37843)/4831335.29052*100)</f>
        <v>0.001440471335875957</v>
      </c>
      <c r="G45" s="44">
        <f>IF(OR(5760057.05112="",160.91697="",345.97243=""),"-",(160.91697-345.97243)/5760057.05112*100)</f>
        <v>-0.0032127365815589858</v>
      </c>
    </row>
    <row r="46" spans="1:7" s="9" customFormat="1" ht="15.75">
      <c r="A46" s="31" t="s">
        <v>17</v>
      </c>
      <c r="B46" s="44">
        <f>IF(0.13558="","-",0.13558)</f>
        <v>0.13558</v>
      </c>
      <c r="C46" s="44">
        <f>IF(OR(0.3071="",0.13558=""),"-",0.13558/0.3071*100)</f>
        <v>44.148485835232826</v>
      </c>
      <c r="D46" s="44">
        <f>IF(0.3071="","-",0.3071/5760057.05112*100)</f>
        <v>5.331544414829827E-06</v>
      </c>
      <c r="E46" s="44">
        <f>IF(0.13558="","-",0.13558/5841782.33754*100)</f>
        <v>2.320867025954502E-06</v>
      </c>
      <c r="F46" s="44">
        <f>IF(OR(4831335.29052="",2.64648="",0.3071=""),"-",(0.3071-2.64648)/4831335.29052*100)</f>
        <v>-4.842098217837021E-05</v>
      </c>
      <c r="G46" s="44">
        <f>IF(OR(5760057.05112="",0.13558="",0.3071=""),"-",(0.13558-0.3071)/5760057.05112*100)</f>
        <v>-2.9777482840495338E-06</v>
      </c>
    </row>
    <row r="47" spans="1:7" s="9" customFormat="1" ht="15.75">
      <c r="A47" s="42" t="s">
        <v>165</v>
      </c>
      <c r="B47" s="43">
        <f>IF(1535235.28433="","-",1535235.28433)</f>
        <v>1535235.28433</v>
      </c>
      <c r="C47" s="43">
        <f>IF(1460177.94826="","-",1535235.28433/1460177.94826*100)</f>
        <v>105.14028691910057</v>
      </c>
      <c r="D47" s="43">
        <f>IF(1460177.94826="","-",1460177.94826/5760057.05112*100)</f>
        <v>25.35006051678046</v>
      </c>
      <c r="E47" s="43">
        <f>IF(1535235.28433="","-",1535235.28433/5841782.33754*100)</f>
        <v>26.28025481990988</v>
      </c>
      <c r="F47" s="43">
        <f>IF(4831335.29052="","-",(1460177.94826-1236123.84752)/4831335.29052*100)</f>
        <v>4.637519179834956</v>
      </c>
      <c r="G47" s="43">
        <f>IF(5760057.05112="","-",(1535235.28433-1460177.94826)/5760057.05112*100)</f>
        <v>1.3030658447281458</v>
      </c>
    </row>
    <row r="48" spans="1:7" s="9" customFormat="1" ht="15.75">
      <c r="A48" s="31" t="s">
        <v>59</v>
      </c>
      <c r="B48" s="44">
        <f>IF(602248.43349="","-",602248.43349)</f>
        <v>602248.43349</v>
      </c>
      <c r="C48" s="44">
        <f>IF(OR(600283.8854="",602248.43349=""),"-",602248.43349/600283.8854*100)</f>
        <v>100.32726983645261</v>
      </c>
      <c r="D48" s="44">
        <f>IF(600283.8854="","-",600283.8854/5760057.05112*100)</f>
        <v>10.421492010800124</v>
      </c>
      <c r="E48" s="44">
        <f>IF(602248.43349="","-",602248.43349/5841782.33754*100)</f>
        <v>10.309326823423028</v>
      </c>
      <c r="F48" s="44">
        <f>IF(OR(4831335.29052="",505379.9597="",600283.8854=""),"-",(600283.8854-505379.9597)/4831335.29052*100)</f>
        <v>1.9643415327894875</v>
      </c>
      <c r="G48" s="44">
        <f>IF(OR(5760057.05112="",602248.43349="",600283.8854=""),"-",(602248.43349-600283.8854)/5760057.05112*100)</f>
        <v>0.03410639985966713</v>
      </c>
    </row>
    <row r="49" spans="1:7" s="9" customFormat="1" ht="15.75">
      <c r="A49" s="31" t="s">
        <v>56</v>
      </c>
      <c r="B49" s="44">
        <f>IF(400562.1802="","-",400562.1802)</f>
        <v>400562.1802</v>
      </c>
      <c r="C49" s="44">
        <f>IF(OR(340400.72773="",400562.1802=""),"-",400562.1802/340400.72773*100)</f>
        <v>117.67371441042249</v>
      </c>
      <c r="D49" s="44">
        <f>IF(340400.72773="","-",340400.72773/5760057.05112*100)</f>
        <v>5.909676322803289</v>
      </c>
      <c r="E49" s="44">
        <f>IF(400562.1802="","-",400562.1802/5841782.33754*100)</f>
        <v>6.856848767300675</v>
      </c>
      <c r="F49" s="44">
        <f>IF(OR(4831335.29052="",304346.7596="",340400.72773=""),"-",(340400.72773-304346.7596)/4831335.29052*100)</f>
        <v>0.7462526602271787</v>
      </c>
      <c r="G49" s="44">
        <f>IF(OR(5760057.05112="",400562.1802="",340400.72773=""),"-",(400562.1802-340400.72773)/5760057.05112*100)</f>
        <v>1.0444593158726105</v>
      </c>
    </row>
    <row r="50" spans="1:7" s="9" customFormat="1" ht="15.75">
      <c r="A50" s="31" t="s">
        <v>18</v>
      </c>
      <c r="B50" s="44">
        <f>IF(74328.74658="","-",74328.74658)</f>
        <v>74328.74658</v>
      </c>
      <c r="C50" s="44">
        <f>IF(OR(72862.68546="",74328.74658=""),"-",74328.74658/72862.68546*100)</f>
        <v>102.01208768348904</v>
      </c>
      <c r="D50" s="44">
        <f>IF(72862.68546="","-",72862.68546/5760057.05112*100)</f>
        <v>1.2649646490190993</v>
      </c>
      <c r="E50" s="44">
        <f>IF(74328.74658="","-",74328.74658/5841782.33754*100)</f>
        <v>1.2723641910167467</v>
      </c>
      <c r="F50" s="44">
        <f>IF(OR(4831335.29052="",70222.22788="",72862.68546=""),"-",(72862.68546-70222.22788)/4831335.29052*100)</f>
        <v>0.054652749627645755</v>
      </c>
      <c r="G50" s="44">
        <f>IF(OR(5760057.05112="",74328.74658="",72862.68546=""),"-",(74328.74658-72862.68546)/5760057.05112*100)</f>
        <v>0.02545219790340355</v>
      </c>
    </row>
    <row r="51" spans="1:7" s="9" customFormat="1" ht="15.75">
      <c r="A51" s="31" t="s">
        <v>76</v>
      </c>
      <c r="B51" s="44">
        <f>IF(51675.36477="","-",51675.36477)</f>
        <v>51675.36477</v>
      </c>
      <c r="C51" s="44">
        <f>IF(OR(53058.91281="",51675.36477=""),"-",51675.36477/53058.91281*100)</f>
        <v>97.39243047637561</v>
      </c>
      <c r="D51" s="44">
        <f>IF(53058.91281="","-",53058.91281/5760057.05112*100)</f>
        <v>0.9211525569817592</v>
      </c>
      <c r="E51" s="44">
        <f>IF(51675.36477="","-",51675.36477/5841782.33754*100)</f>
        <v>0.8845821666091161</v>
      </c>
      <c r="F51" s="44">
        <f>IF(OR(4831335.29052="",37516.36379="",53058.91281=""),"-",(53058.91281-37516.36379)/4831335.29052*100)</f>
        <v>0.32170296792477726</v>
      </c>
      <c r="G51" s="44">
        <f>IF(OR(5760057.05112="",51675.36477="",53058.91281=""),"-",(51675.36477-53058.91281)/5760057.05112*100)</f>
        <v>-0.02401969334194322</v>
      </c>
    </row>
    <row r="52" spans="1:7" s="9" customFormat="1" ht="15.75">
      <c r="A52" s="31" t="s">
        <v>72</v>
      </c>
      <c r="B52" s="44">
        <f>IF(47233.27082="","-",47233.27082)</f>
        <v>47233.27082</v>
      </c>
      <c r="C52" s="44">
        <f>IF(OR(38634.01033="",47233.27082=""),"-",47233.27082/38634.01033*100)</f>
        <v>122.25826523456334</v>
      </c>
      <c r="D52" s="44">
        <f>IF(38634.01033="","-",38634.01033/5760057.05112*100)</f>
        <v>0.6707227026942016</v>
      </c>
      <c r="E52" s="44">
        <f>IF(47233.27082="","-",47233.27082/5841782.33754*100)</f>
        <v>0.8085421210659166</v>
      </c>
      <c r="F52" s="44">
        <f>IF(OR(4831335.29052="",38383.9576="",38634.01033=""),"-",(38634.01033-38383.9576)/4831335.29052*100)</f>
        <v>0.00517564430874104</v>
      </c>
      <c r="G52" s="44">
        <f>IF(OR(5760057.05112="",47233.27082="",38634.01033=""),"-",(47233.27082-38634.01033)/5760057.05112*100)</f>
        <v>0.14929123815410714</v>
      </c>
    </row>
    <row r="53" spans="1:7" s="9" customFormat="1" ht="15.75">
      <c r="A53" s="31" t="s">
        <v>36</v>
      </c>
      <c r="B53" s="44">
        <f>IF(41054.01231="","-",41054.01231)</f>
        <v>41054.01231</v>
      </c>
      <c r="C53" s="44">
        <f>IF(OR(38503.83452="",41054.01231=""),"-",41054.01231/38503.83452*100)</f>
        <v>106.62317876074229</v>
      </c>
      <c r="D53" s="44">
        <f>IF(38503.83452="","-",38503.83452/5760057.05112*100)</f>
        <v>0.6684627283771992</v>
      </c>
      <c r="E53" s="44">
        <f>IF(41054.01231="","-",41054.01231/5841782.33754*100)</f>
        <v>0.7027651825741941</v>
      </c>
      <c r="F53" s="44">
        <f>IF(OR(4831335.29052="",26059.58653="",38503.83452=""),"-",(38503.83452-26059.58653)/4831335.29052*100)</f>
        <v>0.2575736777039255</v>
      </c>
      <c r="G53" s="44">
        <f>IF(OR(5760057.05112="",41054.01231="",38503.83452=""),"-",(41054.01231-38503.83452)/5760057.05112*100)</f>
        <v>0.044273481449357145</v>
      </c>
    </row>
    <row r="54" spans="1:7" s="9" customFormat="1" ht="15.75">
      <c r="A54" s="31" t="s">
        <v>69</v>
      </c>
      <c r="B54" s="44">
        <f>IF(35621.91756="","-",35621.91756)</f>
        <v>35621.91756</v>
      </c>
      <c r="C54" s="44">
        <f>IF(OR(31041.06667="",35621.91756=""),"-",35621.91756/31041.06667*100)</f>
        <v>114.75738878015818</v>
      </c>
      <c r="D54" s="44">
        <f>IF(31041.06667="","-",31041.06667/5760057.05112*100)</f>
        <v>0.5389020697974563</v>
      </c>
      <c r="E54" s="44">
        <f>IF(35621.91756="","-",35621.91756/5841782.33754*100)</f>
        <v>0.609778240642231</v>
      </c>
      <c r="F54" s="44">
        <f>IF(OR(4831335.29052="",26852.33149="",31041.06667=""),"-",(31041.06667-26852.33149)/4831335.29052*100)</f>
        <v>0.08669932695872083</v>
      </c>
      <c r="G54" s="44">
        <f>IF(OR(5760057.05112="",35621.91756="",31041.06667=""),"-",(35621.91756-31041.06667)/5760057.05112*100)</f>
        <v>0.07952787358433003</v>
      </c>
    </row>
    <row r="55" spans="1:7" s="9" customFormat="1" ht="15.75">
      <c r="A55" s="31" t="s">
        <v>156</v>
      </c>
      <c r="B55" s="44">
        <f>IF(34872.27571="","-",34872.27571)</f>
        <v>34872.27571</v>
      </c>
      <c r="C55" s="44">
        <f>IF(OR(35945.32423="",34872.27571=""),"-",34872.27571/35945.32423*100)</f>
        <v>97.01477579355252</v>
      </c>
      <c r="D55" s="44">
        <f>IF(35945.32423="","-",35945.32423/5760057.05112*100)</f>
        <v>0.6240445869023241</v>
      </c>
      <c r="E55" s="44">
        <f>IF(34872.27571="","-",34872.27571/5841782.33754*100)</f>
        <v>0.59694582398092</v>
      </c>
      <c r="F55" s="44">
        <f>IF(OR(4831335.29052="",31651.12371="",35945.32423=""),"-",(35945.32423-31651.12371)/4831335.29052*100)</f>
        <v>0.08888227087915089</v>
      </c>
      <c r="G55" s="44">
        <f>IF(OR(5760057.05112="",34872.27571="",35945.32423=""),"-",(34872.27571-35945.32423)/5760057.05112*100)</f>
        <v>-0.018629130067233456</v>
      </c>
    </row>
    <row r="56" spans="1:7" s="9" customFormat="1" ht="15.75">
      <c r="A56" s="31" t="s">
        <v>66</v>
      </c>
      <c r="B56" s="44">
        <f>IF(24319.33999="","-",24319.33999)</f>
        <v>24319.33999</v>
      </c>
      <c r="C56" s="44">
        <f>IF(OR(27021.35924="",24319.33999=""),"-",24319.33999/27021.35924*100)</f>
        <v>90.00043178434868</v>
      </c>
      <c r="D56" s="44">
        <f>IF(27021.35924="","-",27021.35924/5760057.05112*100)</f>
        <v>0.4691161736800142</v>
      </c>
      <c r="E56" s="44">
        <f>IF(24319.33999="","-",24319.33999/5841782.33754*100)</f>
        <v>0.41630000203398504</v>
      </c>
      <c r="F56" s="44">
        <f>IF(OR(4831335.29052="",18021.69459="",27021.35924=""),"-",(27021.35924-18021.69459)/4831335.29052*100)</f>
        <v>0.1862769629683756</v>
      </c>
      <c r="G56" s="44">
        <f>IF(OR(5760057.05112="",24319.33999="",27021.35924=""),"-",(24319.33999-27021.35924)/5760057.05112*100)</f>
        <v>-0.04690959179778634</v>
      </c>
    </row>
    <row r="57" spans="1:7" s="9" customFormat="1" ht="15.75">
      <c r="A57" s="31" t="s">
        <v>70</v>
      </c>
      <c r="B57" s="44">
        <f>IF(21814.36302="","-",21814.36302)</f>
        <v>21814.36302</v>
      </c>
      <c r="C57" s="44">
        <f>IF(OR(20433.40014="",21814.36302=""),"-",21814.36302/20433.40014*100)</f>
        <v>106.75836067682467</v>
      </c>
      <c r="D57" s="44">
        <f>IF(20433.40014="","-",20433.40014/5760057.05112*100)</f>
        <v>0.35474301658222085</v>
      </c>
      <c r="E57" s="44">
        <f>IF(21814.36302="","-",21814.36302/5841782.33754*100)</f>
        <v>0.37341964762737334</v>
      </c>
      <c r="F57" s="44">
        <f>IF(OR(4831335.29052="",18947.23044="",20433.40014=""),"-",(20433.40014-18947.23044)/4831335.29052*100)</f>
        <v>0.03076105487681946</v>
      </c>
      <c r="G57" s="44">
        <f>IF(OR(5760057.05112="",21814.36302="",20433.40014=""),"-",(21814.36302-20433.40014)/5760057.05112*100)</f>
        <v>0.023974812536474464</v>
      </c>
    </row>
    <row r="58" spans="1:7" s="9" customFormat="1" ht="15.75">
      <c r="A58" s="31" t="s">
        <v>80</v>
      </c>
      <c r="B58" s="44">
        <f>IF(17090.72143="","-",17090.72143)</f>
        <v>17090.72143</v>
      </c>
      <c r="C58" s="44">
        <f>IF(OR(14952.06949="",17090.72143=""),"-",17090.72143/14952.06949*100)</f>
        <v>114.30338416652184</v>
      </c>
      <c r="D58" s="44">
        <f>IF(14952.06949="","-",14952.06949/5760057.05112*100)</f>
        <v>0.25958196867325617</v>
      </c>
      <c r="E58" s="44">
        <f>IF(17090.72143="","-",17090.72143/5841782.33754*100)</f>
        <v>0.29256005175292066</v>
      </c>
      <c r="F58" s="44">
        <f>IF(OR(4831335.29052="",12495.45573="",14952.06949=""),"-",(14952.06949-12495.45573)/4831335.29052*100)</f>
        <v>0.05084751134578351</v>
      </c>
      <c r="G58" s="44">
        <f>IF(OR(5760057.05112="",17090.72143="",14952.06949=""),"-",(17090.72143-14952.06949)/5760057.05112*100)</f>
        <v>0.03712900620635618</v>
      </c>
    </row>
    <row r="59" spans="1:7" s="9" customFormat="1" ht="15.75">
      <c r="A59" s="31" t="s">
        <v>61</v>
      </c>
      <c r="B59" s="44">
        <f>IF(12878.07077="","-",12878.07077)</f>
        <v>12878.07077</v>
      </c>
      <c r="C59" s="44">
        <f>IF(OR(11259.46788="",12878.07077=""),"-",12878.07077/11259.46788*100)</f>
        <v>114.37548299129745</v>
      </c>
      <c r="D59" s="44">
        <f>IF(11259.46788="","-",11259.46788/5760057.05112*100)</f>
        <v>0.19547493679443126</v>
      </c>
      <c r="E59" s="44">
        <f>IF(12878.07077="","-",12878.07077/5841782.33754*100)</f>
        <v>0.2204476309780315</v>
      </c>
      <c r="F59" s="44">
        <f>IF(OR(4831335.29052="",9691.98108="",11259.46788=""),"-",(11259.46788-9691.98108)/4831335.29052*100)</f>
        <v>0.03244417341673032</v>
      </c>
      <c r="G59" s="44">
        <f>IF(OR(5760057.05112="",12878.07077="",11259.46788=""),"-",(12878.07077-11259.46788)/5760057.05112*100)</f>
        <v>0.028100466291132914</v>
      </c>
    </row>
    <row r="60" spans="1:7" s="9" customFormat="1" ht="15.75">
      <c r="A60" s="31" t="s">
        <v>84</v>
      </c>
      <c r="B60" s="44">
        <f>IF(11347.78164="","-",11347.78164)</f>
        <v>11347.78164</v>
      </c>
      <c r="C60" s="44">
        <f>IF(OR(11827.43018="",11347.78164=""),"-",11347.78164/11827.43018*100)</f>
        <v>95.94460899197631</v>
      </c>
      <c r="D60" s="44">
        <f>IF(11827.43018="","-",11827.43018/5760057.05112*100)</f>
        <v>0.20533529572767414</v>
      </c>
      <c r="E60" s="44">
        <f>IF(11347.78164="","-",11347.78164/5841782.33754*100)</f>
        <v>0.19425204474117055</v>
      </c>
      <c r="F60" s="44">
        <f>IF(OR(4831335.29052="",5521.76368="",11827.43018=""),"-",(11827.43018-5521.76368)/4831335.29052*100)</f>
        <v>0.13051601929538853</v>
      </c>
      <c r="G60" s="44">
        <f>IF(OR(5760057.05112="",11347.78164="",11827.43018=""),"-",(11347.78164-11827.43018)/5760057.05112*100)</f>
        <v>-0.008327149119238951</v>
      </c>
    </row>
    <row r="61" spans="1:7" s="9" customFormat="1" ht="15.75">
      <c r="A61" s="31" t="s">
        <v>62</v>
      </c>
      <c r="B61" s="44">
        <f>IF(10610.50057="","-",10610.50057)</f>
        <v>10610.50057</v>
      </c>
      <c r="C61" s="44">
        <f>IF(OR(12306.90136="",10610.50057=""),"-",10610.50057/12306.90136*100)</f>
        <v>86.21585775024039</v>
      </c>
      <c r="D61" s="44">
        <f>IF(12306.90136="","-",12306.90136/5760057.05112*100)</f>
        <v>0.2136593657107444</v>
      </c>
      <c r="E61" s="44">
        <f>IF(10610.50057="","-",10610.50057/5841782.33754*100)</f>
        <v>0.18163122069467807</v>
      </c>
      <c r="F61" s="44">
        <f>IF(OR(4831335.29052="",8931.46072="",12306.90136=""),"-",(12306.90136-8931.46072)/4831335.29052*100)</f>
        <v>0.06986558450255477</v>
      </c>
      <c r="G61" s="44">
        <f>IF(OR(5760057.05112="",10610.50057="",12306.90136=""),"-",(10610.50057-12306.90136)/5760057.05112*100)</f>
        <v>-0.02945111089950311</v>
      </c>
    </row>
    <row r="62" spans="1:7" s="9" customFormat="1" ht="15.75">
      <c r="A62" s="31" t="s">
        <v>71</v>
      </c>
      <c r="B62" s="44">
        <f>IF(10240.53888="","-",10240.53888)</f>
        <v>10240.53888</v>
      </c>
      <c r="C62" s="44">
        <f>IF(OR(10683.35365="",10240.53888=""),"-",10240.53888/10683.35365*100)</f>
        <v>95.85509583874911</v>
      </c>
      <c r="D62" s="44">
        <f>IF(10683.35365="","-",10683.35365/5760057.05112*100)</f>
        <v>0.18547305270045375</v>
      </c>
      <c r="E62" s="44">
        <f>IF(10240.53888="","-",10240.53888/5841782.33754*100)</f>
        <v>0.17529819305647626</v>
      </c>
      <c r="F62" s="44">
        <f>IF(OR(4831335.29052="",9034.11337="",10683.35365=""),"-",(10683.35365-9034.11337)/4831335.29052*100)</f>
        <v>0.03413632424220533</v>
      </c>
      <c r="G62" s="44">
        <f>IF(OR(5760057.05112="",10240.53888="",10683.35365=""),"-",(10240.53888-10683.35365)/5760057.05112*100)</f>
        <v>-0.007687680279380168</v>
      </c>
    </row>
    <row r="63" spans="1:7" s="9" customFormat="1" ht="15.75">
      <c r="A63" s="31" t="s">
        <v>83</v>
      </c>
      <c r="B63" s="44">
        <f>IF(9968.81607="","-",9968.81607)</f>
        <v>9968.81607</v>
      </c>
      <c r="C63" s="44">
        <f>IF(OR(10380.55232="",9968.81607=""),"-",9968.81607/10380.55232*100)</f>
        <v>96.03358051375825</v>
      </c>
      <c r="D63" s="44">
        <f>IF(10380.55232="","-",10380.55232/5760057.05112*100)</f>
        <v>0.18021613723394597</v>
      </c>
      <c r="E63" s="44">
        <f>IF(9968.81607="","-",9968.81607/5841782.33754*100)</f>
        <v>0.17064682478734586</v>
      </c>
      <c r="F63" s="44">
        <f>IF(OR(4831335.29052="",7973.56512="",10380.55232=""),"-",(10380.55232-7973.56512)/4831335.29052*100)</f>
        <v>0.04982033030750252</v>
      </c>
      <c r="G63" s="44">
        <f>IF(OR(5760057.05112="",9968.81607="",10380.55232=""),"-",(9968.81607-10380.55232)/5760057.05112*100)</f>
        <v>-0.0071481279845994035</v>
      </c>
    </row>
    <row r="64" spans="1:7" s="9" customFormat="1" ht="15.75">
      <c r="A64" s="31" t="s">
        <v>78</v>
      </c>
      <c r="B64" s="44">
        <f>IF(9848.19465="","-",9848.19465)</f>
        <v>9848.19465</v>
      </c>
      <c r="C64" s="44">
        <f>IF(OR(8423.17209="",9848.19465=""),"-",9848.19465/8423.17209*100)</f>
        <v>116.91788491050525</v>
      </c>
      <c r="D64" s="44">
        <f>IF(8423.17209="","-",8423.17209/5760057.05112*100)</f>
        <v>0.146234178155617</v>
      </c>
      <c r="E64" s="44">
        <f>IF(9848.19465="","-",9848.19465/5841782.33754*100)</f>
        <v>0.16858201968112213</v>
      </c>
      <c r="F64" s="44">
        <f>IF(OR(4831335.29052="",7860.60962="",8423.17209=""),"-",(8423.17209-7860.60962)/4831335.29052*100)</f>
        <v>0.01164403702437822</v>
      </c>
      <c r="G64" s="44">
        <f>IF(OR(5760057.05112="",9848.19465="",8423.17209=""),"-",(9848.19465-8423.17209)/5760057.05112*100)</f>
        <v>0.024739729960190488</v>
      </c>
    </row>
    <row r="65" spans="1:7" s="9" customFormat="1" ht="15.75">
      <c r="A65" s="31" t="s">
        <v>63</v>
      </c>
      <c r="B65" s="44">
        <f>IF(8266.73058="","-",8266.73058)</f>
        <v>8266.73058</v>
      </c>
      <c r="C65" s="44">
        <f>IF(OR(7927.21115="",8266.73058=""),"-",8266.73058/7927.21115*100)</f>
        <v>104.28296185853456</v>
      </c>
      <c r="D65" s="44">
        <f>IF(7927.21115="","-",7927.21115/5760057.05112*100)</f>
        <v>0.13762383045248855</v>
      </c>
      <c r="E65" s="44">
        <f>IF(8266.73058="","-",8266.73058/5841782.33754*100)</f>
        <v>0.14151041758055566</v>
      </c>
      <c r="F65" s="44">
        <f>IF(OR(4831335.29052="",9344.45378="",7927.21115=""),"-",(7927.21115-9344.45378)/4831335.29052*100)</f>
        <v>-0.02933438779918462</v>
      </c>
      <c r="G65" s="44">
        <f>IF(OR(5760057.05112="",8266.73058="",7927.21115=""),"-",(8266.73058-7927.21115)/5760057.05112*100)</f>
        <v>0.005894376166534364</v>
      </c>
    </row>
    <row r="66" spans="1:7" s="9" customFormat="1" ht="15.75">
      <c r="A66" s="31" t="s">
        <v>86</v>
      </c>
      <c r="B66" s="44">
        <f>IF(8033.07987="","-",8033.07987)</f>
        <v>8033.07987</v>
      </c>
      <c r="C66" s="44">
        <f>IF(OR(6334.02255="",8033.07987=""),"-",8033.07987/6334.02255*100)</f>
        <v>126.82430172276543</v>
      </c>
      <c r="D66" s="44">
        <f>IF(6334.02255="","-",6334.02255/5760057.05112*100)</f>
        <v>0.1099645801037404</v>
      </c>
      <c r="E66" s="44">
        <f>IF(8033.07987="","-",8033.07987/5841782.33754*100)</f>
        <v>0.13751076993023956</v>
      </c>
      <c r="F66" s="44">
        <f>IF(OR(4831335.29052="",4063.80643="",6334.02255=""),"-",(6334.02255-4063.80643)/4831335.29052*100)</f>
        <v>0.04698941355725395</v>
      </c>
      <c r="G66" s="44">
        <f>IF(OR(5760057.05112="",8033.07987="",6334.02255=""),"-",(8033.07987-6334.02255)/5760057.05112*100)</f>
        <v>0.029497230755199392</v>
      </c>
    </row>
    <row r="67" spans="1:7" s="9" customFormat="1" ht="15.75">
      <c r="A67" s="31" t="s">
        <v>85</v>
      </c>
      <c r="B67" s="44">
        <f>IF(7446.20721="","-",7446.20721)</f>
        <v>7446.20721</v>
      </c>
      <c r="C67" s="44">
        <f>IF(OR(5615.20752="",7446.20721=""),"-",7446.20721/5615.20752*100)</f>
        <v>132.6078721664057</v>
      </c>
      <c r="D67" s="44">
        <f>IF(5615.20752="","-",5615.20752/5760057.05112*100)</f>
        <v>0.09748527610344007</v>
      </c>
      <c r="E67" s="44">
        <f>IF(7446.20721="","-",7446.20721/5841782.33754*100)</f>
        <v>0.12746464657112902</v>
      </c>
      <c r="F67" s="44">
        <f>IF(OR(4831335.29052="",4694.42355="",5615.20752=""),"-",(5615.20752-4694.42355)/4831335.29052*100)</f>
        <v>0.0190585814196492</v>
      </c>
      <c r="G67" s="44">
        <f>IF(OR(5760057.05112="",7446.20721="",5615.20752=""),"-",(7446.20721-5615.20752)/5760057.05112*100)</f>
        <v>0.03178787421287738</v>
      </c>
    </row>
    <row r="68" spans="1:7" s="9" customFormat="1" ht="15.75">
      <c r="A68" s="31" t="s">
        <v>74</v>
      </c>
      <c r="B68" s="44">
        <f>IF(6821.84665="","-",6821.84665)</f>
        <v>6821.84665</v>
      </c>
      <c r="C68" s="44">
        <f>IF(OR(4893.08943="",6821.84665=""),"-",6821.84665/4893.08943*100)</f>
        <v>139.41798423250972</v>
      </c>
      <c r="D68" s="44">
        <f>IF(4893.08943="","-",4893.08943/5760057.05112*100)</f>
        <v>0.08494862787945087</v>
      </c>
      <c r="E68" s="44">
        <f>IF(6821.84665="","-",6821.84665/5841782.33754*100)</f>
        <v>0.11677680296580016</v>
      </c>
      <c r="F68" s="44">
        <f>IF(OR(4831335.29052="",2811.01677="",4893.08943=""),"-",(4893.08943-2811.01677)/4831335.29052*100)</f>
        <v>0.04309518041700444</v>
      </c>
      <c r="G68" s="44">
        <f>IF(OR(5760057.05112="",6821.84665="",4893.08943=""),"-",(6821.84665-4893.08943)/5760057.05112*100)</f>
        <v>0.033485036743255314</v>
      </c>
    </row>
    <row r="69" spans="1:7" s="9" customFormat="1" ht="15.75">
      <c r="A69" s="31" t="s">
        <v>68</v>
      </c>
      <c r="B69" s="44">
        <f>IF(6301.47467="","-",6301.47467)</f>
        <v>6301.47467</v>
      </c>
      <c r="C69" s="44">
        <f>IF(OR(9124.86199="",6301.47467=""),"-",6301.47467/9124.86199*100)</f>
        <v>69.05830112176852</v>
      </c>
      <c r="D69" s="44">
        <f>IF(9124.86199="","-",9124.86199/5760057.05112*100)</f>
        <v>0.15841617381594753</v>
      </c>
      <c r="E69" s="44">
        <f>IF(6301.47467="","-",6301.47467/5841782.33754*100)</f>
        <v>0.10786904245825733</v>
      </c>
      <c r="F69" s="44">
        <f>IF(OR(4831335.29052="",6387.69302="",9124.86199=""),"-",(9124.86199-6387.69302)/4831335.29052*100)</f>
        <v>0.05665450243891883</v>
      </c>
      <c r="G69" s="44">
        <f>IF(OR(5760057.05112="",6301.47467="",9124.86199=""),"-",(6301.47467-9124.86199)/5760057.05112*100)</f>
        <v>-0.04901665547654625</v>
      </c>
    </row>
    <row r="70" spans="1:7" s="9" customFormat="1" ht="15.75">
      <c r="A70" s="31" t="s">
        <v>65</v>
      </c>
      <c r="B70" s="44">
        <f>IF(6189.57419="","-",6189.57419)</f>
        <v>6189.57419</v>
      </c>
      <c r="C70" s="44">
        <f>IF(OR(5508.56242="",6189.57419=""),"-",6189.57419/5508.56242*100)</f>
        <v>112.36278575200387</v>
      </c>
      <c r="D70" s="44">
        <f>IF(5508.56242="","-",5508.56242/5760057.05112*100)</f>
        <v>0.09563381701104681</v>
      </c>
      <c r="E70" s="44">
        <f>IF(6189.57419="","-",6189.57419/5841782.33754*100)</f>
        <v>0.10595352295522974</v>
      </c>
      <c r="F70" s="44">
        <f>IF(OR(4831335.29052="",5530.49987="",5508.56242=""),"-",(5508.56242-5530.49987)/4831335.29052*100)</f>
        <v>-0.0004540659813663709</v>
      </c>
      <c r="G70" s="44">
        <f>IF(OR(5760057.05112="",6189.57419="",5508.56242=""),"-",(6189.57419-5508.56242)/5760057.05112*100)</f>
        <v>0.011823003903539157</v>
      </c>
    </row>
    <row r="71" spans="1:7" s="9" customFormat="1" ht="15.75">
      <c r="A71" s="31" t="s">
        <v>81</v>
      </c>
      <c r="B71" s="44">
        <f>IF(6087.79617="","-",6087.79617)</f>
        <v>6087.79617</v>
      </c>
      <c r="C71" s="44">
        <f>IF(OR(7203.91624="",6087.79617=""),"-",6087.79617/7203.91624*100)</f>
        <v>84.50675947892475</v>
      </c>
      <c r="D71" s="44">
        <f>IF(7203.91624="","-",7203.91624/5760057.05112*100)</f>
        <v>0.1250667515280817</v>
      </c>
      <c r="E71" s="44">
        <f>IF(6087.79617="","-",6087.79617/5841782.33754*100)</f>
        <v>0.10421128036351313</v>
      </c>
      <c r="F71" s="44">
        <f>IF(OR(4831335.29052="",8557.08871="",7203.91624=""),"-",(7203.91624-8557.08871)/4831335.29052*100)</f>
        <v>-0.028008250072297455</v>
      </c>
      <c r="G71" s="44">
        <f>IF(OR(5760057.05112="",6087.79617="",7203.91624=""),"-",(6087.79617-7203.91624)/5760057.05112*100)</f>
        <v>-0.019376892626141243</v>
      </c>
    </row>
    <row r="72" spans="1:7" s="9" customFormat="1" ht="15.75">
      <c r="A72" s="31" t="s">
        <v>75</v>
      </c>
      <c r="B72" s="44">
        <f>IF(4882.32649="","-",4882.32649)</f>
        <v>4882.32649</v>
      </c>
      <c r="C72" s="44">
        <f>IF(OR(4728.28482="",4882.32649=""),"-",4882.32649/4728.28482*100)</f>
        <v>103.25787628842546</v>
      </c>
      <c r="D72" s="44">
        <f>IF(4728.28482="","-",4728.28482/5760057.05112*100)</f>
        <v>0.08208746507260063</v>
      </c>
      <c r="E72" s="44">
        <f>IF(4882.32649="","-",4882.32649/5841782.33754*100)</f>
        <v>0.08357597404178482</v>
      </c>
      <c r="F72" s="44">
        <f>IF(OR(4831335.29052="",1887.24722="",4728.28482=""),"-",(4728.28482-1887.24722)/4831335.29052*100)</f>
        <v>0.0588043973179559</v>
      </c>
      <c r="G72" s="44">
        <f>IF(OR(5760057.05112="",4882.32649="",4728.28482=""),"-",(4882.32649-4728.28482)/5760057.05112*100)</f>
        <v>0.002674308060369789</v>
      </c>
    </row>
    <row r="73" spans="1:7" s="9" customFormat="1" ht="15.75">
      <c r="A73" s="31" t="s">
        <v>160</v>
      </c>
      <c r="B73" s="44">
        <f>IF(4310.92719="","-",4310.92719)</f>
        <v>4310.92719</v>
      </c>
      <c r="C73" s="44">
        <f>IF(OR(4664.76933="",4310.92719=""),"-",4310.92719/4664.76933*100)</f>
        <v>92.4145844099005</v>
      </c>
      <c r="D73" s="44">
        <f>IF(4664.76933="","-",4664.76933/5760057.05112*100)</f>
        <v>0.08098477651524251</v>
      </c>
      <c r="E73" s="44">
        <f>IF(4310.92719="","-",4310.92719/5841782.33754*100)</f>
        <v>0.07379472463904485</v>
      </c>
      <c r="F73" s="44">
        <f>IF(OR(4831335.29052="",6968.13154="",4664.76933=""),"-",(4664.76933-6968.13154)/4831335.29052*100)</f>
        <v>-0.047675478340731915</v>
      </c>
      <c r="G73" s="44">
        <f>IF(OR(5760057.05112="",4310.92719="",4664.76933=""),"-",(4310.92719-4664.76933)/5760057.05112*100)</f>
        <v>-0.0061430318633944395</v>
      </c>
    </row>
    <row r="74" spans="1:7" s="9" customFormat="1" ht="15.75">
      <c r="A74" s="31" t="s">
        <v>87</v>
      </c>
      <c r="B74" s="44">
        <f>IF(4139.81072="","-",4139.81072)</f>
        <v>4139.81072</v>
      </c>
      <c r="C74" s="44" t="s">
        <v>180</v>
      </c>
      <c r="D74" s="44">
        <f>IF(1947.72949="","-",1947.72949/5760057.05112*100)</f>
        <v>0.03381441316837788</v>
      </c>
      <c r="E74" s="44">
        <f>IF(4139.81072="","-",4139.81072/5841782.33754*100)</f>
        <v>0.07086554206919138</v>
      </c>
      <c r="F74" s="44">
        <f>IF(OR(4831335.29052="",1636.25704="",1947.72949=""),"-",(1947.72949-1636.25704)/4831335.29052*100)</f>
        <v>0.006446922667759536</v>
      </c>
      <c r="G74" s="44">
        <f>IF(OR(5760057.05112="",4139.81072="",1947.72949=""),"-",(4139.81072-1947.72949)/5760057.05112*100)</f>
        <v>0.03805658885919831</v>
      </c>
    </row>
    <row r="75" spans="1:7" s="9" customFormat="1" ht="15.75">
      <c r="A75" s="31" t="s">
        <v>82</v>
      </c>
      <c r="B75" s="44">
        <f>IF(3549.397="","-",3549.397)</f>
        <v>3549.397</v>
      </c>
      <c r="C75" s="44">
        <f>IF(OR(5067.59775="",3549.397=""),"-",3549.397/5067.59775*100)</f>
        <v>70.04101696903626</v>
      </c>
      <c r="D75" s="44">
        <f>IF(5067.59775="","-",5067.59775/5760057.05112*100)</f>
        <v>0.08797825620519928</v>
      </c>
      <c r="E75" s="44">
        <f>IF(3549.397="","-",3549.397/5841782.33754*100)</f>
        <v>0.06075880262075404</v>
      </c>
      <c r="F75" s="44">
        <f>IF(OR(4831335.29052="",6101.90761="",5067.59775=""),"-",(5067.59775-6101.90761)/4831335.29052*100)</f>
        <v>-0.02140836430933521</v>
      </c>
      <c r="G75" s="44">
        <f>IF(OR(5760057.05112="",3549.397="",5067.59775=""),"-",(3549.397-5067.59775)/5760057.05112*100)</f>
        <v>-0.02635739084745345</v>
      </c>
    </row>
    <row r="76" spans="1:7" s="9" customFormat="1" ht="15.75">
      <c r="A76" s="31" t="s">
        <v>38</v>
      </c>
      <c r="B76" s="44">
        <f>IF(3471.39009="","-",3471.39009)</f>
        <v>3471.39009</v>
      </c>
      <c r="C76" s="44">
        <f>IF(OR(2779.92173="",3471.39009=""),"-",3471.39009/2779.92173*100)</f>
        <v>124.87366289985438</v>
      </c>
      <c r="D76" s="44">
        <f>IF(2779.92173="","-",2779.92173/5760057.05112*100)</f>
        <v>0.04826205201317346</v>
      </c>
      <c r="E76" s="44">
        <f>IF(3471.39009="","-",3471.39009/5841782.33754*100)</f>
        <v>0.05942347539538451</v>
      </c>
      <c r="F76" s="44">
        <f>IF(OR(4831335.29052="",983.13903="",2779.92173=""),"-",(2779.92173-983.13903)/4831335.29052*100)</f>
        <v>0.03719018846664668</v>
      </c>
      <c r="G76" s="44">
        <f>IF(OR(5760057.05112="",3471.39009="",2779.92173=""),"-",(3471.39009-2779.92173)/5760057.05112*100)</f>
        <v>0.012004540126309148</v>
      </c>
    </row>
    <row r="77" spans="1:7" s="9" customFormat="1" ht="15.75">
      <c r="A77" s="31" t="s">
        <v>39</v>
      </c>
      <c r="B77" s="44">
        <f>IF(3378.04162="","-",3378.04162)</f>
        <v>3378.04162</v>
      </c>
      <c r="C77" s="44">
        <f>IF(OR(4194.99111="",3378.04162=""),"-",3378.04162/4194.99111*100)</f>
        <v>80.52559663231324</v>
      </c>
      <c r="D77" s="44">
        <f>IF(4194.99111="","-",4194.99111/5760057.05112*100)</f>
        <v>0.07282898542097453</v>
      </c>
      <c r="E77" s="44">
        <f>IF(3378.04162="","-",3378.04162/5841782.33754*100)</f>
        <v>0.05782553037439098</v>
      </c>
      <c r="F77" s="44">
        <f>IF(OR(4831335.29052="",2576.71424="",4194.99111=""),"-",(4194.99111-2576.71424)/4831335.29052*100)</f>
        <v>0.033495437031153014</v>
      </c>
      <c r="G77" s="44">
        <f>IF(OR(5760057.05112="",3378.04162="",4194.99111=""),"-",(3378.04162-4194.99111)/5760057.05112*100)</f>
        <v>-0.01418301038947436</v>
      </c>
    </row>
    <row r="78" spans="1:7" s="9" customFormat="1" ht="15.75">
      <c r="A78" s="31" t="s">
        <v>88</v>
      </c>
      <c r="B78" s="44">
        <f>IF(3238.90925="","-",3238.90925)</f>
        <v>3238.90925</v>
      </c>
      <c r="C78" s="44">
        <f>IF(OR(2900.30168="",3238.90925=""),"-",3238.90925/2900.30168*100)</f>
        <v>111.67490859088838</v>
      </c>
      <c r="D78" s="44">
        <f>IF(2900.30168="","-",2900.30168/5760057.05112*100)</f>
        <v>0.050351961000734496</v>
      </c>
      <c r="E78" s="44">
        <f>IF(3238.90925="","-",3238.90925/5841782.33754*100)</f>
        <v>0.055443853653813456</v>
      </c>
      <c r="F78" s="44">
        <f>IF(OR(4831335.29052="",3971.2416="",2900.30168=""),"-",(2900.30168-3971.2416)/4831335.29052*100)</f>
        <v>-0.022166541040970347</v>
      </c>
      <c r="G78" s="44">
        <f>IF(OR(5760057.05112="",3238.90925="",2900.30168=""),"-",(3238.90925-2900.30168)/5760057.05112*100)</f>
        <v>0.005878545420555521</v>
      </c>
    </row>
    <row r="79" spans="1:7" s="9" customFormat="1" ht="15.75">
      <c r="A79" s="31" t="s">
        <v>58</v>
      </c>
      <c r="B79" s="44">
        <f>IF(3094.92115="","-",3094.92115)</f>
        <v>3094.92115</v>
      </c>
      <c r="C79" s="44">
        <f>IF(OR(2717.72727="",3094.92115=""),"-",3094.92115/2717.72727*100)</f>
        <v>113.87901884650849</v>
      </c>
      <c r="D79" s="44">
        <f>IF(2717.72727="","-",2717.72727/5760057.05112*100)</f>
        <v>0.047182297777268685</v>
      </c>
      <c r="E79" s="44">
        <f>IF(3094.92115="","-",3094.92115/5841782.33754*100)</f>
        <v>0.052979056239594244</v>
      </c>
      <c r="F79" s="44">
        <f>IF(OR(4831335.29052="",1932.21669="",2717.72727=""),"-",(2717.72727-1932.21669)/4831335.29052*100)</f>
        <v>0.016258664173884208</v>
      </c>
      <c r="G79" s="44">
        <f>IF(OR(5760057.05112="",3094.92115="",2717.72727=""),"-",(3094.92115-2717.72727)/5760057.05112*100)</f>
        <v>0.00654844000072287</v>
      </c>
    </row>
    <row r="80" spans="1:7" s="9" customFormat="1" ht="15.75">
      <c r="A80" s="31" t="s">
        <v>37</v>
      </c>
      <c r="B80" s="44">
        <f>IF(2891.91941="","-",2891.91941)</f>
        <v>2891.91941</v>
      </c>
      <c r="C80" s="44" t="s">
        <v>106</v>
      </c>
      <c r="D80" s="44">
        <f>IF(1798.49973="","-",1798.49973/5760057.05112*100)</f>
        <v>0.0312236443847426</v>
      </c>
      <c r="E80" s="44">
        <f>IF(2891.91941="","-",2891.91941/5841782.33754*100)</f>
        <v>0.04950405959866351</v>
      </c>
      <c r="F80" s="44">
        <f>IF(OR(4831335.29052="",795.79766="",1798.49973=""),"-",(1798.49973-795.79766)/4831335.29052*100)</f>
        <v>0.020754139584712582</v>
      </c>
      <c r="G80" s="44">
        <f>IF(OR(5760057.05112="",2891.91941="",1798.49973=""),"-",(2891.91941-1798.49973)/5760057.05112*100)</f>
        <v>0.01898279253653213</v>
      </c>
    </row>
    <row r="81" spans="1:7" s="9" customFormat="1" ht="15.75">
      <c r="A81" s="31" t="s">
        <v>247</v>
      </c>
      <c r="B81" s="44">
        <f>IF(2713.71696="","-",2713.71696)</f>
        <v>2713.71696</v>
      </c>
      <c r="C81" s="44">
        <f>IF(OR(3209.3554="",2713.71696=""),"-",2713.71696/3209.3554*100)</f>
        <v>84.55644893675534</v>
      </c>
      <c r="D81" s="44">
        <f>IF(3209.3554="","-",3209.3554/5760057.05112*100)</f>
        <v>0.05571742382961233</v>
      </c>
      <c r="E81" s="44">
        <f>IF(2713.71696="","-",2713.71696/5841782.33754*100)</f>
        <v>0.04645357877443202</v>
      </c>
      <c r="F81" s="44">
        <f>IF(OR(4831335.29052="",1931.06172="",3209.3554=""),"-",(3209.3554-1931.06172)/4831335.29052*100)</f>
        <v>0.026458393034908087</v>
      </c>
      <c r="G81" s="44">
        <f>IF(OR(5760057.05112="",2713.71696="",3209.3554=""),"-",(2713.71696-3209.3554)/5760057.05112*100)</f>
        <v>-0.008604748800250625</v>
      </c>
    </row>
    <row r="82" spans="1:7" s="9" customFormat="1" ht="15.75">
      <c r="A82" s="31" t="s">
        <v>139</v>
      </c>
      <c r="B82" s="44">
        <f>IF(2516.73174="","-",2516.73174)</f>
        <v>2516.73174</v>
      </c>
      <c r="C82" s="44">
        <f>IF(OR(1808.28883="",2516.73174=""),"-",2516.73174/1808.28883*100)</f>
        <v>139.17753061605762</v>
      </c>
      <c r="D82" s="44">
        <f>IF(1808.28883="","-",1808.28883/5760057.05112*100)</f>
        <v>0.031393592354235306</v>
      </c>
      <c r="E82" s="44">
        <f>IF(2516.73174="","-",2516.73174/5841782.33754*100)</f>
        <v>0.04308157330387299</v>
      </c>
      <c r="F82" s="44">
        <f>IF(OR(4831335.29052="",561.66514="",1808.28883=""),"-",(1808.28883-561.66514)/4831335.29052*100)</f>
        <v>0.02580288088152592</v>
      </c>
      <c r="G82" s="44">
        <f>IF(OR(5760057.05112="",2516.73174="",1808.28883=""),"-",(2516.73174-1808.28883)/5760057.05112*100)</f>
        <v>0.012299234256060864</v>
      </c>
    </row>
    <row r="83" spans="1:7" s="9" customFormat="1" ht="15.75">
      <c r="A83" s="31" t="s">
        <v>92</v>
      </c>
      <c r="B83" s="44">
        <f>IF(2408.37821="","-",2408.37821)</f>
        <v>2408.37821</v>
      </c>
      <c r="C83" s="44">
        <f>IF(OR(1930.37373="",2408.37821=""),"-",2408.37821/1930.37373*100)</f>
        <v>124.76227647378934</v>
      </c>
      <c r="D83" s="44">
        <f>IF(1930.37373="","-",1930.37373/5760057.05112*100)</f>
        <v>0.033513100875010485</v>
      </c>
      <c r="E83" s="44">
        <f>IF(2408.37821="","-",2408.37821/5841782.33754*100)</f>
        <v>0.04122677071556518</v>
      </c>
      <c r="F83" s="44">
        <f>IF(OR(4831335.29052="",1970.70575="",1930.37373=""),"-",(1930.37373-1970.70575)/4831335.29052*100)</f>
        <v>-0.0008348006829320903</v>
      </c>
      <c r="G83" s="44">
        <f>IF(OR(5760057.05112="",2408.37821="",1930.37373=""),"-",(2408.37821-1930.37373)/5760057.05112*100)</f>
        <v>0.008298606693610013</v>
      </c>
    </row>
    <row r="84" spans="1:7" s="9" customFormat="1" ht="15.75">
      <c r="A84" s="31" t="s">
        <v>89</v>
      </c>
      <c r="B84" s="44">
        <f>IF(2316.17779="","-",2316.17779)</f>
        <v>2316.17779</v>
      </c>
      <c r="C84" s="44">
        <f>IF(OR(4203.04325="",2316.17779=""),"-",2316.17779/4203.04325*100)</f>
        <v>55.1071605080438</v>
      </c>
      <c r="D84" s="44">
        <f>IF(4203.04325="","-",4203.04325/5760057.05112*100)</f>
        <v>0.0729687781335907</v>
      </c>
      <c r="E84" s="44">
        <f>IF(2316.17779="","-",2316.17779/5841782.33754*100)</f>
        <v>0.03964847808717489</v>
      </c>
      <c r="F84" s="44">
        <f>IF(OR(4831335.29052="",2120.06239="",4203.04325=""),"-",(4203.04325-2120.06239)/4831335.29052*100)</f>
        <v>0.04311397853275066</v>
      </c>
      <c r="G84" s="44">
        <f>IF(OR(5760057.05112="",2316.17779="",4203.04325=""),"-",(2316.17779-4203.04325)/5760057.05112*100)</f>
        <v>-0.03275775644675451</v>
      </c>
    </row>
    <row r="85" spans="1:7" s="9" customFormat="1" ht="15.75">
      <c r="A85" s="31" t="s">
        <v>73</v>
      </c>
      <c r="B85" s="44">
        <f>IF(1766.83601="","-",1766.83601)</f>
        <v>1766.83601</v>
      </c>
      <c r="C85" s="44">
        <f>IF(OR(2338.40476="",1766.83601=""),"-",1766.83601/2338.40476*100)</f>
        <v>75.55732182139417</v>
      </c>
      <c r="D85" s="44">
        <f>IF(2338.40476="","-",2338.40476/5760057.05112*100)</f>
        <v>0.04059690276063003</v>
      </c>
      <c r="E85" s="44">
        <f>IF(1766.83601="","-",1766.83601/5841782.33754*100)</f>
        <v>0.030244810708644484</v>
      </c>
      <c r="F85" s="44">
        <f>IF(OR(4831335.29052="",1737.79037="",2338.40476=""),"-",(2338.40476-1737.79037)/4831335.29052*100)</f>
        <v>0.012431643715113704</v>
      </c>
      <c r="G85" s="44">
        <f>IF(OR(5760057.05112="",1766.83601="",2338.40476=""),"-",(1766.83601-2338.40476)/5760057.05112*100)</f>
        <v>-0.009922970292262343</v>
      </c>
    </row>
    <row r="86" spans="1:7" s="9" customFormat="1" ht="15.75">
      <c r="A86" s="31" t="s">
        <v>67</v>
      </c>
      <c r="B86" s="44">
        <f>IF(1736.56726="","-",1736.56726)</f>
        <v>1736.56726</v>
      </c>
      <c r="C86" s="44">
        <f>IF(OR(1745.30948="",1736.56726=""),"-",1736.56726/1745.30948*100)</f>
        <v>99.49910201599317</v>
      </c>
      <c r="D86" s="44">
        <f>IF(1745.30948="","-",1745.30948/5760057.05112*100)</f>
        <v>0.03030021169079632</v>
      </c>
      <c r="E86" s="44">
        <f>IF(1736.56726="","-",1736.56726/5841782.33754*100)</f>
        <v>0.029726668329297528</v>
      </c>
      <c r="F86" s="44">
        <f>IF(OR(4831335.29052="",1353.73027="",1745.30948=""),"-",(1745.30948-1353.73027)/4831335.29052*100)</f>
        <v>0.008104989334280999</v>
      </c>
      <c r="G86" s="44">
        <f>IF(OR(5760057.05112="",1736.56726="",1745.30948=""),"-",(1736.56726-1745.30948)/5760057.05112*100)</f>
        <v>-0.00015177314950899664</v>
      </c>
    </row>
    <row r="87" spans="1:7" s="9" customFormat="1" ht="15.75">
      <c r="A87" s="31" t="s">
        <v>90</v>
      </c>
      <c r="B87" s="44">
        <f>IF(1391.48408="","-",1391.48408)</f>
        <v>1391.48408</v>
      </c>
      <c r="C87" s="44">
        <f>IF(OR(1414.77718="",1391.48408=""),"-",1391.48408/1414.77718*100)</f>
        <v>98.35358526209758</v>
      </c>
      <c r="D87" s="44">
        <f>IF(1414.77718="","-",1414.77718/5760057.05112*100)</f>
        <v>0.024561860541379658</v>
      </c>
      <c r="E87" s="44">
        <f>IF(1391.48408="","-",1391.48408/5841782.33754*100)</f>
        <v>0.02381951260077177</v>
      </c>
      <c r="F87" s="44">
        <f>IF(OR(4831335.29052="",1277.1382="",1414.77718=""),"-",(1414.77718-1277.1382)/4831335.29052*100)</f>
        <v>0.00284888072806857</v>
      </c>
      <c r="G87" s="44">
        <f>IF(OR(5760057.05112="",1391.48408="",1414.77718=""),"-",(1391.48408-1414.77718)/5760057.05112*100)</f>
        <v>-0.00040439009185631115</v>
      </c>
    </row>
    <row r="88" spans="1:7" s="9" customFormat="1" ht="15.75">
      <c r="A88" s="31" t="s">
        <v>101</v>
      </c>
      <c r="B88" s="44">
        <f>IF(1285.59517="","-",1285.59517)</f>
        <v>1285.59517</v>
      </c>
      <c r="C88" s="44">
        <f>IF(OR(883.07746="",1285.59517=""),"-",1285.59517/883.07746*100)</f>
        <v>145.58124606645492</v>
      </c>
      <c r="D88" s="44">
        <f>IF(883.07746="","-",883.07746/5760057.05112*100)</f>
        <v>0.01533105405315894</v>
      </c>
      <c r="E88" s="44">
        <f>IF(1285.59517="","-",1285.59517/5841782.33754*100)</f>
        <v>0.022006899533702412</v>
      </c>
      <c r="F88" s="44">
        <f>IF(OR(4831335.29052="",163.16692="",883.07746=""),"-",(883.07746-163.16692)/4831335.29052*100)</f>
        <v>0.014900860667083104</v>
      </c>
      <c r="G88" s="44">
        <f>IF(OR(5760057.05112="",1285.59517="",883.07746=""),"-",(1285.59517-883.07746)/5760057.05112*100)</f>
        <v>0.006988085472551587</v>
      </c>
    </row>
    <row r="89" spans="1:7" s="9" customFormat="1" ht="15.75">
      <c r="A89" s="31" t="s">
        <v>97</v>
      </c>
      <c r="B89" s="44">
        <f>IF(1027.64774="","-",1027.64774)</f>
        <v>1027.64774</v>
      </c>
      <c r="C89" s="44">
        <f>IF(OR(1242.80256="",1027.64774=""),"-",1027.64774/1242.80256*100)</f>
        <v>82.68793234542422</v>
      </c>
      <c r="D89" s="44">
        <f>IF(1242.80256="","-",1242.80256/5760057.05112*100)</f>
        <v>0.021576219627170993</v>
      </c>
      <c r="E89" s="44">
        <f>IF(1027.64774="","-",1027.64774/5841782.33754*100)</f>
        <v>0.01759133909177361</v>
      </c>
      <c r="F89" s="44">
        <f>IF(OR(4831335.29052="",583.80968="",1242.80256=""),"-",(1242.80256-583.80968)/4831335.29052*100)</f>
        <v>0.013639974052164619</v>
      </c>
      <c r="G89" s="44">
        <f>IF(OR(5760057.05112="",1027.64774="",1242.80256=""),"-",(1027.64774-1242.80256)/5760057.05112*100)</f>
        <v>-0.003735289739155704</v>
      </c>
    </row>
    <row r="90" spans="1:7" s="9" customFormat="1" ht="15.75">
      <c r="A90" s="31" t="s">
        <v>79</v>
      </c>
      <c r="B90" s="44">
        <f>IF(1008.96485="","-",1008.96485)</f>
        <v>1008.96485</v>
      </c>
      <c r="C90" s="44">
        <f>IF(OR(1092.67141="",1008.96485=""),"-",1008.96485/1092.67141*100)</f>
        <v>92.33927425629265</v>
      </c>
      <c r="D90" s="44">
        <f>IF(1092.67141="","-",1092.67141/5760057.05112*100)</f>
        <v>0.018969801866589815</v>
      </c>
      <c r="E90" s="44">
        <f>IF(1008.96485="","-",1008.96485/5841782.33754*100)</f>
        <v>0.01727152419761123</v>
      </c>
      <c r="F90" s="44">
        <f>IF(OR(4831335.29052="",706.11265="",1092.67141=""),"-",(1092.67141-706.11265)/4831335.29052*100)</f>
        <v>0.008001074998013526</v>
      </c>
      <c r="G90" s="44">
        <f>IF(OR(5760057.05112="",1008.96485="",1092.67141=""),"-",(1008.96485-1092.67141)/5760057.05112*100)</f>
        <v>-0.0014532244951241213</v>
      </c>
    </row>
    <row r="91" spans="1:7" s="9" customFormat="1" ht="15.75">
      <c r="A91" s="31" t="s">
        <v>140</v>
      </c>
      <c r="B91" s="44">
        <f>IF(941.81715="","-",941.81715)</f>
        <v>941.81715</v>
      </c>
      <c r="C91" s="44">
        <f>IF(OR(1599.82487="",941.81715=""),"-",941.81715/1599.82487*100)</f>
        <v>58.87001556614131</v>
      </c>
      <c r="D91" s="44">
        <f>IF(1599.82487="","-",1599.82487/5760057.05112*100)</f>
        <v>0.0277744622284414</v>
      </c>
      <c r="E91" s="44">
        <f>IF(941.81715="","-",941.81715/5841782.33754*100)</f>
        <v>0.01612208561670929</v>
      </c>
      <c r="F91" s="44">
        <f>IF(OR(4831335.29052="",891.35055="",1599.82487=""),"-",(1599.82487-891.35055)/4831335.29052*100)</f>
        <v>0.014664151365982847</v>
      </c>
      <c r="G91" s="44">
        <f>IF(OR(5760057.05112="",941.81715="",1599.82487=""),"-",(941.81715-1599.82487)/5760057.05112*100)</f>
        <v>-0.011423631991145908</v>
      </c>
    </row>
    <row r="92" spans="1:7" s="9" customFormat="1" ht="15.75">
      <c r="A92" s="31" t="s">
        <v>155</v>
      </c>
      <c r="B92" s="44">
        <f>IF(908.02095="","-",908.02095)</f>
        <v>908.02095</v>
      </c>
      <c r="C92" s="44">
        <f>IF(OR(803.4298="",908.02095=""),"-",908.02095/803.4298*100)</f>
        <v>113.01808197803965</v>
      </c>
      <c r="D92" s="44">
        <f>IF(803.4298="","-",803.4298/5760057.05112*100)</f>
        <v>0.0139482958739754</v>
      </c>
      <c r="E92" s="44">
        <f>IF(908.02095="","-",908.02095/5841782.33754*100)</f>
        <v>0.01554356012487743</v>
      </c>
      <c r="F92" s="44">
        <f>IF(OR(4831335.29052="",897.46841="",803.4298=""),"-",(803.4298-897.46841)/4831335.29052*100)</f>
        <v>-0.0019464310453576178</v>
      </c>
      <c r="G92" s="44">
        <f>IF(OR(5760057.05112="",908.02095="",803.4298=""),"-",(908.02095-803.4298)/5760057.05112*100)</f>
        <v>0.001815800591413639</v>
      </c>
    </row>
    <row r="93" spans="1:7" ht="15.75">
      <c r="A93" s="31" t="s">
        <v>94</v>
      </c>
      <c r="B93" s="44">
        <f>IF(889.52827="","-",889.52827)</f>
        <v>889.52827</v>
      </c>
      <c r="C93" s="44">
        <f>IF(OR(930.77464="",889.52827=""),"-",889.52827/930.77464*100)</f>
        <v>95.56859757158833</v>
      </c>
      <c r="D93" s="44">
        <f>IF(930.77464="","-",930.77464/5760057.05112*100)</f>
        <v>0.01615912189305517</v>
      </c>
      <c r="E93" s="44">
        <f>IF(889.52827="","-",889.52827/5841782.33754*100)</f>
        <v>0.015227001257540595</v>
      </c>
      <c r="F93" s="44">
        <f>IF(OR(4831335.29052="",921.4529="",930.77464=""),"-",(930.77464-921.4529)/4831335.29052*100)</f>
        <v>0.00019294334670357088</v>
      </c>
      <c r="G93" s="44">
        <f>IF(OR(5760057.05112="",889.52827="",930.77464=""),"-",(889.52827-930.77464)/5760057.05112*100)</f>
        <v>-0.0007160757199788483</v>
      </c>
    </row>
    <row r="94" spans="1:7" ht="15.75">
      <c r="A94" s="31" t="s">
        <v>93</v>
      </c>
      <c r="B94" s="44">
        <f>IF(882.15277="","-",882.15277)</f>
        <v>882.15277</v>
      </c>
      <c r="C94" s="44">
        <f>IF(OR(1188.9776="",882.15277=""),"-",882.15277/1188.9776*100)</f>
        <v>74.19422956328194</v>
      </c>
      <c r="D94" s="44">
        <f>IF(1188.9776="","-",1188.9776/5760057.05112*100)</f>
        <v>0.02064176777153296</v>
      </c>
      <c r="E94" s="44">
        <f>IF(882.15277="","-",882.15277/5841782.33754*100)</f>
        <v>0.01510074698146796</v>
      </c>
      <c r="F94" s="44">
        <f>IF(OR(4831335.29052="",1075.28886="",1188.9776=""),"-",(1188.9776-1075.28886)/4831335.29052*100)</f>
        <v>0.002353153593439867</v>
      </c>
      <c r="G94" s="44">
        <f>IF(OR(5760057.05112="",882.15277="",1188.9776=""),"-",(882.15277-1188.9776)/5760057.05112*100)</f>
        <v>-0.005326767205202249</v>
      </c>
    </row>
    <row r="95" spans="1:7" ht="15.75">
      <c r="A95" s="31" t="s">
        <v>98</v>
      </c>
      <c r="B95" s="44">
        <f>IF(807.44856="","-",807.44856)</f>
        <v>807.44856</v>
      </c>
      <c r="C95" s="44">
        <f>IF(OR(743.43902="",807.44856=""),"-",807.44856/743.43902*100)</f>
        <v>108.60992472523168</v>
      </c>
      <c r="D95" s="44">
        <f>IF(743.43902="","-",743.43902/5760057.05112*100)</f>
        <v>0.012906799592470077</v>
      </c>
      <c r="E95" s="44">
        <f>IF(807.44856="","-",807.44856/5841782.33754*100)</f>
        <v>0.013821955583850461</v>
      </c>
      <c r="F95" s="44">
        <f>IF(OR(4831335.29052="",366.84036="",743.43902=""),"-",(743.43902-366.84036)/4831335.29052*100)</f>
        <v>0.007794918740973294</v>
      </c>
      <c r="G95" s="44">
        <f>IF(OR(5760057.05112="",807.44856="",743.43902=""),"-",(807.44856-743.43902)/5760057.05112*100)</f>
        <v>0.0011112657293481814</v>
      </c>
    </row>
    <row r="96" spans="1:7" ht="15.75">
      <c r="A96" s="31" t="s">
        <v>64</v>
      </c>
      <c r="B96" s="44">
        <f>IF(762.49841="","-",762.49841)</f>
        <v>762.49841</v>
      </c>
      <c r="C96" s="44" t="s">
        <v>106</v>
      </c>
      <c r="D96" s="44">
        <f>IF(483.06396="","-",483.06396/5760057.05112*100)</f>
        <v>0.008386444018051381</v>
      </c>
      <c r="E96" s="44">
        <f>IF(762.49841="","-",762.49841/5841782.33754*100)</f>
        <v>0.013052496069565841</v>
      </c>
      <c r="F96" s="44">
        <f>IF(OR(4831335.29052="",218.48101="",483.06396=""),"-",(483.06396-218.48101)/4831335.29052*100)</f>
        <v>0.005476393876433335</v>
      </c>
      <c r="G96" s="44">
        <f>IF(OR(5760057.05112="",762.49841="",483.06396=""),"-",(762.49841-483.06396)/5760057.05112*100)</f>
        <v>0.004851244484560549</v>
      </c>
    </row>
    <row r="97" spans="1:7" ht="15.75">
      <c r="A97" s="31" t="s">
        <v>111</v>
      </c>
      <c r="B97" s="44">
        <f>IF(488.78097="","-",488.78097)</f>
        <v>488.78097</v>
      </c>
      <c r="C97" s="44" t="s">
        <v>275</v>
      </c>
      <c r="D97" s="44">
        <f>IF(75.01705="","-",75.01705/5760057.05112*100)</f>
        <v>0.0013023664407180392</v>
      </c>
      <c r="E97" s="44">
        <f>IF(488.78097="","-",488.78097/5841782.33754*100)</f>
        <v>0.008366983597780328</v>
      </c>
      <c r="F97" s="44">
        <f>IF(OR(4831335.29052="",0.10503="",75.01705=""),"-",(75.01705-0.10503)/4831335.29052*100)</f>
        <v>0.0015505448389597728</v>
      </c>
      <c r="G97" s="44">
        <f>IF(OR(5760057.05112="",488.78097="",75.01705=""),"-",(488.78097-75.01705)/5760057.05112*100)</f>
        <v>0.007183330240097999</v>
      </c>
    </row>
    <row r="98" spans="1:7" ht="15.75">
      <c r="A98" s="31" t="s">
        <v>91</v>
      </c>
      <c r="B98" s="44">
        <f>IF(483.33448="","-",483.33448)</f>
        <v>483.33448</v>
      </c>
      <c r="C98" s="44">
        <f>IF(OR(1252.14911="",483.33448=""),"-",483.33448/1252.14911*100)</f>
        <v>38.60039320716364</v>
      </c>
      <c r="D98" s="44">
        <f>IF(1252.14911="","-",1252.14911/5760057.05112*100)</f>
        <v>0.02173848451304018</v>
      </c>
      <c r="E98" s="44">
        <f>IF(483.33448="","-",483.33448/5841782.33754*100)</f>
        <v>0.008273750237047248</v>
      </c>
      <c r="F98" s="44">
        <f>IF(OR(4831335.29052="",561.79504="",1252.14911=""),"-",(1252.14911-561.79504)/4831335.29052*100)</f>
        <v>0.014289094597814527</v>
      </c>
      <c r="G98" s="44">
        <f>IF(OR(5760057.05112="",483.33448="",1252.14911=""),"-",(483.33448-1252.14911)/5760057.05112*100)</f>
        <v>-0.013347344013728299</v>
      </c>
    </row>
    <row r="99" spans="1:7" ht="15.75">
      <c r="A99" s="31" t="s">
        <v>95</v>
      </c>
      <c r="B99" s="44">
        <f>IF(455.70396="","-",455.70396)</f>
        <v>455.70396</v>
      </c>
      <c r="C99" s="44">
        <f>IF(OR(607.63097="",455.70396=""),"-",455.70396/607.63097*100)</f>
        <v>74.99682907867582</v>
      </c>
      <c r="D99" s="44">
        <f>IF(607.63097="","-",607.63097/5760057.05112*100)</f>
        <v>0.010549044299515241</v>
      </c>
      <c r="E99" s="44">
        <f>IF(455.70396="","-",455.70396/5841782.33754*100)</f>
        <v>0.007800769245913036</v>
      </c>
      <c r="F99" s="44">
        <f>IF(OR(4831335.29052="",606.74557="",607.63097=""),"-",(607.63097-606.74557)/4831335.29052*100)</f>
        <v>1.8326196522467144E-05</v>
      </c>
      <c r="G99" s="44">
        <f>IF(OR(5760057.05112="",455.70396="",607.63097=""),"-",(455.70396-607.63097)/5760057.05112*100)</f>
        <v>-0.002637595576774001</v>
      </c>
    </row>
    <row r="100" spans="1:7" ht="15.75">
      <c r="A100" s="31" t="s">
        <v>174</v>
      </c>
      <c r="B100" s="44">
        <f>IF(443.11682="","-",443.11682)</f>
        <v>443.11682</v>
      </c>
      <c r="C100" s="44" t="s">
        <v>276</v>
      </c>
      <c r="D100" s="44">
        <f>IF(131.62717="","-",131.62717/5760057.05112*100)</f>
        <v>0.0022851712896559957</v>
      </c>
      <c r="E100" s="44">
        <f>IF(443.11682="","-",443.11682/5841782.33754*100)</f>
        <v>0.0075853017862798095</v>
      </c>
      <c r="F100" s="44">
        <f>IF(OR(4831335.29052="",13.52598="",131.62717=""),"-",(131.62717-13.52598)/4831335.29052*100)</f>
        <v>0.002444483417073889</v>
      </c>
      <c r="G100" s="44">
        <f>IF(OR(5760057.05112="",443.11682="",131.62717=""),"-",(443.11682-131.62717)/5760057.05112*100)</f>
        <v>0.00540775286139628</v>
      </c>
    </row>
    <row r="101" spans="1:7" ht="15.75">
      <c r="A101" s="31" t="s">
        <v>103</v>
      </c>
      <c r="B101" s="44">
        <f>IF(440.30985="","-",440.30985)</f>
        <v>440.30985</v>
      </c>
      <c r="C101" s="44">
        <f>IF(OR(684.74546="",440.30985=""),"-",440.30985/684.74546*100)</f>
        <v>64.30270454075007</v>
      </c>
      <c r="D101" s="44">
        <f>IF(684.74546="","-",684.74546/5760057.05112*100)</f>
        <v>0.011887824268456791</v>
      </c>
      <c r="E101" s="44">
        <f>IF(440.30985="","-",440.30985/5841782.33754*100)</f>
        <v>0.007537251896061166</v>
      </c>
      <c r="F101" s="44">
        <f>IF(OR(4831335.29052="",540.25124="",684.74546=""),"-",(684.74546-540.25124)/4831335.29052*100)</f>
        <v>0.002990771935939224</v>
      </c>
      <c r="G101" s="44">
        <f>IF(OR(5760057.05112="",440.30985="",684.74546=""),"-",(440.30985-684.74546)/5760057.05112*100)</f>
        <v>-0.004243631752787437</v>
      </c>
    </row>
    <row r="102" spans="1:7" ht="15.75">
      <c r="A102" s="31" t="s">
        <v>60</v>
      </c>
      <c r="B102" s="44">
        <f>IF(386.6045="","-",386.6045)</f>
        <v>386.6045</v>
      </c>
      <c r="C102" s="44">
        <f>IF(OR(482.18557="",386.6045=""),"-",386.6045/482.18557*100)</f>
        <v>80.17753413898305</v>
      </c>
      <c r="D102" s="44">
        <f>IF(482.18557="","-",482.18557/5760057.05112*100)</f>
        <v>0.008371194342706079</v>
      </c>
      <c r="E102" s="44">
        <f>IF(386.6045="","-",386.6045/5841782.33754*100)</f>
        <v>0.00661792031373084</v>
      </c>
      <c r="F102" s="44">
        <f>IF(OR(4831335.29052="",570.72951="",482.18557=""),"-",(482.18557-570.72951)/4831335.29052*100)</f>
        <v>-0.0018327012032002849</v>
      </c>
      <c r="G102" s="44">
        <f>IF(OR(5760057.05112="",386.6045="",482.18557=""),"-",(386.6045-482.18557)/5760057.05112*100)</f>
        <v>-0.001659377140742295</v>
      </c>
    </row>
    <row r="103" spans="1:7" ht="15.75">
      <c r="A103" s="31" t="s">
        <v>148</v>
      </c>
      <c r="B103" s="44">
        <f>IF(351.39711="","-",351.39711)</f>
        <v>351.39711</v>
      </c>
      <c r="C103" s="44">
        <f>IF(OR(249.15438="",351.39711=""),"-",351.39711/249.15438*100)</f>
        <v>141.03589509443904</v>
      </c>
      <c r="D103" s="44">
        <f>IF(249.15438="","-",249.15438/5760057.05112*100)</f>
        <v>0.004325554031648937</v>
      </c>
      <c r="E103" s="44">
        <f>IF(351.39711="","-",351.39711/5841782.33754*100)</f>
        <v>0.006015237982111721</v>
      </c>
      <c r="F103" s="44">
        <f>IF(OR(4831335.29052="",603.5134="",249.15438=""),"-",(249.15438-603.5134)/4831335.29052*100)</f>
        <v>-0.007334597967053123</v>
      </c>
      <c r="G103" s="44">
        <f>IF(OR(5760057.05112="",351.39711="",249.15438=""),"-",(351.39711-249.15438)/5760057.05112*100)</f>
        <v>0.0017750298146807356</v>
      </c>
    </row>
    <row r="104" spans="1:7" ht="15.75">
      <c r="A104" s="31" t="s">
        <v>107</v>
      </c>
      <c r="B104" s="44">
        <f>IF(273.72948="","-",273.72948)</f>
        <v>273.72948</v>
      </c>
      <c r="C104" s="44" t="s">
        <v>244</v>
      </c>
      <c r="D104" s="44">
        <f>IF(56.54058="","-",56.54058/5760057.05112*100)</f>
        <v>0.0009815975692290427</v>
      </c>
      <c r="E104" s="44">
        <f>IF(273.72948="","-",273.72948/5841782.33754*100)</f>
        <v>0.004685718573267978</v>
      </c>
      <c r="F104" s="44">
        <f>IF(OR(4831335.29052="",71.08758="",56.54058=""),"-",(56.54058-71.08758)/4831335.29052*100)</f>
        <v>-0.0003010968836823225</v>
      </c>
      <c r="G104" s="44">
        <f>IF(OR(5760057.05112="",273.72948="",56.54058=""),"-",(273.72948-56.54058)/5760057.05112*100)</f>
        <v>0.0037706032782742886</v>
      </c>
    </row>
    <row r="105" spans="1:7" ht="15.75">
      <c r="A105" s="31" t="s">
        <v>142</v>
      </c>
      <c r="B105" s="44">
        <f>IF(240.60935="","-",240.60935)</f>
        <v>240.60935</v>
      </c>
      <c r="C105" s="44">
        <f>IF(OR(209.294="",240.60935=""),"-",240.60935/209.294*100)</f>
        <v>114.96237350330156</v>
      </c>
      <c r="D105" s="44">
        <f>IF(209.294="","-",209.294/5760057.05112*100)</f>
        <v>0.0036335403997310124</v>
      </c>
      <c r="E105" s="44">
        <f>IF(240.60935="","-",240.60935/5841782.33754*100)</f>
        <v>0.004118766090510002</v>
      </c>
      <c r="F105" s="44">
        <f>IF(OR(4831335.29052="",113.67282="",209.294=""),"-",(209.294-113.67282)/4831335.29052*100)</f>
        <v>0.0019791874140390746</v>
      </c>
      <c r="G105" s="44">
        <f>IF(OR(5760057.05112="",240.60935="",209.294=""),"-",(240.60935-209.294)/5760057.05112*100)</f>
        <v>0.000543663886001111</v>
      </c>
    </row>
    <row r="106" spans="1:7" ht="15.75">
      <c r="A106" s="31" t="s">
        <v>141</v>
      </c>
      <c r="B106" s="44">
        <f>IF(154.66594="","-",154.66594)</f>
        <v>154.66594</v>
      </c>
      <c r="C106" s="44" t="s">
        <v>277</v>
      </c>
      <c r="D106" s="44">
        <f>IF(52.91395="","-",52.91395/5760057.05112*100)</f>
        <v>0.000918635866457456</v>
      </c>
      <c r="E106" s="44">
        <f>IF(154.66594="","-",154.66594/5841782.33754*100)</f>
        <v>0.0026475813555410645</v>
      </c>
      <c r="F106" s="44">
        <f>IF(OR(4831335.29052="",17.00857="",52.91395=""),"-",(52.91395-17.00857)/4831335.29052*100)</f>
        <v>0.0007431771516759185</v>
      </c>
      <c r="G106" s="44">
        <f>IF(OR(5760057.05112="",154.66594="",52.91395=""),"-",(154.66594-52.91395)/5760057.05112*100)</f>
        <v>0.0017665101073992852</v>
      </c>
    </row>
    <row r="107" spans="1:7" ht="15.75">
      <c r="A107" s="31" t="s">
        <v>149</v>
      </c>
      <c r="B107" s="44">
        <f>IF(149.14976="","-",149.14976)</f>
        <v>149.14976</v>
      </c>
      <c r="C107" s="44">
        <f>IF(OR(136.93004="",149.14976=""),"-",149.14976/136.93004*100)</f>
        <v>108.92406078315614</v>
      </c>
      <c r="D107" s="44">
        <f>IF(136.93004="","-",136.93004/5760057.05112*100)</f>
        <v>0.002377234093078557</v>
      </c>
      <c r="E107" s="44">
        <f>IF(149.14976="","-",149.14976/5841782.33754*100)</f>
        <v>0.0025531550369746847</v>
      </c>
      <c r="F107" s="44">
        <f>IF(OR(4831335.29052="",236.33804="",136.93004=""),"-",(136.93004-236.33804)/4831335.29052*100)</f>
        <v>-0.0020575678155696922</v>
      </c>
      <c r="G107" s="44">
        <f>IF(OR(5760057.05112="",149.14976="",136.93004=""),"-",(149.14976-136.93004)/5760057.05112*100)</f>
        <v>0.00021214581542424067</v>
      </c>
    </row>
    <row r="108" spans="1:7" ht="15.75">
      <c r="A108" s="31" t="s">
        <v>177</v>
      </c>
      <c r="B108" s="44">
        <f>IF(144.92703="","-",144.92703)</f>
        <v>144.92703</v>
      </c>
      <c r="C108" s="44" t="s">
        <v>170</v>
      </c>
      <c r="D108" s="44">
        <f>IF(76.65429="","-",76.65429/5760057.05112*100)</f>
        <v>0.0013307904647419273</v>
      </c>
      <c r="E108" s="44">
        <f>IF(144.92703="","-",144.92703/5841782.33754*100)</f>
        <v>0.0024808700774193756</v>
      </c>
      <c r="F108" s="44">
        <f>IF(OR(4831335.29052="",72.40416="",76.65429=""),"-",(76.65429-72.40416)/4831335.29052*100)</f>
        <v>8.797008993227116E-05</v>
      </c>
      <c r="G108" s="44">
        <f>IF(OR(5760057.05112="",144.92703="",76.65429=""),"-",(144.92703-76.65429)/5760057.05112*100)</f>
        <v>0.0011852788851583489</v>
      </c>
    </row>
    <row r="109" spans="1:7" ht="15.75">
      <c r="A109" s="31" t="s">
        <v>182</v>
      </c>
      <c r="B109" s="44">
        <f>IF(124.0622="","-",124.0622)</f>
        <v>124.0622</v>
      </c>
      <c r="C109" s="44" t="s">
        <v>185</v>
      </c>
      <c r="D109" s="44">
        <f>IF(40.84512="","-",40.84512/5760057.05112*100)</f>
        <v>0.000709109643142475</v>
      </c>
      <c r="E109" s="44">
        <f>IF(124.0622="","-",124.0622/5841782.33754*100)</f>
        <v>0.002123704596159999</v>
      </c>
      <c r="F109" s="44">
        <f>IF(OR(4831335.29052="",41.03179="",40.84512=""),"-",(40.84512-41.03179)/4831335.29052*100)</f>
        <v>-3.863735153432252E-06</v>
      </c>
      <c r="G109" s="44">
        <f>IF(OR(5760057.05112="",124.0622="",40.84512=""),"-",(124.0622-40.84512)/5760057.05112*100)</f>
        <v>0.0014447266626260078</v>
      </c>
    </row>
    <row r="110" spans="1:7" ht="15.75">
      <c r="A110" s="31" t="s">
        <v>166</v>
      </c>
      <c r="B110" s="44">
        <f>IF(122.78442="","-",122.78442)</f>
        <v>122.78442</v>
      </c>
      <c r="C110" s="44">
        <f>IF(OR(485.45244="",122.78442=""),"-",122.78442/485.45244*100)</f>
        <v>25.29278048329513</v>
      </c>
      <c r="D110" s="44">
        <f>IF(485.45244="","-",485.45244/5760057.05112*100)</f>
        <v>0.008427910274006876</v>
      </c>
      <c r="E110" s="44">
        <f>IF(122.78442="","-",122.78442/5841782.33754*100)</f>
        <v>0.002101831477201272</v>
      </c>
      <c r="F110" s="44">
        <f>IF(OR(4831335.29052="",34.69732="",485.45244=""),"-",(485.45244-34.69732)/4831335.29052*100)</f>
        <v>0.009329824839200612</v>
      </c>
      <c r="G110" s="44">
        <f>IF(OR(5760057.05112="",122.78442="",485.45244=""),"-",(122.78442-485.45244)/5760057.05112*100)</f>
        <v>-0.00629625742907324</v>
      </c>
    </row>
    <row r="111" spans="1:7" ht="15.75">
      <c r="A111" s="31" t="s">
        <v>176</v>
      </c>
      <c r="B111" s="44">
        <f>IF(120.81373="","-",120.81373)</f>
        <v>120.81373</v>
      </c>
      <c r="C111" s="44">
        <f>IF(OR(102.06242="",120.81373=""),"-",120.81373/102.06242*100)</f>
        <v>118.37239407021703</v>
      </c>
      <c r="D111" s="44">
        <f>IF(102.06242="","-",102.06242/5760057.05112*100)</f>
        <v>0.0017718994637415046</v>
      </c>
      <c r="E111" s="44">
        <f>IF(120.81373="","-",120.81373/5841782.33754*100)</f>
        <v>0.002068097080982226</v>
      </c>
      <c r="F111" s="44">
        <f>IF(OR(4831335.29052="",52.75044="",102.06242=""),"-",(102.06242-52.75044)/4831335.29052*100)</f>
        <v>0.0010206697948858879</v>
      </c>
      <c r="G111" s="44">
        <f>IF(OR(5760057.05112="",120.81373="",102.06242=""),"-",(120.81373-102.06242)/5760057.05112*100)</f>
        <v>0.0003255403520066516</v>
      </c>
    </row>
    <row r="112" spans="1:7" ht="15.75">
      <c r="A112" s="31" t="s">
        <v>178</v>
      </c>
      <c r="B112" s="44">
        <f>IF(115.96016="","-",115.96016)</f>
        <v>115.96016</v>
      </c>
      <c r="C112" s="44" t="s">
        <v>278</v>
      </c>
      <c r="D112" s="44">
        <f>IF(45.92406="","-",45.92406/5760057.05112*100)</f>
        <v>0.0007972848114598171</v>
      </c>
      <c r="E112" s="44">
        <f>IF(115.96016="","-",115.96016/5841782.33754*100)</f>
        <v>0.0019850133623573406</v>
      </c>
      <c r="F112" s="44">
        <f>IF(OR(4831335.29052="",165.98013="",45.92406=""),"-",(45.92406-165.98013)/4831335.29052*100)</f>
        <v>-0.002484945936904294</v>
      </c>
      <c r="G112" s="44">
        <f>IF(OR(5760057.05112="",115.96016="",45.92406=""),"-",(115.96016-45.92406)/5760057.05112*100)</f>
        <v>0.0012158924708286006</v>
      </c>
    </row>
    <row r="113" spans="1:7" ht="15.75">
      <c r="A113" s="31" t="s">
        <v>175</v>
      </c>
      <c r="B113" s="44">
        <f>IF(115.01897="","-",115.01897)</f>
        <v>115.01897</v>
      </c>
      <c r="C113" s="44">
        <f>IF(OR(128.82825="",115.01897=""),"-",115.01897/128.82825*100)</f>
        <v>89.28086037029922</v>
      </c>
      <c r="D113" s="44">
        <f>IF(128.82825="","-",128.82825/5760057.05112*100)</f>
        <v>0.0022365794098332813</v>
      </c>
      <c r="E113" s="44">
        <f>IF(115.01897="","-",115.01897/5841782.33754*100)</f>
        <v>0.0019689020123340472</v>
      </c>
      <c r="F113" s="44">
        <f>IF(OR(4831335.29052="",100.53531="",128.82825=""),"-",(128.82825-100.53531)/4831335.29052*100)</f>
        <v>0.0005856132580058383</v>
      </c>
      <c r="G113" s="44">
        <f>IF(OR(5760057.05112="",115.01897="",128.82825=""),"-",(115.01897-128.82825)/5760057.05112*100)</f>
        <v>-0.00023974206986916718</v>
      </c>
    </row>
    <row r="114" spans="1:7" ht="15.75">
      <c r="A114" s="31" t="s">
        <v>179</v>
      </c>
      <c r="B114" s="44">
        <f>IF(102.08399="","-",102.08399)</f>
        <v>102.08399</v>
      </c>
      <c r="C114" s="44">
        <f>IF(OR(117.25068="",102.08399=""),"-",102.08399/117.25068*100)</f>
        <v>87.06473173545774</v>
      </c>
      <c r="D114" s="44">
        <f>IF(117.25068="","-",117.25068/5760057.05112*100)</f>
        <v>0.0020355819214881122</v>
      </c>
      <c r="E114" s="44">
        <f>IF(102.08399="","-",102.08399/5841782.33754*100)</f>
        <v>0.0017474802055529514</v>
      </c>
      <c r="F114" s="44">
        <f>IF(OR(4831335.29052="",117.37388="",117.25068=""),"-",(117.25068-117.37388)/4831335.29052*100)</f>
        <v>-2.5500196651997835E-06</v>
      </c>
      <c r="G114" s="44">
        <f>IF(OR(5760057.05112="",102.08399="",117.25068=""),"-",(102.08399-117.25068)/5760057.05112*100)</f>
        <v>-0.0002633079822890114</v>
      </c>
    </row>
    <row r="115" spans="1:7" ht="15.75">
      <c r="A115" s="45" t="s">
        <v>248</v>
      </c>
      <c r="B115" s="46">
        <f>IF(80.93385="","-",80.93385)</f>
        <v>80.93385</v>
      </c>
      <c r="C115" s="46">
        <f>IF(OR(117.20447="",80.93385=""),"-",80.93385/117.20447*100)</f>
        <v>69.05355230905444</v>
      </c>
      <c r="D115" s="46">
        <f>IF(117.20447="","-",117.20447/5760057.05112*100)</f>
        <v>0.00203477967248971</v>
      </c>
      <c r="E115" s="46">
        <f>IF(80.93385="","-",80.93385/5841782.33754*100)</f>
        <v>0.0013854307696455808</v>
      </c>
      <c r="F115" s="46">
        <f>IF(OR(4831335.29052="",88.85857="",117.20447=""),"-",(117.20447-88.85857)/4831335.29052*100)</f>
        <v>0.000586709435290489</v>
      </c>
      <c r="G115" s="46">
        <f>IF(OR(5760057.05112="",80.93385="",117.20447=""),"-",(80.93385-117.20447)/5760057.05112*100)</f>
        <v>-0.0006296920269730219</v>
      </c>
    </row>
    <row r="116" ht="15.75">
      <c r="A116" s="27" t="s">
        <v>20</v>
      </c>
    </row>
  </sheetData>
  <sheetProtection/>
  <mergeCells count="5">
    <mergeCell ref="A1:G1"/>
    <mergeCell ref="A3:A4"/>
    <mergeCell ref="B3:C3"/>
    <mergeCell ref="D3:E3"/>
    <mergeCell ref="F3:G3"/>
  </mergeCells>
  <printOptions/>
  <pageMargins left="0.5905511811023623" right="0.3937007874015748" top="0.3937007874015748" bottom="0.3937007874015748" header="0.11811023622047245" footer="0.1181102362204724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D141"/>
  <sheetViews>
    <sheetView zoomScale="95" zoomScaleNormal="95" zoomScalePageLayoutView="0" workbookViewId="0" topLeftCell="A1">
      <selection activeCell="G114" sqref="G114"/>
    </sheetView>
  </sheetViews>
  <sheetFormatPr defaultColWidth="9.00390625" defaultRowHeight="15.75"/>
  <cols>
    <col min="1" max="1" width="41.625" style="0" customWidth="1"/>
    <col min="2" max="2" width="15.375" style="0" customWidth="1"/>
    <col min="3" max="3" width="15.125" style="0" customWidth="1"/>
    <col min="4" max="4" width="16.25390625" style="0" customWidth="1"/>
  </cols>
  <sheetData>
    <row r="1" spans="1:4" ht="15.75">
      <c r="A1" s="80" t="s">
        <v>122</v>
      </c>
      <c r="B1" s="80"/>
      <c r="C1" s="80"/>
      <c r="D1" s="80"/>
    </row>
    <row r="2" ht="15.75">
      <c r="A2" s="4"/>
    </row>
    <row r="3" spans="1:4" ht="41.25" customHeight="1">
      <c r="A3" s="38"/>
      <c r="B3" s="38">
        <v>2018</v>
      </c>
      <c r="C3" s="37">
        <v>2019</v>
      </c>
      <c r="D3" s="37" t="s">
        <v>264</v>
      </c>
    </row>
    <row r="4" spans="1:4" ht="17.25" customHeight="1">
      <c r="A4" s="58" t="s">
        <v>147</v>
      </c>
      <c r="B4" s="40">
        <v>-3053883.75</v>
      </c>
      <c r="C4" s="40">
        <f>IF(-3062587.07438="","-",-3062587.07438)</f>
        <v>-3062587.07438</v>
      </c>
      <c r="D4" s="40">
        <f>IF(-3053883.7497="","-",-3062587.07438/-3053883.7497*100)</f>
        <v>100.28499200995633</v>
      </c>
    </row>
    <row r="5" spans="1:4" ht="15.75">
      <c r="A5" s="62" t="s">
        <v>150</v>
      </c>
      <c r="B5" s="21"/>
      <c r="C5" s="21"/>
      <c r="D5" s="21"/>
    </row>
    <row r="6" spans="1:4" ht="15.75">
      <c r="A6" s="42" t="s">
        <v>250</v>
      </c>
      <c r="B6" s="43">
        <f>IF(-988936.36753="","-",-988936.36753)</f>
        <v>-988936.36753</v>
      </c>
      <c r="C6" s="43">
        <f>IF(-1059446.61722="","-",-1059446.61722)</f>
        <v>-1059446.61722</v>
      </c>
      <c r="D6" s="43">
        <f>IF(-988936.36753="","-",-1059446.61722/-988936.36753*100)</f>
        <v>107.12990764674866</v>
      </c>
    </row>
    <row r="7" spans="1:4" ht="15.75">
      <c r="A7" s="31" t="s">
        <v>3</v>
      </c>
      <c r="B7" s="44">
        <f>IF(-263220.94102="","-",-263220.94102)</f>
        <v>-263220.94102</v>
      </c>
      <c r="C7" s="44">
        <f>IF(-238286.78709="","-",-238286.78709)</f>
        <v>-238286.78709</v>
      </c>
      <c r="D7" s="44">
        <f>IF(OR(-263220.94102="",-238286.78709="",-263220.94102=0),"-",-238286.78709/-263220.94102*100)</f>
        <v>90.52729093917134</v>
      </c>
    </row>
    <row r="8" spans="1:4" ht="15.75">
      <c r="A8" s="31" t="s">
        <v>2</v>
      </c>
      <c r="B8" s="44">
        <f>IF(-79880.59302="","-",-79880.59302)</f>
        <v>-79880.59302</v>
      </c>
      <c r="C8" s="44">
        <f>IF(-139386.8093="","-",-139386.8093)</f>
        <v>-139386.8093</v>
      </c>
      <c r="D8" s="44" t="s">
        <v>105</v>
      </c>
    </row>
    <row r="9" spans="1:4" ht="15.75">
      <c r="A9" s="31" t="s">
        <v>151</v>
      </c>
      <c r="B9" s="44">
        <f>IF(-84016.80153="","-",-84016.80153)</f>
        <v>-84016.80153</v>
      </c>
      <c r="C9" s="44">
        <f>IF(-111008.23751="","-",-111008.23751)</f>
        <v>-111008.23751</v>
      </c>
      <c r="D9" s="44">
        <f>IF(OR(-84016.80153="",-111008.23751="",-84016.80153=0),"-",-111008.23751/-84016.80153*100)</f>
        <v>132.12623604858624</v>
      </c>
    </row>
    <row r="10" spans="1:4" ht="15.75">
      <c r="A10" s="31" t="s">
        <v>42</v>
      </c>
      <c r="B10" s="44">
        <f>IF(-102496.90772="","-",-102496.90772)</f>
        <v>-102496.90772</v>
      </c>
      <c r="C10" s="44">
        <f>IF(-97588.42344="","-",-97588.42344)</f>
        <v>-97588.42344</v>
      </c>
      <c r="D10" s="44">
        <f>IF(OR(-102496.90772="",-97588.42344="",-102496.90772=0),"-",-97588.42344/-102496.90772*100)</f>
        <v>95.21109037415162</v>
      </c>
    </row>
    <row r="11" spans="1:4" ht="15.75">
      <c r="A11" s="31" t="s">
        <v>4</v>
      </c>
      <c r="B11" s="44">
        <f>IF(-104669.38016="","-",-104669.38016)</f>
        <v>-104669.38016</v>
      </c>
      <c r="C11" s="44">
        <f>IF(-88584.86799="","-",-88584.86799)</f>
        <v>-88584.86799</v>
      </c>
      <c r="D11" s="44">
        <f>IF(OR(-104669.38016="",-88584.86799="",-104669.38016=0),"-",-88584.86799/-104669.38016*100)</f>
        <v>84.63303007487687</v>
      </c>
    </row>
    <row r="12" spans="1:4" ht="15.75">
      <c r="A12" s="31" t="s">
        <v>1</v>
      </c>
      <c r="B12" s="44">
        <f>IF(-46047.3121="","-",-46047.3121)</f>
        <v>-46047.3121</v>
      </c>
      <c r="C12" s="44">
        <f>IF(-75765.11782="","-",-75765.11782)</f>
        <v>-75765.11782</v>
      </c>
      <c r="D12" s="44" t="s">
        <v>106</v>
      </c>
    </row>
    <row r="13" spans="1:4" ht="15.75">
      <c r="A13" s="31" t="s">
        <v>7</v>
      </c>
      <c r="B13" s="44">
        <f>IF(-64287.08908="","-",-64287.08908)</f>
        <v>-64287.08908</v>
      </c>
      <c r="C13" s="44">
        <f>IF(-61148.15387="","-",-61148.15387)</f>
        <v>-61148.15387</v>
      </c>
      <c r="D13" s="44">
        <f>IF(OR(-64287.08908="",-61148.15387="",-64287.08908=0),"-",-61148.15387/-64287.08908*100)</f>
        <v>95.11731631510979</v>
      </c>
    </row>
    <row r="14" spans="1:4" ht="15.75">
      <c r="A14" s="31" t="s">
        <v>6</v>
      </c>
      <c r="B14" s="44">
        <f>IF(-44231.87298="","-",-44231.87298)</f>
        <v>-44231.87298</v>
      </c>
      <c r="C14" s="44">
        <f>IF(-48113.47737="","-",-48113.47737)</f>
        <v>-48113.47737</v>
      </c>
      <c r="D14" s="44">
        <f>IF(OR(-44231.87298="",-48113.47737="",-44231.87298=0),"-",-48113.47737/-44231.87298*100)</f>
        <v>108.77558224078624</v>
      </c>
    </row>
    <row r="15" spans="1:4" ht="15.75">
      <c r="A15" s="31" t="s">
        <v>40</v>
      </c>
      <c r="B15" s="44">
        <f>IF(-50307.9351="","-",-50307.9351)</f>
        <v>-50307.9351</v>
      </c>
      <c r="C15" s="44">
        <f>IF(-42863.88433="","-",-42863.88433)</f>
        <v>-42863.88433</v>
      </c>
      <c r="D15" s="44">
        <f>IF(OR(-50307.9351="",-42863.88433="",-50307.9351=0),"-",-42863.88433/-50307.9351*100)</f>
        <v>85.20302859737131</v>
      </c>
    </row>
    <row r="16" spans="1:4" ht="15.75">
      <c r="A16" s="31" t="s">
        <v>41</v>
      </c>
      <c r="B16" s="44">
        <f>IF(-30972.25759="","-",-30972.25759)</f>
        <v>-30972.25759</v>
      </c>
      <c r="C16" s="44">
        <f>IF(-28147.28124="","-",-28147.28124)</f>
        <v>-28147.28124</v>
      </c>
      <c r="D16" s="44">
        <f>IF(OR(-30972.25759="",-28147.28124="",-30972.25759=0),"-",-28147.28124/-30972.25759*100)</f>
        <v>90.87901054099427</v>
      </c>
    </row>
    <row r="17" spans="1:4" ht="15.75">
      <c r="A17" s="31" t="s">
        <v>50</v>
      </c>
      <c r="B17" s="44">
        <f>IF(-24667.78787="","-",-24667.78787)</f>
        <v>-24667.78787</v>
      </c>
      <c r="C17" s="44">
        <f>IF(-24530.43367="","-",-24530.43367)</f>
        <v>-24530.43367</v>
      </c>
      <c r="D17" s="44">
        <f>IF(OR(-24667.78787="",-24530.43367="",-24667.78787=0),"-",-24530.43367/-24667.78787*100)</f>
        <v>99.44318395827034</v>
      </c>
    </row>
    <row r="18" spans="1:4" ht="15.75">
      <c r="A18" s="31" t="s">
        <v>52</v>
      </c>
      <c r="B18" s="44">
        <f>IF(-23163.87135="","-",-23163.87135)</f>
        <v>-23163.87135</v>
      </c>
      <c r="C18" s="44">
        <f>IF(-23433.5127199999="","-",-23433.5127199999)</f>
        <v>-23433.5127199999</v>
      </c>
      <c r="D18" s="44">
        <f>IF(OR(-23163.87135="",-23433.5127199999="",-23163.87135=0),"-",-23433.5127199999/-23163.87135*100)</f>
        <v>101.16406003955767</v>
      </c>
    </row>
    <row r="19" spans="1:4" ht="15.75">
      <c r="A19" s="31" t="s">
        <v>44</v>
      </c>
      <c r="B19" s="44">
        <f>IF(-15557.46407="","-",-15557.46407)</f>
        <v>-15557.46407</v>
      </c>
      <c r="C19" s="44">
        <f>IF(-21650.58682="","-",-21650.58682)</f>
        <v>-21650.58682</v>
      </c>
      <c r="D19" s="44">
        <f>IF(OR(-15557.46407="",-21650.58682="",-15557.46407=0),"-",-21650.58682/-15557.46407*100)</f>
        <v>139.16526962610558</v>
      </c>
    </row>
    <row r="20" spans="1:4" ht="15.75">
      <c r="A20" s="31" t="s">
        <v>9</v>
      </c>
      <c r="B20" s="44">
        <f>IF(-23172.51335="","-",-23172.51335)</f>
        <v>-23172.51335</v>
      </c>
      <c r="C20" s="44">
        <f>IF(-19234.35649="","-",-19234.35649)</f>
        <v>-19234.35649</v>
      </c>
      <c r="D20" s="44">
        <f>IF(OR(-23172.51335="",-19234.35649="",-23172.51335=0),"-",-19234.35649/-23172.51335*100)</f>
        <v>83.00505085263009</v>
      </c>
    </row>
    <row r="21" spans="1:4" ht="15.75">
      <c r="A21" s="31" t="s">
        <v>49</v>
      </c>
      <c r="B21" s="44">
        <f>IF(-13034.29581="","-",-13034.29581)</f>
        <v>-13034.29581</v>
      </c>
      <c r="C21" s="44">
        <f>IF(-12825.61358="","-",-12825.61358)</f>
        <v>-12825.61358</v>
      </c>
      <c r="D21" s="44">
        <f>IF(OR(-13034.29581="",-12825.61358="",-13034.29581=0),"-",-12825.61358/-13034.29581*100)</f>
        <v>98.39897580167009</v>
      </c>
    </row>
    <row r="22" spans="1:4" ht="15.75">
      <c r="A22" s="31" t="s">
        <v>51</v>
      </c>
      <c r="B22" s="44">
        <f>IF(-8448.28338="","-",-8448.28338)</f>
        <v>-8448.28338</v>
      </c>
      <c r="C22" s="44">
        <f>IF(-12092.99057="","-",-12092.99057)</f>
        <v>-12092.99057</v>
      </c>
      <c r="D22" s="44">
        <f>IF(OR(-8448.28338="",-12092.99057="",-8448.28338=0),"-",-12092.99057/-8448.28338*100)</f>
        <v>143.14139365434022</v>
      </c>
    </row>
    <row r="23" spans="1:4" ht="15.75">
      <c r="A23" s="31" t="s">
        <v>48</v>
      </c>
      <c r="B23" s="44">
        <f>IF(-14838.90639="","-",-14838.90639)</f>
        <v>-14838.90639</v>
      </c>
      <c r="C23" s="44">
        <f>IF(-12020.42039="","-",-12020.42039)</f>
        <v>-12020.42039</v>
      </c>
      <c r="D23" s="44">
        <f>IF(OR(-14838.90639="",-12020.42039="",-14838.90639=0),"-",-12020.42039/-14838.90639*100)</f>
        <v>81.00610701406278</v>
      </c>
    </row>
    <row r="24" spans="1:4" ht="15.75">
      <c r="A24" s="31" t="s">
        <v>152</v>
      </c>
      <c r="B24" s="44">
        <f>IF(18881.75715="","-",18881.75715)</f>
        <v>18881.75715</v>
      </c>
      <c r="C24" s="44">
        <f>IF(-8797.57235="","-",-8797.57235)</f>
        <v>-8797.57235</v>
      </c>
      <c r="D24" s="44" t="s">
        <v>21</v>
      </c>
    </row>
    <row r="25" spans="1:4" ht="15.75">
      <c r="A25" s="31" t="s">
        <v>53</v>
      </c>
      <c r="B25" s="44">
        <f>IF(-6337.96987="","-",-6337.96987)</f>
        <v>-6337.96987</v>
      </c>
      <c r="C25" s="44">
        <f>IF(-8032.72065="","-",-8032.72065)</f>
        <v>-8032.72065</v>
      </c>
      <c r="D25" s="44">
        <f>IF(OR(-6337.96987="",-8032.72065="",-6337.96987=0),"-",-8032.72065/-6337.96987*100)</f>
        <v>126.73964715455487</v>
      </c>
    </row>
    <row r="26" spans="1:4" ht="15.75">
      <c r="A26" s="31" t="s">
        <v>43</v>
      </c>
      <c r="B26" s="44">
        <f>IF(-4483.65004="","-",-4483.65004)</f>
        <v>-4483.65004</v>
      </c>
      <c r="C26" s="44">
        <f>IF(-6868.67921="","-",-6868.67921)</f>
        <v>-6868.67921</v>
      </c>
      <c r="D26" s="44" t="s">
        <v>130</v>
      </c>
    </row>
    <row r="27" spans="1:4" ht="15.75">
      <c r="A27" s="31" t="s">
        <v>153</v>
      </c>
      <c r="B27" s="44">
        <f>IF(-2205.59128="","-",-2205.59128)</f>
        <v>-2205.59128</v>
      </c>
      <c r="C27" s="44">
        <f>IF(-4716.6262="","-",-4716.6262)</f>
        <v>-4716.6262</v>
      </c>
      <c r="D27" s="44" t="s">
        <v>180</v>
      </c>
    </row>
    <row r="28" spans="1:4" ht="15.75">
      <c r="A28" s="31" t="s">
        <v>45</v>
      </c>
      <c r="B28" s="44">
        <f>IF(-6227.79367="","-",-6227.79367)</f>
        <v>-6227.79367</v>
      </c>
      <c r="C28" s="44">
        <f>IF(-4453.19421="","-",-4453.19421)</f>
        <v>-4453.19421</v>
      </c>
      <c r="D28" s="44">
        <f>IF(OR(-6227.79367="",-4453.19421="",-6227.79367=0),"-",-4453.19421/-6227.79367*100)</f>
        <v>71.50516613052788</v>
      </c>
    </row>
    <row r="29" spans="1:4" ht="15.75">
      <c r="A29" s="31" t="s">
        <v>54</v>
      </c>
      <c r="B29" s="44">
        <f>IF(-886.87263="","-",-886.87263)</f>
        <v>-886.87263</v>
      </c>
      <c r="C29" s="44">
        <f>IF(-1881.11369="","-",-1881.11369)</f>
        <v>-1881.11369</v>
      </c>
      <c r="D29" s="44" t="s">
        <v>180</v>
      </c>
    </row>
    <row r="30" spans="1:4" ht="15.75">
      <c r="A30" s="31" t="s">
        <v>46</v>
      </c>
      <c r="B30" s="44">
        <f>IF(-2031.42641="","-",-2031.42641)</f>
        <v>-2031.42641</v>
      </c>
      <c r="C30" s="44">
        <f>IF(-1159.78164="","-",-1159.78164)</f>
        <v>-1159.78164</v>
      </c>
      <c r="D30" s="44">
        <f>IF(OR(-2031.42641="",-1159.78164="",-2031.42641=0),"-",-1159.78164/-2031.42641*100)</f>
        <v>57.09198395230079</v>
      </c>
    </row>
    <row r="31" spans="1:4" ht="15.75">
      <c r="A31" s="31" t="s">
        <v>55</v>
      </c>
      <c r="B31" s="44">
        <f>IF(489.73899="","-",489.73899)</f>
        <v>489.73899</v>
      </c>
      <c r="C31" s="44">
        <f>IF(354.96049="","-",354.96049)</f>
        <v>354.96049</v>
      </c>
      <c r="D31" s="44">
        <f>IF(OR(489.73899="",354.96049="",489.73899=0),"-",354.96049/489.73899*100)</f>
        <v>72.47952424617039</v>
      </c>
    </row>
    <row r="32" spans="1:4" ht="15.75">
      <c r="A32" s="31" t="s">
        <v>5</v>
      </c>
      <c r="B32" s="44">
        <f>IF(-16155.10051="","-",-16155.10051)</f>
        <v>-16155.10051</v>
      </c>
      <c r="C32" s="44">
        <f>IF(6744.62385="","-",6744.62385)</f>
        <v>6744.62385</v>
      </c>
      <c r="D32" s="44" t="s">
        <v>21</v>
      </c>
    </row>
    <row r="33" spans="1:4" ht="15.75">
      <c r="A33" s="31" t="s">
        <v>47</v>
      </c>
      <c r="B33" s="44">
        <f>IF(9722.65553="","-",9722.65553)</f>
        <v>9722.65553</v>
      </c>
      <c r="C33" s="44">
        <f>IF(8991.86819="","-",8991.86819)</f>
        <v>8991.86819</v>
      </c>
      <c r="D33" s="44">
        <f>IF(OR(9722.65553="",8991.86819="",9722.65553=0),"-",8991.86819/9722.65553*100)</f>
        <v>92.48366521116479</v>
      </c>
    </row>
    <row r="34" spans="1:4" ht="15.75">
      <c r="A34" s="31" t="s">
        <v>8</v>
      </c>
      <c r="B34" s="44">
        <f>IF(13312.09773="","-",13312.09773)</f>
        <v>13312.09773</v>
      </c>
      <c r="C34" s="44">
        <f>IF(17052.5724="","-",17052.5724)</f>
        <v>17052.5724</v>
      </c>
      <c r="D34" s="44">
        <f>IF(OR(13312.09773="",17052.5724="",13312.09773=0),"-",17052.5724/13312.09773*100)</f>
        <v>128.0983113695936</v>
      </c>
    </row>
    <row r="35" spans="1:4" ht="15.75">
      <c r="A35" s="71" t="s">
        <v>169</v>
      </c>
      <c r="B35" s="43">
        <f>IF(-1033156.5187="","-",-1033156.5187)</f>
        <v>-1033156.5187</v>
      </c>
      <c r="C35" s="43">
        <f>IF(-981571.74592="","-",-981571.74592)</f>
        <v>-981571.74592</v>
      </c>
      <c r="D35" s="43">
        <f>IF(-1033156.5187="","-",-981571.74592/-1033156.5187*100)</f>
        <v>95.00707087006448</v>
      </c>
    </row>
    <row r="36" spans="1:4" ht="15.75">
      <c r="A36" s="72" t="s">
        <v>11</v>
      </c>
      <c r="B36" s="44">
        <f>IF(-496809.82672="","-",-496809.82672)</f>
        <v>-496809.82672</v>
      </c>
      <c r="C36" s="44">
        <f>IF(-488800.56115="","-",-488800.56115)</f>
        <v>-488800.56115</v>
      </c>
      <c r="D36" s="44">
        <f>IF(OR(-496809.82672="",-488800.56115="",-496809.82672=0),"-",-488800.56115/-496809.82672*100)</f>
        <v>98.38786087970962</v>
      </c>
    </row>
    <row r="37" spans="1:4" ht="15.75">
      <c r="A37" s="72" t="s">
        <v>154</v>
      </c>
      <c r="B37" s="44">
        <f>IF(-502085.52964="","-",-502085.52964)</f>
        <v>-502085.52964</v>
      </c>
      <c r="C37" s="44">
        <f>IF(-441920.30093="","-",-441920.30093)</f>
        <v>-441920.30093</v>
      </c>
      <c r="D37" s="44">
        <f>IF(OR(-502085.52964="",-441920.30093="",-502085.52964=0),"-",-441920.30093/-502085.52964*100)</f>
        <v>88.01693632693637</v>
      </c>
    </row>
    <row r="38" spans="1:4" ht="15.75">
      <c r="A38" s="72" t="s">
        <v>10</v>
      </c>
      <c r="B38" s="44">
        <f>IF(-40935.73603="","-",-40935.73603)</f>
        <v>-40935.73603</v>
      </c>
      <c r="C38" s="44">
        <f>IF(-50508.24505="","-",-50508.24505)</f>
        <v>-50508.24505</v>
      </c>
      <c r="D38" s="44">
        <f>IF(OR(-40935.73603="",-50508.24505="",-40935.73603=0),"-",-50508.24505/-40935.73603*100)</f>
        <v>123.38423575182506</v>
      </c>
    </row>
    <row r="39" spans="1:4" ht="15.75">
      <c r="A39" s="72" t="s">
        <v>14</v>
      </c>
      <c r="B39" s="44">
        <f>IF(-138.60439="","-",-138.60439)</f>
        <v>-138.60439</v>
      </c>
      <c r="C39" s="44">
        <f>IF(-4393.14283="","-",-4393.14283)</f>
        <v>-4393.14283</v>
      </c>
      <c r="D39" s="44" t="s">
        <v>286</v>
      </c>
    </row>
    <row r="40" spans="1:4" ht="15.75">
      <c r="A40" s="72" t="s">
        <v>15</v>
      </c>
      <c r="B40" s="44">
        <f>IF(-10399.04016="","-",-10399.04016)</f>
        <v>-10399.04016</v>
      </c>
      <c r="C40" s="44">
        <f>IF(-2235.68735="","-",-2235.68735)</f>
        <v>-2235.68735</v>
      </c>
      <c r="D40" s="44">
        <f>IF(OR(-10399.04016="",-2235.68735="",-10399.04016=0),"-",-2235.68735/-10399.04016*100)</f>
        <v>21.498977940287137</v>
      </c>
    </row>
    <row r="41" spans="1:4" ht="15.75">
      <c r="A41" s="72" t="s">
        <v>12</v>
      </c>
      <c r="B41" s="44">
        <f>IF(10123.22633="","-",10123.22633)</f>
        <v>10123.22633</v>
      </c>
      <c r="C41" s="44">
        <f>IF(-1760.68847="","-",-1760.68847)</f>
        <v>-1760.68847</v>
      </c>
      <c r="D41" s="44" t="s">
        <v>21</v>
      </c>
    </row>
    <row r="42" spans="1:4" ht="15.75">
      <c r="A42" s="72" t="s">
        <v>17</v>
      </c>
      <c r="B42" s="44">
        <f>IF(354.51435="","-",354.51435)</f>
        <v>354.51435</v>
      </c>
      <c r="C42" s="44">
        <f>IF(176.2514="","-",176.2514)</f>
        <v>176.2514</v>
      </c>
      <c r="D42" s="44">
        <f>IF(OR(354.51435="",176.2514="",354.51435=0),"-",176.2514/354.51435*100)</f>
        <v>49.716294982135416</v>
      </c>
    </row>
    <row r="43" spans="1:4" ht="15.75">
      <c r="A43" s="72" t="s">
        <v>131</v>
      </c>
      <c r="B43" s="44">
        <f>IF(884.90845="","-",884.90845)</f>
        <v>884.90845</v>
      </c>
      <c r="C43" s="44">
        <f>IF(1234.29075="","-",1234.29075)</f>
        <v>1234.29075</v>
      </c>
      <c r="D43" s="44">
        <f>IF(OR(884.90845="",1234.29075="",884.90845=0),"-",1234.29075/884.90845*100)</f>
        <v>139.4823102887084</v>
      </c>
    </row>
    <row r="44" spans="1:4" ht="15.75">
      <c r="A44" s="72" t="s">
        <v>16</v>
      </c>
      <c r="B44" s="44">
        <f>IF(1083.10075="","-",1083.10075)</f>
        <v>1083.10075</v>
      </c>
      <c r="C44" s="44">
        <f>IF(2434.97259="","-",2434.97259)</f>
        <v>2434.97259</v>
      </c>
      <c r="D44" s="44" t="s">
        <v>163</v>
      </c>
    </row>
    <row r="45" spans="1:4" ht="15.75">
      <c r="A45" s="72" t="s">
        <v>13</v>
      </c>
      <c r="B45" s="44">
        <f>IF(4766.46836="","-",4766.46836)</f>
        <v>4766.46836</v>
      </c>
      <c r="C45" s="44">
        <f>IF(4201.36512="","-",4201.36512)</f>
        <v>4201.36512</v>
      </c>
      <c r="D45" s="44">
        <f>IF(OR(4766.46836="",4201.36512="",4766.46836=0),"-",4201.36512/4766.46836*100)</f>
        <v>88.14419403803618</v>
      </c>
    </row>
    <row r="46" spans="1:4" ht="15.75">
      <c r="A46" s="42" t="s">
        <v>165</v>
      </c>
      <c r="B46" s="43">
        <f>IF(-1031790.86347="","-",-1031790.86347)</f>
        <v>-1031790.86347</v>
      </c>
      <c r="C46" s="43">
        <f>IF(-1021568.71124="","-",-1021568.71124)</f>
        <v>-1021568.71124</v>
      </c>
      <c r="D46" s="43">
        <f>IF(-1031790.86347="","-",-1021568.71124/-1031790.86347*100)</f>
        <v>99.00928060211524</v>
      </c>
    </row>
    <row r="47" spans="1:4" ht="15.75">
      <c r="A47" s="31" t="s">
        <v>59</v>
      </c>
      <c r="B47" s="44">
        <f>IF(-581503.72422="","-",-581503.72422)</f>
        <v>-581503.72422</v>
      </c>
      <c r="C47" s="44">
        <f>IF(-584826.55895="","-",-584826.55895)</f>
        <v>-584826.55895</v>
      </c>
      <c r="D47" s="44">
        <f>IF(OR(-581503.72422="",-584826.55895="",-581503.72422=0),"-",-584826.55895/-581503.72422*100)</f>
        <v>100.57142105744157</v>
      </c>
    </row>
    <row r="48" spans="1:4" ht="15.75">
      <c r="A48" s="31" t="s">
        <v>56</v>
      </c>
      <c r="B48" s="44">
        <f>IF(-233275.92986="","-",-233275.92986)</f>
        <v>-233275.92986</v>
      </c>
      <c r="C48" s="44">
        <f>IF(-225018.80595="","-",-225018.80595)</f>
        <v>-225018.80595</v>
      </c>
      <c r="D48" s="44">
        <f>IF(OR(-233275.92986="",-225018.80595="",-233275.92986=0),"-",-225018.80595/-233275.92986*100)</f>
        <v>96.46036180631431</v>
      </c>
    </row>
    <row r="49" spans="1:4" ht="15.75">
      <c r="A49" s="31" t="s">
        <v>18</v>
      </c>
      <c r="B49" s="44">
        <f>IF(-51093.97681="","-",-51093.97681)</f>
        <v>-51093.97681</v>
      </c>
      <c r="C49" s="44">
        <f>IF(-49992.94006="","-",-49992.94006)</f>
        <v>-49992.94006</v>
      </c>
      <c r="D49" s="44">
        <f>IF(OR(-51093.97681="",-49992.94006="",-51093.97681=0),"-",-49992.94006/-51093.97681*100)</f>
        <v>97.84507525398864</v>
      </c>
    </row>
    <row r="50" spans="1:4" ht="15.75">
      <c r="A50" s="31" t="s">
        <v>76</v>
      </c>
      <c r="B50" s="44">
        <f>IF(-51525.34278="","-",-51525.34278)</f>
        <v>-51525.34278</v>
      </c>
      <c r="C50" s="44">
        <f>IF(-49786.80936="","-",-49786.80936)</f>
        <v>-49786.80936</v>
      </c>
      <c r="D50" s="44">
        <f>IF(OR(-51525.34278="",-49786.80936="",-51525.34278=0),"-",-49786.80936/-51525.34278*100)</f>
        <v>96.62586733789799</v>
      </c>
    </row>
    <row r="51" spans="1:4" ht="15.75">
      <c r="A51" s="31" t="s">
        <v>72</v>
      </c>
      <c r="B51" s="44">
        <f>IF(-37204.52916="","-",-37204.52916)</f>
        <v>-37204.52916</v>
      </c>
      <c r="C51" s="44">
        <f>IF(-45685.85746="","-",-45685.85746)</f>
        <v>-45685.85746</v>
      </c>
      <c r="D51" s="44">
        <f>IF(OR(-37204.52916="",-45685.85746="",-37204.52916=0),"-",-45685.85746/-37204.52916*100)</f>
        <v>122.79649411372904</v>
      </c>
    </row>
    <row r="52" spans="1:4" ht="15.75">
      <c r="A52" s="31" t="s">
        <v>36</v>
      </c>
      <c r="B52" s="44">
        <f>IF(-37798.75146="","-",-37798.75146)</f>
        <v>-37798.75146</v>
      </c>
      <c r="C52" s="44">
        <f>IF(-40679.31451="","-",-40679.31451)</f>
        <v>-40679.31451</v>
      </c>
      <c r="D52" s="44">
        <f>IF(OR(-37798.75146="",-40679.31451="",-37798.75146=0),"-",-40679.31451/-37798.75146*100)</f>
        <v>107.6207888851787</v>
      </c>
    </row>
    <row r="53" spans="1:4" ht="15.75">
      <c r="A53" s="31" t="s">
        <v>69</v>
      </c>
      <c r="B53" s="44">
        <f>IF(-30708.91875="","-",-30708.91875)</f>
        <v>-30708.91875</v>
      </c>
      <c r="C53" s="44">
        <f>IF(-35380.5089="","-",-35380.5089)</f>
        <v>-35380.5089</v>
      </c>
      <c r="D53" s="44">
        <f>IF(OR(-30708.91875="",-35380.5089="",-30708.91875=0),"-",-35380.5089/-30708.91875*100)</f>
        <v>115.21248660049291</v>
      </c>
    </row>
    <row r="54" spans="1:4" ht="15.75">
      <c r="A54" s="31" t="s">
        <v>70</v>
      </c>
      <c r="B54" s="44">
        <f>IF(-18762.09439="","-",-18762.09439)</f>
        <v>-18762.09439</v>
      </c>
      <c r="C54" s="44">
        <f>IF(-18657.03306="","-",-18657.03306)</f>
        <v>-18657.03306</v>
      </c>
      <c r="D54" s="44">
        <f>IF(OR(-18762.09439="",-18657.03306="",-18762.09439=0),"-",-18657.03306/-18762.09439*100)</f>
        <v>99.44003410378325</v>
      </c>
    </row>
    <row r="55" spans="1:4" ht="15.75">
      <c r="A55" s="31" t="s">
        <v>80</v>
      </c>
      <c r="B55" s="44">
        <f>IF(-14945.76949="","-",-14945.76949)</f>
        <v>-14945.76949</v>
      </c>
      <c r="C55" s="44">
        <f>IF(-17090.72143="","-",-17090.72143)</f>
        <v>-17090.72143</v>
      </c>
      <c r="D55" s="44">
        <f>IF(OR(-14945.76949="",-17090.72143="",-14945.76949=0),"-",-17090.72143/-14945.76949*100)</f>
        <v>114.35156578211082</v>
      </c>
    </row>
    <row r="56" spans="1:4" ht="15.75">
      <c r="A56" s="31" t="s">
        <v>66</v>
      </c>
      <c r="B56" s="44">
        <f>IF(-6174.14452="","-",-6174.14452)</f>
        <v>-6174.14452</v>
      </c>
      <c r="C56" s="44">
        <f>IF(-15699.1248="","-",-15699.1248)</f>
        <v>-15699.1248</v>
      </c>
      <c r="D56" s="44" t="s">
        <v>278</v>
      </c>
    </row>
    <row r="57" spans="1:4" ht="15.75">
      <c r="A57" s="31" t="s">
        <v>84</v>
      </c>
      <c r="B57" s="44">
        <f>IF(-11651.35712="","-",-11651.35712)</f>
        <v>-11651.35712</v>
      </c>
      <c r="C57" s="44">
        <f>IF(-10594.93853="","-",-10594.93853)</f>
        <v>-10594.93853</v>
      </c>
      <c r="D57" s="44">
        <f>IF(OR(-11651.35712="",-10594.93853="",-11651.35712=0),"-",-10594.93853/-11651.35712*100)</f>
        <v>90.93308548420838</v>
      </c>
    </row>
    <row r="58" spans="1:4" ht="15.75">
      <c r="A58" s="31" t="s">
        <v>78</v>
      </c>
      <c r="B58" s="44">
        <f>IF(-7999.01347="","-",-7999.01347)</f>
        <v>-7999.01347</v>
      </c>
      <c r="C58" s="44">
        <f>IF(-9673.52129="","-",-9673.52129)</f>
        <v>-9673.52129</v>
      </c>
      <c r="D58" s="44">
        <f>IF(OR(-7999.01347="",-9673.52129="",-7999.01347=0),"-",-9673.52129/-7999.01347*100)</f>
        <v>120.93392924365209</v>
      </c>
    </row>
    <row r="59" spans="1:4" ht="15.75">
      <c r="A59" s="31" t="s">
        <v>83</v>
      </c>
      <c r="B59" s="44">
        <f>IF(-8549.14391="","-",-8549.14391)</f>
        <v>-8549.14391</v>
      </c>
      <c r="C59" s="44">
        <f>IF(-9526.88425="","-",-9526.88425)</f>
        <v>-9526.88425</v>
      </c>
      <c r="D59" s="44">
        <f>IF(OR(-8549.14391="",-9526.88425="",-8549.14391=0),"-",-9526.88425/-8549.14391*100)</f>
        <v>111.43670466064243</v>
      </c>
    </row>
    <row r="60" spans="1:4" ht="15.75">
      <c r="A60" s="31" t="s">
        <v>71</v>
      </c>
      <c r="B60" s="44">
        <f>IF(-8382.33827="","-",-8382.33827)</f>
        <v>-8382.33827</v>
      </c>
      <c r="C60" s="44">
        <f>IF(-8490.7551="","-",-8490.7551)</f>
        <v>-8490.7551</v>
      </c>
      <c r="D60" s="44">
        <f>IF(OR(-8382.33827="",-8490.7551="",-8382.33827=0),"-",-8490.7551/-8382.33827*100)</f>
        <v>101.29339602516423</v>
      </c>
    </row>
    <row r="61" spans="1:4" ht="15.75">
      <c r="A61" s="31" t="s">
        <v>85</v>
      </c>
      <c r="B61" s="44">
        <f>IF(-5290.41469="","-",-5290.41469)</f>
        <v>-5290.41469</v>
      </c>
      <c r="C61" s="44">
        <f>IF(-7424.05394="","-",-7424.05394)</f>
        <v>-7424.05394</v>
      </c>
      <c r="D61" s="44">
        <f>IF(OR(-5290.41469="",-7424.05394="",-5290.41469=0),"-",-7424.05394/-5290.41469*100)</f>
        <v>140.33028363604518</v>
      </c>
    </row>
    <row r="62" spans="1:4" ht="15.75">
      <c r="A62" s="31" t="s">
        <v>74</v>
      </c>
      <c r="B62" s="44">
        <f>IF(-4482.74746="","-",-4482.74746)</f>
        <v>-4482.74746</v>
      </c>
      <c r="C62" s="44">
        <f>IF(-6110.34597="","-",-6110.34597)</f>
        <v>-6110.34597</v>
      </c>
      <c r="D62" s="44">
        <f>IF(OR(-4482.74746="",-6110.34597="",-4482.74746=0),"-",-6110.34597/-4482.74746*100)</f>
        <v>136.3080571574291</v>
      </c>
    </row>
    <row r="63" spans="1:4" ht="15.75">
      <c r="A63" s="31" t="s">
        <v>81</v>
      </c>
      <c r="B63" s="44">
        <f>IF(-7197.94687="","-",-7197.94687)</f>
        <v>-7197.94687</v>
      </c>
      <c r="C63" s="44">
        <f>IF(-6087.79617="","-",-6087.79617)</f>
        <v>-6087.79617</v>
      </c>
      <c r="D63" s="44">
        <f>IF(OR(-7197.94687="",-6087.79617="",-7197.94687=0),"-",-6087.79617/-7197.94687*100)</f>
        <v>84.57684225724216</v>
      </c>
    </row>
    <row r="64" spans="1:4" ht="15.75">
      <c r="A64" s="31" t="s">
        <v>86</v>
      </c>
      <c r="B64" s="44">
        <f>IF(-4137.09365="","-",-4137.09365)</f>
        <v>-4137.09365</v>
      </c>
      <c r="C64" s="44">
        <f>IF(-5946.04091="","-",-5946.04091)</f>
        <v>-5946.04091</v>
      </c>
      <c r="D64" s="44">
        <f>IF(OR(-4137.09365="",-5946.04091="",-4137.09365=0),"-",-5946.04091/-4137.09365*100)</f>
        <v>143.7250740021319</v>
      </c>
    </row>
    <row r="65" spans="1:4" ht="15.75">
      <c r="A65" s="31" t="s">
        <v>63</v>
      </c>
      <c r="B65" s="44">
        <f>IF(-6102.60361="","-",-6102.60361)</f>
        <v>-6102.60361</v>
      </c>
      <c r="C65" s="44">
        <f>IF(-5849.31639="","-",-5849.31639)</f>
        <v>-5849.31639</v>
      </c>
      <c r="D65" s="44">
        <f>IF(OR(-6102.60361="",-5849.31639="",-6102.60361=0),"-",-5849.31639/-6102.60361*100)</f>
        <v>95.84952200426467</v>
      </c>
    </row>
    <row r="66" spans="1:4" ht="15.75">
      <c r="A66" s="31" t="s">
        <v>62</v>
      </c>
      <c r="B66" s="44">
        <f>IF(-7506.28648="","-",-7506.28648)</f>
        <v>-7506.28648</v>
      </c>
      <c r="C66" s="44">
        <f>IF(-4055.21132="","-",-4055.21132)</f>
        <v>-4055.21132</v>
      </c>
      <c r="D66" s="44">
        <f>IF(OR(-7506.28648="",-4055.21132="",-7506.28648=0),"-",-4055.21132/-7506.28648*100)</f>
        <v>54.024201325180435</v>
      </c>
    </row>
    <row r="67" spans="1:4" ht="15.75">
      <c r="A67" s="31" t="s">
        <v>87</v>
      </c>
      <c r="B67" s="44">
        <f>IF(-1665.35719="","-",-1665.35719)</f>
        <v>-1665.35719</v>
      </c>
      <c r="C67" s="44">
        <f>IF(-3922.21842="","-",-3922.21842)</f>
        <v>-3922.21842</v>
      </c>
      <c r="D67" s="44" t="s">
        <v>164</v>
      </c>
    </row>
    <row r="68" spans="1:4" ht="15.75">
      <c r="A68" s="31" t="s">
        <v>82</v>
      </c>
      <c r="B68" s="44">
        <f>IF(-5067.57361="","-",-5067.57361)</f>
        <v>-5067.57361</v>
      </c>
      <c r="C68" s="44">
        <f>IF(-3549.397="","-",-3549.397)</f>
        <v>-3549.397</v>
      </c>
      <c r="D68" s="44">
        <f>IF(OR(-5067.57361="",-3549.397="",-5067.57361=0),"-",-3549.397/-5067.57361*100)</f>
        <v>70.04135061789462</v>
      </c>
    </row>
    <row r="69" spans="1:4" ht="15.75">
      <c r="A69" s="31" t="s">
        <v>75</v>
      </c>
      <c r="B69" s="44">
        <f>IF(6986.20806="","-",6986.20806)</f>
        <v>6986.20806</v>
      </c>
      <c r="C69" s="44">
        <f>IF(-3013.29964="","-",-3013.29964)</f>
        <v>-3013.29964</v>
      </c>
      <c r="D69" s="44" t="s">
        <v>21</v>
      </c>
    </row>
    <row r="70" spans="1:4" ht="15.75">
      <c r="A70" s="31" t="s">
        <v>160</v>
      </c>
      <c r="B70" s="44">
        <f>IF(-2164.88333="","-",-2164.88333)</f>
        <v>-2164.88333</v>
      </c>
      <c r="C70" s="44">
        <f>IF(-2771.95538="","-",-2771.95538)</f>
        <v>-2771.95538</v>
      </c>
      <c r="D70" s="44">
        <f>IF(OR(-2164.88333="",-2771.95538="",-2164.88333=0),"-",-2771.95538/-2164.88333*100)</f>
        <v>128.04179059386075</v>
      </c>
    </row>
    <row r="71" spans="1:4" ht="15.75">
      <c r="A71" s="31" t="s">
        <v>88</v>
      </c>
      <c r="B71" s="44">
        <f>IF(-2329.78767="","-",-2329.78767)</f>
        <v>-2329.78767</v>
      </c>
      <c r="C71" s="44">
        <f>IF(-2638.33422="","-",-2638.33422)</f>
        <v>-2638.33422</v>
      </c>
      <c r="D71" s="44">
        <f>IF(OR(-2329.78767="",-2638.33422="",-2329.78767=0),"-",-2638.33422/-2329.78767*100)</f>
        <v>113.24354806976895</v>
      </c>
    </row>
    <row r="72" spans="1:4" ht="15.75">
      <c r="A72" s="31" t="s">
        <v>38</v>
      </c>
      <c r="B72" s="44">
        <f>IF(-2068.25339="","-",-2068.25339)</f>
        <v>-2068.25339</v>
      </c>
      <c r="C72" s="44">
        <f>IF(-2583.67976="","-",-2583.67976)</f>
        <v>-2583.67976</v>
      </c>
      <c r="D72" s="44">
        <f>IF(OR(-2068.25339="",-2583.67976="",-2068.25339=0),"-",-2583.67976/-2068.25339*100)</f>
        <v>124.92085217856213</v>
      </c>
    </row>
    <row r="73" spans="1:4" ht="15.75">
      <c r="A73" s="31" t="s">
        <v>139</v>
      </c>
      <c r="B73" s="44">
        <f>IF(-1808.28883="","-",-1808.28883)</f>
        <v>-1808.28883</v>
      </c>
      <c r="C73" s="44">
        <f>IF(-2516.73174="","-",-2516.73174)</f>
        <v>-2516.73174</v>
      </c>
      <c r="D73" s="44">
        <f>IF(OR(-1808.28883="",-2516.73174="",-1808.28883=0),"-",-2516.73174/-1808.28883*100)</f>
        <v>139.17753061605762</v>
      </c>
    </row>
    <row r="74" spans="1:4" ht="15.75">
      <c r="A74" s="31" t="s">
        <v>89</v>
      </c>
      <c r="B74" s="44">
        <f>IF(-4196.32887="","-",-4196.32887)</f>
        <v>-4196.32887</v>
      </c>
      <c r="C74" s="44">
        <f>IF(-2312.02721="","-",-2312.02721)</f>
        <v>-2312.02721</v>
      </c>
      <c r="D74" s="44">
        <f>IF(OR(-4196.32887="",-2312.02721="",-4196.32887=0),"-",-2312.02721/-4196.32887*100)</f>
        <v>55.09642550966222</v>
      </c>
    </row>
    <row r="75" spans="1:4" ht="15.75">
      <c r="A75" s="31" t="s">
        <v>39</v>
      </c>
      <c r="B75" s="44">
        <f>IF(-2587.41727="","-",-2587.41727)</f>
        <v>-2587.41727</v>
      </c>
      <c r="C75" s="44">
        <f>IF(-1882.64573="","-",-1882.64573)</f>
        <v>-1882.64573</v>
      </c>
      <c r="D75" s="44">
        <f>IF(OR(-2587.41727="",-1882.64573="",-2587.41727=0),"-",-1882.64573/-2587.41727*100)</f>
        <v>72.76158166788458</v>
      </c>
    </row>
    <row r="76" spans="1:4" ht="15.75">
      <c r="A76" s="31" t="s">
        <v>73</v>
      </c>
      <c r="B76" s="44">
        <f>IF(-2149.97825="","-",-2149.97825)</f>
        <v>-2149.97825</v>
      </c>
      <c r="C76" s="44">
        <f>IF(-1737.84007="","-",-1737.84007)</f>
        <v>-1737.84007</v>
      </c>
      <c r="D76" s="44">
        <f>IF(OR(-2149.97825="",-1737.84007="",-2149.97825=0),"-",-1737.84007/-2149.97825*100)</f>
        <v>80.83058840246406</v>
      </c>
    </row>
    <row r="77" spans="1:4" ht="15.75">
      <c r="A77" s="31" t="s">
        <v>67</v>
      </c>
      <c r="B77" s="44">
        <f>IF(-1671.81182="","-",-1671.81182)</f>
        <v>-1671.81182</v>
      </c>
      <c r="C77" s="44">
        <f>IF(-1689.26854="","-",-1689.26854)</f>
        <v>-1689.26854</v>
      </c>
      <c r="D77" s="44">
        <f>IF(OR(-1671.81182="",-1689.26854="",-1671.81182=0),"-",-1689.26854/-1671.81182*100)</f>
        <v>101.04417972113633</v>
      </c>
    </row>
    <row r="78" spans="1:4" ht="15.75">
      <c r="A78" s="31" t="s">
        <v>61</v>
      </c>
      <c r="B78" s="44">
        <f>IF(-1715.97106="","-",-1715.97106)</f>
        <v>-1715.97106</v>
      </c>
      <c r="C78" s="44">
        <f>IF(-1334.15195="","-",-1334.15195)</f>
        <v>-1334.15195</v>
      </c>
      <c r="D78" s="44">
        <f>IF(OR(-1715.97106="",-1334.15195="",-1715.97106=0),"-",-1334.15195/-1715.97106*100)</f>
        <v>77.7490938570957</v>
      </c>
    </row>
    <row r="79" spans="1:4" ht="15.75">
      <c r="A79" s="31" t="s">
        <v>90</v>
      </c>
      <c r="B79" s="44">
        <f>IF(-1414.77718="","-",-1414.77718)</f>
        <v>-1414.77718</v>
      </c>
      <c r="C79" s="44">
        <f>IF(-1267.19855="","-",-1267.19855)</f>
        <v>-1267.19855</v>
      </c>
      <c r="D79" s="44">
        <f>IF(OR(-1414.77718="",-1267.19855="",-1414.77718=0),"-",-1267.19855/-1414.77718*100)</f>
        <v>89.56877223592198</v>
      </c>
    </row>
    <row r="80" spans="1:4" ht="15.75">
      <c r="A80" s="31" t="s">
        <v>92</v>
      </c>
      <c r="B80" s="44">
        <f>IF(-793.47529="","-",-793.47529)</f>
        <v>-793.47529</v>
      </c>
      <c r="C80" s="44">
        <f>IF(-1204.53488="","-",-1204.53488)</f>
        <v>-1204.53488</v>
      </c>
      <c r="D80" s="44" t="s">
        <v>130</v>
      </c>
    </row>
    <row r="81" spans="1:4" ht="15.75">
      <c r="A81" s="31" t="s">
        <v>97</v>
      </c>
      <c r="B81" s="44">
        <f>IF(-1242.80256="","-",-1242.80256)</f>
        <v>-1242.80256</v>
      </c>
      <c r="C81" s="44">
        <f>IF(-1027.64774="","-",-1027.64774)</f>
        <v>-1027.64774</v>
      </c>
      <c r="D81" s="44">
        <f>IF(OR(-1242.80256="",-1027.64774="",-1242.80256=0),"-",-1027.64774/-1242.80256*100)</f>
        <v>82.68793234542422</v>
      </c>
    </row>
    <row r="82" spans="1:4" ht="15.75">
      <c r="A82" s="31" t="s">
        <v>140</v>
      </c>
      <c r="B82" s="44">
        <f>IF(-1599.82487="","-",-1599.82487)</f>
        <v>-1599.82487</v>
      </c>
      <c r="C82" s="44">
        <f>IF(-941.81715="","-",-941.81715)</f>
        <v>-941.81715</v>
      </c>
      <c r="D82" s="44">
        <f>IF(OR(-1599.82487="",-941.81715="",-1599.82487=0),"-",-941.81715/-1599.82487*100)</f>
        <v>58.87001556614131</v>
      </c>
    </row>
    <row r="83" spans="1:4" ht="15.75">
      <c r="A83" s="31" t="s">
        <v>93</v>
      </c>
      <c r="B83" s="44">
        <f>IF(-1188.69776="","-",-1188.69776)</f>
        <v>-1188.69776</v>
      </c>
      <c r="C83" s="44">
        <f>IF(-877.55777="","-",-877.55777)</f>
        <v>-877.55777</v>
      </c>
      <c r="D83" s="44">
        <f>IF(OR(-1188.69776="",-877.55777="",-1188.69776=0),"-",-877.55777/-1188.69776*100)</f>
        <v>73.82513869631588</v>
      </c>
    </row>
    <row r="84" spans="1:4" ht="15.75">
      <c r="A84" s="31" t="s">
        <v>155</v>
      </c>
      <c r="B84" s="44">
        <f>IF(-250.02782="","-",-250.02782)</f>
        <v>-250.02782</v>
      </c>
      <c r="C84" s="44">
        <f>IF(-861.07335="","-",-861.07335)</f>
        <v>-861.07335</v>
      </c>
      <c r="D84" s="44" t="s">
        <v>276</v>
      </c>
    </row>
    <row r="85" spans="1:4" ht="15.75">
      <c r="A85" s="31" t="s">
        <v>282</v>
      </c>
      <c r="B85" s="44">
        <f>IF(-1621.13351="","-",-1621.13351)</f>
        <v>-1621.13351</v>
      </c>
      <c r="C85" s="44">
        <f>IF(-798.80179="","-",-798.80179)</f>
        <v>-798.80179</v>
      </c>
      <c r="D85" s="44">
        <f>IF(OR(-1621.13351="",-798.80179="",-1621.13351=0),"-",-798.80179/-1621.13351*100)</f>
        <v>49.27427538031707</v>
      </c>
    </row>
    <row r="86" spans="1:4" ht="15.75">
      <c r="A86" s="31" t="s">
        <v>98</v>
      </c>
      <c r="B86" s="44">
        <f>IF(-627.4482="","-",-627.4482)</f>
        <v>-627.4482</v>
      </c>
      <c r="C86" s="44">
        <f>IF(-705.01174="","-",-705.01174)</f>
        <v>-705.01174</v>
      </c>
      <c r="D86" s="44">
        <f>IF(OR(-627.4482="",-705.01174="",-627.4482=0),"-",-705.01174/-627.4482*100)</f>
        <v>112.36174396547793</v>
      </c>
    </row>
    <row r="87" spans="1:4" ht="15.75">
      <c r="A87" s="31" t="s">
        <v>101</v>
      </c>
      <c r="B87" s="44">
        <f>IF(-301.31159="","-",-301.31159)</f>
        <v>-301.31159</v>
      </c>
      <c r="C87" s="44">
        <f>IF(-658.0689="","-",-658.0689)</f>
        <v>-658.0689</v>
      </c>
      <c r="D87" s="44" t="s">
        <v>163</v>
      </c>
    </row>
    <row r="88" spans="1:4" ht="15.75">
      <c r="A88" s="31" t="s">
        <v>79</v>
      </c>
      <c r="B88" s="44">
        <f>IF(-1061.81141="","-",-1061.81141)</f>
        <v>-1061.81141</v>
      </c>
      <c r="C88" s="44">
        <f>IF(-602.94375="","-",-602.94375)</f>
        <v>-602.94375</v>
      </c>
      <c r="D88" s="44">
        <f>IF(OR(-1061.81141="",-602.94375="",-1061.81141=0),"-",-602.94375/-1061.81141*100)</f>
        <v>56.78444819122823</v>
      </c>
    </row>
    <row r="89" spans="1:4" ht="15.75">
      <c r="A89" s="31" t="s">
        <v>94</v>
      </c>
      <c r="B89" s="44">
        <f>IF(-566.13094="","-",-566.13094)</f>
        <v>-566.13094</v>
      </c>
      <c r="C89" s="44">
        <f>IF(-462.36381="","-",-462.36381)</f>
        <v>-462.36381</v>
      </c>
      <c r="D89" s="44">
        <f>IF(OR(-566.13094="",-462.36381="",-566.13094=0),"-",-462.36381/-566.13094*100)</f>
        <v>81.67082512748729</v>
      </c>
    </row>
    <row r="90" spans="1:4" ht="15.75">
      <c r="A90" s="31" t="s">
        <v>174</v>
      </c>
      <c r="B90" s="44">
        <f>IF(-131.62717="","-",-131.62717)</f>
        <v>-131.62717</v>
      </c>
      <c r="C90" s="44">
        <f>IF(-382.53334="","-",-382.53334)</f>
        <v>-382.53334</v>
      </c>
      <c r="D90" s="44" t="s">
        <v>277</v>
      </c>
    </row>
    <row r="91" spans="1:4" ht="15.75">
      <c r="A91" s="31" t="s">
        <v>95</v>
      </c>
      <c r="B91" s="44">
        <f>IF(-583.98097="","-",-583.98097)</f>
        <v>-583.98097</v>
      </c>
      <c r="C91" s="44">
        <f>IF(-373.82422="","-",-373.82422)</f>
        <v>-373.82422</v>
      </c>
      <c r="D91" s="44">
        <f>IF(OR(-583.98097="",-373.82422="",-583.98097=0),"-",-373.82422/-583.98097*100)</f>
        <v>64.01308248109524</v>
      </c>
    </row>
    <row r="92" spans="1:4" ht="15.75">
      <c r="A92" s="31" t="s">
        <v>91</v>
      </c>
      <c r="B92" s="44">
        <f>IF(-1099.09994="","-",-1099.09994)</f>
        <v>-1099.09994</v>
      </c>
      <c r="C92" s="44">
        <f>IF(-373.81509="","-",-373.81509)</f>
        <v>-373.81509</v>
      </c>
      <c r="D92" s="44">
        <f>IF(OR(-1099.09994="",-373.81509="",-1099.09994=0),"-",-373.81509/-1099.09994*100)</f>
        <v>34.011019052553124</v>
      </c>
    </row>
    <row r="93" spans="1:4" ht="15.75">
      <c r="A93" s="31" t="s">
        <v>111</v>
      </c>
      <c r="B93" s="44">
        <f>IF(335.59473="","-",335.59473)</f>
        <v>335.59473</v>
      </c>
      <c r="C93" s="44">
        <f>IF(-232.32903="","-",-232.32903)</f>
        <v>-232.32903</v>
      </c>
      <c r="D93" s="44">
        <f>IF(OR(335.59473="",-232.32903="",335.59473=0),"-",-232.32903/335.59473*100)</f>
        <v>-69.22904599842792</v>
      </c>
    </row>
    <row r="94" spans="1:4" ht="15.75">
      <c r="A94" s="31" t="s">
        <v>141</v>
      </c>
      <c r="B94" s="44">
        <f>IF(-52.91395="","-",-52.91395)</f>
        <v>-52.91395</v>
      </c>
      <c r="C94" s="44">
        <f>IF(-154.1063="","-",-154.1063)</f>
        <v>-154.1063</v>
      </c>
      <c r="D94" s="44" t="s">
        <v>277</v>
      </c>
    </row>
    <row r="95" spans="1:4" ht="15.75">
      <c r="A95" s="31" t="s">
        <v>149</v>
      </c>
      <c r="B95" s="44">
        <f>IF(-136.93004="","-",-136.93004)</f>
        <v>-136.93004</v>
      </c>
      <c r="C95" s="44">
        <f>IF(-149.14976="","-",-149.14976)</f>
        <v>-149.14976</v>
      </c>
      <c r="D95" s="44">
        <f>IF(OR(-136.93004="",-149.14976="",-136.93004=0),"-",-149.14976/-136.93004*100)</f>
        <v>108.92406078315614</v>
      </c>
    </row>
    <row r="96" spans="1:4" ht="15.75">
      <c r="A96" s="31" t="s">
        <v>177</v>
      </c>
      <c r="B96" s="44">
        <f>IF(-74.70364="","-",-74.70364)</f>
        <v>-74.70364</v>
      </c>
      <c r="C96" s="44">
        <f>IF(-143.88905="","-",-143.88905)</f>
        <v>-143.88905</v>
      </c>
      <c r="D96" s="44" t="s">
        <v>170</v>
      </c>
    </row>
    <row r="97" spans="1:4" ht="15.75">
      <c r="A97" s="31" t="s">
        <v>166</v>
      </c>
      <c r="B97" s="44">
        <f>IF(-485.45244="","-",-485.45244)</f>
        <v>-485.45244</v>
      </c>
      <c r="C97" s="44">
        <f>IF(-122.78442="","-",-122.78442)</f>
        <v>-122.78442</v>
      </c>
      <c r="D97" s="44">
        <f>IF(OR(-485.45244="",-122.78442="",-485.45244=0),"-",-122.78442/-485.45244*100)</f>
        <v>25.29278048329513</v>
      </c>
    </row>
    <row r="98" spans="1:4" ht="15.75">
      <c r="A98" s="31" t="s">
        <v>176</v>
      </c>
      <c r="B98" s="44">
        <f>IF(-102.06242="","-",-102.06242)</f>
        <v>-102.06242</v>
      </c>
      <c r="C98" s="44">
        <f>IF(-120.81373="","-",-120.81373)</f>
        <v>-120.81373</v>
      </c>
      <c r="D98" s="44">
        <f>IF(OR(-102.06242="",-120.81373="",-102.06242=0),"-",-120.81373/-102.06242*100)</f>
        <v>118.37239407021703</v>
      </c>
    </row>
    <row r="99" spans="1:4" ht="15.75">
      <c r="A99" s="31" t="s">
        <v>178</v>
      </c>
      <c r="B99" s="44">
        <f>IF(-45.92406="","-",-45.92406)</f>
        <v>-45.92406</v>
      </c>
      <c r="C99" s="44">
        <f>IF(-115.96016="","-",-115.96016)</f>
        <v>-115.96016</v>
      </c>
      <c r="D99" s="44" t="s">
        <v>278</v>
      </c>
    </row>
    <row r="100" spans="1:4" ht="15.75">
      <c r="A100" s="31" t="s">
        <v>175</v>
      </c>
      <c r="B100" s="44">
        <f>IF(-128.71675="","-",-128.71675)</f>
        <v>-128.71675</v>
      </c>
      <c r="C100" s="44">
        <f>IF(-115.01897="","-",-115.01897)</f>
        <v>-115.01897</v>
      </c>
      <c r="D100" s="44">
        <f>IF(OR(-128.71675="",-115.01897="",-128.71675=0),"-",-115.01897/-128.71675*100)</f>
        <v>89.35819930195565</v>
      </c>
    </row>
    <row r="101" spans="1:4" ht="15.75">
      <c r="A101" s="31" t="s">
        <v>179</v>
      </c>
      <c r="B101" s="44">
        <f>IF(-116.44193="","-",-116.44193)</f>
        <v>-116.44193</v>
      </c>
      <c r="C101" s="44">
        <f>IF(-102.08399="","-",-102.08399)</f>
        <v>-102.08399</v>
      </c>
      <c r="D101" s="44">
        <f>IF(OR(-116.44193="",-102.08399="",-116.44193=0),"-",-102.08399/-116.44193*100)</f>
        <v>87.66944175521652</v>
      </c>
    </row>
    <row r="102" spans="1:4" ht="15.75">
      <c r="A102" s="31" t="s">
        <v>283</v>
      </c>
      <c r="B102" s="44">
        <f>IF(-46.64707="","-",-46.64707)</f>
        <v>-46.64707</v>
      </c>
      <c r="C102" s="44">
        <f>IF(-77.25593="","-",-77.25593)</f>
        <v>-77.25593</v>
      </c>
      <c r="D102" s="44" t="s">
        <v>105</v>
      </c>
    </row>
    <row r="103" spans="1:4" ht="15.75">
      <c r="A103" s="31" t="s">
        <v>181</v>
      </c>
      <c r="B103" s="44">
        <f>IF(-265.26104="","-",-265.26104)</f>
        <v>-265.26104</v>
      </c>
      <c r="C103" s="44">
        <f>IF(-76.14691="","-",-76.14691)</f>
        <v>-76.14691</v>
      </c>
      <c r="D103" s="44">
        <f>IF(OR(-265.26104="",-76.14691="",-265.26104=0),"-",-76.14691/-265.26104*100)</f>
        <v>28.706405584476336</v>
      </c>
    </row>
    <row r="104" spans="1:4" ht="15.75">
      <c r="A104" s="31" t="s">
        <v>284</v>
      </c>
      <c r="B104" s="44">
        <f>IF(-89.58143="","-",-89.58143)</f>
        <v>-89.58143</v>
      </c>
      <c r="C104" s="44">
        <f>IF(-68.16386="","-",-68.16386)</f>
        <v>-68.16386</v>
      </c>
      <c r="D104" s="44">
        <f>IF(OR(-89.58143="",-68.16386="",-89.58143=0),"-",-68.16386/-89.58143*100)</f>
        <v>76.09150691164453</v>
      </c>
    </row>
    <row r="105" spans="1:4" ht="15.75">
      <c r="A105" s="31" t="s">
        <v>248</v>
      </c>
      <c r="B105" s="44">
        <f>IF(-107.40447="","-",-107.40447)</f>
        <v>-107.40447</v>
      </c>
      <c r="C105" s="44">
        <f>IF(-67.94775="","-",-67.94775)</f>
        <v>-67.94775</v>
      </c>
      <c r="D105" s="44">
        <f>IF(OR(-107.40447="",-67.94775="",-107.40447=0),"-",-67.94775/-107.40447*100)</f>
        <v>63.26342842155452</v>
      </c>
    </row>
    <row r="106" spans="1:4" ht="15.75">
      <c r="A106" s="31" t="s">
        <v>103</v>
      </c>
      <c r="B106" s="44">
        <f>IF(-543.30617="","-",-543.30617)</f>
        <v>-543.30617</v>
      </c>
      <c r="C106" s="44">
        <f>IF(-61.97802="","-",-61.97802)</f>
        <v>-61.97802</v>
      </c>
      <c r="D106" s="44">
        <f>IF(OR(-543.30617="",-61.97802="",-543.30617=0),"-",-61.97802/-543.30617*100)</f>
        <v>11.407567854419913</v>
      </c>
    </row>
    <row r="107" spans="1:4" ht="15.75">
      <c r="A107" s="31" t="s">
        <v>285</v>
      </c>
      <c r="B107" s="44">
        <f>IF(161.90105="","-",161.90105)</f>
        <v>161.90105</v>
      </c>
      <c r="C107" s="44">
        <f>IF(76.74771="","-",76.74771)</f>
        <v>76.74771</v>
      </c>
      <c r="D107" s="44">
        <f>IF(OR(161.90105="",76.74771="",161.90105=0),"-",76.74771/161.90105*100)</f>
        <v>47.40408416128246</v>
      </c>
    </row>
    <row r="108" spans="1:4" ht="15.75">
      <c r="A108" s="31" t="s">
        <v>148</v>
      </c>
      <c r="B108" s="44">
        <f>IF(525.63255="","-",525.63255)</f>
        <v>525.63255</v>
      </c>
      <c r="C108" s="44">
        <f>IF(85.47339="","-",85.47339)</f>
        <v>85.47339</v>
      </c>
      <c r="D108" s="44">
        <f>IF(OR(525.63255="",85.47339="",525.63255=0),"-",85.47339/525.63255*100)</f>
        <v>16.26105346786457</v>
      </c>
    </row>
    <row r="109" spans="1:4" ht="15.75">
      <c r="A109" s="31" t="s">
        <v>159</v>
      </c>
      <c r="B109" s="44">
        <f>IF(74.06953="","-",74.06953)</f>
        <v>74.06953</v>
      </c>
      <c r="C109" s="44">
        <f>IF(89.75482="","-",89.75482)</f>
        <v>89.75482</v>
      </c>
      <c r="D109" s="44">
        <f>IF(OR(74.06953="",89.75482="",74.06953=0),"-",89.75482/74.06953*100)</f>
        <v>121.17644056874668</v>
      </c>
    </row>
    <row r="110" spans="1:4" ht="15.75">
      <c r="A110" s="31" t="s">
        <v>172</v>
      </c>
      <c r="B110" s="44">
        <f>IF(55.6754="","-",55.6754)</f>
        <v>55.6754</v>
      </c>
      <c r="C110" s="44">
        <f>IF(97.79062="","-",97.79062)</f>
        <v>97.79062</v>
      </c>
      <c r="D110" s="44" t="s">
        <v>104</v>
      </c>
    </row>
    <row r="111" spans="1:4" ht="15.75">
      <c r="A111" s="31" t="s">
        <v>173</v>
      </c>
      <c r="B111" s="44">
        <f>IF(168.24637="","-",168.24637)</f>
        <v>168.24637</v>
      </c>
      <c r="C111" s="44">
        <f>IF(113.15797="","-",113.15797)</f>
        <v>113.15797</v>
      </c>
      <c r="D111" s="44">
        <f>IF(OR(168.24637="",113.15797="",168.24637=0),"-",113.15797/168.24637*100)</f>
        <v>67.25730249038953</v>
      </c>
    </row>
    <row r="112" spans="1:4" ht="15.75">
      <c r="A112" s="31" t="s">
        <v>162</v>
      </c>
      <c r="B112" s="44">
        <f>IF(2.23815="","-",2.23815)</f>
        <v>2.23815</v>
      </c>
      <c r="C112" s="44">
        <f>IF(117.78911="","-",117.78911)</f>
        <v>117.78911</v>
      </c>
      <c r="D112" s="44" t="s">
        <v>287</v>
      </c>
    </row>
    <row r="113" spans="1:4" ht="15.75">
      <c r="A113" s="31" t="s">
        <v>266</v>
      </c>
      <c r="B113" s="44">
        <f>IF(74.08598="","-",74.08598)</f>
        <v>74.08598</v>
      </c>
      <c r="C113" s="44">
        <f>IF(165.17825="","-",165.17825)</f>
        <v>165.17825</v>
      </c>
      <c r="D113" s="44" t="s">
        <v>163</v>
      </c>
    </row>
    <row r="114" spans="1:4" ht="15.75">
      <c r="A114" s="31" t="s">
        <v>37</v>
      </c>
      <c r="B114" s="44">
        <f>IF(4801.4642="","-",4801.4642)</f>
        <v>4801.4642</v>
      </c>
      <c r="C114" s="44">
        <f>IF(174.73956="","-",174.73956)</f>
        <v>174.73956</v>
      </c>
      <c r="D114" s="44">
        <f>IF(OR(4801.4642="",174.73956="",4801.4642=0),"-",174.73956/4801.4642*100)</f>
        <v>3.639297362666996</v>
      </c>
    </row>
    <row r="115" spans="1:4" ht="15.75">
      <c r="A115" s="31" t="s">
        <v>183</v>
      </c>
      <c r="B115" s="44">
        <f>IF(329.78556="","-",329.78556)</f>
        <v>329.78556</v>
      </c>
      <c r="C115" s="44">
        <f>IF(181.44336="","-",181.44336)</f>
        <v>181.44336</v>
      </c>
      <c r="D115" s="44">
        <f>IF(OR(329.78556="",181.44336="",329.78556=0),"-",181.44336/329.78556*100)</f>
        <v>55.018588442744445</v>
      </c>
    </row>
    <row r="116" spans="1:4" ht="15.75">
      <c r="A116" s="31" t="s">
        <v>168</v>
      </c>
      <c r="B116" s="44">
        <f>IF(149.798="","-",149.798)</f>
        <v>149.798</v>
      </c>
      <c r="C116" s="44">
        <f>IF(197.6455="","-",197.6455)</f>
        <v>197.6455</v>
      </c>
      <c r="D116" s="44">
        <f>IF(OR(149.798="",197.6455="",149.798=0),"-",197.6455/149.798*100)</f>
        <v>131.94134768154447</v>
      </c>
    </row>
    <row r="117" spans="1:4" ht="15.75">
      <c r="A117" s="31" t="s">
        <v>107</v>
      </c>
      <c r="B117" s="44">
        <f>IF(933.41408="","-",933.41408)</f>
        <v>933.41408</v>
      </c>
      <c r="C117" s="44">
        <f>IF(228.64049="","-",228.64049)</f>
        <v>228.64049</v>
      </c>
      <c r="D117" s="44">
        <f>IF(OR(933.41408="",228.64049="",933.41408=0),"-",228.64049/933.41408*100)</f>
        <v>24.495076183123356</v>
      </c>
    </row>
    <row r="118" spans="1:4" ht="15.75">
      <c r="A118" s="31" t="s">
        <v>134</v>
      </c>
      <c r="B118" s="44">
        <f>IF(555.49575="","-",555.49575)</f>
        <v>555.49575</v>
      </c>
      <c r="C118" s="44">
        <f>IF(290.47911="","-",290.47911)</f>
        <v>290.47911</v>
      </c>
      <c r="D118" s="44">
        <f>IF(OR(555.49575="",290.47911="",555.49575=0),"-",290.47911/555.49575*100)</f>
        <v>52.291869019699966</v>
      </c>
    </row>
    <row r="119" spans="1:4" ht="15.75">
      <c r="A119" s="31" t="s">
        <v>68</v>
      </c>
      <c r="B119" s="44">
        <f>IF(-4590.76814="","-",-4590.76814)</f>
        <v>-4590.76814</v>
      </c>
      <c r="C119" s="44">
        <f>IF(410.74876="","-",410.74876)</f>
        <v>410.74876</v>
      </c>
      <c r="D119" s="44" t="s">
        <v>21</v>
      </c>
    </row>
    <row r="120" spans="1:4" ht="15.75">
      <c r="A120" s="31" t="s">
        <v>158</v>
      </c>
      <c r="B120" s="44">
        <f>IF(960.60742="","-",960.60742)</f>
        <v>960.60742</v>
      </c>
      <c r="C120" s="44">
        <f>IF(427.7973="","-",427.7973)</f>
        <v>427.7973</v>
      </c>
      <c r="D120" s="44">
        <f>IF(OR(960.60742="",427.7973="",960.60742=0),"-",427.7973/960.60742*100)</f>
        <v>44.53404076349941</v>
      </c>
    </row>
    <row r="121" spans="1:4" ht="15.75">
      <c r="A121" s="31" t="s">
        <v>144</v>
      </c>
      <c r="B121" s="44">
        <f>IF(488.99499="","-",488.99499)</f>
        <v>488.99499</v>
      </c>
      <c r="C121" s="44">
        <f>IF(433.50591="","-",433.50591)</f>
        <v>433.50591</v>
      </c>
      <c r="D121" s="44">
        <f>IF(OR(488.99499="",433.50591="",488.99499=0),"-",433.50591/488.99499*100)</f>
        <v>88.65242361685546</v>
      </c>
    </row>
    <row r="122" spans="1:4" ht="15.75">
      <c r="A122" s="31" t="s">
        <v>137</v>
      </c>
      <c r="B122" s="44">
        <f>IF(126.79295="","-",126.79295)</f>
        <v>126.79295</v>
      </c>
      <c r="C122" s="44">
        <f>IF(459.89037="","-",459.89037)</f>
        <v>459.89037</v>
      </c>
      <c r="D122" s="44" t="s">
        <v>260</v>
      </c>
    </row>
    <row r="123" spans="1:4" ht="15.75">
      <c r="A123" s="31" t="s">
        <v>143</v>
      </c>
      <c r="B123" s="44">
        <f>IF(103.18892="","-",103.18892)</f>
        <v>103.18892</v>
      </c>
      <c r="C123" s="44">
        <f>IF(676.75145="","-",676.75145)</f>
        <v>676.75145</v>
      </c>
      <c r="D123" s="44" t="s">
        <v>272</v>
      </c>
    </row>
    <row r="124" spans="1:4" ht="15.75">
      <c r="A124" s="31" t="s">
        <v>136</v>
      </c>
      <c r="B124" s="44">
        <f>IF(36.71506="","-",36.71506)</f>
        <v>36.71506</v>
      </c>
      <c r="C124" s="44">
        <f>IF(763.11434="","-",763.11434)</f>
        <v>763.11434</v>
      </c>
      <c r="D124" s="44" t="s">
        <v>288</v>
      </c>
    </row>
    <row r="125" spans="1:4" ht="15.75">
      <c r="A125" s="31" t="s">
        <v>142</v>
      </c>
      <c r="B125" s="44">
        <f>IF(1531.54944="","-",1531.54944)</f>
        <v>1531.54944</v>
      </c>
      <c r="C125" s="44">
        <f>IF(767.0032="","-",767.0032)</f>
        <v>767.0032</v>
      </c>
      <c r="D125" s="44">
        <f>IF(OR(1531.54944="",767.0032="",1531.54944=0),"-",767.0032/1531.54944*100)</f>
        <v>50.080211579718906</v>
      </c>
    </row>
    <row r="126" spans="1:4" ht="15.75">
      <c r="A126" s="31" t="s">
        <v>64</v>
      </c>
      <c r="B126" s="44">
        <f>IF(3043.09243="","-",3043.09243)</f>
        <v>3043.09243</v>
      </c>
      <c r="C126" s="44">
        <f>IF(882.13512="","-",882.13512)</f>
        <v>882.13512</v>
      </c>
      <c r="D126" s="44">
        <f>IF(OR(3043.09243="",882.13512="",3043.09243=0),"-",882.13512/3043.09243*100)</f>
        <v>28.98811456739091</v>
      </c>
    </row>
    <row r="127" spans="1:4" ht="15.75">
      <c r="A127" s="31" t="s">
        <v>96</v>
      </c>
      <c r="B127" s="44">
        <f>IF(636.46013="","-",636.46013)</f>
        <v>636.46013</v>
      </c>
      <c r="C127" s="44">
        <f>IF(949.3028="","-",949.3028)</f>
        <v>949.3028</v>
      </c>
      <c r="D127" s="44">
        <f>IF(OR(636.46013="",949.3028="",636.46013=0),"-",949.3028/636.46013*100)</f>
        <v>149.15353770863854</v>
      </c>
    </row>
    <row r="128" spans="1:4" ht="15.75">
      <c r="A128" s="31" t="s">
        <v>102</v>
      </c>
      <c r="B128" s="44">
        <f>IF(-764.06914="","-",-764.06914)</f>
        <v>-764.06914</v>
      </c>
      <c r="C128" s="44">
        <f>IF(967.47554="","-",967.47554)</f>
        <v>967.47554</v>
      </c>
      <c r="D128" s="44" t="s">
        <v>21</v>
      </c>
    </row>
    <row r="129" spans="1:4" ht="15.75">
      <c r="A129" s="31" t="s">
        <v>157</v>
      </c>
      <c r="B129" s="44">
        <f>IF(69.65623="","-",69.65623)</f>
        <v>69.65623</v>
      </c>
      <c r="C129" s="44">
        <f>IF(1021.81361="","-",1021.81361)</f>
        <v>1021.81361</v>
      </c>
      <c r="D129" s="44" t="s">
        <v>261</v>
      </c>
    </row>
    <row r="130" spans="1:4" ht="15.75">
      <c r="A130" s="31" t="s">
        <v>135</v>
      </c>
      <c r="B130" s="44" t="str">
        <f>IF(OR(0="",1059.75499="",0=0),"-",1059.75499/0*100)</f>
        <v>-</v>
      </c>
      <c r="C130" s="44">
        <f>IF(1059.75499="","-",1059.75499)</f>
        <v>1059.75499</v>
      </c>
      <c r="D130" s="44" t="str">
        <f>IF(OR(0="",1059.75499="",0=0),"-",1059.75499/0*100)</f>
        <v>-</v>
      </c>
    </row>
    <row r="131" spans="1:4" ht="15.75">
      <c r="A131" s="31" t="s">
        <v>182</v>
      </c>
      <c r="B131" s="44">
        <f>IF(-40.84512="","-",-40.84512)</f>
        <v>-40.84512</v>
      </c>
      <c r="C131" s="44">
        <f>IF(1163.2995="","-",1163.2995)</f>
        <v>1163.2995</v>
      </c>
      <c r="D131" s="44" t="s">
        <v>21</v>
      </c>
    </row>
    <row r="132" spans="1:4" ht="15.75">
      <c r="A132" s="31" t="s">
        <v>109</v>
      </c>
      <c r="B132" s="44">
        <f>IF(530.24082="","-",530.24082)</f>
        <v>530.24082</v>
      </c>
      <c r="C132" s="44">
        <f>IF(1474.15933="","-",1474.15933)</f>
        <v>1474.15933</v>
      </c>
      <c r="D132" s="44" t="s">
        <v>289</v>
      </c>
    </row>
    <row r="133" spans="1:4" ht="15.75">
      <c r="A133" s="31" t="s">
        <v>77</v>
      </c>
      <c r="B133" s="44">
        <f>IF(1497.50217="","-",1497.50217)</f>
        <v>1497.50217</v>
      </c>
      <c r="C133" s="44">
        <f>IF(1647.03129="","-",1647.03129)</f>
        <v>1647.03129</v>
      </c>
      <c r="D133" s="44">
        <f>IF(OR(1497.50217="",1647.03129="",1497.50217=0),"-",1647.03129/1497.50217*100)</f>
        <v>109.98523561404923</v>
      </c>
    </row>
    <row r="134" spans="1:4" ht="15.75">
      <c r="A134" s="31" t="s">
        <v>133</v>
      </c>
      <c r="B134" s="44">
        <f>IF(-102.68834="","-",-102.68834)</f>
        <v>-102.68834</v>
      </c>
      <c r="C134" s="44">
        <f>IF(3534.06758="","-",3534.06758)</f>
        <v>3534.06758</v>
      </c>
      <c r="D134" s="44" t="s">
        <v>21</v>
      </c>
    </row>
    <row r="135" spans="1:4" ht="15.75">
      <c r="A135" s="31" t="s">
        <v>65</v>
      </c>
      <c r="B135" s="44">
        <f>IF(3247.10556="","-",3247.10556)</f>
        <v>3247.10556</v>
      </c>
      <c r="C135" s="44">
        <f>IF(6284.34689="","-",6284.34689)</f>
        <v>6284.34689</v>
      </c>
      <c r="D135" s="44" t="s">
        <v>170</v>
      </c>
    </row>
    <row r="136" spans="1:4" ht="15.75">
      <c r="A136" s="31" t="s">
        <v>57</v>
      </c>
      <c r="B136" s="44">
        <f>IF(11143.6216="","-",11143.6216)</f>
        <v>11143.6216</v>
      </c>
      <c r="C136" s="44">
        <f>IF(8587.73564="","-",8587.73564)</f>
        <v>8587.73564</v>
      </c>
      <c r="D136" s="44">
        <f>IF(OR(11143.6216="",8587.73564="",11143.6216=0),"-",8587.73564/11143.6216*100)</f>
        <v>77.06413541536622</v>
      </c>
    </row>
    <row r="137" spans="1:4" ht="15.75">
      <c r="A137" s="31" t="s">
        <v>60</v>
      </c>
      <c r="B137" s="44">
        <f>IF(13470.72462="","-",13470.72462)</f>
        <v>13470.72462</v>
      </c>
      <c r="C137" s="44">
        <f>IF(13975.8462="","-",13975.8462)</f>
        <v>13975.8462</v>
      </c>
      <c r="D137" s="44">
        <f>IF(OR(13470.72462="",13975.8462="",13470.72462=0),"-",13975.8462/13470.72462*100)</f>
        <v>103.74977289083651</v>
      </c>
    </row>
    <row r="138" spans="1:4" ht="15.75">
      <c r="A138" s="31" t="s">
        <v>132</v>
      </c>
      <c r="B138" s="44">
        <f>IF(4221.59715="","-",4221.59715)</f>
        <v>4221.59715</v>
      </c>
      <c r="C138" s="44">
        <f>IF(15895.53409="","-",15895.53409)</f>
        <v>15895.53409</v>
      </c>
      <c r="D138" s="44" t="s">
        <v>290</v>
      </c>
    </row>
    <row r="139" spans="1:4" ht="15.75">
      <c r="A139" s="31" t="s">
        <v>58</v>
      </c>
      <c r="B139" s="44">
        <f>IF(18094.14581="","-",18094.14581)</f>
        <v>18094.14581</v>
      </c>
      <c r="C139" s="44">
        <f>IF(17874.5038="","-",17874.5038)</f>
        <v>17874.5038</v>
      </c>
      <c r="D139" s="44">
        <f>IF(OR(18094.14581="",17874.5038="",18094.14581=0),"-",17874.5038/18094.14581*100)</f>
        <v>98.78611561824259</v>
      </c>
    </row>
    <row r="140" spans="1:4" ht="15.75">
      <c r="A140" s="45" t="s">
        <v>156</v>
      </c>
      <c r="B140" s="46">
        <f>IF(24169.44291="","-",24169.44291)</f>
        <v>24169.44291</v>
      </c>
      <c r="C140" s="46">
        <f>IF(50506.42124="","-",50506.42124)</f>
        <v>50506.42124</v>
      </c>
      <c r="D140" s="46" t="s">
        <v>180</v>
      </c>
    </row>
    <row r="141" ht="15.75">
      <c r="A141" s="27" t="s">
        <v>20</v>
      </c>
    </row>
  </sheetData>
  <sheetProtection/>
  <mergeCells count="1">
    <mergeCell ref="A1:D1"/>
  </mergeCells>
  <printOptions/>
  <pageMargins left="0.5905511811023623" right="0.3937007874015748" top="0.3937007874015748" bottom="0.3937007874015748" header="0.11811023622047245" footer="0.1181102362204724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K36"/>
  <sheetViews>
    <sheetView zoomScalePageLayoutView="0" workbookViewId="0" topLeftCell="A1">
      <selection activeCell="B41" sqref="B41"/>
    </sheetView>
  </sheetViews>
  <sheetFormatPr defaultColWidth="9.00390625" defaultRowHeight="15.75"/>
  <cols>
    <col min="1" max="1" width="33.00390625" style="0" customWidth="1"/>
    <col min="2" max="2" width="13.75390625" style="0" customWidth="1"/>
    <col min="3" max="3" width="12.875" style="0" customWidth="1"/>
    <col min="4" max="4" width="11.25390625" style="0" customWidth="1"/>
    <col min="5" max="5" width="11.50390625" style="0" customWidth="1"/>
  </cols>
  <sheetData>
    <row r="1" spans="1:5" ht="15.75">
      <c r="A1" s="73" t="s">
        <v>123</v>
      </c>
      <c r="B1" s="73"/>
      <c r="C1" s="73"/>
      <c r="D1" s="73"/>
      <c r="E1" s="73"/>
    </row>
    <row r="2" spans="1:5" ht="15.75">
      <c r="A2" s="9"/>
      <c r="B2" s="9"/>
      <c r="C2" s="9"/>
      <c r="D2" s="9"/>
      <c r="E2" s="9"/>
    </row>
    <row r="3" spans="1:6" ht="15.75" customHeight="1">
      <c r="A3" s="74"/>
      <c r="B3" s="81">
        <v>2019</v>
      </c>
      <c r="C3" s="81"/>
      <c r="D3" s="76" t="s">
        <v>108</v>
      </c>
      <c r="E3" s="82"/>
      <c r="F3" s="1"/>
    </row>
    <row r="4" spans="1:6" ht="28.5" customHeight="1">
      <c r="A4" s="75"/>
      <c r="B4" s="34" t="s">
        <v>265</v>
      </c>
      <c r="C4" s="35" t="s">
        <v>263</v>
      </c>
      <c r="D4" s="19">
        <v>2018</v>
      </c>
      <c r="E4" s="18">
        <v>2019</v>
      </c>
      <c r="F4" s="1"/>
    </row>
    <row r="5" spans="1:5" ht="15.75" customHeight="1">
      <c r="A5" s="58" t="s">
        <v>254</v>
      </c>
      <c r="B5" s="59">
        <f>IF(2779195.26316="","-",2779195.26316)</f>
        <v>2779195.26316</v>
      </c>
      <c r="C5" s="60">
        <f>IF(2706173.30142="","-",2779195.26316/2706173.30142*100)</f>
        <v>102.69834757817186</v>
      </c>
      <c r="D5" s="61">
        <v>100</v>
      </c>
      <c r="E5" s="61">
        <v>100</v>
      </c>
    </row>
    <row r="6" spans="1:5" ht="15.75" customHeight="1">
      <c r="A6" s="62" t="s">
        <v>145</v>
      </c>
      <c r="B6" s="22"/>
      <c r="C6" s="25"/>
      <c r="D6" s="22"/>
      <c r="E6" s="22"/>
    </row>
    <row r="7" spans="1:5" ht="15.75">
      <c r="A7" s="63" t="s">
        <v>113</v>
      </c>
      <c r="B7" s="44">
        <f>IF(196175.405="","-",196175.405)</f>
        <v>196175.405</v>
      </c>
      <c r="C7" s="64">
        <v>105.5263</v>
      </c>
      <c r="D7" s="44">
        <f>IF(185901.87031="","-",185901.87031/2706173.30142*100)</f>
        <v>6.869547867183984</v>
      </c>
      <c r="E7" s="44">
        <f>IF(196175.405="","-",196175.405/2779195.26316*100)</f>
        <v>7.058712556128377</v>
      </c>
    </row>
    <row r="8" spans="1:5" ht="15.75">
      <c r="A8" s="63" t="s">
        <v>114</v>
      </c>
      <c r="B8" s="44">
        <f>IF(126098.23823="","-",126098.23823)</f>
        <v>126098.23823</v>
      </c>
      <c r="C8" s="64">
        <v>104.0928</v>
      </c>
      <c r="D8" s="44">
        <f>IF(121140.18858="","-",121140.18858/2706173.30142*100)</f>
        <v>4.4764386861859355</v>
      </c>
      <c r="E8" s="44">
        <f>IF(126098.23823="","-",126098.23823/2779195.26316*100)</f>
        <v>4.53722125614966</v>
      </c>
    </row>
    <row r="9" spans="1:5" ht="15.75">
      <c r="A9" s="63" t="s">
        <v>115</v>
      </c>
      <c r="B9" s="44">
        <f>IF(2409727.92147="","-",2409727.92147)</f>
        <v>2409727.92147</v>
      </c>
      <c r="C9" s="64">
        <v>102.4638</v>
      </c>
      <c r="D9" s="44">
        <f>IF(2351784.22825="","-",2351784.22825/2706173.30142*100)</f>
        <v>86.90442060809474</v>
      </c>
      <c r="E9" s="44">
        <f>IF(2409727.92147="","-",2409727.92147/2779195.26316*100)</f>
        <v>86.70595957802877</v>
      </c>
    </row>
    <row r="10" spans="1:5" ht="15.75">
      <c r="A10" s="63" t="s">
        <v>116</v>
      </c>
      <c r="B10" s="44">
        <f>IF(43720.39154="","-",43720.39154)</f>
        <v>43720.39154</v>
      </c>
      <c r="C10" s="64">
        <v>95.067</v>
      </c>
      <c r="D10" s="44">
        <f>IF(45989.01702="","-",45989.01702/2706173.30142*100)</f>
        <v>1.6994113790077066</v>
      </c>
      <c r="E10" s="44">
        <f>IF(43720.39154="","-",43720.39154/2779195.26316*100)</f>
        <v>1.5731313347982987</v>
      </c>
    </row>
    <row r="11" spans="1:5" ht="15.75">
      <c r="A11" s="63" t="s">
        <v>117</v>
      </c>
      <c r="B11" s="44">
        <f>IF(2959.29828="","-",2959.29828)</f>
        <v>2959.29828</v>
      </c>
      <c r="C11" s="64" t="s">
        <v>164</v>
      </c>
      <c r="D11" s="44">
        <f>IF(1241.63126="","-",1241.63126/2706173.30142*100)</f>
        <v>0.04588143927620909</v>
      </c>
      <c r="E11" s="44">
        <f>IF(2959.29828="","-",2959.29828/2779195.26316*100)</f>
        <v>0.10648040169135937</v>
      </c>
    </row>
    <row r="12" spans="1:5" ht="15.75">
      <c r="A12" s="63" t="s">
        <v>118</v>
      </c>
      <c r="B12" s="44">
        <f>IF(7.82376="","-",7.82376)</f>
        <v>7.82376</v>
      </c>
      <c r="C12" s="64">
        <v>96.0688</v>
      </c>
      <c r="D12" s="44">
        <f>IF(8.14167="","-",8.14167/2706173.30142*100)</f>
        <v>0.0003008554550341566</v>
      </c>
      <c r="E12" s="44">
        <f>IF(7.82376="","-",7.82376/2779195.26316*100)</f>
        <v>0.0002815117060578259</v>
      </c>
    </row>
    <row r="13" spans="1:5" ht="15.75">
      <c r="A13" s="63" t="s">
        <v>119</v>
      </c>
      <c r="B13" s="44">
        <f>IF(506.18488="","-",506.18488)</f>
        <v>506.18488</v>
      </c>
      <c r="C13" s="64" t="s">
        <v>259</v>
      </c>
      <c r="D13" s="44">
        <f>IF(108.22433="","-",108.22433/2706173.30142*100)</f>
        <v>0.003999164796401319</v>
      </c>
      <c r="E13" s="44">
        <f>IF(506.18488="","-",506.18488/2779195.26316*100)</f>
        <v>0.018213361497473834</v>
      </c>
    </row>
    <row r="14" spans="1:5" ht="15.75">
      <c r="A14" s="42" t="s">
        <v>251</v>
      </c>
      <c r="B14" s="43">
        <f>IF(1830546.00251="","-",1830546.00251)</f>
        <v>1830546.00251</v>
      </c>
      <c r="C14" s="65">
        <f>IF(1861863.96271="","-",1830546.00251/1861863.96271*100)</f>
        <v>98.31792435821059</v>
      </c>
      <c r="D14" s="43">
        <f>IF(1861863.96271="","-",1861863.96271/2706173.30142*100)</f>
        <v>68.80061826539459</v>
      </c>
      <c r="E14" s="43">
        <f>IF(1830546.00251="","-",1830546.00251/2779195.26316*100)</f>
        <v>65.86604499421293</v>
      </c>
    </row>
    <row r="15" spans="1:5" ht="15.75">
      <c r="A15" s="63" t="s">
        <v>113</v>
      </c>
      <c r="B15" s="44">
        <f>IF(100664.36273="","-",100664.36273)</f>
        <v>100664.36273</v>
      </c>
      <c r="C15" s="64">
        <v>100.7908</v>
      </c>
      <c r="D15" s="44">
        <f>IF(99874.58103="","-",99874.58103/2706173.30142*100)</f>
        <v>3.6906202931494887</v>
      </c>
      <c r="E15" s="44">
        <f>IF(100664.36273="","-",100664.36273/2779195.26316*100)</f>
        <v>3.622068735664964</v>
      </c>
    </row>
    <row r="16" spans="1:5" ht="15.75">
      <c r="A16" s="63" t="s">
        <v>114</v>
      </c>
      <c r="B16" s="44">
        <f>IF(39306.71171="","-",39306.71171)</f>
        <v>39306.71171</v>
      </c>
      <c r="C16" s="64">
        <v>68.9898</v>
      </c>
      <c r="D16" s="44">
        <f>IF(56974.63349="","-",56974.63349/2706173.30142*100)</f>
        <v>2.105357903727153</v>
      </c>
      <c r="E16" s="44">
        <f>IF(39306.71171="","-",39306.71171/2779195.26316*100)</f>
        <v>1.4143199015569525</v>
      </c>
    </row>
    <row r="17" spans="1:11" ht="15.75">
      <c r="A17" s="63" t="s">
        <v>115</v>
      </c>
      <c r="B17" s="44">
        <f>IF(1683835.00811="","-",1683835.00811)</f>
        <v>1683835.00811</v>
      </c>
      <c r="C17" s="64">
        <v>99.3318</v>
      </c>
      <c r="D17" s="44">
        <f>IF(1695161.55715="","-",1695161.55715/2706173.30142*100)</f>
        <v>62.64053954935201</v>
      </c>
      <c r="E17" s="44">
        <f>IF(1683835.00811="","-",1683835.00811/2779195.26316*100)</f>
        <v>60.58714299172511</v>
      </c>
      <c r="K17" s="20"/>
    </row>
    <row r="18" spans="1:5" ht="15.75">
      <c r="A18" s="63" t="s">
        <v>116</v>
      </c>
      <c r="B18" s="44">
        <f>IF(5677.74289="","-",5677.74289)</f>
        <v>5677.74289</v>
      </c>
      <c r="C18" s="64">
        <v>62.6815</v>
      </c>
      <c r="D18" s="44">
        <f>IF(9058.07737="","-",9058.07737/2706173.30142*100)</f>
        <v>0.33471904276222775</v>
      </c>
      <c r="E18" s="44">
        <f>IF(5677.74289="","-",5677.74289/2779195.26316*100)</f>
        <v>0.20429449363497743</v>
      </c>
    </row>
    <row r="19" spans="1:5" ht="15.75">
      <c r="A19" s="63" t="s">
        <v>117</v>
      </c>
      <c r="B19" s="44">
        <f>IF(683.8341="","-",683.8341)</f>
        <v>683.8341</v>
      </c>
      <c r="C19" s="66">
        <v>99.1978</v>
      </c>
      <c r="D19" s="44">
        <f>IF(689.35683="","-",689.35683/2706173.30142*100)</f>
        <v>0.025473491651043796</v>
      </c>
      <c r="E19" s="44">
        <f>IF(683.8341="","-",683.8341/2779195.26316*100)</f>
        <v>0.024605471557348123</v>
      </c>
    </row>
    <row r="20" spans="1:5" ht="15.75">
      <c r="A20" s="63" t="s">
        <v>119</v>
      </c>
      <c r="B20" s="44">
        <f>IF(378.34297="","-",378.34297)</f>
        <v>378.34297</v>
      </c>
      <c r="C20" s="66" t="s">
        <v>260</v>
      </c>
      <c r="D20" s="44">
        <f>IF(105.75684="","-",105.75684/2706173.30142*100)</f>
        <v>0.003907984752658177</v>
      </c>
      <c r="E20" s="44">
        <f>IF(378.34297="","-",378.34297/2779195.26316*100)</f>
        <v>0.013613400073581607</v>
      </c>
    </row>
    <row r="21" spans="1:5" ht="15.75">
      <c r="A21" s="42" t="s">
        <v>252</v>
      </c>
      <c r="B21" s="43">
        <f>IF(434982.68756="","-",434982.68756)</f>
        <v>434982.68756</v>
      </c>
      <c r="C21" s="65">
        <f>IF(415922.25392="","-",434982.68756/415922.25392*100)</f>
        <v>104.5826914670611</v>
      </c>
      <c r="D21" s="43">
        <f>IF(415922.25392="","-",415922.25392/2706173.30142*100)</f>
        <v>15.369387234060536</v>
      </c>
      <c r="E21" s="43">
        <f>IF(434982.68756="","-",434982.68756/2779195.26316*100)</f>
        <v>15.651389930242471</v>
      </c>
    </row>
    <row r="22" spans="1:5" ht="15.75">
      <c r="A22" s="63" t="s">
        <v>113</v>
      </c>
      <c r="B22" s="44">
        <f>IF(7420.07926="","-",7420.07926)</f>
        <v>7420.07926</v>
      </c>
      <c r="C22" s="64">
        <v>146.407</v>
      </c>
      <c r="D22" s="44">
        <f>IF(5068.11695="","-",5068.11695/2706173.30142*100)</f>
        <v>0.18727983707993223</v>
      </c>
      <c r="E22" s="44">
        <f>IF(7420.07926="","-",7420.07926/2779195.26316*100)</f>
        <v>0.26698661149714337</v>
      </c>
    </row>
    <row r="23" spans="1:5" ht="15.75">
      <c r="A23" s="63" t="s">
        <v>114</v>
      </c>
      <c r="B23" s="44">
        <f>IF(15459.69735="","-",15459.69735)</f>
        <v>15459.69735</v>
      </c>
      <c r="C23" s="64">
        <v>76.0044</v>
      </c>
      <c r="D23" s="44">
        <f>IF(20340.53434="","-",20340.53434/2706173.30142*100)</f>
        <v>0.751634580436027</v>
      </c>
      <c r="E23" s="44">
        <f>IF(15459.69735="","-",15459.69735/2779195.26316*100)</f>
        <v>0.5562652453725766</v>
      </c>
    </row>
    <row r="24" spans="1:5" ht="15.75">
      <c r="A24" s="63" t="s">
        <v>115</v>
      </c>
      <c r="B24" s="44">
        <f>IF(399881.22187="","-",399881.22187)</f>
        <v>399881.22187</v>
      </c>
      <c r="C24" s="32">
        <v>105.4834</v>
      </c>
      <c r="D24" s="44">
        <f>IF(379094.01977="","-",379094.01977/2706173.30142*100)</f>
        <v>14.008490127778567</v>
      </c>
      <c r="E24" s="44">
        <f>IF(399881.22187="","-",399881.22187/2779195.26316*100)</f>
        <v>14.388381671870265</v>
      </c>
    </row>
    <row r="25" spans="1:5" ht="15.75">
      <c r="A25" s="63" t="s">
        <v>116</v>
      </c>
      <c r="B25" s="44">
        <f>IF(10692.2674="","-",10692.2674)</f>
        <v>10692.2674</v>
      </c>
      <c r="C25" s="32">
        <v>94.0947</v>
      </c>
      <c r="D25" s="44">
        <f>IF(11363.30603="","-",11363.30603/2706173.30142*100)</f>
        <v>0.4199031164795461</v>
      </c>
      <c r="E25" s="44">
        <f>IF(10692.2674="","-",10692.2674/2779195.26316*100)</f>
        <v>0.38472530310240527</v>
      </c>
    </row>
    <row r="26" spans="1:5" ht="15.75">
      <c r="A26" s="63" t="s">
        <v>117</v>
      </c>
      <c r="B26" s="44">
        <f>IF(1506.44048="","-",1506.44048)</f>
        <v>1506.44048</v>
      </c>
      <c r="C26" s="32" t="s">
        <v>280</v>
      </c>
      <c r="D26" s="44">
        <f>IF(45.66767="","-",45.66767/2706173.30142*100)</f>
        <v>0.001687536787686028</v>
      </c>
      <c r="E26" s="44">
        <f>IF(1506.44048="","-",1506.44048/2779195.26316*100)</f>
        <v>0.05420419716343167</v>
      </c>
    </row>
    <row r="27" spans="1:7" ht="15.75">
      <c r="A27" s="63" t="s">
        <v>118</v>
      </c>
      <c r="B27" s="44">
        <f>IF(7.82376="","-",7.82376)</f>
        <v>7.82376</v>
      </c>
      <c r="C27" s="32">
        <v>96.0688</v>
      </c>
      <c r="D27" s="44">
        <f>IF(8.14167="","-",8.14167/2706173.30142*100)</f>
        <v>0.0003008554550341566</v>
      </c>
      <c r="E27" s="44">
        <f>IF(7.82376="","-",7.82376/2779195.26316*100)</f>
        <v>0.0002815117060578259</v>
      </c>
      <c r="F27" s="1"/>
      <c r="G27" s="1"/>
    </row>
    <row r="28" spans="1:7" ht="15.75">
      <c r="A28" s="63" t="s">
        <v>119</v>
      </c>
      <c r="B28" s="44">
        <f>IF(15.15744="","-",15.15744)</f>
        <v>15.15744</v>
      </c>
      <c r="C28" s="32" t="s">
        <v>167</v>
      </c>
      <c r="D28" s="44">
        <f>IF(2.46749="","-",2.46749/2706173.30142*100)</f>
        <v>9.118004374314252E-05</v>
      </c>
      <c r="E28" s="44">
        <f>IF(15.15744="","-",15.15744/2779195.26316*100)</f>
        <v>0.0005453895305925964</v>
      </c>
      <c r="F28" s="10"/>
      <c r="G28" s="10"/>
    </row>
    <row r="29" spans="1:5" ht="15.75">
      <c r="A29" s="42" t="s">
        <v>253</v>
      </c>
      <c r="B29" s="43">
        <f>IF(513666.57309="","-",513666.57309)</f>
        <v>513666.57309</v>
      </c>
      <c r="C29" s="65">
        <f>IF(428387.08479="","-",513666.57309/428387.08479*100)</f>
        <v>119.9071100245249</v>
      </c>
      <c r="D29" s="43">
        <f>IF(428387.08479="","-",428387.08479/2706173.30142*100)</f>
        <v>15.829994500544887</v>
      </c>
      <c r="E29" s="43">
        <f>IF(513666.57309="","-",513666.57309/2779195.26316*100)</f>
        <v>18.4825650755446</v>
      </c>
    </row>
    <row r="30" spans="1:5" ht="15.75">
      <c r="A30" s="63" t="s">
        <v>113</v>
      </c>
      <c r="B30" s="44">
        <f>IF(88090.96301="","-",88090.96301)</f>
        <v>88090.96301</v>
      </c>
      <c r="C30" s="64">
        <v>108.8091</v>
      </c>
      <c r="D30" s="44">
        <f>IF(80959.17233="","-",80959.17233/2706173.30142*100)</f>
        <v>2.9916477369545627</v>
      </c>
      <c r="E30" s="44">
        <f>IF(88090.96301="","-",88090.96301/2779195.26316*100)</f>
        <v>3.1696572089662687</v>
      </c>
    </row>
    <row r="31" spans="1:5" ht="15.75">
      <c r="A31" s="63" t="s">
        <v>114</v>
      </c>
      <c r="B31" s="44">
        <f>IF(71331.82917="","-",71331.82917)</f>
        <v>71331.82917</v>
      </c>
      <c r="C31" s="64" t="s">
        <v>281</v>
      </c>
      <c r="D31" s="44">
        <f>IF(43825.02075="","-",43825.02075/2706173.30142*100)</f>
        <v>1.6194462020227556</v>
      </c>
      <c r="E31" s="44">
        <f>IF(71331.82917="","-",71331.82917/2779195.26316*100)</f>
        <v>2.5666361092201306</v>
      </c>
    </row>
    <row r="32" spans="1:5" ht="15.75">
      <c r="A32" s="63" t="s">
        <v>115</v>
      </c>
      <c r="B32" s="44">
        <f>IF(326011.69149="","-",326011.69149)</f>
        <v>326011.69149</v>
      </c>
      <c r="C32" s="64">
        <v>117.4696</v>
      </c>
      <c r="D32" s="44">
        <f>IF(277528.65133="","-",277528.65133/2706173.30142*100)</f>
        <v>10.255390930964158</v>
      </c>
      <c r="E32" s="44">
        <f>IF(326011.69149="","-",326011.69149/2779195.26316*100)</f>
        <v>11.730434914433404</v>
      </c>
    </row>
    <row r="33" spans="1:5" ht="15.75">
      <c r="A33" s="63" t="s">
        <v>116</v>
      </c>
      <c r="B33" s="44">
        <f>IF(27350.38125="","-",27350.38125)</f>
        <v>27350.38125</v>
      </c>
      <c r="C33" s="66">
        <v>106.9727</v>
      </c>
      <c r="D33" s="44">
        <f>IF(25567.63362="","-",25567.63362/2706173.30142*100)</f>
        <v>0.9447892197659328</v>
      </c>
      <c r="E33" s="44">
        <f>IF(27350.38125="","-",27350.38125/2779195.26316*100)</f>
        <v>0.984111538060916</v>
      </c>
    </row>
    <row r="34" spans="1:5" ht="15.75">
      <c r="A34" s="63" t="s">
        <v>117</v>
      </c>
      <c r="B34" s="44">
        <f>IF(769.0237="","-",769.0237)</f>
        <v>769.0237</v>
      </c>
      <c r="C34" s="66" t="s">
        <v>130</v>
      </c>
      <c r="D34" s="44">
        <f>IF(506.60676="","-",506.60676/2706173.30142*100)</f>
        <v>0.018720410837479263</v>
      </c>
      <c r="E34" s="44">
        <f>IF(769.0237="","-",769.0237/2779195.26316*100)</f>
        <v>0.027670732970579575</v>
      </c>
    </row>
    <row r="35" spans="1:5" ht="15.75">
      <c r="A35" s="67" t="s">
        <v>119</v>
      </c>
      <c r="B35" s="46">
        <f>IF(112.68447="","-",112.68447)</f>
        <v>112.68447</v>
      </c>
      <c r="C35" s="68" t="s">
        <v>21</v>
      </c>
      <c r="D35" s="69" t="s">
        <v>112</v>
      </c>
      <c r="E35" s="46">
        <f>IF(112.68447="","-",112.68447/2779195.26316*100)</f>
        <v>0.004054571893299629</v>
      </c>
    </row>
    <row r="36" spans="1:5" ht="15.75">
      <c r="A36" s="28" t="s">
        <v>20</v>
      </c>
      <c r="B36" s="23"/>
      <c r="C36" s="23"/>
      <c r="D36" s="23"/>
      <c r="E36" s="23"/>
    </row>
  </sheetData>
  <sheetProtection/>
  <mergeCells count="4">
    <mergeCell ref="A1:E1"/>
    <mergeCell ref="A3:A4"/>
    <mergeCell ref="B3:C3"/>
    <mergeCell ref="D3:E3"/>
  </mergeCells>
  <printOptions/>
  <pageMargins left="0.7874015748031497" right="0.5905511811023623" top="0.3937007874015748" bottom="0.3937007874015748" header="0.11811023622047245" footer="0.118110236220472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G36"/>
  <sheetViews>
    <sheetView zoomScale="99" zoomScaleNormal="99" zoomScalePageLayoutView="0" workbookViewId="0" topLeftCell="A1">
      <selection activeCell="C41" sqref="C41"/>
    </sheetView>
  </sheetViews>
  <sheetFormatPr defaultColWidth="9.00390625" defaultRowHeight="15.75"/>
  <cols>
    <col min="1" max="1" width="32.375" style="0" customWidth="1"/>
    <col min="2" max="2" width="13.75390625" style="0" customWidth="1"/>
    <col min="3" max="3" width="13.125" style="0" customWidth="1"/>
    <col min="4" max="5" width="11.25390625" style="0" customWidth="1"/>
  </cols>
  <sheetData>
    <row r="1" spans="1:5" ht="15.75">
      <c r="A1" s="73" t="s">
        <v>124</v>
      </c>
      <c r="B1" s="73"/>
      <c r="C1" s="73"/>
      <c r="D1" s="73"/>
      <c r="E1" s="73"/>
    </row>
    <row r="2" spans="1:5" ht="15.75">
      <c r="A2" s="9"/>
      <c r="B2" s="9"/>
      <c r="C2" s="9"/>
      <c r="D2" s="9"/>
      <c r="E2" s="9"/>
    </row>
    <row r="3" spans="1:6" ht="15.75" customHeight="1">
      <c r="A3" s="74"/>
      <c r="B3" s="81">
        <v>2019</v>
      </c>
      <c r="C3" s="81"/>
      <c r="D3" s="76" t="s">
        <v>108</v>
      </c>
      <c r="E3" s="82"/>
      <c r="F3" s="1"/>
    </row>
    <row r="4" spans="1:6" ht="27" customHeight="1">
      <c r="A4" s="75"/>
      <c r="B4" s="34" t="s">
        <v>265</v>
      </c>
      <c r="C4" s="35" t="s">
        <v>263</v>
      </c>
      <c r="D4" s="36">
        <v>2018</v>
      </c>
      <c r="E4" s="33">
        <v>2019</v>
      </c>
      <c r="F4" s="1"/>
    </row>
    <row r="5" spans="1:5" ht="15.75" customHeight="1">
      <c r="A5" s="58" t="s">
        <v>146</v>
      </c>
      <c r="B5" s="59">
        <f>IF(5841782.33754="","-",5841782.33754)</f>
        <v>5841782.33754</v>
      </c>
      <c r="C5" s="40">
        <f>IF(5760057.05112="","-",5841782.33754/5760057.05112*100)</f>
        <v>101.41882772505019</v>
      </c>
      <c r="D5" s="61">
        <v>100</v>
      </c>
      <c r="E5" s="61">
        <v>100</v>
      </c>
    </row>
    <row r="6" spans="1:5" ht="15.75" customHeight="1">
      <c r="A6" s="62" t="s">
        <v>145</v>
      </c>
      <c r="B6" s="22"/>
      <c r="C6" s="25"/>
      <c r="D6" s="22"/>
      <c r="E6" s="22"/>
    </row>
    <row r="7" spans="1:5" ht="15.75">
      <c r="A7" s="63" t="s">
        <v>113</v>
      </c>
      <c r="B7" s="44">
        <f>IF(124121.57118="","-",124121.57118)</f>
        <v>124121.57118</v>
      </c>
      <c r="C7" s="64">
        <v>77.3234</v>
      </c>
      <c r="D7" s="44">
        <f>IF(160522.55854="","-",160522.55854/5760057.05112*100)</f>
        <v>2.7868223719900063</v>
      </c>
      <c r="E7" s="44">
        <f>IF(124121.57118="","-",124121.57118/5841782.33754*100)</f>
        <v>2.124720915779073</v>
      </c>
    </row>
    <row r="8" spans="1:5" ht="15.75">
      <c r="A8" s="63" t="s">
        <v>114</v>
      </c>
      <c r="B8" s="44">
        <f>IF(269295.75455="","-",269295.75455)</f>
        <v>269295.75455</v>
      </c>
      <c r="C8" s="64">
        <v>81.59</v>
      </c>
      <c r="D8" s="44">
        <f>IF(330059.83973="","-",330059.83973/5760057.05112*100)</f>
        <v>5.730148795415531</v>
      </c>
      <c r="E8" s="44">
        <f>IF(269295.75455="","-",269295.75455/5841782.33754*100)</f>
        <v>4.609821780237736</v>
      </c>
    </row>
    <row r="9" spans="1:5" ht="15.75">
      <c r="A9" s="63" t="s">
        <v>115</v>
      </c>
      <c r="B9" s="44">
        <f>IF(4943593.3647="","-",4943593.3647)</f>
        <v>4943593.3647</v>
      </c>
      <c r="C9" s="64">
        <v>103.7119</v>
      </c>
      <c r="D9" s="44">
        <f>IF(4766659.19212="","-",4766659.19212/5760057.05112*100)</f>
        <v>82.75368021212843</v>
      </c>
      <c r="E9" s="44">
        <f>IF(4943593.3647="","-",4943593.3647/5841782.33754*100)</f>
        <v>84.62474428278286</v>
      </c>
    </row>
    <row r="10" spans="1:5" ht="15.75">
      <c r="A10" s="63" t="s">
        <v>116</v>
      </c>
      <c r="B10" s="44">
        <f>IF(163377.38579="","-",163377.38579)</f>
        <v>163377.38579</v>
      </c>
      <c r="C10" s="64">
        <v>106.8567</v>
      </c>
      <c r="D10" s="44">
        <f>IF(152893.94049="","-",152893.94049/5760057.05112*100)</f>
        <v>2.654382398179041</v>
      </c>
      <c r="E10" s="44">
        <f>IF(163377.38579="","-",163377.38579/5841782.33754*100)</f>
        <v>2.796704436249142</v>
      </c>
    </row>
    <row r="11" spans="1:5" ht="15.75">
      <c r="A11" s="63" t="s">
        <v>117</v>
      </c>
      <c r="B11" s="44">
        <f>IF(11315.22083="","-",11315.22083)</f>
        <v>11315.22083</v>
      </c>
      <c r="C11" s="64">
        <v>88.1746</v>
      </c>
      <c r="D11" s="44">
        <f>IF(12832.73549="","-",12832.73549/5760057.05112*100)</f>
        <v>0.22278834004786063</v>
      </c>
      <c r="E11" s="44">
        <f>IF(11315.22083="","-",11315.22083/5841782.33754*100)</f>
        <v>0.19369466673359298</v>
      </c>
    </row>
    <row r="12" spans="1:5" ht="15.75">
      <c r="A12" s="63" t="s">
        <v>118</v>
      </c>
      <c r="B12" s="44">
        <f>IF(287009.86407="","-",287009.86407)</f>
        <v>287009.86407</v>
      </c>
      <c r="C12" s="64">
        <v>95.4312</v>
      </c>
      <c r="D12" s="44">
        <f>IF(300750.61301="","-",300750.61301/5760057.05112*100)</f>
        <v>5.221313093618079</v>
      </c>
      <c r="E12" s="44">
        <f>IF(287009.86407="","-",287009.86407/5841782.33754*100)</f>
        <v>4.913053028792941</v>
      </c>
    </row>
    <row r="13" spans="1:5" ht="15.75">
      <c r="A13" s="63" t="s">
        <v>119</v>
      </c>
      <c r="B13" s="44">
        <f>IF(43069.17642="","-",43069.17642)</f>
        <v>43069.17642</v>
      </c>
      <c r="C13" s="64">
        <v>118.5232</v>
      </c>
      <c r="D13" s="44">
        <f>IF(36338.17174="","-",36338.17174/5760057.05112*100)</f>
        <v>0.6308647886210487</v>
      </c>
      <c r="E13" s="44">
        <f>IF(43069.17642="","-",43069.17642/5841782.33754*100)</f>
        <v>0.7372608894246584</v>
      </c>
    </row>
    <row r="14" spans="1:5" ht="15.75">
      <c r="A14" s="42" t="s">
        <v>251</v>
      </c>
      <c r="B14" s="43">
        <f>IF(2889992.61973="","-",2889992.61973)</f>
        <v>2889992.61973</v>
      </c>
      <c r="C14" s="43">
        <f>IF(2850800.33024="","-",2889992.61973/2850800.33024*100)</f>
        <v>101.37478198926335</v>
      </c>
      <c r="D14" s="43">
        <f>IF(2850800.33024="","-",2850800.33024/5760057.05112*100)</f>
        <v>49.49257107940768</v>
      </c>
      <c r="E14" s="43">
        <f>IF(2889992.61973="","-",2889992.61973/5841782.33754*100)</f>
        <v>49.47107668080267</v>
      </c>
    </row>
    <row r="15" spans="1:5" ht="15.75">
      <c r="A15" s="63" t="s">
        <v>113</v>
      </c>
      <c r="B15" s="44">
        <f>IF(82196.5255="","-",82196.5255)</f>
        <v>82196.5255</v>
      </c>
      <c r="C15" s="64">
        <v>93.005</v>
      </c>
      <c r="D15" s="44">
        <f>IF(88378.56548="","-",88378.56548/5760057.05112*100)</f>
        <v>1.5343348979992388</v>
      </c>
      <c r="E15" s="44">
        <f>IF(82196.5255="","-",82196.5255/5841782.33754*100)</f>
        <v>1.4070453288167755</v>
      </c>
    </row>
    <row r="16" spans="1:5" ht="15.75">
      <c r="A16" s="63" t="s">
        <v>114</v>
      </c>
      <c r="B16" s="44">
        <f>IF(48105.98104="","-",48105.98104)</f>
        <v>48105.98104</v>
      </c>
      <c r="C16" s="64">
        <v>84.7638</v>
      </c>
      <c r="D16" s="44">
        <f>IF(56752.97029="","-",56752.97029/5760057.05112*100)</f>
        <v>0.9852848641310733</v>
      </c>
      <c r="E16" s="44">
        <f>IF(48105.98104="","-",48105.98104/5841782.33754*100)</f>
        <v>0.8234812298785107</v>
      </c>
    </row>
    <row r="17" spans="1:5" ht="15.75">
      <c r="A17" s="63" t="s">
        <v>115</v>
      </c>
      <c r="B17" s="44">
        <f>IF(2672521.70373="","-",2672521.70373)</f>
        <v>2672521.70373</v>
      </c>
      <c r="C17" s="64">
        <v>101.7897</v>
      </c>
      <c r="D17" s="44">
        <f>IF(2625531.49069="","-",2625531.49069/5760057.05112*100)</f>
        <v>45.5816924622211</v>
      </c>
      <c r="E17" s="44">
        <f>IF(2672521.70373="","-",2672521.70373/5841782.33754*100)</f>
        <v>45.74839576880591</v>
      </c>
    </row>
    <row r="18" spans="1:5" ht="15.75">
      <c r="A18" s="63" t="s">
        <v>116</v>
      </c>
      <c r="B18" s="44">
        <f>IF(46081.4025499999="","-",46081.4025499999)</f>
        <v>46081.4025499999</v>
      </c>
      <c r="C18" s="64">
        <v>107.2008</v>
      </c>
      <c r="D18" s="44">
        <f>IF(42986.06841="","-",42986.06841/5760057.05112*100)</f>
        <v>0.7462785182247749</v>
      </c>
      <c r="E18" s="44">
        <f>IF(46081.4025499999="","-",46081.4025499999/5841782.33754*100)</f>
        <v>0.7888243670750146</v>
      </c>
    </row>
    <row r="19" spans="1:5" ht="15.75">
      <c r="A19" s="63" t="s">
        <v>117</v>
      </c>
      <c r="B19" s="44">
        <f>IF(5207.76973="","-",5207.76973)</f>
        <v>5207.76973</v>
      </c>
      <c r="C19" s="64">
        <v>91.2651</v>
      </c>
      <c r="D19" s="44">
        <f>IF(5706.19838="","-",5706.19838/5760057.05112*100)</f>
        <v>0.09906496288765876</v>
      </c>
      <c r="E19" s="44">
        <f>IF(5207.76973="","-",5207.76973/5841782.33754*100)</f>
        <v>0.08914693203364052</v>
      </c>
    </row>
    <row r="20" spans="1:5" ht="15.75">
      <c r="A20" s="63" t="s">
        <v>119</v>
      </c>
      <c r="B20" s="44">
        <f>IF(35879.23718="","-",35879.23718)</f>
        <v>35879.23718</v>
      </c>
      <c r="C20" s="64">
        <v>114.1014</v>
      </c>
      <c r="D20" s="44">
        <f>IF(31445.03699="","-",31445.03699/5760057.05112*100)</f>
        <v>0.5459153739438353</v>
      </c>
      <c r="E20" s="44">
        <f>IF(35879.23718="","-",35879.23718/5841782.33754*100)</f>
        <v>0.6141830541928219</v>
      </c>
    </row>
    <row r="21" spans="1:5" ht="15.75">
      <c r="A21" s="42" t="s">
        <v>252</v>
      </c>
      <c r="B21" s="43">
        <f>IF(1416554.43348="","-",1416554.43348)</f>
        <v>1416554.43348</v>
      </c>
      <c r="C21" s="43">
        <f>IF(1449078.77262="","-",1416554.43348/1449078.77262*100)</f>
        <v>97.75551614208008</v>
      </c>
      <c r="D21" s="43">
        <f>IF(1449078.77262="","-",1449078.77262/5760057.05112*100)</f>
        <v>25.15736840381186</v>
      </c>
      <c r="E21" s="43">
        <f>IF(1416554.43348="","-",1416554.43348/5841782.33754*100)</f>
        <v>24.248668499287447</v>
      </c>
    </row>
    <row r="22" spans="1:5" ht="15.75">
      <c r="A22" s="63" t="s">
        <v>113</v>
      </c>
      <c r="B22" s="44">
        <f>IF(24410.63566="","-",24410.63566)</f>
        <v>24410.63566</v>
      </c>
      <c r="C22" s="64">
        <v>48.8564</v>
      </c>
      <c r="D22" s="44">
        <f>IF(49964.07834="","-",49964.07834/5760057.05112*100)</f>
        <v>0.8674233240499738</v>
      </c>
      <c r="E22" s="44">
        <f>IF(24410.63566="","-",24410.63566/5841782.33754*100)</f>
        <v>0.41786280709457974</v>
      </c>
    </row>
    <row r="23" spans="1:5" ht="15.75">
      <c r="A23" s="63" t="s">
        <v>114</v>
      </c>
      <c r="B23" s="44">
        <f>IF(220850.12775="","-",220850.12775)</f>
        <v>220850.12775</v>
      </c>
      <c r="C23" s="64">
        <v>81.0187</v>
      </c>
      <c r="D23" s="44">
        <f>IF(272591.65286="","-",272591.65286/5760057.05112*100)</f>
        <v>4.732447099755662</v>
      </c>
      <c r="E23" s="44">
        <f>IF(220850.12775="","-",220850.12775/5841782.33754*100)</f>
        <v>3.780526472730598</v>
      </c>
    </row>
    <row r="24" spans="1:5" ht="15.75">
      <c r="A24" s="63" t="s">
        <v>115</v>
      </c>
      <c r="B24" s="44">
        <f>IF(860879.33767="","-",860879.33767)</f>
        <v>860879.33767</v>
      </c>
      <c r="C24" s="64">
        <v>106.7914</v>
      </c>
      <c r="D24" s="44">
        <f>IF(806131.75881="","-",806131.75881/5760057.05112*100)</f>
        <v>13.995204416478025</v>
      </c>
      <c r="E24" s="44">
        <f>IF(860879.33767="","-",860879.33767/5841782.33754*100)</f>
        <v>14.736587019647846</v>
      </c>
    </row>
    <row r="25" spans="1:5" ht="15.75">
      <c r="A25" s="63" t="s">
        <v>116</v>
      </c>
      <c r="B25" s="44">
        <f>IF(19092.20812="","-",19092.20812)</f>
        <v>19092.20812</v>
      </c>
      <c r="C25" s="64">
        <v>118.1774</v>
      </c>
      <c r="D25" s="44">
        <f>IF(16155.54869="","-",16155.54869/5760057.05112*100)</f>
        <v>0.2804754978400548</v>
      </c>
      <c r="E25" s="44">
        <f>IF(19092.20812="","-",19092.20812/5841782.33754*100)</f>
        <v>0.32682162766166695</v>
      </c>
    </row>
    <row r="26" spans="1:5" ht="15.75">
      <c r="A26" s="63" t="s">
        <v>117</v>
      </c>
      <c r="B26" s="44">
        <f>IF(717.49022="","-",717.49022)</f>
        <v>717.49022</v>
      </c>
      <c r="C26" s="64" t="s">
        <v>106</v>
      </c>
      <c r="D26" s="44">
        <f>IF(435.09871="","-",435.09871/5760057.05112*100)</f>
        <v>0.00755372223119558</v>
      </c>
      <c r="E26" s="44">
        <f>IF(717.49022="","-",717.49022/5841782.33754*100)</f>
        <v>0.012282043022885688</v>
      </c>
    </row>
    <row r="27" spans="1:7" ht="15.75">
      <c r="A27" s="63" t="s">
        <v>118</v>
      </c>
      <c r="B27" s="44">
        <f>IF(287009.86407="","-",287009.86407)</f>
        <v>287009.86407</v>
      </c>
      <c r="C27" s="64">
        <v>95.4312</v>
      </c>
      <c r="D27" s="44">
        <f>IF(300750.61301="","-",300750.61301/5760057.05112*100)</f>
        <v>5.221313093618079</v>
      </c>
      <c r="E27" s="44">
        <f>IF(287009.86407="","-",287009.86407/5841782.33754*100)</f>
        <v>4.913053028792941</v>
      </c>
      <c r="F27" s="1"/>
      <c r="G27" s="1"/>
    </row>
    <row r="28" spans="1:7" ht="15.75">
      <c r="A28" s="63" t="s">
        <v>119</v>
      </c>
      <c r="B28" s="44">
        <f>IF(3594.76999="","-",3594.76999)</f>
        <v>3594.76999</v>
      </c>
      <c r="C28" s="64">
        <v>117.8605</v>
      </c>
      <c r="D28" s="44">
        <f>IF(3050.0222="","-",3050.0222/5760057.05112*100)</f>
        <v>0.05295124983887001</v>
      </c>
      <c r="E28" s="44">
        <f>IF(3594.76999="","-",3594.76999/5841782.33754*100)</f>
        <v>0.0615355003369361</v>
      </c>
      <c r="F28" s="1"/>
      <c r="G28" s="1"/>
    </row>
    <row r="29" spans="1:7" ht="15.75">
      <c r="A29" s="42" t="s">
        <v>255</v>
      </c>
      <c r="B29" s="43">
        <f>IF(1535235.28433="","-",1535235.28433)</f>
        <v>1535235.28433</v>
      </c>
      <c r="C29" s="43">
        <f>IF(1460177.94826="","-",1535235.28433/1460177.94826*100)</f>
        <v>105.14028691910057</v>
      </c>
      <c r="D29" s="43">
        <f>IF(1460177.94826="","-",1460177.94826/5760057.05112*100)</f>
        <v>25.35006051678046</v>
      </c>
      <c r="E29" s="43">
        <f>IF(1535235.28433="","-",1535235.28433/5841782.33754*100)</f>
        <v>26.28025481990988</v>
      </c>
      <c r="F29" s="10"/>
      <c r="G29" s="10"/>
    </row>
    <row r="30" spans="1:5" ht="15.75">
      <c r="A30" s="63" t="s">
        <v>113</v>
      </c>
      <c r="B30" s="44">
        <f>IF(17514.41002="","-",17514.41002)</f>
        <v>17514.41002</v>
      </c>
      <c r="C30" s="64">
        <v>78.9652</v>
      </c>
      <c r="D30" s="44">
        <f>IF(22179.91472="","-",22179.91472/5760057.05112*100)</f>
        <v>0.38506414994079413</v>
      </c>
      <c r="E30" s="44">
        <f>IF(17514.41002="","-",17514.41002/5841782.33754*100)</f>
        <v>0.2998127798677174</v>
      </c>
    </row>
    <row r="31" spans="1:5" ht="15.75">
      <c r="A31" s="63" t="s">
        <v>114</v>
      </c>
      <c r="B31" s="44">
        <f>IF(339.64576="","-",339.64576)</f>
        <v>339.64576</v>
      </c>
      <c r="C31" s="64">
        <v>47.4889</v>
      </c>
      <c r="D31" s="44">
        <f>IF(715.21658="","-",715.21658/5760057.05112*100)</f>
        <v>0.012416831528794171</v>
      </c>
      <c r="E31" s="44">
        <f>IF(339.64576="","-",339.64576/5841782.33754*100)</f>
        <v>0.005814077628627059</v>
      </c>
    </row>
    <row r="32" spans="1:5" ht="15.75">
      <c r="A32" s="63" t="s">
        <v>115</v>
      </c>
      <c r="B32" s="44">
        <f>IF(1410192.3233="","-",1410192.3233)</f>
        <v>1410192.3233</v>
      </c>
      <c r="C32" s="64">
        <v>105.6327</v>
      </c>
      <c r="D32" s="44">
        <f>IF(1334995.94262="","-",1334995.94262/5760057.05112*100)</f>
        <v>23.176783333429313</v>
      </c>
      <c r="E32" s="44">
        <f>IF(1410192.3233="","-",1410192.3233/5841782.33754*100)</f>
        <v>24.13976149432911</v>
      </c>
    </row>
    <row r="33" spans="1:5" ht="15.75">
      <c r="A33" s="63" t="s">
        <v>116</v>
      </c>
      <c r="B33" s="44">
        <f>IF(98203.77512="","-",98203.77512)</f>
        <v>98203.77512</v>
      </c>
      <c r="C33" s="64">
        <v>104.7481</v>
      </c>
      <c r="D33" s="44">
        <f>IF(93752.32339="","-",93752.32339/5760057.05112*100)</f>
        <v>1.6276283821142112</v>
      </c>
      <c r="E33" s="44">
        <f>IF(98203.77512="","-",98203.77512/5841782.33754*100)</f>
        <v>1.6810584415124588</v>
      </c>
    </row>
    <row r="34" spans="1:5" ht="15.75">
      <c r="A34" s="41" t="s">
        <v>117</v>
      </c>
      <c r="B34" s="70">
        <f>IF(5389.96088="","-",5389.96088)</f>
        <v>5389.96088</v>
      </c>
      <c r="C34" s="66">
        <v>80.5501</v>
      </c>
      <c r="D34" s="70">
        <f>IF(6691.4384="","-",6691.4384/5760057.05112*100)</f>
        <v>0.11616965492900629</v>
      </c>
      <c r="E34" s="70">
        <f>IF(5389.96088="","-",5389.96088/5841782.33754*100)</f>
        <v>0.09226569167706676</v>
      </c>
    </row>
    <row r="35" spans="1:5" ht="15.75">
      <c r="A35" s="67" t="s">
        <v>119</v>
      </c>
      <c r="B35" s="46">
        <f>IF(3595.16925="","-",3595.16925)</f>
        <v>3595.16925</v>
      </c>
      <c r="C35" s="68" t="s">
        <v>19</v>
      </c>
      <c r="D35" s="46">
        <f>IF(1843.11255="","-",1843.11255/5760057.05112*100)</f>
        <v>0.031998164838343404</v>
      </c>
      <c r="E35" s="46">
        <f>IF(3595.16925="","-",3595.16925/5841782.33754*100)</f>
        <v>0.06154233489490026</v>
      </c>
    </row>
    <row r="36" ht="17.25" customHeight="1">
      <c r="A36" s="29" t="s">
        <v>20</v>
      </c>
    </row>
  </sheetData>
  <sheetProtection/>
  <mergeCells count="4">
    <mergeCell ref="A1:E1"/>
    <mergeCell ref="A3:A4"/>
    <mergeCell ref="B3:C3"/>
    <mergeCell ref="D3:E3"/>
  </mergeCells>
  <printOptions/>
  <pageMargins left="0.7874015748031497" right="0.5905511811023623" top="0.3937007874015748" bottom="0.3937007874015748" header="0.11811023622047245" footer="0.118110236220472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J80"/>
  <sheetViews>
    <sheetView zoomScalePageLayoutView="0" workbookViewId="0" topLeftCell="A1">
      <selection activeCell="N21" sqref="N21"/>
    </sheetView>
  </sheetViews>
  <sheetFormatPr defaultColWidth="9.00390625" defaultRowHeight="15.75"/>
  <cols>
    <col min="1" max="1" width="27.25390625" style="0" customWidth="1"/>
    <col min="2" max="2" width="12.375" style="0" customWidth="1"/>
    <col min="3" max="3" width="9.875" style="0" customWidth="1"/>
    <col min="4" max="4" width="8.50390625" style="0" customWidth="1"/>
    <col min="5" max="5" width="8.625" style="0" customWidth="1"/>
    <col min="6" max="6" width="9.875" style="0" customWidth="1"/>
    <col min="7" max="7" width="9.625" style="0" customWidth="1"/>
  </cols>
  <sheetData>
    <row r="1" spans="1:7" ht="15.75">
      <c r="A1" s="80" t="s">
        <v>125</v>
      </c>
      <c r="B1" s="80"/>
      <c r="C1" s="80"/>
      <c r="D1" s="80"/>
      <c r="E1" s="80"/>
      <c r="F1" s="80"/>
      <c r="G1" s="80"/>
    </row>
    <row r="2" spans="1:7" ht="15.75">
      <c r="A2" s="80" t="s">
        <v>22</v>
      </c>
      <c r="B2" s="80"/>
      <c r="C2" s="80"/>
      <c r="D2" s="80"/>
      <c r="E2" s="80"/>
      <c r="F2" s="80"/>
      <c r="G2" s="80"/>
    </row>
    <row r="3" ht="15.75">
      <c r="A3" s="6"/>
    </row>
    <row r="4" spans="1:7" ht="57" customHeight="1">
      <c r="A4" s="74"/>
      <c r="B4" s="76">
        <v>2019</v>
      </c>
      <c r="C4" s="77"/>
      <c r="D4" s="76" t="s">
        <v>108</v>
      </c>
      <c r="E4" s="77"/>
      <c r="F4" s="78" t="s">
        <v>0</v>
      </c>
      <c r="G4" s="79"/>
    </row>
    <row r="5" spans="1:7" ht="31.5" customHeight="1">
      <c r="A5" s="75"/>
      <c r="B5" s="34" t="s">
        <v>99</v>
      </c>
      <c r="C5" s="35" t="s">
        <v>263</v>
      </c>
      <c r="D5" s="36">
        <v>2018</v>
      </c>
      <c r="E5" s="36">
        <v>2019</v>
      </c>
      <c r="F5" s="36" t="s">
        <v>110</v>
      </c>
      <c r="G5" s="33" t="s">
        <v>129</v>
      </c>
    </row>
    <row r="6" spans="1:7" ht="16.5" customHeight="1">
      <c r="A6" s="48" t="s">
        <v>100</v>
      </c>
      <c r="B6" s="40">
        <f>IF(2779195.26316="","-",2779195.26316)</f>
        <v>2779195.26316</v>
      </c>
      <c r="C6" s="40">
        <f>IF(2706173.30142="","-",2779195.26316/2706173.30142*100)</f>
        <v>102.69834757817186</v>
      </c>
      <c r="D6" s="40">
        <v>100</v>
      </c>
      <c r="E6" s="40">
        <v>100</v>
      </c>
      <c r="F6" s="40">
        <f>IF(2424972.02699="","-",(2706173.30142-2424972.02699)/2424972.02699*100)</f>
        <v>11.596062606092872</v>
      </c>
      <c r="G6" s="40">
        <f>IF(2706173.30142="","-",(2779195.26316-2706173.30142)/2706173.30142*100)</f>
        <v>2.698347578171865</v>
      </c>
    </row>
    <row r="7" spans="1:7" ht="16.5" customHeight="1">
      <c r="A7" s="41" t="s">
        <v>145</v>
      </c>
      <c r="B7" s="30"/>
      <c r="C7" s="30"/>
      <c r="D7" s="30"/>
      <c r="E7" s="30"/>
      <c r="F7" s="30"/>
      <c r="G7" s="30"/>
    </row>
    <row r="8" spans="1:7" ht="15.75">
      <c r="A8" s="49" t="s">
        <v>186</v>
      </c>
      <c r="B8" s="43">
        <f>IF(636767.78923="","-",636767.78923)</f>
        <v>636767.78923</v>
      </c>
      <c r="C8" s="43">
        <f>IF(613010.75613="","-",636767.78923/613010.75613*100)</f>
        <v>103.87546757743382</v>
      </c>
      <c r="D8" s="43">
        <f>IF(613010.75613="","-",613010.75613/2706173.30142*100)</f>
        <v>22.65230965837765</v>
      </c>
      <c r="E8" s="43">
        <f>IF(636767.78923="","-",636767.78923/2779195.26316*100)</f>
        <v>22.911948565498864</v>
      </c>
      <c r="F8" s="43">
        <f>IF(2424972.02699="","-",(613010.75613-609574.34554)/2424972.02699*100)</f>
        <v>0.1417092878496184</v>
      </c>
      <c r="G8" s="43">
        <f>IF(2706173.30142="","-",(636767.78923-613010.75613)/2706173.30142*100)</f>
        <v>0.8778829163503336</v>
      </c>
    </row>
    <row r="9" spans="1:7" ht="13.5" customHeight="1">
      <c r="A9" s="31" t="s">
        <v>23</v>
      </c>
      <c r="B9" s="44">
        <f>IF(10014.97748="","-",10014.97748)</f>
        <v>10014.97748</v>
      </c>
      <c r="C9" s="44">
        <f>IF(OR(11656.0891="",10014.97748=""),"-",10014.97748/11656.0891*100)</f>
        <v>85.9205638707755</v>
      </c>
      <c r="D9" s="44">
        <f>IF(11656.0891="","-",11656.0891/2706173.30142*100)</f>
        <v>0.4307221970552937</v>
      </c>
      <c r="E9" s="44">
        <f>IF(10014.97748="","-",10014.97748/2779195.26316*100)</f>
        <v>0.3603553018657916</v>
      </c>
      <c r="F9" s="44">
        <f>IF(OR(2424972.02699="",7795.87671="",11656.0891=""),"-",(11656.0891-7795.87671)/2424972.02699*100)</f>
        <v>0.1591858523329646</v>
      </c>
      <c r="G9" s="44">
        <f>IF(OR(2706173.30142="",10014.97748="",11656.0891=""),"-",(10014.97748-11656.0891)/2706173.30142*100)</f>
        <v>-0.0606432566287926</v>
      </c>
    </row>
    <row r="10" spans="1:10" ht="13.5" customHeight="1">
      <c r="A10" s="31" t="s">
        <v>187</v>
      </c>
      <c r="B10" s="44">
        <f>IF(8727.95403="","-",8727.95403)</f>
        <v>8727.95403</v>
      </c>
      <c r="C10" s="44">
        <f>IF(OR(9721.72759="",8727.95403=""),"-",8727.95403/9721.72759*100)</f>
        <v>89.77780902828198</v>
      </c>
      <c r="D10" s="44">
        <f>IF(9721.72759="","-",9721.72759/2706173.30142*100)</f>
        <v>0.35924260966209204</v>
      </c>
      <c r="E10" s="44">
        <f>IF(8727.95403="","-",8727.95403/2779195.26316*100)</f>
        <v>0.3140460890134126</v>
      </c>
      <c r="F10" s="44">
        <f>IF(OR(2424972.02699="",10837.86423="",9721.72759=""),"-",(9721.72759-10837.86423)/2424972.02699*100)</f>
        <v>-0.04602678412688351</v>
      </c>
      <c r="G10" s="44">
        <f>IF(OR(2706173.30142="",8727.95403="",9721.72759=""),"-",(8727.95403-9721.72759)/2706173.30142*100)</f>
        <v>-0.03672246561144257</v>
      </c>
      <c r="J10" s="15"/>
    </row>
    <row r="11" spans="1:10" s="9" customFormat="1" ht="13.5" customHeight="1">
      <c r="A11" s="31" t="s">
        <v>188</v>
      </c>
      <c r="B11" s="44">
        <f>IF(14388.67804="","-",14388.67804)</f>
        <v>14388.67804</v>
      </c>
      <c r="C11" s="44">
        <f>IF(OR(19957.7309="",14388.67804=""),"-",14388.67804/19957.7309*100)</f>
        <v>72.09576134729826</v>
      </c>
      <c r="D11" s="44">
        <f>IF(19957.7309="","-",19957.7309/2706173.30142*100)</f>
        <v>0.7374890177775257</v>
      </c>
      <c r="E11" s="44">
        <f>IF(14388.67804="","-",14388.67804/2779195.26316*100)</f>
        <v>0.5177282154561457</v>
      </c>
      <c r="F11" s="44">
        <f>IF(OR(2424972.02699="",20376.82389="",19957.7309=""),"-",(19957.7309-20376.82389)/2424972.02699*100)</f>
        <v>-0.017282384511470045</v>
      </c>
      <c r="G11" s="44">
        <f>IF(OR(2706173.30142="",14388.67804="",19957.7309=""),"-",(14388.67804-19957.7309)/2706173.30142*100)</f>
        <v>-0.20579069555810675</v>
      </c>
      <c r="J11" s="15"/>
    </row>
    <row r="12" spans="1:10" s="9" customFormat="1" ht="14.25" customHeight="1">
      <c r="A12" s="31" t="s">
        <v>189</v>
      </c>
      <c r="B12" s="44">
        <f>IF(23.27495="","-",23.27495)</f>
        <v>23.27495</v>
      </c>
      <c r="C12" s="44">
        <f>IF(OR(18.99308="",23.27495=""),"-",23.27495/18.99308*100)</f>
        <v>122.54436879115973</v>
      </c>
      <c r="D12" s="44">
        <f>IF(18.99308="","-",18.99308/2706173.30142*100)</f>
        <v>0.0007018427086703513</v>
      </c>
      <c r="E12" s="44">
        <f>IF(23.27495="","-",23.27495/2779195.26316*100)</f>
        <v>0.0008374708430359053</v>
      </c>
      <c r="F12" s="44">
        <f>IF(OR(2424972.02699="",28.86306="",18.99308=""),"-",(18.99308-28.86306)/2424972.02699*100)</f>
        <v>-0.00040701417955122266</v>
      </c>
      <c r="G12" s="44">
        <f>IF(OR(2706173.30142="",23.27495="",18.99308=""),"-",(23.27495-18.99308)/2706173.30142*100)</f>
        <v>0.00015822600857650883</v>
      </c>
      <c r="J12" s="15"/>
    </row>
    <row r="13" spans="1:10" s="9" customFormat="1" ht="15.75">
      <c r="A13" s="31" t="s">
        <v>190</v>
      </c>
      <c r="B13" s="44">
        <f>IF(250060.03356="","-",250060.03356)</f>
        <v>250060.03356</v>
      </c>
      <c r="C13" s="44">
        <f>IF(OR(240155.35652="",250060.03356=""),"-",250060.03356/240155.35652*100)</f>
        <v>104.1242790431681</v>
      </c>
      <c r="D13" s="44">
        <f>IF(240155.35652="","-",240155.35652/2706173.30142*100)</f>
        <v>8.874352444242364</v>
      </c>
      <c r="E13" s="44">
        <f>IF(250060.03356="","-",250060.03356/2779195.26316*100)</f>
        <v>8.997569795642095</v>
      </c>
      <c r="F13" s="44">
        <f>IF(OR(2424972.02699="",198800.08915="",240155.35652=""),"-",(240155.35652-198800.08915)/2424972.02699*100)</f>
        <v>1.7053915224470555</v>
      </c>
      <c r="G13" s="44">
        <f>IF(OR(2706173.30142="",250060.03356="",240155.35652=""),"-",(250060.03356-240155.35652)/2706173.30142*100)</f>
        <v>0.36600305807476435</v>
      </c>
      <c r="J13" s="15"/>
    </row>
    <row r="14" spans="1:10" s="9" customFormat="1" ht="15.75">
      <c r="A14" s="31" t="s">
        <v>191</v>
      </c>
      <c r="B14" s="44">
        <f>IF(293360.6624="","-",293360.6624)</f>
        <v>293360.6624</v>
      </c>
      <c r="C14" s="44">
        <f>IF(OR(264226.49196="",293360.6624=""),"-",293360.6624/264226.49196*100)</f>
        <v>111.02621096919019</v>
      </c>
      <c r="D14" s="44">
        <f>IF(264226.49196="","-",264226.49196/2706173.30142*100)</f>
        <v>9.763842242525763</v>
      </c>
      <c r="E14" s="44">
        <f>IF(293360.6624="","-",293360.6624/2779195.26316*100)</f>
        <v>10.555597380604452</v>
      </c>
      <c r="F14" s="44">
        <f>IF(OR(2424972.02699="",301043.93683="",264226.49196=""),"-",(264226.49196-301043.93683)/2424972.02699*100)</f>
        <v>-1.5182626628357323</v>
      </c>
      <c r="G14" s="44">
        <f>IF(OR(2706173.30142="",293360.6624="",264226.49196=""),"-",(293360.6624-264226.49196)/2706173.30142*100)</f>
        <v>1.0765818443598012</v>
      </c>
      <c r="J14" s="15"/>
    </row>
    <row r="15" spans="1:10" s="9" customFormat="1" ht="15" customHeight="1">
      <c r="A15" s="31" t="s">
        <v>192</v>
      </c>
      <c r="B15" s="44">
        <f>IF(21720.44973="","-",21720.44973)</f>
        <v>21720.44973</v>
      </c>
      <c r="C15" s="44">
        <f>IF(OR(30883.44302="",21720.44973=""),"-",21720.44973/30883.44302*100)</f>
        <v>70.33040233219438</v>
      </c>
      <c r="D15" s="44">
        <f>IF(30883.44302="","-",30883.44302/2706173.30142*100)</f>
        <v>1.1412219241020023</v>
      </c>
      <c r="E15" s="44">
        <f>IF(21720.44973="","-",21720.44973/2779195.26316*100)</f>
        <v>0.7815373758698559</v>
      </c>
      <c r="F15" s="44">
        <f>IF(OR(2424972.02699="",41156.88695="",30883.44302=""),"-",(30883.44302-41156.88695)/2424972.02699*100)</f>
        <v>-0.4236520593085739</v>
      </c>
      <c r="G15" s="44">
        <f>IF(OR(2706173.30142="",21720.44973="",30883.44302=""),"-",(21720.44973-30883.44302)/2706173.30142*100)</f>
        <v>-0.33859595337785414</v>
      </c>
      <c r="J15" s="15"/>
    </row>
    <row r="16" spans="1:10" s="9" customFormat="1" ht="25.5">
      <c r="A16" s="31" t="s">
        <v>193</v>
      </c>
      <c r="B16" s="44">
        <f>IF(10275.69611="","-",10275.69611)</f>
        <v>10275.69611</v>
      </c>
      <c r="C16" s="44">
        <f>IF(OR(11597.86701="",10275.69611=""),"-",10275.69611/11597.86701*100)</f>
        <v>88.59987876339687</v>
      </c>
      <c r="D16" s="44">
        <f>IF(11597.86701="","-",11597.86701/2706173.30142*100)</f>
        <v>0.42857074245445753</v>
      </c>
      <c r="E16" s="44">
        <f>IF(10275.69611="","-",10275.69611/2779195.26316*100)</f>
        <v>0.36973638542821674</v>
      </c>
      <c r="F16" s="44">
        <f>IF(OR(2424972.02699="",10186.05917="",11597.86701=""),"-",(11597.86701-10186.05917)/2424972.02699*100)</f>
        <v>0.05821955157777254</v>
      </c>
      <c r="G16" s="44">
        <f>IF(OR(2706173.30142="",10275.69611="",11597.86701=""),"-",(10275.69611-11597.86701)/2706173.30142*100)</f>
        <v>-0.048857584224418354</v>
      </c>
      <c r="J16" s="15"/>
    </row>
    <row r="17" spans="1:10" s="9" customFormat="1" ht="25.5">
      <c r="A17" s="31" t="s">
        <v>194</v>
      </c>
      <c r="B17" s="44">
        <f>IF(25508.17377="","-",25508.17377)</f>
        <v>25508.17377</v>
      </c>
      <c r="C17" s="44">
        <f>IF(OR(22037.49392="",25508.17377=""),"-",25508.17377/22037.49392*100)</f>
        <v>115.74897700527646</v>
      </c>
      <c r="D17" s="44">
        <f>IF(22037.49392="","-",22037.49392/2706173.30142*100)</f>
        <v>0.8143415615118348</v>
      </c>
      <c r="E17" s="44">
        <f>IF(25508.17377="","-",25508.17377/2779195.26316*100)</f>
        <v>0.9178258939962608</v>
      </c>
      <c r="F17" s="44">
        <f>IF(OR(2424972.02699="",16204.28226="",22037.49392=""),"-",(22037.49392-16204.28226)/2424972.02699*100)</f>
        <v>0.240547585501037</v>
      </c>
      <c r="G17" s="44">
        <f>IF(OR(2706173.30142="",25508.17377="",22037.49392=""),"-",(25508.17377-22037.49392)/2706173.30142*100)</f>
        <v>0.12825046526690823</v>
      </c>
      <c r="J17" s="15"/>
    </row>
    <row r="18" spans="1:10" s="9" customFormat="1" ht="15.75" customHeight="1">
      <c r="A18" s="31" t="s">
        <v>195</v>
      </c>
      <c r="B18" s="44">
        <f>IF(2687.88916="","-",2687.88916)</f>
        <v>2687.88916</v>
      </c>
      <c r="C18" s="44">
        <f>IF(OR(2755.56303="",2687.88916=""),"-",2687.88916/2755.56303*100)</f>
        <v>97.54410008904787</v>
      </c>
      <c r="D18" s="44">
        <f>IF(2755.56303="","-",2755.56303/2706173.30142*100)</f>
        <v>0.10182507633764931</v>
      </c>
      <c r="E18" s="44">
        <f>IF(2687.88916="","-",2687.88916/2779195.26316*100)</f>
        <v>0.09671465677959658</v>
      </c>
      <c r="F18" s="44">
        <f>IF(OR(2424972.02699="",3143.66329="",2755.56303=""),"-",(2755.56303-3143.66329)/2424972.02699*100)</f>
        <v>-0.016004319047000726</v>
      </c>
      <c r="G18" s="44">
        <f>IF(OR(2706173.30142="",2687.88916="",2755.56303=""),"-",(2687.88916-2755.56303)/2706173.30142*100)</f>
        <v>-0.0025007219591032612</v>
      </c>
      <c r="J18" s="15"/>
    </row>
    <row r="19" spans="1:10" s="9" customFormat="1" ht="15.75">
      <c r="A19" s="49" t="s">
        <v>196</v>
      </c>
      <c r="B19" s="43">
        <f>IF(218301.41554="","-",218301.41554)</f>
        <v>218301.41554</v>
      </c>
      <c r="C19" s="43">
        <f>IF(218817.31491="","-",218301.41554/218817.31491*100)</f>
        <v>99.76423283952086</v>
      </c>
      <c r="D19" s="43">
        <f>IF(218817.31491="","-",218817.31491/2706173.30142*100)</f>
        <v>8.085857428095267</v>
      </c>
      <c r="E19" s="43">
        <f>IF(218301.41554="","-",218301.41554/2779195.26316*100)</f>
        <v>7.854842674558496</v>
      </c>
      <c r="F19" s="43">
        <f>IF(2424972.02699="","-",(218817.31491-201210.99807)/2424972.02699*100)</f>
        <v>0.7260420592089819</v>
      </c>
      <c r="G19" s="43">
        <f>IF(2706173.30142="","-",(218301.41554-218817.31491)/2706173.30142*100)</f>
        <v>-0.019063796458611622</v>
      </c>
      <c r="J19" s="15"/>
    </row>
    <row r="20" spans="1:7" s="9" customFormat="1" ht="15.75">
      <c r="A20" s="31" t="s">
        <v>197</v>
      </c>
      <c r="B20" s="44">
        <f>IF(195928.96505="","-",195928.96505)</f>
        <v>195928.96505</v>
      </c>
      <c r="C20" s="44">
        <f>IF(OR(196000.3346="",195928.96505=""),"-",195928.96505/196000.3346*100)</f>
        <v>99.96358702644787</v>
      </c>
      <c r="D20" s="44">
        <f>IF(196000.3346="","-",196000.3346/2706173.30142*100)</f>
        <v>7.242711858000872</v>
      </c>
      <c r="E20" s="44">
        <f>IF(195928.96505="","-",195928.96505/2779195.26316*100)</f>
        <v>7.049845242871668</v>
      </c>
      <c r="F20" s="44">
        <f>IF(OR(2424972.02699="",182586.06213="",196000.3346=""),"-",(196000.3346-182586.06213)/2424972.02699*100)</f>
        <v>0.553172256038371</v>
      </c>
      <c r="G20" s="44">
        <f>IF(OR(2706173.30142="",195928.96505="",196000.3346=""),"-",(195928.96505-196000.3346)/2706173.30142*100)</f>
        <v>-0.002637286753311534</v>
      </c>
    </row>
    <row r="21" spans="1:7" s="9" customFormat="1" ht="15.75">
      <c r="A21" s="31" t="s">
        <v>198</v>
      </c>
      <c r="B21" s="44">
        <f>IF(22372.45049="","-",22372.45049)</f>
        <v>22372.45049</v>
      </c>
      <c r="C21" s="44">
        <f>IF(OR(22816.98031="",22372.45049=""),"-",22372.45049/22816.98031*100)</f>
        <v>98.05175876053512</v>
      </c>
      <c r="D21" s="44">
        <f>IF(22816.98031="","-",22816.98031/2706173.30142*100)</f>
        <v>0.8431455700943962</v>
      </c>
      <c r="E21" s="44">
        <f>IF(22372.45049="","-",22372.45049/2779195.26316*100)</f>
        <v>0.8049974316868287</v>
      </c>
      <c r="F21" s="44">
        <f>IF(OR(2424972.02699="",18624.93594="",22816.98031=""),"-",(22816.98031-18624.93594)/2424972.02699*100)</f>
        <v>0.17286980317061143</v>
      </c>
      <c r="G21" s="44">
        <f>IF(OR(2706173.30142="",22372.45049="",22816.98031=""),"-",(22372.45049-22816.98031)/2706173.30142*100)</f>
        <v>-0.016426509705300223</v>
      </c>
    </row>
    <row r="22" spans="1:7" s="9" customFormat="1" ht="25.5">
      <c r="A22" s="49" t="s">
        <v>24</v>
      </c>
      <c r="B22" s="43">
        <f>IF(296070.22462="","-",296070.22462)</f>
        <v>296070.22462</v>
      </c>
      <c r="C22" s="43">
        <f>IF(279951.1615="","-",296070.22462/279951.1615*100)</f>
        <v>105.75781255331566</v>
      </c>
      <c r="D22" s="43">
        <f>IF(279951.1615="","-",279951.1615/2706173.30142*100)</f>
        <v>10.344908855360531</v>
      </c>
      <c r="E22" s="43">
        <f>IF(296070.22462="","-",296070.22462/2779195.26316*100)</f>
        <v>10.653091869599773</v>
      </c>
      <c r="F22" s="43">
        <f>IF(2424972.02699="","-",(279951.1615-276824.62098)/2424972.02699*100)</f>
        <v>0.12893099323214888</v>
      </c>
      <c r="G22" s="43">
        <f>IF(2706173.30142="","-",(296070.22462-279951.1615)/2706173.30142*100)</f>
        <v>0.5956404607030124</v>
      </c>
    </row>
    <row r="23" spans="1:7" s="9" customFormat="1" ht="15.75" customHeight="1">
      <c r="A23" s="31" t="s">
        <v>199</v>
      </c>
      <c r="B23" s="44">
        <f>IF(1673.2817="","-",1673.2817)</f>
        <v>1673.2817</v>
      </c>
      <c r="C23" s="44">
        <f>IF(OR(2946.41398="",1673.2817=""),"-",1673.2817/2946.41398*100)</f>
        <v>56.790448027944805</v>
      </c>
      <c r="D23" s="44">
        <f>IF(2946.41398="","-",2946.41398/2706173.30142*100)</f>
        <v>0.10887750531179727</v>
      </c>
      <c r="E23" s="44">
        <f>IF(1673.2817="","-",1673.2817/2779195.26316*100)</f>
        <v>0.0602074176715977</v>
      </c>
      <c r="F23" s="44">
        <f>IF(OR(2424972.02699="",3653.74889="",2946.41398=""),"-",(2946.41398-3653.74889)/2424972.02699*100)</f>
        <v>-0.029168786366495964</v>
      </c>
      <c r="G23" s="44">
        <f>IF(OR(2706173.30142="",1673.2817="",2946.41398=""),"-",(1673.2817-2946.41398)/2706173.30142*100)</f>
        <v>-0.04704548224357819</v>
      </c>
    </row>
    <row r="24" spans="1:8" s="9" customFormat="1" ht="15.75">
      <c r="A24" s="31" t="s">
        <v>200</v>
      </c>
      <c r="B24" s="44">
        <f>IF(260749.15602="","-",260749.15602)</f>
        <v>260749.15602</v>
      </c>
      <c r="C24" s="44">
        <f>IF(OR(239980.65214="",260749.15602=""),"-",260749.15602/239980.65214*100)</f>
        <v>108.65424095434331</v>
      </c>
      <c r="D24" s="44">
        <f>IF(239980.65214="","-",239980.65214/2706173.30142*100)</f>
        <v>8.867896672178233</v>
      </c>
      <c r="E24" s="44">
        <f>IF(260749.15602="","-",260749.15602/2779195.26316*100)</f>
        <v>9.3821819386495</v>
      </c>
      <c r="F24" s="44">
        <f>IF(OR(2424972.02699="",240737.581="",239980.65214=""),"-",(239980.65214-240737.581)/2424972.02699*100)</f>
        <v>-0.031213921297869714</v>
      </c>
      <c r="G24" s="44">
        <f>IF(OR(2706173.30142="",260749.15602="",239980.65214=""),"-",(260749.15602-239980.65214)/2706173.30142*100)</f>
        <v>0.767449145592495</v>
      </c>
      <c r="H24" s="7"/>
    </row>
    <row r="25" spans="1:8" s="9" customFormat="1" ht="25.5">
      <c r="A25" s="31" t="s">
        <v>239</v>
      </c>
      <c r="B25" s="44">
        <f>IF(1.25194="","-",1.25194)</f>
        <v>1.25194</v>
      </c>
      <c r="C25" s="44">
        <f>IF(OR(1.05346="",1.25194=""),"-",1.25194/1.05346*100)</f>
        <v>118.8407723121903</v>
      </c>
      <c r="D25" s="44">
        <f>IF(1.05346="","-",1.05346/2706173.30142*100)</f>
        <v>3.892803167658265E-05</v>
      </c>
      <c r="E25" s="44">
        <f>IF(1.25194="","-",1.25194/2779195.26316*100)</f>
        <v>4.504685282805641E-05</v>
      </c>
      <c r="F25" s="44">
        <f>IF(OR(2424972.02699="",0.46425="",1.05346=""),"-",(1.05346-0.46425)/2424972.02699*100)</f>
        <v>2.4297599866805793E-05</v>
      </c>
      <c r="G25" s="44">
        <f>IF(OR(2706173.30142="",1.25194="",1.05346=""),"-",(1.25194-1.05346)/2706173.30142*100)</f>
        <v>7.334341813802256E-06</v>
      </c>
      <c r="H25" s="8"/>
    </row>
    <row r="26" spans="1:8" s="9" customFormat="1" ht="15.75">
      <c r="A26" s="31" t="s">
        <v>201</v>
      </c>
      <c r="B26" s="44">
        <f>IF(1220.82463="","-",1220.82463)</f>
        <v>1220.82463</v>
      </c>
      <c r="C26" s="44">
        <f>IF(OR(800.16779="",1220.82463=""),"-",1220.82463/800.16779*100)</f>
        <v>152.57107887334482</v>
      </c>
      <c r="D26" s="44">
        <f>IF(800.16779="","-",800.16779/2706173.30142*100)</f>
        <v>0.02956823901780906</v>
      </c>
      <c r="E26" s="44">
        <f>IF(1220.82463="","-",1220.82463/2779195.26316*100)</f>
        <v>0.04392727082486094</v>
      </c>
      <c r="F26" s="44">
        <f>IF(OR(2424972.02699="",553.28088="",800.16779=""),"-",(800.16779-553.28088)/2424972.02699*100)</f>
        <v>0.010181020945897205</v>
      </c>
      <c r="G26" s="44">
        <f>IF(OR(2706173.30142="",1220.82463="",800.16779=""),"-",(1220.82463-800.16779)/2706173.30142*100)</f>
        <v>0.015544342255511517</v>
      </c>
      <c r="H26" s="8"/>
    </row>
    <row r="27" spans="1:8" s="9" customFormat="1" ht="15.75">
      <c r="A27" s="31" t="s">
        <v>202</v>
      </c>
      <c r="B27" s="44">
        <f>IF(2638.01826="","-",2638.01826)</f>
        <v>2638.01826</v>
      </c>
      <c r="C27" s="44">
        <f>IF(OR(3278.83104="",2638.01826=""),"-",2638.01826/3278.83104*100)</f>
        <v>80.45605973036048</v>
      </c>
      <c r="D27" s="44">
        <f>IF(3278.83104="","-",3278.83104/2706173.30142*100)</f>
        <v>0.12116116282277678</v>
      </c>
      <c r="E27" s="44">
        <f>IF(2638.01826="","-",2638.01826/2779195.26316*100)</f>
        <v>0.09492022007120582</v>
      </c>
      <c r="F27" s="44">
        <f>IF(OR(2424972.02699="",3012.18274="",3278.83104=""),"-",(3278.83104-3012.18274)/2424972.02699*100)</f>
        <v>0.010995933026533811</v>
      </c>
      <c r="G27" s="44">
        <f>IF(OR(2706173.30142="",2638.01826="",3278.83104=""),"-",(2638.01826-3278.83104)/2706173.30142*100)</f>
        <v>-0.023679665292084175</v>
      </c>
      <c r="H27" s="8"/>
    </row>
    <row r="28" spans="1:8" s="9" customFormat="1" ht="38.25">
      <c r="A28" s="31" t="s">
        <v>203</v>
      </c>
      <c r="B28" s="44">
        <f>IF(348.21492="","-",348.21492)</f>
        <v>348.21492</v>
      </c>
      <c r="C28" s="44">
        <f>IF(OR(469.61314="",348.21492=""),"-",348.21492/469.61314*100)</f>
        <v>74.14931362440157</v>
      </c>
      <c r="D28" s="44">
        <f>IF(469.61314="","-",469.61314/2706173.30142*100)</f>
        <v>0.017353402302564352</v>
      </c>
      <c r="E28" s="44">
        <f>IF(348.21492="","-",348.21492/2779195.26316*100)</f>
        <v>0.012529343461965776</v>
      </c>
      <c r="F28" s="44">
        <f>IF(OR(2424972.02699="",385.93626="",469.61314=""),"-",(469.61314-385.93626)/2424972.02699*100)</f>
        <v>0.0034506327936435635</v>
      </c>
      <c r="G28" s="44">
        <f>IF(OR(2706173.30142="",348.21492="",469.61314=""),"-",(348.21492-469.61314)/2706173.30142*100)</f>
        <v>-0.004485973604731787</v>
      </c>
      <c r="H28" s="8"/>
    </row>
    <row r="29" spans="1:7" s="9" customFormat="1" ht="38.25">
      <c r="A29" s="31" t="s">
        <v>204</v>
      </c>
      <c r="B29" s="44">
        <f>IF(9360.87854="","-",9360.87854)</f>
        <v>9360.87854</v>
      </c>
      <c r="C29" s="44">
        <f>IF(OR(10566.88655="",9360.87854=""),"-",9360.87854/10566.88655*100)</f>
        <v>88.58691248085748</v>
      </c>
      <c r="D29" s="44">
        <f>IF(10566.88655="","-",10566.88655/2706173.30142*100)</f>
        <v>0.3904733870685694</v>
      </c>
      <c r="E29" s="44">
        <f>IF(9360.87854="","-",9360.87854/2779195.26316*100)</f>
        <v>0.3368197500940073</v>
      </c>
      <c r="F29" s="44">
        <f>IF(OR(2424972.02699="",10087.23866="",10566.88655=""),"-",(10566.88655-10087.23866)/2424972.02699*100)</f>
        <v>0.019779522594962136</v>
      </c>
      <c r="G29" s="44">
        <f>IF(OR(2706173.30142="",9360.87854="",10566.88655=""),"-",(9360.87854-10566.88655)/2706173.30142*100)</f>
        <v>-0.044565069405095956</v>
      </c>
    </row>
    <row r="30" spans="1:7" s="9" customFormat="1" ht="16.5" customHeight="1">
      <c r="A30" s="31" t="s">
        <v>205</v>
      </c>
      <c r="B30" s="44">
        <f>IF(15862.30532="","-",15862.30532)</f>
        <v>15862.30532</v>
      </c>
      <c r="C30" s="44">
        <f>IF(OR(17159.71488="",15862.30532=""),"-",15862.30532/17159.71488*100)</f>
        <v>92.43921260304762</v>
      </c>
      <c r="D30" s="44">
        <f>IF(17159.71488="","-",17159.71488/2706173.30142*100)</f>
        <v>0.6340951952706003</v>
      </c>
      <c r="E30" s="44">
        <f>IF(15862.30532="","-",15862.30532/2779195.26316*100)</f>
        <v>0.5707517399106475</v>
      </c>
      <c r="F30" s="44">
        <f>IF(OR(2424972.02699="",15049.39127="",17159.71488=""),"-",(17159.71488-15049.39127)/2424972.02699*100)</f>
        <v>0.08702465787283499</v>
      </c>
      <c r="G30" s="44">
        <f>IF(OR(2706173.30142="",15862.30532="",17159.71488=""),"-",(15862.30532-17159.71488)/2706173.30142*100)</f>
        <v>-0.04794258960870005</v>
      </c>
    </row>
    <row r="31" spans="1:7" s="9" customFormat="1" ht="25.5">
      <c r="A31" s="31" t="s">
        <v>206</v>
      </c>
      <c r="B31" s="44">
        <f>IF(4216.29329="","-",4216.29329)</f>
        <v>4216.29329</v>
      </c>
      <c r="C31" s="44">
        <f>IF(OR(4747.82852="",4216.29329=""),"-",4216.29329/4747.82852*100)</f>
        <v>88.80466664368913</v>
      </c>
      <c r="D31" s="44">
        <f>IF(4747.82852="","-",4747.82852/2706173.30142*100)</f>
        <v>0.17544436335650382</v>
      </c>
      <c r="E31" s="44">
        <f>IF(4216.29329="","-",4216.29329/2779195.26316*100)</f>
        <v>0.15170914206315936</v>
      </c>
      <c r="F31" s="44">
        <f>IF(OR(2424972.02699="",3344.79703="",4747.82852=""),"-",(4747.82852-3344.79703)/2424972.02699*100)</f>
        <v>0.05785763606277614</v>
      </c>
      <c r="G31" s="44">
        <f>IF(OR(2706173.30142="",4216.29329="",4747.82852=""),"-",(4216.29329-4747.82852)/2706173.30142*100)</f>
        <v>-0.019641581332617904</v>
      </c>
    </row>
    <row r="32" spans="1:7" s="9" customFormat="1" ht="25.5">
      <c r="A32" s="49" t="s">
        <v>207</v>
      </c>
      <c r="B32" s="43">
        <f>IF(10414.13209="","-",10414.13209)</f>
        <v>10414.13209</v>
      </c>
      <c r="C32" s="43">
        <f>IF(18470.94986="","-",10414.13209/18470.94986*100)</f>
        <v>56.38113994642179</v>
      </c>
      <c r="D32" s="43">
        <f>IF(18470.94986="","-",18470.94986/2706173.30142*100)</f>
        <v>0.6825486693815142</v>
      </c>
      <c r="E32" s="43">
        <f>IF(10414.13209="","-",10414.13209/2779195.26316*100)</f>
        <v>0.37471753885183745</v>
      </c>
      <c r="F32" s="43">
        <f>IF(2424972.02699="","-",(18470.94986-18245.18148)/2424972.02699*100)</f>
        <v>0.009310143683605153</v>
      </c>
      <c r="G32" s="43">
        <f>IF(2706173.30142="","-",(10414.13209-18470.94986)/2706173.30142*100)</f>
        <v>-0.2977199488950829</v>
      </c>
    </row>
    <row r="33" spans="1:7" s="9" customFormat="1" ht="15.75">
      <c r="A33" s="31" t="s">
        <v>240</v>
      </c>
      <c r="B33" s="44">
        <f>IF(3.98403="","-",3.98403)</f>
        <v>3.98403</v>
      </c>
      <c r="C33" s="44">
        <f>IF(OR(18.25726="",3.98403=""),"-",3.98403/18.25726*100)</f>
        <v>21.8216205498525</v>
      </c>
      <c r="D33" s="44">
        <f>IF(18.25726="","-",18.25726/2706173.30142*100)</f>
        <v>0.0006746522844793398</v>
      </c>
      <c r="E33" s="44">
        <f>IF(3.98403="","-",3.98403/2779195.26316*100)</f>
        <v>0.00014335192826538137</v>
      </c>
      <c r="F33" s="44">
        <f>IF(OR(2424972.02699="",15.42444="",18.25726=""),"-",(18.25726-15.42444)/2424972.02699*100)</f>
        <v>0.00011681866712154367</v>
      </c>
      <c r="G33" s="44">
        <f>IF(OR(2706173.30142="",3.98403="",18.25726=""),"-",(3.98403-18.25726)/2706173.30142*100)</f>
        <v>-0.0005274322229293467</v>
      </c>
    </row>
    <row r="34" spans="1:7" s="9" customFormat="1" ht="25.5">
      <c r="A34" s="31" t="s">
        <v>208</v>
      </c>
      <c r="B34" s="44">
        <f>IF(10364.52806="","-",10364.52806)</f>
        <v>10364.52806</v>
      </c>
      <c r="C34" s="44">
        <f>IF(OR(18435.16956="",10364.52806=""),"-",10364.52806/18435.16956*100)</f>
        <v>56.22149569206349</v>
      </c>
      <c r="D34" s="44">
        <f>IF(18435.16956="","-",18435.16956/2706173.30142*100)</f>
        <v>0.6812264961126688</v>
      </c>
      <c r="E34" s="44">
        <f>IF(10364.52806="","-",10364.52806/2779195.26316*100)</f>
        <v>0.37293270456338234</v>
      </c>
      <c r="F34" s="44">
        <f>IF(OR(2424972.02699="",18222.52386="",18435.16956=""),"-",(18435.16956-18222.52386)/2424972.02699*100)</f>
        <v>0.008768995998025763</v>
      </c>
      <c r="G34" s="44">
        <f>IF(OR(2706173.30142="",10364.52806="",18435.16956=""),"-",(10364.52806-18435.16956)/2706173.30142*100)</f>
        <v>-0.2982307709474896</v>
      </c>
    </row>
    <row r="35" spans="1:7" s="9" customFormat="1" ht="25.5">
      <c r="A35" s="31" t="s">
        <v>241</v>
      </c>
      <c r="B35" s="44">
        <f>IF(37.79624="","-",37.79624)</f>
        <v>37.79624</v>
      </c>
      <c r="C35" s="44" t="s">
        <v>262</v>
      </c>
      <c r="D35" s="44">
        <f>IF(9.38137="","-",9.38137/2706173.30142*100)</f>
        <v>0.00034666552933167107</v>
      </c>
      <c r="E35" s="44">
        <f>IF(37.79624="","-",37.79624/2779195.26316*100)</f>
        <v>0.0013599706541319058</v>
      </c>
      <c r="F35" s="44" t="str">
        <f>IF(OR(2424972.02699="",""="",9.38137=""),"-",(9.38137-"")/2424972.02699*100)</f>
        <v>-</v>
      </c>
      <c r="G35" s="44">
        <f>IF(OR(2706173.30142="",37.79624="",9.38137=""),"-",(37.79624-9.38137)/2706173.30142*100)</f>
        <v>0.0010500018600098512</v>
      </c>
    </row>
    <row r="36" spans="1:7" s="9" customFormat="1" ht="15.75">
      <c r="A36" s="31" t="s">
        <v>209</v>
      </c>
      <c r="B36" s="44">
        <f>IF(7.82376="","-",7.82376)</f>
        <v>7.82376</v>
      </c>
      <c r="C36" s="44">
        <f>IF(OR(8.14167="",7.82376=""),"-",7.82376/8.14167*100)</f>
        <v>96.0952728371452</v>
      </c>
      <c r="D36" s="44">
        <f>IF(8.14167="","-",8.14167/2706173.30142*100)</f>
        <v>0.0003008554550341566</v>
      </c>
      <c r="E36" s="44">
        <f>IF(7.82376="","-",7.82376/2779195.26316*100)</f>
        <v>0.0002815117060578259</v>
      </c>
      <c r="F36" s="44">
        <f>IF(OR(2424972.02699="",7.23318="",8.14167=""),"-",(8.14167-7.23318)/2424972.02699*100)</f>
        <v>3.7463937310966185E-05</v>
      </c>
      <c r="G36" s="44">
        <f>IF(OR(2706173.30142="",7.82376="",8.14167=""),"-",(7.82376-8.14167)/2706173.30142*100)</f>
        <v>-1.1747584673649088E-05</v>
      </c>
    </row>
    <row r="37" spans="1:7" s="9" customFormat="1" ht="25.5">
      <c r="A37" s="49" t="s">
        <v>210</v>
      </c>
      <c r="B37" s="43">
        <f>IF(69974.89487="","-",69974.89487)</f>
        <v>69974.89487</v>
      </c>
      <c r="C37" s="43">
        <f>IF(66841.31895="","-",69974.89487/66841.31895*100)</f>
        <v>104.688082116309</v>
      </c>
      <c r="D37" s="43">
        <f>IF(66841.31895="","-",66841.31895/2706173.30142*100)</f>
        <v>2.469957076101764</v>
      </c>
      <c r="E37" s="43">
        <f>IF(69974.89487="","-",69974.89487/2779195.26316*100)</f>
        <v>2.517811389417711</v>
      </c>
      <c r="F37" s="43">
        <f>IF(2424972.02699="","-",(66841.31895-53689.18063)/2424972.02699*100)</f>
        <v>0.5423624756746207</v>
      </c>
      <c r="G37" s="43">
        <f>IF(2706173.30142="","-",(69974.89487-66841.31895)/2706173.30142*100)</f>
        <v>0.11579361596523526</v>
      </c>
    </row>
    <row r="38" spans="1:7" s="9" customFormat="1" ht="25.5">
      <c r="A38" s="31" t="s">
        <v>211</v>
      </c>
      <c r="B38" s="44">
        <f>IF(69943.97809="","-",69943.97809)</f>
        <v>69943.97809</v>
      </c>
      <c r="C38" s="44">
        <f>IF(OR(66667.3926="",69943.97809=""),"-",69943.97809/66667.3926*100)</f>
        <v>104.91482471747364</v>
      </c>
      <c r="D38" s="44">
        <f>IF(66667.3926="","-",66667.3926/2706173.30142*100)</f>
        <v>2.463530054228895</v>
      </c>
      <c r="E38" s="44">
        <f>IF(69943.97809="","-",69943.97809/2779195.26316*100)</f>
        <v>2.5166989530081567</v>
      </c>
      <c r="F38" s="44">
        <f>IF(OR(2424972.02699="",53562.85513="",66667.3926=""),"-",(66667.3926-53562.85513)/2424972.02699*100)</f>
        <v>0.5403995313820601</v>
      </c>
      <c r="G38" s="44">
        <f>IF(OR(2706173.30142="",69943.97809="",66667.3926=""),"-",(69943.97809-66667.3926)/2706173.30142*100)</f>
        <v>0.12107818402763369</v>
      </c>
    </row>
    <row r="39" spans="1:7" s="9" customFormat="1" ht="63.75">
      <c r="A39" s="31" t="s">
        <v>212</v>
      </c>
      <c r="B39" s="44">
        <f>IF(30.91678="","-",30.91678)</f>
        <v>30.91678</v>
      </c>
      <c r="C39" s="44">
        <f>IF(OR(173.9088="",30.91678=""),"-",30.91678/173.9088*100)</f>
        <v>17.777582273007457</v>
      </c>
      <c r="D39" s="44">
        <f>IF(173.9088="","-",173.9088/2706173.30142*100)</f>
        <v>0.006426373355643762</v>
      </c>
      <c r="E39" s="44">
        <f>IF(30.91678="","-",30.91678/2779195.26316*100)</f>
        <v>0.0011124364095542896</v>
      </c>
      <c r="F39" s="44">
        <f>IF(OR(2424972.02699="",126.3255="",173.9088=""),"-",(173.9088-126.3255)/2424972.02699*100)</f>
        <v>0.001962220572872457</v>
      </c>
      <c r="G39" s="44">
        <f>IF(OR(2706173.30142="",30.91678="",173.9088=""),"-",(30.91678-173.9088)/2706173.30142*100)</f>
        <v>-0.005283919545173562</v>
      </c>
    </row>
    <row r="40" spans="1:7" s="9" customFormat="1" ht="25.5">
      <c r="A40" s="49" t="s">
        <v>213</v>
      </c>
      <c r="B40" s="43">
        <f>IF(145442.4929="","-",145442.4929)</f>
        <v>145442.4929</v>
      </c>
      <c r="C40" s="43">
        <f>IF(129828.06899="","-",145442.4929/129828.06899*100)</f>
        <v>112.02700158099302</v>
      </c>
      <c r="D40" s="43">
        <f>IF(129828.06899="","-",129828.06899/2706173.30142*100)</f>
        <v>4.797478007852483</v>
      </c>
      <c r="E40" s="43">
        <f>IF(145442.4929="","-",145442.4929/2779195.26316*100)</f>
        <v>5.23325923974946</v>
      </c>
      <c r="F40" s="43">
        <f>IF(2424972.02699="","-",(129828.06899-127741.01565)/2424972.02699*100)</f>
        <v>0.08606504804059767</v>
      </c>
      <c r="G40" s="43">
        <f>IF(2706173.30142="","-",(145442.4929-129828.06899)/2706173.30142*100)</f>
        <v>0.5769927558522108</v>
      </c>
    </row>
    <row r="41" spans="1:7" s="9" customFormat="1" ht="15.75">
      <c r="A41" s="31" t="s">
        <v>25</v>
      </c>
      <c r="B41" s="44">
        <f>IF(23888.65771="","-",23888.65771)</f>
        <v>23888.65771</v>
      </c>
      <c r="C41" s="44">
        <f>IF(OR(26300.92639="",23888.65771=""),"-",23888.65771/26300.92639*100)</f>
        <v>90.82819880855155</v>
      </c>
      <c r="D41" s="44">
        <f>IF(26300.92639="","-",26300.92639/2706173.30142*100)</f>
        <v>0.9718862563679576</v>
      </c>
      <c r="E41" s="44">
        <f>IF(23888.65771="","-",23888.65771/2779195.26316*100)</f>
        <v>0.8595530521607944</v>
      </c>
      <c r="F41" s="44">
        <f>IF(OR(2424972.02699="",23240.18381="",26300.92639=""),"-",(26300.92639-23240.18381)/2424972.02699*100)</f>
        <v>0.12621764481956327</v>
      </c>
      <c r="G41" s="44">
        <f>IF(OR(2706173.30142="",23888.65771="",26300.92639=""),"-",(23888.65771-26300.92639)/2706173.30142*100)</f>
        <v>-0.08913947524108011</v>
      </c>
    </row>
    <row r="42" spans="1:7" s="9" customFormat="1" ht="15.75">
      <c r="A42" s="31" t="s">
        <v>26</v>
      </c>
      <c r="B42" s="44">
        <f>IF(1353.14941="","-",1353.14941)</f>
        <v>1353.14941</v>
      </c>
      <c r="C42" s="44">
        <f>IF(OR(1081.96154="",1353.14941=""),"-",1353.14941/1081.96154*100)</f>
        <v>125.06446486073803</v>
      </c>
      <c r="D42" s="44">
        <f>IF(1081.96154="","-",1081.96154/2706173.30142*100)</f>
        <v>0.03998123621396555</v>
      </c>
      <c r="E42" s="44">
        <f>IF(1353.14941="","-",1353.14941/2779195.26316*100)</f>
        <v>0.048688533257697134</v>
      </c>
      <c r="F42" s="44">
        <f>IF(OR(2424972.02699="",1132.73="",1081.96154=""),"-",(1081.96154-1132.73)/2424972.02699*100)</f>
        <v>-0.002093568892133425</v>
      </c>
      <c r="G42" s="44">
        <f>IF(OR(2706173.30142="",1353.14941="",1081.96154=""),"-",(1353.14941-1081.96154)/2706173.30142*100)</f>
        <v>0.01002108290173806</v>
      </c>
    </row>
    <row r="43" spans="1:7" s="9" customFormat="1" ht="15.75">
      <c r="A43" s="31" t="s">
        <v>214</v>
      </c>
      <c r="B43" s="44">
        <f>IF(916.67873="","-",916.67873)</f>
        <v>916.67873</v>
      </c>
      <c r="C43" s="44">
        <f>IF(OR(2745.62558="",916.67873=""),"-",916.67873/2745.62558*100)</f>
        <v>33.386880450028436</v>
      </c>
      <c r="D43" s="44">
        <f>IF(2745.62558="","-",2745.62558/2706173.30142*100)</f>
        <v>0.10145786223518273</v>
      </c>
      <c r="E43" s="44">
        <f>IF(916.67873="","-",916.67873/2779195.26316*100)</f>
        <v>0.03298360292100232</v>
      </c>
      <c r="F43" s="44">
        <f>IF(OR(2424972.02699="",1098.02213="",2745.62558=""),"-",(2745.62558-1098.02213)/2424972.02699*100)</f>
        <v>0.06794319405181304</v>
      </c>
      <c r="G43" s="44">
        <f>IF(OR(2706173.30142="",916.67873="",2745.62558=""),"-",(916.67873-2745.62558)/2706173.30142*100)</f>
        <v>-0.06758424706356772</v>
      </c>
    </row>
    <row r="44" spans="1:7" s="9" customFormat="1" ht="15.75">
      <c r="A44" s="31" t="s">
        <v>215</v>
      </c>
      <c r="B44" s="44">
        <f>IF(97282.55033="","-",97282.55033)</f>
        <v>97282.55033</v>
      </c>
      <c r="C44" s="44">
        <f>IF(OR(71809.16113="",97282.55033=""),"-",97282.55033/71809.16113*100)</f>
        <v>135.47373176228052</v>
      </c>
      <c r="D44" s="44">
        <f>IF(71809.16113="","-",71809.16113/2706173.30142*100)</f>
        <v>2.6535315048862484</v>
      </c>
      <c r="E44" s="44">
        <f>IF(97282.55033="","-",97282.55033/2779195.26316*100)</f>
        <v>3.5003855835371502</v>
      </c>
      <c r="F44" s="44">
        <f>IF(OR(2424972.02699="",62581.23693="",71809.16113=""),"-",(71809.16113-62581.23693)/2424972.02699*100)</f>
        <v>0.3805373462989661</v>
      </c>
      <c r="G44" s="44">
        <f>IF(OR(2706173.30142="",97282.55033="",71809.16113=""),"-",(97282.55033-71809.16113)/2706173.30142*100)</f>
        <v>0.9413066482709533</v>
      </c>
    </row>
    <row r="45" spans="1:7" ht="38.25">
      <c r="A45" s="31" t="s">
        <v>216</v>
      </c>
      <c r="B45" s="44">
        <f>IF(15104.1622="","-",15104.1622)</f>
        <v>15104.1622</v>
      </c>
      <c r="C45" s="44">
        <f>IF(OR(20999.2955599999="",15104.1622=""),"-",15104.1622/20999.2955599999*100)</f>
        <v>71.92699467867327</v>
      </c>
      <c r="D45" s="44">
        <f>IF(20999.2955599999="","-",20999.2955599999/2706173.30142*100)</f>
        <v>0.7759774863265786</v>
      </c>
      <c r="E45" s="44">
        <f>IF(15104.1622="","-",15104.1622/2779195.26316*100)</f>
        <v>0.5434725080391173</v>
      </c>
      <c r="F45" s="44">
        <f>IF(OR(2424972.02699="",27973.09051="",20999.2955599999=""),"-",(20999.2955599999-27973.09051)/2424972.02699*100)</f>
        <v>-0.28758249053521384</v>
      </c>
      <c r="G45" s="44">
        <f>IF(OR(2706173.30142="",15104.1622="",20999.2955599999=""),"-",(15104.1622-20999.2955599999)/2706173.30142*100)</f>
        <v>-0.21784020102875779</v>
      </c>
    </row>
    <row r="46" spans="1:7" ht="15.75">
      <c r="A46" s="31" t="s">
        <v>218</v>
      </c>
      <c r="B46" s="44">
        <f>IF(45.66446="","-",45.66446)</f>
        <v>45.66446</v>
      </c>
      <c r="C46" s="44">
        <f>IF(OR(36.52661="",45.66446=""),"-",45.66446/36.52661*100)</f>
        <v>125.01696708235448</v>
      </c>
      <c r="D46" s="44">
        <f>IF(36.52661="","-",36.52661/2706173.30142*100)</f>
        <v>0.0013497513252692845</v>
      </c>
      <c r="E46" s="44">
        <f>IF(45.66446="","-",45.66446/2779195.26316*100)</f>
        <v>0.001643082103848961</v>
      </c>
      <c r="F46" s="44">
        <f>IF(OR(2424972.02699="",54.51003="",36.52661=""),"-",(36.52661-54.51003)/2424972.02699*100)</f>
        <v>-0.0007415928843650187</v>
      </c>
      <c r="G46" s="44">
        <f>IF(OR(2706173.30142="",45.66446="",36.52661=""),"-",(45.66446-36.52661)/2706173.30142*100)</f>
        <v>0.00033766684473626025</v>
      </c>
    </row>
    <row r="47" spans="1:7" ht="14.25" customHeight="1">
      <c r="A47" s="31" t="s">
        <v>27</v>
      </c>
      <c r="B47" s="44">
        <f>IF(2069.12704="","-",2069.12704)</f>
        <v>2069.12704</v>
      </c>
      <c r="C47" s="44">
        <f>IF(OR(2214.5434="",2069.12704=""),"-",2069.12704/2214.5434*100)</f>
        <v>93.43357371095097</v>
      </c>
      <c r="D47" s="44">
        <f>IF(2214.5434="","-",2214.5434/2706173.30142*100)</f>
        <v>0.08183302225463429</v>
      </c>
      <c r="E47" s="44">
        <f>IF(2069.12704="","-",2069.12704/2779195.26316*100)</f>
        <v>0.07445058169994725</v>
      </c>
      <c r="F47" s="44">
        <f>IF(OR(2424972.02699="",3475.78661="",2214.5434=""),"-",(2214.5434-3475.78661)/2424972.02699*100)</f>
        <v>-0.05201062923457802</v>
      </c>
      <c r="G47" s="44">
        <f>IF(OR(2706173.30142="",2069.12704="",2214.5434=""),"-",(2069.12704-2214.5434)/2706173.30142*100)</f>
        <v>-0.005373505086451648</v>
      </c>
    </row>
    <row r="48" spans="1:7" ht="15.75">
      <c r="A48" s="31" t="s">
        <v>28</v>
      </c>
      <c r="B48" s="44">
        <f>IF(2435.22745="","-",2435.22745)</f>
        <v>2435.22745</v>
      </c>
      <c r="C48" s="44">
        <f>IF(OR(1946.43363="",2435.22745=""),"-",2435.22745/1946.43363*100)</f>
        <v>125.11227778159586</v>
      </c>
      <c r="D48" s="44">
        <f>IF(1946.43363="","-",1946.43363/2706173.30142*100)</f>
        <v>0.07192568299224057</v>
      </c>
      <c r="E48" s="44">
        <f>IF(2435.22745="","-",2435.22745/2779195.26316*100)</f>
        <v>0.08762347440212236</v>
      </c>
      <c r="F48" s="44">
        <f>IF(OR(2424972.02699="",3261.40073="",1946.43363=""),"-",(1946.43363-3261.40073)/2424972.02699*100)</f>
        <v>-0.054226072934631116</v>
      </c>
      <c r="G48" s="44">
        <f>IF(OR(2706173.30142="",2435.22745="",1946.43363=""),"-",(2435.22745-1946.43363)/2706173.30142*100)</f>
        <v>0.018062177309321505</v>
      </c>
    </row>
    <row r="49" spans="1:7" ht="15.75">
      <c r="A49" s="31" t="s">
        <v>217</v>
      </c>
      <c r="B49" s="44">
        <f>IF(2347.27557="","-",2347.27557)</f>
        <v>2347.27557</v>
      </c>
      <c r="C49" s="44">
        <f>IF(OR(2693.59515="",2347.27557=""),"-",2347.27557/2693.59515*100)</f>
        <v>87.14284958524668</v>
      </c>
      <c r="D49" s="44">
        <f>IF(2693.59515="","-",2693.59515/2706173.30142*100)</f>
        <v>0.09953520525040285</v>
      </c>
      <c r="E49" s="44">
        <f>IF(2347.27557="","-",2347.27557/2779195.26316*100)</f>
        <v>0.08445882162777943</v>
      </c>
      <c r="F49" s="44">
        <f>IF(OR(2424972.02699="",4924.0549="",2693.59515=""),"-",(2693.59515-4924.0549)/2424972.02699*100)</f>
        <v>-0.09197878264882756</v>
      </c>
      <c r="G49" s="44">
        <f>IF(OR(2706173.30142="",2347.27557="",2693.59515=""),"-",(2347.27557-2693.59515)/2706173.30142*100)</f>
        <v>-0.012797391054677738</v>
      </c>
    </row>
    <row r="50" spans="1:7" ht="25.5">
      <c r="A50" s="49" t="s">
        <v>219</v>
      </c>
      <c r="B50" s="43">
        <f>IF(172361.43717="","-",172361.43717)</f>
        <v>172361.43717</v>
      </c>
      <c r="C50" s="43">
        <f>IF(179824.05086="","-",172361.43717/179824.05086*100)</f>
        <v>95.8500469462731</v>
      </c>
      <c r="D50" s="43">
        <f>IF(179824.05086="","-",179824.05086/2706173.30142*100)</f>
        <v>6.644956949565706</v>
      </c>
      <c r="E50" s="43">
        <f>IF(172361.43717="","-",172361.43717/2779195.26316*100)</f>
        <v>6.201846968248701</v>
      </c>
      <c r="F50" s="43">
        <f>IF(2424972.02699="","-",(179824.05086-168502.21348)/2424972.02699*100)</f>
        <v>0.4668852776026958</v>
      </c>
      <c r="G50" s="43">
        <f>IF(2706173.30142="","-",(172361.43717-179824.05086)/2706173.30142*100)</f>
        <v>-0.2757625938473405</v>
      </c>
    </row>
    <row r="51" spans="1:7" ht="15.75">
      <c r="A51" s="31" t="s">
        <v>220</v>
      </c>
      <c r="B51" s="44">
        <f>IF(594.03592="","-",594.03592)</f>
        <v>594.03592</v>
      </c>
      <c r="C51" s="44">
        <f>IF(OR(1382.97503="",594.03592=""),"-",594.03592/1382.97503*100)</f>
        <v>42.953481235304736</v>
      </c>
      <c r="D51" s="44">
        <f>IF(1382.97503="","-",1382.97503/2706173.30142*100)</f>
        <v>0.05110445178342115</v>
      </c>
      <c r="E51" s="44">
        <f>IF(594.03592="","-",594.03592/2779195.26316*100)</f>
        <v>0.02137438588336429</v>
      </c>
      <c r="F51" s="44">
        <f>IF(OR(2424972.02699="",2278.43551="",1382.97503=""),"-",(1382.97503-2278.43551)/2424972.02699*100)</f>
        <v>-0.03692663131918644</v>
      </c>
      <c r="G51" s="44">
        <f>IF(OR(2706173.30142="",594.03592="",1382.97503=""),"-",(594.03592-1382.97503)/2706173.30142*100)</f>
        <v>-0.02915331067622399</v>
      </c>
    </row>
    <row r="52" spans="1:7" ht="15.75">
      <c r="A52" s="31" t="s">
        <v>29</v>
      </c>
      <c r="B52" s="44">
        <f>IF(2423.18592="","-",2423.18592)</f>
        <v>2423.18592</v>
      </c>
      <c r="C52" s="44">
        <f>IF(OR(1299.37453="",2423.18592=""),"-",2423.18592/1299.37453*100)</f>
        <v>186.48864234702214</v>
      </c>
      <c r="D52" s="44">
        <f>IF(1299.37453="","-",1299.37453/2706173.30142*100)</f>
        <v>0.048015200257802565</v>
      </c>
      <c r="E52" s="44">
        <f>IF(2423.18592="","-",2423.18592/2779195.26316*100)</f>
        <v>0.08719020041955561</v>
      </c>
      <c r="F52" s="44">
        <f>IF(OR(2424972.02699="",2176.49645="",1299.37453=""),"-",(1299.37453-2176.49645)/2424972.02699*100)</f>
        <v>-0.03617039331743256</v>
      </c>
      <c r="G52" s="44">
        <f>IF(OR(2706173.30142="",2423.18592="",1299.37453=""),"-",(2423.18592-1299.37453)/2706173.30142*100)</f>
        <v>0.041527694823177315</v>
      </c>
    </row>
    <row r="53" spans="1:7" ht="15.75">
      <c r="A53" s="31" t="s">
        <v>221</v>
      </c>
      <c r="B53" s="44">
        <f>IF(20228.40143="","-",20228.40143)</f>
        <v>20228.40143</v>
      </c>
      <c r="C53" s="44">
        <f>IF(OR(17119.74855="",20228.40143=""),"-",20228.40143/17119.74855*100)</f>
        <v>118.15828585870207</v>
      </c>
      <c r="D53" s="44">
        <f>IF(17119.74855="","-",17119.74855/2706173.30142*100)</f>
        <v>0.6326183375254208</v>
      </c>
      <c r="E53" s="44">
        <f>IF(20228.40143="","-",20228.40143/2779195.26316*100)</f>
        <v>0.7278510329281401</v>
      </c>
      <c r="F53" s="44">
        <f>IF(OR(2424972.02699="",9966.44148="",17119.74855=""),"-",(17119.74855-9966.44148)/2424972.02699*100)</f>
        <v>0.2949851375761663</v>
      </c>
      <c r="G53" s="44">
        <f>IF(OR(2706173.30142="",20228.40143="",17119.74855=""),"-",(20228.40143-17119.74855)/2706173.30142*100)</f>
        <v>0.11487264612243459</v>
      </c>
    </row>
    <row r="54" spans="1:7" ht="27" customHeight="1">
      <c r="A54" s="31" t="s">
        <v>222</v>
      </c>
      <c r="B54" s="44">
        <f>IF(10524.78955="","-",10524.78955)</f>
        <v>10524.78955</v>
      </c>
      <c r="C54" s="44">
        <f>IF(OR(9437.05731="",10524.78955=""),"-",10524.78955/9437.05731*100)</f>
        <v>111.52618029401371</v>
      </c>
      <c r="D54" s="44">
        <f>IF(9437.05731="","-",9437.05731/2706173.30142*100)</f>
        <v>0.3487233173517797</v>
      </c>
      <c r="E54" s="44">
        <f>IF(10524.78955="","-",10524.78955/2779195.26316*100)</f>
        <v>0.378699175603556</v>
      </c>
      <c r="F54" s="44">
        <f>IF(OR(2424972.02699="",7437.19929="",9437.05731=""),"-",(9437.05731-7437.19929)/2424972.02699*100)</f>
        <v>0.08246932326400182</v>
      </c>
      <c r="G54" s="44">
        <f>IF(OR(2706173.30142="",10524.78955="",9437.05731=""),"-",(10524.78955-9437.05731)/2706173.30142*100)</f>
        <v>0.04019447828523169</v>
      </c>
    </row>
    <row r="55" spans="1:7" ht="27" customHeight="1">
      <c r="A55" s="31" t="s">
        <v>245</v>
      </c>
      <c r="B55" s="44">
        <f>IF(61833.92343="","-",61833.92343)</f>
        <v>61833.92343</v>
      </c>
      <c r="C55" s="44">
        <f>IF(OR(71063.64061="",61833.92343=""),"-",61833.92343/71063.64061*100)</f>
        <v>87.01204005202457</v>
      </c>
      <c r="D55" s="44">
        <f>IF(71063.64061="","-",71063.64061/2706173.30142*100)</f>
        <v>2.625982621760072</v>
      </c>
      <c r="E55" s="44">
        <f>IF(61833.92343="","-",61833.92343/2779195.26316*100)</f>
        <v>2.2248858959155537</v>
      </c>
      <c r="F55" s="44">
        <f>IF(OR(2424972.02699="",80412.13727="",71063.64061=""),"-",(71063.64061-80412.13727)/2424972.02699*100)</f>
        <v>-0.38550946385983015</v>
      </c>
      <c r="G55" s="44">
        <f>IF(OR(2706173.30142="",61833.92343="",71063.64061=""),"-",(61833.92343-71063.64061)/2706173.30142*100)</f>
        <v>-0.34106157115499314</v>
      </c>
    </row>
    <row r="56" spans="1:7" ht="15.75">
      <c r="A56" s="31" t="s">
        <v>30</v>
      </c>
      <c r="B56" s="44">
        <f>IF(47970.79536="","-",47970.79536)</f>
        <v>47970.79536</v>
      </c>
      <c r="C56" s="44">
        <f>IF(OR(49636.85374="",47970.79536=""),"-",47970.79536/49636.85374*100)</f>
        <v>96.64350526984066</v>
      </c>
      <c r="D56" s="44">
        <f>IF(49636.85374="","-",49636.85374/2706173.30142*100)</f>
        <v>1.8342082420942607</v>
      </c>
      <c r="E56" s="44">
        <f>IF(47970.79536="","-",47970.79536/2779195.26316*100)</f>
        <v>1.726067829629799</v>
      </c>
      <c r="F56" s="44">
        <f>IF(OR(2424972.02699="",33118.2327="",49636.85374=""),"-",(49636.85374-33118.2327)/2424972.02699*100)</f>
        <v>0.6811881067553492</v>
      </c>
      <c r="G56" s="44">
        <f>IF(OR(2706173.30142="",47970.79536="",49636.85374=""),"-",(47970.79536-49636.85374)/2706173.30142*100)</f>
        <v>-0.06156510298604223</v>
      </c>
    </row>
    <row r="57" spans="1:7" ht="15.75">
      <c r="A57" s="31" t="s">
        <v>223</v>
      </c>
      <c r="B57" s="44">
        <f>IF(3364.26063="","-",3364.26063)</f>
        <v>3364.26063</v>
      </c>
      <c r="C57" s="44">
        <f>IF(OR(4152.63822="",3364.26063=""),"-",3364.26063/4152.63822*100)</f>
        <v>81.01501868852907</v>
      </c>
      <c r="D57" s="44">
        <f>IF(4152.63822="","-",4152.63822/2706173.30142*100)</f>
        <v>0.1534505649664418</v>
      </c>
      <c r="E57" s="44">
        <f>IF(3364.26063="","-",3364.26063/2779195.26316*100)</f>
        <v>0.12105161068009195</v>
      </c>
      <c r="F57" s="44">
        <f>IF(OR(2424972.02699="",3015.43258="",4152.63822=""),"-",(4152.63822-3015.43258)/2424972.02699*100)</f>
        <v>0.04689561889138811</v>
      </c>
      <c r="G57" s="44">
        <f>IF(OR(2706173.30142="",3364.26063="",4152.63822=""),"-",(3364.26063-4152.63822)/2706173.30142*100)</f>
        <v>-0.029132561081225552</v>
      </c>
    </row>
    <row r="58" spans="1:7" ht="15.75">
      <c r="A58" s="31" t="s">
        <v>31</v>
      </c>
      <c r="B58" s="44">
        <f>IF(1652.10748="","-",1652.10748)</f>
        <v>1652.10748</v>
      </c>
      <c r="C58" s="44">
        <f>IF(OR(2149.39983="",1652.10748=""),"-",1652.10748/2149.39983*100)</f>
        <v>76.86366477473854</v>
      </c>
      <c r="D58" s="44">
        <f>IF(2149.39983="","-",2149.39983/2706173.30142*100)</f>
        <v>0.07942580132884149</v>
      </c>
      <c r="E58" s="44">
        <f>IF(1652.10748="","-",1652.10748/2779195.26316*100)</f>
        <v>0.05944553453655217</v>
      </c>
      <c r="F58" s="44">
        <f>IF(OR(2424972.02699="",3442.22184="",2149.39983=""),"-",(2149.39983-3442.22184)/2424972.02699*100)</f>
        <v>-0.05331286281288437</v>
      </c>
      <c r="G58" s="44">
        <f>IF(OR(2706173.30142="",1652.10748="",2149.39983=""),"-",(1652.10748-2149.39983)/2706173.30142*100)</f>
        <v>-0.018376219650790938</v>
      </c>
    </row>
    <row r="59" spans="1:7" ht="15.75">
      <c r="A59" s="31" t="s">
        <v>32</v>
      </c>
      <c r="B59" s="44">
        <f>IF(23769.93745="","-",23769.93745)</f>
        <v>23769.93745</v>
      </c>
      <c r="C59" s="44">
        <f>IF(OR(23582.36304="",23769.93745=""),"-",23769.93745/23582.36304*100)</f>
        <v>100.79540124830511</v>
      </c>
      <c r="D59" s="44">
        <f>IF(23582.36304="","-",23582.36304/2706173.30142*100)</f>
        <v>0.8714284124976667</v>
      </c>
      <c r="E59" s="44">
        <f>IF(23769.93745="","-",23769.93745/2779195.26316*100)</f>
        <v>0.8552813026520889</v>
      </c>
      <c r="F59" s="44">
        <f>IF(OR(2424972.02699="",26655.61636="",23582.36304=""),"-",(23582.36304-26655.61636)/2424972.02699*100)</f>
        <v>-0.12673355757487562</v>
      </c>
      <c r="G59" s="44">
        <f>IF(OR(2706173.30142="",23769.93745="",23582.36304=""),"-",(23769.93745-23582.36304)/2706173.30142*100)</f>
        <v>0.0069313524710917776</v>
      </c>
    </row>
    <row r="60" spans="1:7" ht="25.5">
      <c r="A60" s="49" t="s">
        <v>224</v>
      </c>
      <c r="B60" s="43">
        <f>IF(648446.09266="","-",648446.09266)</f>
        <v>648446.09266</v>
      </c>
      <c r="C60" s="43">
        <f>IF(586265.27523="","-",648446.09266/586265.27523*100)</f>
        <v>110.6062596672821</v>
      </c>
      <c r="D60" s="43">
        <f>IF(586265.27523="","-",586265.27523/2706173.30142*100)</f>
        <v>21.663995979945973</v>
      </c>
      <c r="E60" s="43">
        <f>IF(648446.09266="","-",648446.09266/2779195.26316*100)</f>
        <v>23.332153060836173</v>
      </c>
      <c r="F60" s="43">
        <f>IF(2424972.02699="","-",(586265.27523-431394.6172)/2424972.02699*100)</f>
        <v>6.386492557699046</v>
      </c>
      <c r="G60" s="43">
        <f>IF(2706173.30142="","-",(648446.09266-586265.27523)/2706173.30142*100)</f>
        <v>2.2977396679426274</v>
      </c>
    </row>
    <row r="61" spans="1:7" ht="25.5">
      <c r="A61" s="31" t="s">
        <v>225</v>
      </c>
      <c r="B61" s="44">
        <f>IF(4207.58276="","-",4207.58276)</f>
        <v>4207.58276</v>
      </c>
      <c r="C61" s="44">
        <f>IF(OR(3007.46431="",4207.58276=""),"-",4207.58276/3007.46431*100)</f>
        <v>139.90466141225798</v>
      </c>
      <c r="D61" s="44">
        <f>IF(3007.46431="","-",3007.46431/2706173.30142*100)</f>
        <v>0.11113347058822524</v>
      </c>
      <c r="E61" s="44">
        <f>IF(4207.58276="","-",4207.58276/2779195.26316*100)</f>
        <v>0.15139572291929915</v>
      </c>
      <c r="F61" s="44">
        <f>IF(OR(2424972.02699="",3206.37417="",3007.46431=""),"-",(3007.46431-3206.37417)/2424972.02699*100)</f>
        <v>-0.008202563072321182</v>
      </c>
      <c r="G61" s="44">
        <f>IF(OR(2706173.30142="",4207.58276="",3007.46431=""),"-",(4207.58276-3007.46431)/2706173.30142*100)</f>
        <v>0.04434743515392259</v>
      </c>
    </row>
    <row r="62" spans="1:7" ht="25.5">
      <c r="A62" s="31" t="s">
        <v>226</v>
      </c>
      <c r="B62" s="44">
        <f>IF(14299.33319="","-",14299.33319)</f>
        <v>14299.33319</v>
      </c>
      <c r="C62" s="44">
        <f>IF(OR(13380.52533="",14299.33319=""),"-",14299.33319/13380.52533*100)</f>
        <v>106.86675475991943</v>
      </c>
      <c r="D62" s="44">
        <f>IF(13380.52533="","-",13380.52533/2706173.30142*100)</f>
        <v>0.4944445103711166</v>
      </c>
      <c r="E62" s="44">
        <f>IF(14299.33319="","-",14299.33319/2779195.26316*100)</f>
        <v>0.5145134413384606</v>
      </c>
      <c r="F62" s="44">
        <f>IF(OR(2424972.02699="",10081.25088="",13380.52533=""),"-",(13380.52533-10081.25088)/2424972.02699*100)</f>
        <v>0.13605412405912284</v>
      </c>
      <c r="G62" s="44">
        <f>IF(OR(2706173.30142="",14299.33319="",13380.52533=""),"-",(14299.33319-13380.52533)/2706173.30142*100)</f>
        <v>0.03395229195106893</v>
      </c>
    </row>
    <row r="63" spans="1:7" ht="25.5">
      <c r="A63" s="31" t="s">
        <v>227</v>
      </c>
      <c r="B63" s="44">
        <f>IF(2553.40913="","-",2553.40913)</f>
        <v>2553.40913</v>
      </c>
      <c r="C63" s="44">
        <f>IF(OR(2268.02272="",2553.40913=""),"-",2553.40913/2268.02272*100)</f>
        <v>112.58304899167852</v>
      </c>
      <c r="D63" s="44">
        <f>IF(2268.02272="","-",2268.02272/2706173.30142*100)</f>
        <v>0.08380921941731925</v>
      </c>
      <c r="E63" s="44">
        <f>IF(2553.40913="","-",2553.40913/2779195.26316*100)</f>
        <v>0.09187584491982485</v>
      </c>
      <c r="F63" s="44">
        <f>IF(OR(2424972.02699="",1526.46676="",2268.02272=""),"-",(2268.02272-1526.46676)/2424972.02699*100)</f>
        <v>0.03057997996457127</v>
      </c>
      <c r="G63" s="44">
        <f>IF(OR(2706173.30142="",2553.40913="",2268.02272=""),"-",(2553.40913-2268.02272)/2706173.30142*100)</f>
        <v>0.01054575513882464</v>
      </c>
    </row>
    <row r="64" spans="1:7" ht="38.25">
      <c r="A64" s="31" t="s">
        <v>228</v>
      </c>
      <c r="B64" s="44">
        <f>IF(24032.37476="","-",24032.37476)</f>
        <v>24032.37476</v>
      </c>
      <c r="C64" s="44">
        <f>IF(OR(20216.33181="",24032.37476=""),"-",24032.37476/20216.33181*100)</f>
        <v>118.87604035125896</v>
      </c>
      <c r="D64" s="44">
        <f>IF(20216.33181="","-",20216.33181/2706173.30142*100)</f>
        <v>0.7470449804301875</v>
      </c>
      <c r="E64" s="44">
        <f>IF(24032.37476="","-",24032.37476/2779195.26316*100)</f>
        <v>0.8647242271374166</v>
      </c>
      <c r="F64" s="44">
        <f>IF(OR(2424972.02699="",29619.13826="",20216.33181=""),"-",(20216.33181-29619.13826)/2424972.02699*100)</f>
        <v>-0.38774906866333</v>
      </c>
      <c r="G64" s="44">
        <f>IF(OR(2706173.30142="",24032.37476="",20216.33181=""),"-",(24032.37476-20216.33181)/2706173.30142*100)</f>
        <v>0.14101251194805675</v>
      </c>
    </row>
    <row r="65" spans="1:7" ht="25.5">
      <c r="A65" s="31" t="s">
        <v>229</v>
      </c>
      <c r="B65" s="44">
        <f>IF(1369.58045="","-",1369.58045)</f>
        <v>1369.58045</v>
      </c>
      <c r="C65" s="44">
        <f>IF(OR(1158.27364="",1369.58045=""),"-",1369.58045/1158.27364*100)</f>
        <v>118.24325467684822</v>
      </c>
      <c r="D65" s="44">
        <f>IF(1158.27364="","-",1158.27364/2706173.30142*100)</f>
        <v>0.042801162785554916</v>
      </c>
      <c r="E65" s="44">
        <f>IF(1369.58045="","-",1369.58045/2779195.26316*100)</f>
        <v>0.04927974900341331</v>
      </c>
      <c r="F65" s="44">
        <f>IF(OR(2424972.02699="",1008.13373="",1158.27364=""),"-",(1158.27364-1008.13373)/2424972.02699*100)</f>
        <v>0.006191407914356902</v>
      </c>
      <c r="G65" s="44">
        <f>IF(OR(2706173.30142="",1369.58045="",1158.27364=""),"-",(1369.58045-1158.27364)/2706173.30142*100)</f>
        <v>0.007808325131621165</v>
      </c>
    </row>
    <row r="66" spans="1:7" ht="38.25">
      <c r="A66" s="31" t="s">
        <v>230</v>
      </c>
      <c r="B66" s="44">
        <f>IF(4348.72817="","-",4348.72817)</f>
        <v>4348.72817</v>
      </c>
      <c r="C66" s="44">
        <f>IF(OR(3740.42402="",4348.72817=""),"-",4348.72817/3740.42402*100)</f>
        <v>116.26297304122221</v>
      </c>
      <c r="D66" s="44">
        <f>IF(3740.42402="","-",3740.42402/2706173.30142*100)</f>
        <v>0.13821819977446756</v>
      </c>
      <c r="E66" s="44">
        <f>IF(4348.72817="","-",4348.72817/2779195.26316*100)</f>
        <v>0.15647436607442292</v>
      </c>
      <c r="F66" s="44">
        <f>IF(OR(2424972.02699="",3820.90403="",3740.42402=""),"-",(3740.42402-3820.90403)/2424972.02699*100)</f>
        <v>-0.003318801582214379</v>
      </c>
      <c r="G66" s="44">
        <f>IF(OR(2706173.30142="",4348.72817="",3740.42402=""),"-",(4348.72817-3740.42402)/2706173.30142*100)</f>
        <v>0.022478388567384332</v>
      </c>
    </row>
    <row r="67" spans="1:7" ht="51">
      <c r="A67" s="31" t="s">
        <v>231</v>
      </c>
      <c r="B67" s="44">
        <f>IF(571171.61231="","-",571171.61231)</f>
        <v>571171.61231</v>
      </c>
      <c r="C67" s="44">
        <f>IF(OR(521267.41474="",571171.61231=""),"-",571171.61231/521267.41474*100)</f>
        <v>109.5736269252302</v>
      </c>
      <c r="D67" s="44">
        <f>IF(521267.41474="","-",521267.41474/2706173.30142*100)</f>
        <v>19.2621593918792</v>
      </c>
      <c r="E67" s="44">
        <f>IF(571171.61231="","-",571171.61231/2779195.26316*100)</f>
        <v>20.551690623586</v>
      </c>
      <c r="F67" s="44">
        <f>IF(OR(2424972.02699="",341499.26323="",521267.41474=""),"-",(521267.41474-341499.26323)/2424972.02699*100)</f>
        <v>7.4132051631596525</v>
      </c>
      <c r="G67" s="44">
        <f>IF(OR(2706173.30142="",571171.61231="",521267.41474=""),"-",(571171.61231-521267.41474)/2706173.30142*100)</f>
        <v>1.8440872779217052</v>
      </c>
    </row>
    <row r="68" spans="1:7" ht="25.5">
      <c r="A68" s="31" t="s">
        <v>232</v>
      </c>
      <c r="B68" s="44">
        <f>IF(23386.13278="","-",23386.13278)</f>
        <v>23386.13278</v>
      </c>
      <c r="C68" s="44">
        <f>IF(OR(20147.13158="",23386.13278=""),"-",23386.13278/20147.13158*100)</f>
        <v>116.07673621993588</v>
      </c>
      <c r="D68" s="44">
        <f>IF(20147.13158="","-",20147.13158/2706173.30142*100)</f>
        <v>0.7444878555792519</v>
      </c>
      <c r="E68" s="44">
        <f>IF(23386.13278="","-",23386.13278/2779195.26316*100)</f>
        <v>0.8414713816620968</v>
      </c>
      <c r="F68" s="44">
        <f>IF(OR(2424972.02699="",25060.18287="",20147.13158=""),"-",(20147.13158-25060.18287)/2424972.02699*100)</f>
        <v>-0.20260239026750054</v>
      </c>
      <c r="G68" s="44">
        <f>IF(OR(2706173.30142="",23386.13278="",20147.13158=""),"-",(23386.13278-20147.13158)/2706173.30142*100)</f>
        <v>0.11968934873093347</v>
      </c>
    </row>
    <row r="69" spans="1:7" ht="15.75">
      <c r="A69" s="31" t="s">
        <v>33</v>
      </c>
      <c r="B69" s="44">
        <f>IF(3077.33911="","-",3077.33911)</f>
        <v>3077.33911</v>
      </c>
      <c r="C69" s="44" t="s">
        <v>277</v>
      </c>
      <c r="D69" s="44">
        <f>IF(1079.68708="","-",1079.68708/2706173.30142*100)</f>
        <v>0.03989718912064722</v>
      </c>
      <c r="E69" s="44">
        <f>IF(3077.33911="","-",3077.33911/2779195.26316*100)</f>
        <v>0.11072770419524264</v>
      </c>
      <c r="F69" s="44">
        <f>IF(OR(2424972.02699="",15572.90327="",1079.68708=""),"-",(1079.68708-15572.90327)/2424972.02699*100)</f>
        <v>-0.597665293813295</v>
      </c>
      <c r="G69" s="44">
        <f>IF(OR(2706173.30142="",3077.33911="",1079.68708=""),"-",(3077.33911-1079.68708)/2706173.30142*100)</f>
        <v>0.07381833339911305</v>
      </c>
    </row>
    <row r="70" spans="1:7" ht="15.75">
      <c r="A70" s="49" t="s">
        <v>34</v>
      </c>
      <c r="B70" s="43">
        <f>IF(580537.45437="","-",580537.45437)</f>
        <v>580537.45437</v>
      </c>
      <c r="C70" s="43">
        <f>IF(612093.05844="","-",580537.45437/612093.05844*100)</f>
        <v>94.84463944903678</v>
      </c>
      <c r="D70" s="43">
        <f>IF(612093.05844="","-",612093.05844/2706173.30142*100)</f>
        <v>22.618398390037285</v>
      </c>
      <c r="E70" s="43">
        <f>IF(580537.45437="","-",580537.45437/2779195.26316*100)</f>
        <v>20.888688969263622</v>
      </c>
      <c r="F70" s="43">
        <f>IF(2424972.02699="","-",(612093.05844-537146.69816)/2424972.02699*100)</f>
        <v>3.090607208901593</v>
      </c>
      <c r="G70" s="43">
        <f>IF(2706173.30142="","-",(580537.45437-612093.05844)/2706173.30142*100)</f>
        <v>-1.1660599878596818</v>
      </c>
    </row>
    <row r="71" spans="1:7" ht="38.25">
      <c r="A71" s="31" t="s">
        <v>257</v>
      </c>
      <c r="B71" s="44">
        <f>IF(9285.84945="","-",9285.84945)</f>
        <v>9285.84945</v>
      </c>
      <c r="C71" s="44">
        <f>IF(OR(8456.32762="",9285.84945=""),"-",9285.84945/8456.32762*100)</f>
        <v>109.80948074951714</v>
      </c>
      <c r="D71" s="44">
        <f>IF(8456.32762="","-",8456.32762/2706173.30142*100)</f>
        <v>0.31248285597831976</v>
      </c>
      <c r="E71" s="44">
        <f>IF(9285.84945="","-",9285.84945/2779195.26316*100)</f>
        <v>0.33412008048120395</v>
      </c>
      <c r="F71" s="44">
        <f>IF(OR(2424972.02699="",9100.55684="",8456.32762=""),"-",(8456.32762-9100.55684)/2424972.02699*100)</f>
        <v>-0.026566459853132805</v>
      </c>
      <c r="G71" s="44">
        <f>IF(OR(2706173.30142="",9285.84945="",8456.32762=""),"-",(9285.84945-8456.32762)/2706173.30142*100)</f>
        <v>0.030652945602734603</v>
      </c>
    </row>
    <row r="72" spans="1:7" ht="15.75">
      <c r="A72" s="31" t="s">
        <v>233</v>
      </c>
      <c r="B72" s="44">
        <f>IF(145202.70545="","-",145202.70545)</f>
        <v>145202.70545</v>
      </c>
      <c r="C72" s="44">
        <f>IF(OR(157688.88068="",145202.70545=""),"-",145202.70545/157688.88068*100)</f>
        <v>92.0817655777909</v>
      </c>
      <c r="D72" s="44">
        <f>IF(157688.88068="","-",157688.88068/2706173.30142*100)</f>
        <v>5.8270060013250635</v>
      </c>
      <c r="E72" s="44">
        <f>IF(145202.70545="","-",145202.70545/2779195.26316*100)</f>
        <v>5.224631294344595</v>
      </c>
      <c r="F72" s="44">
        <f>IF(OR(2424972.02699="",135013.25102="",157688.88068=""),"-",(157688.88068-135013.25102)/2424972.02699*100)</f>
        <v>0.935088298240956</v>
      </c>
      <c r="G72" s="44">
        <f>IF(OR(2706173.30142="",145202.70545="",157688.88068=""),"-",(145202.70545-157688.88068)/2706173.30142*100)</f>
        <v>-0.46139599498111117</v>
      </c>
    </row>
    <row r="73" spans="1:7" ht="15.75">
      <c r="A73" s="31" t="s">
        <v>234</v>
      </c>
      <c r="B73" s="44">
        <f>IF(14619.03727="","-",14619.03727)</f>
        <v>14619.03727</v>
      </c>
      <c r="C73" s="44">
        <f>IF(OR(16356.92151="",14619.03727=""),"-",14619.03727/16356.92151*100)</f>
        <v>89.37523641635424</v>
      </c>
      <c r="D73" s="44">
        <f>IF(16356.92151="","-",16356.92151/2706173.30142*100)</f>
        <v>0.6044299343806657</v>
      </c>
      <c r="E73" s="44">
        <f>IF(14619.03727="","-",14619.03727/2779195.26316*100)</f>
        <v>0.5260169180548281</v>
      </c>
      <c r="F73" s="44">
        <f>IF(OR(2424972.02699="",12454.89035="",16356.92151=""),"-",(16356.92151-12454.89035)/2424972.02699*100)</f>
        <v>0.16091035758640904</v>
      </c>
      <c r="G73" s="44">
        <f>IF(OR(2706173.30142="",14619.03727="",16356.92151=""),"-",(14619.03727-16356.92151)/2706173.30142*100)</f>
        <v>-0.06421925155673092</v>
      </c>
    </row>
    <row r="74" spans="1:7" ht="15.75">
      <c r="A74" s="31" t="s">
        <v>235</v>
      </c>
      <c r="B74" s="44">
        <f>IF(277478.01377="","-",277478.01377)</f>
        <v>277478.01377</v>
      </c>
      <c r="C74" s="44">
        <f>IF(OR(309030.97232="",277478.01377=""),"-",277478.01377/309030.97232*100)</f>
        <v>89.78970997207134</v>
      </c>
      <c r="D74" s="44">
        <f>IF(309030.97232="","-",309030.97232/2706173.30142*100)</f>
        <v>11.419481973229258</v>
      </c>
      <c r="E74" s="44">
        <f>IF(277478.01377="","-",277478.01377/2779195.26316*100)</f>
        <v>9.98411365506222</v>
      </c>
      <c r="F74" s="44">
        <f>IF(OR(2424972.02699="",278069.39513="",309030.97232=""),"-",(309030.97232-278069.39513)/2424972.02699*100)</f>
        <v>1.2767807976915544</v>
      </c>
      <c r="G74" s="44">
        <f>IF(OR(2706173.30142="",277478.01377="",309030.97232=""),"-",(277478.01377-309030.97232)/2706173.30142*100)</f>
        <v>-1.1659622291537397</v>
      </c>
    </row>
    <row r="75" spans="1:7" ht="15.75">
      <c r="A75" s="31" t="s">
        <v>243</v>
      </c>
      <c r="B75" s="44">
        <f>IF(34526.47376="","-",34526.47376)</f>
        <v>34526.47376</v>
      </c>
      <c r="C75" s="44">
        <f>IF(OR(36019.71433="",34526.47376=""),"-",34526.47376/36019.71433*100)</f>
        <v>95.85437975348873</v>
      </c>
      <c r="D75" s="44">
        <f>IF(36019.71433="","-",36019.71433/2706173.30142*100)</f>
        <v>1.3310202384710363</v>
      </c>
      <c r="E75" s="44">
        <f>IF(34526.47376="","-",34526.47376/2779195.26316*100)</f>
        <v>1.2423191064575547</v>
      </c>
      <c r="F75" s="44">
        <f>IF(OR(2424972.02699="",33292.61498="",36019.71433=""),"-",(36019.71433-33292.61498)/2424972.02699*100)</f>
        <v>0.11245900239868004</v>
      </c>
      <c r="G75" s="44">
        <f>IF(OR(2706173.30142="",34526.47376="",36019.71433=""),"-",(34526.47376-36019.71433)/2706173.30142*100)</f>
        <v>-0.05517904449121788</v>
      </c>
    </row>
    <row r="76" spans="1:7" ht="25.5">
      <c r="A76" s="31" t="s">
        <v>258</v>
      </c>
      <c r="B76" s="44">
        <f>IF(28671.26537="","-",28671.26537)</f>
        <v>28671.26537</v>
      </c>
      <c r="C76" s="44">
        <f>IF(OR(23279.80167="",28671.26537=""),"-",28671.26537/23279.80167*100)</f>
        <v>123.15940563595016</v>
      </c>
      <c r="D76" s="44">
        <f>IF(23279.80167="","-",23279.80167/2706173.30142*100)</f>
        <v>0.8602479988175362</v>
      </c>
      <c r="E76" s="44">
        <f>IF(28671.26537="","-",28671.26537/2779195.26316*100)</f>
        <v>1.0316391133093759</v>
      </c>
      <c r="F76" s="44">
        <f>IF(OR(2424972.02699="",23712.04119="",23279.80167=""),"-",(23279.80167-23712.04119)/2424972.02699*100)</f>
        <v>-0.017824515713548955</v>
      </c>
      <c r="G76" s="44">
        <f>IF(OR(2706173.30142="",28671.26537="",23279.80167=""),"-",(28671.26537-23279.80167)/2706173.30142*100)</f>
        <v>0.199228323521297</v>
      </c>
    </row>
    <row r="77" spans="1:7" ht="25.5">
      <c r="A77" s="31" t="s">
        <v>237</v>
      </c>
      <c r="B77" s="44">
        <f>IF(4572.08806="","-",4572.08806)</f>
        <v>4572.08806</v>
      </c>
      <c r="C77" s="44">
        <f>IF(OR(3799.74397="",4572.08806=""),"-",4572.08806/3799.74397*100)</f>
        <v>120.32621397909607</v>
      </c>
      <c r="D77" s="44">
        <f>IF(3799.74397="","-",3799.74397/2706173.30142*100)</f>
        <v>0.1404102231001309</v>
      </c>
      <c r="E77" s="44">
        <f>IF(4572.08806="","-",4572.08806/2779195.26316*100)</f>
        <v>0.16451122094967321</v>
      </c>
      <c r="F77" s="44">
        <f>IF(OR(2424972.02699="",3128.31851="",3799.74397=""),"-",(3799.74397-3128.31851)/2424972.02699*100)</f>
        <v>0.02768796722300371</v>
      </c>
      <c r="G77" s="44">
        <f>IF(OR(2706173.30142="",4572.08806="",3799.74397=""),"-",(4572.08806-3799.74397)/2706173.30142*100)</f>
        <v>0.028540082395858795</v>
      </c>
    </row>
    <row r="78" spans="1:7" ht="15.75">
      <c r="A78" s="50" t="s">
        <v>35</v>
      </c>
      <c r="B78" s="44">
        <f>IF(66182.02124="","-",66182.02124)</f>
        <v>66182.02124</v>
      </c>
      <c r="C78" s="44">
        <f>IF(OR(57460.69634="",66182.02124=""),"-",66182.02124/57460.69634*100)</f>
        <v>115.1778962934858</v>
      </c>
      <c r="D78" s="44">
        <f>IF(57460.69634="","-",57460.69634/2706173.30142*100)</f>
        <v>2.123319164735269</v>
      </c>
      <c r="E78" s="44">
        <f>IF(66182.02124="","-",66182.02124/2779195.26316*100)</f>
        <v>2.3813375806041686</v>
      </c>
      <c r="F78" s="44">
        <f>IF(OR(2424972.02699="",42375.63014="",57460.69634=""),"-",(57460.69634-42375.63014)/2424972.02699*100)</f>
        <v>0.6220717613276703</v>
      </c>
      <c r="G78" s="44">
        <f>IF(OR(2706173.30142="",66182.02124="",57460.69634=""),"-",(66182.02124-57460.69634)/2706173.30142*100)</f>
        <v>0.3222751808032284</v>
      </c>
    </row>
    <row r="79" spans="1:7" ht="25.5">
      <c r="A79" s="51" t="s">
        <v>238</v>
      </c>
      <c r="B79" s="52">
        <f>IF(879.32971="","-",879.32971)</f>
        <v>879.32971</v>
      </c>
      <c r="C79" s="52">
        <f>IF(1071.34655="","-",879.32971/1071.34655*100)</f>
        <v>82.07705620557606</v>
      </c>
      <c r="D79" s="52">
        <f>IF(1071.34655="","-",1071.34655/2706173.30142*100)</f>
        <v>0.03958898528183086</v>
      </c>
      <c r="E79" s="52">
        <f>IF(879.32971="","-",879.32971/2779195.26316*100)</f>
        <v>0.03163972397535626</v>
      </c>
      <c r="F79" s="52">
        <f>IF(2424972.02699="","-",(1071.34655-643.1558)/2424972.02699*100)</f>
        <v>0.01765755419997534</v>
      </c>
      <c r="G79" s="52">
        <f>IF(2706173.30142="","-",(879.32971-1071.34655)/2706173.30142*100)</f>
        <v>-0.007095511580845312</v>
      </c>
    </row>
    <row r="80" ht="15.75">
      <c r="A80" s="26" t="s">
        <v>20</v>
      </c>
    </row>
  </sheetData>
  <sheetProtection/>
  <mergeCells count="6">
    <mergeCell ref="A1:G1"/>
    <mergeCell ref="A2:G2"/>
    <mergeCell ref="A4:A5"/>
    <mergeCell ref="B4:C4"/>
    <mergeCell ref="D4:E4"/>
    <mergeCell ref="F4:G4"/>
  </mergeCells>
  <printOptions/>
  <pageMargins left="0.5905511811023623" right="0.3937007874015748" top="0.3937007874015748" bottom="0.3937007874015748" header="0.11811023622047245" footer="0.1181102362204724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</sheetPr>
  <dimension ref="A1:G81"/>
  <sheetViews>
    <sheetView zoomScalePageLayoutView="0" workbookViewId="0" topLeftCell="A1">
      <selection activeCell="L13" sqref="L13"/>
    </sheetView>
  </sheetViews>
  <sheetFormatPr defaultColWidth="9.00390625" defaultRowHeight="15.75"/>
  <cols>
    <col min="1" max="1" width="27.625" style="0" customWidth="1"/>
    <col min="2" max="2" width="12.125" style="0" customWidth="1"/>
    <col min="3" max="3" width="10.75390625" style="0" customWidth="1"/>
    <col min="4" max="5" width="8.125" style="0" customWidth="1"/>
    <col min="6" max="6" width="9.875" style="0" customWidth="1"/>
    <col min="7" max="7" width="9.625" style="0" customWidth="1"/>
  </cols>
  <sheetData>
    <row r="1" spans="1:7" ht="15.75">
      <c r="A1" s="80" t="s">
        <v>126</v>
      </c>
      <c r="B1" s="80"/>
      <c r="C1" s="80"/>
      <c r="D1" s="80"/>
      <c r="E1" s="80"/>
      <c r="F1" s="80"/>
      <c r="G1" s="80"/>
    </row>
    <row r="2" spans="1:7" ht="15.75">
      <c r="A2" s="80" t="s">
        <v>22</v>
      </c>
      <c r="B2" s="80"/>
      <c r="C2" s="80"/>
      <c r="D2" s="80"/>
      <c r="E2" s="80"/>
      <c r="F2" s="80"/>
      <c r="G2" s="80"/>
    </row>
    <row r="3" ht="12" customHeight="1">
      <c r="A3" s="5"/>
    </row>
    <row r="4" spans="1:7" ht="57" customHeight="1">
      <c r="A4" s="74"/>
      <c r="B4" s="76">
        <v>2019</v>
      </c>
      <c r="C4" s="77"/>
      <c r="D4" s="76" t="s">
        <v>108</v>
      </c>
      <c r="E4" s="77"/>
      <c r="F4" s="78" t="s">
        <v>128</v>
      </c>
      <c r="G4" s="79"/>
    </row>
    <row r="5" spans="1:7" ht="31.5" customHeight="1">
      <c r="A5" s="75"/>
      <c r="B5" s="34" t="s">
        <v>99</v>
      </c>
      <c r="C5" s="35" t="s">
        <v>263</v>
      </c>
      <c r="D5" s="36">
        <v>2018</v>
      </c>
      <c r="E5" s="36">
        <v>2019</v>
      </c>
      <c r="F5" s="36" t="s">
        <v>110</v>
      </c>
      <c r="G5" s="33" t="s">
        <v>129</v>
      </c>
    </row>
    <row r="6" spans="1:7" ht="15.75">
      <c r="A6" s="48" t="s">
        <v>138</v>
      </c>
      <c r="B6" s="40">
        <f>IF(5841782.33754="","-",5841782.33754)</f>
        <v>5841782.33754</v>
      </c>
      <c r="C6" s="40">
        <f>IF(5760057.05112="","-",5841782.33754/5760057.05112*100)</f>
        <v>101.41882772505019</v>
      </c>
      <c r="D6" s="40">
        <v>100</v>
      </c>
      <c r="E6" s="40">
        <v>100</v>
      </c>
      <c r="F6" s="40">
        <f>IF(4831335.29052="","-",(5760057.05112-4831335.29052)/4831335.29052*100)</f>
        <v>19.222879488871918</v>
      </c>
      <c r="G6" s="40">
        <f>IF(5760057.05112="","-",(5841782.33754-5760057.05112)/5760057.05112*100)</f>
        <v>1.4188277250502044</v>
      </c>
    </row>
    <row r="7" spans="1:7" ht="13.5" customHeight="1">
      <c r="A7" s="41" t="s">
        <v>145</v>
      </c>
      <c r="B7" s="30"/>
      <c r="C7" s="30"/>
      <c r="D7" s="30"/>
      <c r="E7" s="30"/>
      <c r="F7" s="30"/>
      <c r="G7" s="30"/>
    </row>
    <row r="8" spans="1:7" ht="13.5" customHeight="1">
      <c r="A8" s="49" t="s">
        <v>186</v>
      </c>
      <c r="B8" s="43">
        <f>IF(610436.49511="","-",610436.49511)</f>
        <v>610436.49511</v>
      </c>
      <c r="C8" s="43">
        <f>IF(561399.07432="","-",610436.49511/561399.07432*100)</f>
        <v>108.73485957371716</v>
      </c>
      <c r="D8" s="43">
        <f>IF(561399.07432="","-",561399.07432/5760057.05112*100)</f>
        <v>9.746415171544875</v>
      </c>
      <c r="E8" s="43">
        <f>IF(610436.49511="","-",610436.49511/5841782.33754*100)</f>
        <v>10.44949058076439</v>
      </c>
      <c r="F8" s="43">
        <f>IF(4831335.29052="","-",(561399.07432-509922.94093)/4831335.29052*100)</f>
        <v>1.0654638996181036</v>
      </c>
      <c r="G8" s="43">
        <f>IF(5760057.05112="","-",(610436.49511-561399.07432)/5760057.05112*100)</f>
        <v>0.8513356787059088</v>
      </c>
    </row>
    <row r="9" spans="1:7" ht="12" customHeight="1">
      <c r="A9" s="31" t="s">
        <v>23</v>
      </c>
      <c r="B9" s="44">
        <f>IF(5549.58894="","-",5549.58894)</f>
        <v>5549.58894</v>
      </c>
      <c r="C9" s="44">
        <f>IF(OR(4838.84458="",5549.58894=""),"-",5549.58894/4838.84458*100)</f>
        <v>114.6883072652852</v>
      </c>
      <c r="D9" s="44">
        <f>IF(4838.84458="","-",4838.84458/5760057.05112*100)</f>
        <v>0.0840068863390706</v>
      </c>
      <c r="E9" s="44">
        <f>IF(5549.58894="","-",5549.58894/5841782.33754*100)</f>
        <v>0.09499821491700693</v>
      </c>
      <c r="F9" s="44">
        <f>IF(OR(4831335.29052="",6318.23115="",4838.84458=""),"-",(4838.84458-6318.23115)/4831335.29052*100)</f>
        <v>-0.030620656216984937</v>
      </c>
      <c r="G9" s="44">
        <f>IF(OR(5760057.05112="",5549.58894="",4838.84458=""),"-",(5549.58894-4838.84458)/5760057.05112*100)</f>
        <v>0.012339189589481598</v>
      </c>
    </row>
    <row r="10" spans="1:7" ht="12.75" customHeight="1">
      <c r="A10" s="31" t="s">
        <v>187</v>
      </c>
      <c r="B10" s="44">
        <f>IF(45965.41373="","-",45965.41373)</f>
        <v>45965.41373</v>
      </c>
      <c r="C10" s="44">
        <f>IF(OR(39936.6746="",45965.41373=""),"-",45965.41373/39936.6746*100)</f>
        <v>115.09574642952371</v>
      </c>
      <c r="D10" s="44">
        <f>IF(39936.6746="","-",39936.6746/5760057.05112*100)</f>
        <v>0.6933381778264611</v>
      </c>
      <c r="E10" s="44">
        <f>IF(45965.41373="","-",45965.41373/5841782.33754*100)</f>
        <v>0.7868388631089641</v>
      </c>
      <c r="F10" s="44">
        <f>IF(OR(4831335.29052="",36930.39198="",39936.6746=""),"-",(39936.6746-36930.39198)/4831335.29052*100)</f>
        <v>0.062224673702504084</v>
      </c>
      <c r="G10" s="44">
        <f>IF(OR(5760057.05112="",45965.41373="",39936.6746=""),"-",(45965.41373-39936.6746)/5760057.05112*100)</f>
        <v>0.10466457322376274</v>
      </c>
    </row>
    <row r="11" spans="1:7" ht="14.25" customHeight="1">
      <c r="A11" s="31" t="s">
        <v>188</v>
      </c>
      <c r="B11" s="44">
        <f>IF(67634.23397="","-",67634.23397)</f>
        <v>67634.23397</v>
      </c>
      <c r="C11" s="44">
        <f>IF(OR(57915.84567="",67634.23397=""),"-",67634.23397/57915.84567*100)</f>
        <v>116.78018888884851</v>
      </c>
      <c r="D11" s="44">
        <f>IF(57915.84567="","-",57915.84567/5760057.05112*100)</f>
        <v>1.0054734728493477</v>
      </c>
      <c r="E11" s="44">
        <f>IF(67634.23397="","-",67634.23397/5841782.33754*100)</f>
        <v>1.157767100211424</v>
      </c>
      <c r="F11" s="44">
        <f>IF(OR(4831335.29052="",50766.26852="",57915.84567=""),"-",(57915.84567-50766.26852)/4831335.29052*100)</f>
        <v>0.1479834604737294</v>
      </c>
      <c r="G11" s="44">
        <f>IF(OR(5760057.05112="",67634.23397="",57915.84567=""),"-",(67634.23397-57915.84567)/5760057.05112*100)</f>
        <v>0.16872034797138566</v>
      </c>
    </row>
    <row r="12" spans="1:7" s="9" customFormat="1" ht="13.5" customHeight="1">
      <c r="A12" s="31" t="s">
        <v>189</v>
      </c>
      <c r="B12" s="44">
        <f>IF(58587.86242="","-",58587.86242)</f>
        <v>58587.86242</v>
      </c>
      <c r="C12" s="44">
        <f>IF(OR(52296.94937="",58587.86242=""),"-",58587.86242/52296.94937*100)</f>
        <v>112.02921609345107</v>
      </c>
      <c r="D12" s="44">
        <f>IF(52296.94937="","-",52296.94937/5760057.05112*100)</f>
        <v>0.9079241560607677</v>
      </c>
      <c r="E12" s="44">
        <f>IF(58587.86242="","-",58587.86242/5841782.33754*100)</f>
        <v>1.0029107391336256</v>
      </c>
      <c r="F12" s="44">
        <f>IF(OR(4831335.29052="",47191.62739="",52296.94937=""),"-",(52296.94937-47191.62739)/4831335.29052*100)</f>
        <v>0.10567103446572244</v>
      </c>
      <c r="G12" s="44">
        <f>IF(OR(5760057.05112="",58587.86242="",52296.94937=""),"-",(58587.86242-52296.94937)/5760057.05112*100)</f>
        <v>0.10921615869719163</v>
      </c>
    </row>
    <row r="13" spans="1:7" s="9" customFormat="1" ht="13.5" customHeight="1">
      <c r="A13" s="31" t="s">
        <v>190</v>
      </c>
      <c r="B13" s="44">
        <f>IF(81350.88169="","-",81350.88169)</f>
        <v>81350.88169</v>
      </c>
      <c r="C13" s="44">
        <f>IF(OR(73858.41604="",81350.88169=""),"-",81350.88169/73858.41604*100)</f>
        <v>110.14436275744426</v>
      </c>
      <c r="D13" s="44">
        <f>IF(73858.41604="","-",73858.41604/5760057.05112*100)</f>
        <v>1.2822514670343201</v>
      </c>
      <c r="E13" s="44">
        <f>IF(81350.88169="","-",81350.88169/5841782.33754*100)</f>
        <v>1.3925695445246118</v>
      </c>
      <c r="F13" s="44">
        <f>IF(OR(4831335.29052="",64809.78872="",73858.41604=""),"-",(73858.41604-64809.78872)/4831335.29052*100)</f>
        <v>0.18729040267097855</v>
      </c>
      <c r="G13" s="44">
        <f>IF(OR(5760057.05112="",81350.88169="",73858.41604=""),"-",(81350.88169-73858.41604)/5760057.05112*100)</f>
        <v>0.13007624027861223</v>
      </c>
    </row>
    <row r="14" spans="1:7" s="9" customFormat="1" ht="14.25" customHeight="1">
      <c r="A14" s="31" t="s">
        <v>191</v>
      </c>
      <c r="B14" s="44">
        <f>IF(164067.31593="","-",164067.31593)</f>
        <v>164067.31593</v>
      </c>
      <c r="C14" s="44">
        <f>IF(OR(149718.23363="",164067.31593=""),"-",164067.31593/149718.23363*100)</f>
        <v>109.58405796815704</v>
      </c>
      <c r="D14" s="44">
        <f>IF(149718.23363="","-",149718.23363/5760057.05112*100)</f>
        <v>2.599249144605059</v>
      </c>
      <c r="E14" s="44">
        <f>IF(164067.31593="","-",164067.31593/5841782.33754*100)</f>
        <v>2.8085147040772744</v>
      </c>
      <c r="F14" s="44">
        <f>IF(OR(4831335.29052="",109955.58431="",149718.23363=""),"-",(149718.23363-109955.58431)/4831335.29052*100)</f>
        <v>0.8230157281367303</v>
      </c>
      <c r="G14" s="44">
        <f>IF(OR(5760057.05112="",164067.31593="",149718.23363=""),"-",(164067.31593-149718.23363)/5760057.05112*100)</f>
        <v>0.24911354475577524</v>
      </c>
    </row>
    <row r="15" spans="1:7" s="9" customFormat="1" ht="14.25" customHeight="1">
      <c r="A15" s="31" t="s">
        <v>192</v>
      </c>
      <c r="B15" s="44">
        <f>IF(18024.47647="","-",18024.47647)</f>
        <v>18024.47647</v>
      </c>
      <c r="C15" s="44">
        <f>IF(OR(18339.40047="",18024.47647=""),"-",18024.47647/18339.40047*100)</f>
        <v>98.2828010080528</v>
      </c>
      <c r="D15" s="44">
        <f>IF(18339.40047="","-",18339.40047/5760057.05112*100)</f>
        <v>0.3183892157185152</v>
      </c>
      <c r="E15" s="44">
        <f>IF(18024.47647="","-",18024.47647/5841782.33754*100)</f>
        <v>0.3085441296600959</v>
      </c>
      <c r="F15" s="44">
        <f>IF(OR(4831335.29052="",36156.58577="",18339.40047=""),"-",(18339.40047-36156.58577)/4831335.29052*100)</f>
        <v>-0.3687838708888764</v>
      </c>
      <c r="G15" s="44">
        <f>IF(OR(5760057.05112="",18024.47647="",18339.40047=""),"-",(18024.47647-18339.40047)/5760057.05112*100)</f>
        <v>-0.005467376402786921</v>
      </c>
    </row>
    <row r="16" spans="1:7" s="9" customFormat="1" ht="25.5">
      <c r="A16" s="31" t="s">
        <v>193</v>
      </c>
      <c r="B16" s="44">
        <f>IF(57070.7543="","-",57070.7543)</f>
        <v>57070.7543</v>
      </c>
      <c r="C16" s="44">
        <f>IF(OR(56630.42226="",57070.7543=""),"-",57070.7543/56630.42226*100)</f>
        <v>100.77755387021195</v>
      </c>
      <c r="D16" s="44">
        <f>IF(56630.42226="","-",56630.42226/5760057.05112*100)</f>
        <v>0.9831573152385469</v>
      </c>
      <c r="E16" s="44">
        <f>IF(57070.7543="","-",57070.7543/5841782.33754*100)</f>
        <v>0.9769407862606663</v>
      </c>
      <c r="F16" s="44">
        <f>IF(OR(4831335.29052="",53573.55183="",56630.42226=""),"-",(56630.42226-53573.55183)/4831335.29052*100)</f>
        <v>0.06327175089665511</v>
      </c>
      <c r="G16" s="44">
        <f>IF(OR(5760057.05112="",57070.7543="",56630.42226=""),"-",(57070.7543-56630.42226)/5760057.05112*100)</f>
        <v>0.0076445777549092485</v>
      </c>
    </row>
    <row r="17" spans="1:7" s="9" customFormat="1" ht="25.5">
      <c r="A17" s="31" t="s">
        <v>194</v>
      </c>
      <c r="B17" s="44">
        <f>IF(31861.15795="","-",31861.15795)</f>
        <v>31861.15795</v>
      </c>
      <c r="C17" s="44">
        <f>IF(OR(34924.86342="",31861.15795=""),"-",31861.15795/34924.86342*100)</f>
        <v>91.22772383342938</v>
      </c>
      <c r="D17" s="44">
        <f>IF(34924.86342="","-",34924.86342/5760057.05112*100)</f>
        <v>0.6063284288687578</v>
      </c>
      <c r="E17" s="44">
        <f>IF(31861.15795="","-",31861.15795/5841782.33754*100)</f>
        <v>0.5454013194784123</v>
      </c>
      <c r="F17" s="44">
        <f>IF(OR(4831335.29052="",31892.69203="",34924.86342=""),"-",(34924.86342-31892.69203)/4831335.29052*100)</f>
        <v>0.06276052494120417</v>
      </c>
      <c r="G17" s="44">
        <f>IF(OR(5760057.05112="",31861.15795="",34924.86342=""),"-",(31861.15795-34924.86342)/5760057.05112*100)</f>
        <v>-0.05318880425679614</v>
      </c>
    </row>
    <row r="18" spans="1:7" s="9" customFormat="1" ht="15.75">
      <c r="A18" s="31" t="s">
        <v>195</v>
      </c>
      <c r="B18" s="44">
        <f>IF(80324.80971="","-",80324.80971)</f>
        <v>80324.80971</v>
      </c>
      <c r="C18" s="44">
        <f>IF(OR(72939.42428="",80324.80971=""),"-",80324.80971/72939.42428*100)</f>
        <v>110.12536841756382</v>
      </c>
      <c r="D18" s="44">
        <f>IF(72939.42428="","-",72939.42428/5760057.05112*100)</f>
        <v>1.2662969070040284</v>
      </c>
      <c r="E18" s="44">
        <f>IF(80324.80971="","-",80324.80971/5841782.33754*100)</f>
        <v>1.3750051793923075</v>
      </c>
      <c r="F18" s="44">
        <f>IF(OR(4831335.29052="",72328.21923="",72939.42428=""),"-",(72939.42428-72328.21923)/4831335.29052*100)</f>
        <v>0.012650851436440456</v>
      </c>
      <c r="G18" s="44">
        <f>IF(OR(5760057.05112="",80324.80971="",72939.42428=""),"-",(80324.80971-72939.42428)/5760057.05112*100)</f>
        <v>0.12821722709437333</v>
      </c>
    </row>
    <row r="19" spans="1:7" s="9" customFormat="1" ht="15.75">
      <c r="A19" s="49" t="s">
        <v>196</v>
      </c>
      <c r="B19" s="43">
        <f>IF(127859.96263="","-",127859.96263)</f>
        <v>127859.96263</v>
      </c>
      <c r="C19" s="43">
        <f>IF(125199.39033="","-",127859.96263/125199.39033*100)</f>
        <v>102.1250680957689</v>
      </c>
      <c r="D19" s="43">
        <f>IF(125199.39033="","-",125199.39033/5760057.05112*100)</f>
        <v>2.1735789978964863</v>
      </c>
      <c r="E19" s="43">
        <f>IF(127859.96263="","-",127859.96263/5841782.33754*100)</f>
        <v>2.1887149373634895</v>
      </c>
      <c r="F19" s="43">
        <f>IF(4831335.29052="","-",(125199.39033-123438.38416)/4831335.29052*100)</f>
        <v>0.03644967827953118</v>
      </c>
      <c r="G19" s="43">
        <f>IF(5760057.05112="","-",(127859.96263-125199.39033)/5760057.05112*100)</f>
        <v>0.04619003382063154</v>
      </c>
    </row>
    <row r="20" spans="1:7" s="9" customFormat="1" ht="13.5" customHeight="1">
      <c r="A20" s="31" t="s">
        <v>197</v>
      </c>
      <c r="B20" s="44">
        <f>IF(62553.68976="","-",62553.68976)</f>
        <v>62553.68976</v>
      </c>
      <c r="C20" s="44">
        <f>IF(OR(61685.69076="",62553.68976=""),"-",62553.68976/61685.69076*100)</f>
        <v>101.40713184744436</v>
      </c>
      <c r="D20" s="44">
        <f>IF(61685.69076="","-",61685.69076/5760057.05112*100)</f>
        <v>1.0709215240846561</v>
      </c>
      <c r="E20" s="44">
        <f>IF(62553.68976="","-",62553.68976/5841782.33754*100)</f>
        <v>1.070798022686029</v>
      </c>
      <c r="F20" s="44">
        <f>IF(OR(4831335.29052="",55563.36552="",61685.69076=""),"-",(61685.69076-55563.36552)/4831335.29052*100)</f>
        <v>0.12672118310673172</v>
      </c>
      <c r="G20" s="44">
        <f>IF(OR(5760057.05112="",62553.68976="",61685.69076=""),"-",(62553.68976-61685.69076)/5760057.05112*100)</f>
        <v>0.015069277826531727</v>
      </c>
    </row>
    <row r="21" spans="1:7" s="9" customFormat="1" ht="13.5" customHeight="1">
      <c r="A21" s="31" t="s">
        <v>198</v>
      </c>
      <c r="B21" s="44">
        <f>IF(65306.27287="","-",65306.27287)</f>
        <v>65306.27287</v>
      </c>
      <c r="C21" s="44">
        <f>IF(OR(63513.69957="",65306.27287=""),"-",65306.27287/63513.69957*100)</f>
        <v>102.82234118329758</v>
      </c>
      <c r="D21" s="44">
        <f>IF(63513.69957="","-",63513.69957/5760057.05112*100)</f>
        <v>1.1026574738118304</v>
      </c>
      <c r="E21" s="44">
        <f>IF(65306.27287="","-",65306.27287/5841782.33754*100)</f>
        <v>1.1179169146774606</v>
      </c>
      <c r="F21" s="44">
        <f>IF(OR(4831335.29052="",67875.01864="",63513.69957=""),"-",(63513.69957-67875.01864)/4831335.29052*100)</f>
        <v>-0.09027150482720038</v>
      </c>
      <c r="G21" s="44">
        <f>IF(OR(5760057.05112="",65306.27287="",63513.69957=""),"-",(65306.27287-63513.69957)/5760057.05112*100)</f>
        <v>0.03112075599409994</v>
      </c>
    </row>
    <row r="22" spans="1:7" s="9" customFormat="1" ht="25.5">
      <c r="A22" s="49" t="s">
        <v>24</v>
      </c>
      <c r="B22" s="43">
        <f>IF(139507.43374="","-",139507.43374)</f>
        <v>139507.43374</v>
      </c>
      <c r="C22" s="43">
        <f>IF(140646.45759="","-",139507.43374/140646.45759*100)</f>
        <v>99.19015105711345</v>
      </c>
      <c r="D22" s="43">
        <f>IF(140646.45759="","-",140646.45759/5760057.05112*100)</f>
        <v>2.441754592737104</v>
      </c>
      <c r="E22" s="43">
        <f>IF(139507.43374="","-",139507.43374/5841782.33754*100)</f>
        <v>2.3880970854307315</v>
      </c>
      <c r="F22" s="43">
        <f>IF(4831335.29052="","-",(140646.45759-111079.75018)/4831335.29052*100)</f>
        <v>0.6119779653466716</v>
      </c>
      <c r="G22" s="43">
        <f>IF(5760057.05112="","-",(139507.43374-140646.45759)/5760057.05112*100)</f>
        <v>-0.01977452375716527</v>
      </c>
    </row>
    <row r="23" spans="1:7" s="9" customFormat="1" ht="15.75">
      <c r="A23" s="31" t="s">
        <v>199</v>
      </c>
      <c r="B23" s="44">
        <f>IF(57.71009="","-",57.71009)</f>
        <v>57.71009</v>
      </c>
      <c r="C23" s="44">
        <f>IF(OR(68.08375="",57.71009=""),"-",57.71009/68.08375*100)</f>
        <v>84.76338333302735</v>
      </c>
      <c r="D23" s="44">
        <f>IF(68.08375="","-",68.08375/5760057.05112*100)</f>
        <v>0.0011819978412672427</v>
      </c>
      <c r="E23" s="44">
        <f>IF(57.71009="","-",57.71009/5841782.33754*100)</f>
        <v>0.0009878849752608548</v>
      </c>
      <c r="F23" s="44">
        <f>IF(OR(4831335.29052="",60.70645="",68.08375=""),"-",(68.08375-60.70645)/4831335.29052*100)</f>
        <v>0.0001526969162019383</v>
      </c>
      <c r="G23" s="44">
        <f>IF(OR(5760057.05112="",57.71009="",68.08375=""),"-",(57.71009-68.08375)/5760057.05112*100)</f>
        <v>-0.00018009648008578168</v>
      </c>
    </row>
    <row r="24" spans="1:7" s="9" customFormat="1" ht="15.75">
      <c r="A24" s="31" t="s">
        <v>200</v>
      </c>
      <c r="B24" s="44">
        <f>IF(32101.53188="","-",32101.53188)</f>
        <v>32101.53188</v>
      </c>
      <c r="C24" s="44">
        <f>IF(OR(37971.08967="",32101.53188=""),"-",32101.53188/37971.08967*100)</f>
        <v>84.54203489809935</v>
      </c>
      <c r="D24" s="44">
        <f>IF(37971.08967="","-",37971.08967/5760057.05112*100)</f>
        <v>0.6592137774506384</v>
      </c>
      <c r="E24" s="44">
        <f>IF(32101.53188="","-",32101.53188/5841782.33754*100)</f>
        <v>0.5495160556344538</v>
      </c>
      <c r="F24" s="44">
        <f>IF(OR(4831335.29052="",28318.42946="",37971.08967=""),"-",(37971.08967-28318.42946)/4831335.29052*100)</f>
        <v>0.1997928032223381</v>
      </c>
      <c r="G24" s="44">
        <f>IF(OR(5760057.05112="",32101.53188="",37971.08967=""),"-",(32101.53188-37971.08967)/5760057.05112*100)</f>
        <v>-0.1019010356652407</v>
      </c>
    </row>
    <row r="25" spans="1:7" s="9" customFormat="1" ht="25.5">
      <c r="A25" s="31" t="s">
        <v>239</v>
      </c>
      <c r="B25" s="44">
        <f>IF(1542.25262="","-",1542.25262)</f>
        <v>1542.25262</v>
      </c>
      <c r="C25" s="44" t="s">
        <v>106</v>
      </c>
      <c r="D25" s="44">
        <f>IF(944.15946="","-",944.15946/5760057.05112*100)</f>
        <v>0.01639149493869015</v>
      </c>
      <c r="E25" s="44">
        <f>IF(1542.25262="","-",1542.25262/5841782.33754*100)</f>
        <v>0.026400378016299887</v>
      </c>
      <c r="F25" s="44">
        <f>IF(OR(4831335.29052="",745.99706="",944.15946=""),"-",(944.15946-745.99706)/4831335.29052*100)</f>
        <v>0.00410160728005842</v>
      </c>
      <c r="G25" s="44">
        <f>IF(OR(5760057.05112="",1542.25262="",944.15946=""),"-",(1542.25262-944.15946)/5760057.05112*100)</f>
        <v>0.010383458960423062</v>
      </c>
    </row>
    <row r="26" spans="1:7" s="9" customFormat="1" ht="15.75">
      <c r="A26" s="31" t="s">
        <v>201</v>
      </c>
      <c r="B26" s="44">
        <f>IF(38552.55583="","-",38552.55583)</f>
        <v>38552.55583</v>
      </c>
      <c r="C26" s="44">
        <f>IF(OR(35429.76437="",38552.55583=""),"-",38552.55583/35429.76437*100)</f>
        <v>108.81403395006548</v>
      </c>
      <c r="D26" s="44">
        <f>IF(35429.76437="","-",35429.76437/5760057.05112*100)</f>
        <v>0.615093983541551</v>
      </c>
      <c r="E26" s="44">
        <f>IF(38552.55583="","-",38552.55583/5841782.33754*100)</f>
        <v>0.6599450921383464</v>
      </c>
      <c r="F26" s="44">
        <f>IF(OR(4831335.29052="",33144.51781="",35429.76437=""),"-",(35429.76437-33144.51781)/4831335.29052*100)</f>
        <v>0.0473005167843368</v>
      </c>
      <c r="G26" s="44">
        <f>IF(OR(5760057.05112="",38552.55583="",35429.76437=""),"-",(38552.55583-35429.76437)/5760057.05112*100)</f>
        <v>0.054214592534162435</v>
      </c>
    </row>
    <row r="27" spans="1:7" s="9" customFormat="1" ht="15.75">
      <c r="A27" s="31" t="s">
        <v>202</v>
      </c>
      <c r="B27" s="44">
        <f>IF(452.02873="","-",452.02873)</f>
        <v>452.02873</v>
      </c>
      <c r="C27" s="44">
        <f>IF(OR(521.528="",452.02873=""),"-",452.02873/521.528*100)</f>
        <v>86.67391396051602</v>
      </c>
      <c r="D27" s="44">
        <f>IF(521.528="","-",521.528/5760057.05112*100)</f>
        <v>0.009054215876188116</v>
      </c>
      <c r="E27" s="44">
        <f>IF(452.02873="","-",452.02873/5841782.33754*100)</f>
        <v>0.007737856426029583</v>
      </c>
      <c r="F27" s="44">
        <f>IF(OR(4831335.29052="",548.38923="",521.528=""),"-",(521.528-548.38923)/4831335.29052*100)</f>
        <v>-0.000555979421521558</v>
      </c>
      <c r="G27" s="44">
        <f>IF(OR(5760057.05112="",452.02873="",521.528=""),"-",(452.02873-521.528)/5760057.05112*100)</f>
        <v>-0.0012065725978614467</v>
      </c>
    </row>
    <row r="28" spans="1:7" s="9" customFormat="1" ht="38.25">
      <c r="A28" s="31" t="s">
        <v>203</v>
      </c>
      <c r="B28" s="44">
        <f>IF(8316.74403="","-",8316.74403)</f>
        <v>8316.74403</v>
      </c>
      <c r="C28" s="44">
        <f>IF(OR(8567.21245="",8316.74403=""),"-",8316.74403/8567.21245*100)</f>
        <v>97.07643038547502</v>
      </c>
      <c r="D28" s="44">
        <f>IF(8567.21245="","-",8567.21245/5760057.05112*100)</f>
        <v>0.14873485408159579</v>
      </c>
      <c r="E28" s="44">
        <f>IF(8316.74403="","-",8316.74403/5841782.33754*100)</f>
        <v>0.14236655098488687</v>
      </c>
      <c r="F28" s="44">
        <f>IF(OR(4831335.29052="",9139.5173="",8567.21245=""),"-",(8567.21245-9139.5173)/4831335.29052*100)</f>
        <v>-0.011845686866795805</v>
      </c>
      <c r="G28" s="44">
        <f>IF(OR(5760057.05112="",8316.74403="",8567.21245=""),"-",(8316.74403-8567.21245)/5760057.05112*100)</f>
        <v>-0.0043483670001376006</v>
      </c>
    </row>
    <row r="29" spans="1:7" s="9" customFormat="1" ht="38.25">
      <c r="A29" s="31" t="s">
        <v>204</v>
      </c>
      <c r="B29" s="44">
        <f>IF(23930.45373="","-",23930.45373)</f>
        <v>23930.45373</v>
      </c>
      <c r="C29" s="44">
        <f>IF(OR(16187.29159="",23930.45373=""),"-",23930.45373/16187.29159*100)</f>
        <v>147.83482213160033</v>
      </c>
      <c r="D29" s="44">
        <f>IF(16187.29159="","-",16187.29159/5760057.05112*100)</f>
        <v>0.2810265843955921</v>
      </c>
      <c r="E29" s="44">
        <f>IF(23930.45373="","-",23930.45373/5841782.33754*100)</f>
        <v>0.40964302240807593</v>
      </c>
      <c r="F29" s="44">
        <f>IF(OR(4831335.29052="",11395.24789="",16187.29159=""),"-",(16187.29159-11395.24789)/4831335.29052*100)</f>
        <v>0.09918673434656672</v>
      </c>
      <c r="G29" s="44">
        <f>IF(OR(5760057.05112="",23930.45373="",16187.29159=""),"-",(23930.45373-16187.29159)/5760057.05112*100)</f>
        <v>0.1344285667881432</v>
      </c>
    </row>
    <row r="30" spans="1:7" s="9" customFormat="1" ht="15" customHeight="1">
      <c r="A30" s="31" t="s">
        <v>205</v>
      </c>
      <c r="B30" s="44">
        <f>IF(1528.1131="","-",1528.1131)</f>
        <v>1528.1131</v>
      </c>
      <c r="C30" s="44">
        <f>IF(OR(4022.34653="",1528.1131=""),"-",1528.1131/4022.34653*100)</f>
        <v>37.99058804612739</v>
      </c>
      <c r="D30" s="44">
        <f>IF(4022.34653="","-",4022.34653/5760057.05112*100)</f>
        <v>0.06983171337196885</v>
      </c>
      <c r="E30" s="44">
        <f>IF(1528.1131="","-",1528.1131/5841782.33754*100)</f>
        <v>0.026158336817518182</v>
      </c>
      <c r="F30" s="44">
        <f>IF(OR(4831335.29052="",1236.6805="",4022.34653=""),"-",(4022.34653-1236.6805)/4831335.29052*100)</f>
        <v>0.05765830484723358</v>
      </c>
      <c r="G30" s="44">
        <f>IF(OR(5760057.05112="",1528.1131="",4022.34653=""),"-",(1528.1131-4022.34653)/5760057.05112*100)</f>
        <v>-0.04330223481927171</v>
      </c>
    </row>
    <row r="31" spans="1:7" s="9" customFormat="1" ht="25.5">
      <c r="A31" s="31" t="s">
        <v>206</v>
      </c>
      <c r="B31" s="44">
        <f>IF(33026.04373="","-",33026.04373)</f>
        <v>33026.04373</v>
      </c>
      <c r="C31" s="44">
        <f>IF(OR(36934.98177="",33026.04373=""),"-",33026.04373/36934.98177*100)</f>
        <v>89.4167051053617</v>
      </c>
      <c r="D31" s="44">
        <f>IF(36934.98177="","-",36934.98177/5760057.05112*100)</f>
        <v>0.6412259712396123</v>
      </c>
      <c r="E31" s="44">
        <f>IF(33026.04373="","-",33026.04373/5841782.33754*100)</f>
        <v>0.5653419080298601</v>
      </c>
      <c r="F31" s="44">
        <f>IF(OR(4831335.29052="",26490.26448="",36934.98177=""),"-",(36934.98177-26490.26448)/4831335.29052*100)</f>
        <v>0.2161869682382533</v>
      </c>
      <c r="G31" s="44">
        <f>IF(OR(5760057.05112="",33026.04373="",36934.98177=""),"-",(33026.04373-36934.98177)/5760057.05112*100)</f>
        <v>-0.06786283547729682</v>
      </c>
    </row>
    <row r="32" spans="1:7" s="9" customFormat="1" ht="25.5">
      <c r="A32" s="49" t="s">
        <v>207</v>
      </c>
      <c r="B32" s="43">
        <f>IF(922131.94782="","-",922131.94782)</f>
        <v>922131.94782</v>
      </c>
      <c r="C32" s="43">
        <f>IF(989713.87899="","-",922131.94782/989713.87899*100)</f>
        <v>93.17156881350728</v>
      </c>
      <c r="D32" s="43">
        <f>IF(989713.87899="","-",989713.87899/5760057.05112*100)</f>
        <v>17.18236243506577</v>
      </c>
      <c r="E32" s="43">
        <f>IF(922131.94782="","-",922131.94782/5841782.33754*100)</f>
        <v>15.785113079175659</v>
      </c>
      <c r="F32" s="43">
        <f>IF(4831335.29052="","-",(989713.87899-760589.65185)/4831335.29052*100)</f>
        <v>4.742461728739575</v>
      </c>
      <c r="G32" s="43">
        <f>IF(5760057.05112="","-",(922131.94782-989713.87899)/5760057.05112*100)</f>
        <v>-1.1732857950922413</v>
      </c>
    </row>
    <row r="33" spans="1:7" s="9" customFormat="1" ht="15.75">
      <c r="A33" s="31" t="s">
        <v>240</v>
      </c>
      <c r="B33" s="44">
        <f>IF(18702.43162="","-",18702.43162)</f>
        <v>18702.43162</v>
      </c>
      <c r="C33" s="44">
        <f>IF(OR(18258.87467="",18702.43162=""),"-",18702.43162/18258.87467*100)</f>
        <v>102.42926772879808</v>
      </c>
      <c r="D33" s="44">
        <f>IF(18258.87467="","-",18258.87467/5760057.05112*100)</f>
        <v>0.31699121220422116</v>
      </c>
      <c r="E33" s="44">
        <f>IF(18702.43162="","-",18702.43162/5841782.33754*100)</f>
        <v>0.32014940885106097</v>
      </c>
      <c r="F33" s="44">
        <f>IF(OR(4831335.29052="",24814.82926="",18258.87467=""),"-",(18258.87467-24814.82926)/4831335.29052*100)</f>
        <v>-0.1356965351352043</v>
      </c>
      <c r="G33" s="44">
        <f>IF(OR(5760057.05112="",18702.43162="",18258.87467=""),"-",(18702.43162-18258.87467)/5760057.05112*100)</f>
        <v>0.0077005652212030085</v>
      </c>
    </row>
    <row r="34" spans="1:7" s="9" customFormat="1" ht="25.5">
      <c r="A34" s="31" t="s">
        <v>208</v>
      </c>
      <c r="B34" s="44">
        <f>IF(587943.83406="","-",587943.83406)</f>
        <v>587943.83406</v>
      </c>
      <c r="C34" s="44">
        <f>IF(OR(632337.23333="",587943.83406=""),"-",587943.83406/632337.23333*100)</f>
        <v>92.97947409545752</v>
      </c>
      <c r="D34" s="44">
        <f>IF(632337.23333="","-",632337.23333/5760057.05112*100)</f>
        <v>10.977968233961272</v>
      </c>
      <c r="E34" s="44">
        <f>IF(587943.83406="","-",587943.83406/5841782.33754*100)</f>
        <v>10.064459784504496</v>
      </c>
      <c r="F34" s="44">
        <f>IF(OR(4831335.29052="",476503.0645="",632337.23333=""),"-",(632337.23333-476503.0645)/4831335.29052*100)</f>
        <v>3.2254885959949062</v>
      </c>
      <c r="G34" s="44">
        <f>IF(OR(5760057.05112="",587943.83406="",632337.23333=""),"-",(587943.83406-632337.23333)/5760057.05112*100)</f>
        <v>-0.7707111036576968</v>
      </c>
    </row>
    <row r="35" spans="1:7" s="9" customFormat="1" ht="25.5">
      <c r="A35" s="31" t="s">
        <v>241</v>
      </c>
      <c r="B35" s="44">
        <f>IF(275631.94632="","-",275631.94632)</f>
        <v>275631.94632</v>
      </c>
      <c r="C35" s="44">
        <f>IF(OR(284029.47209="",275631.94632=""),"-",275631.94632/284029.47209*100)</f>
        <v>97.04343154666037</v>
      </c>
      <c r="D35" s="44">
        <f>IF(284029.47209="","-",284029.47209/5760057.05112*100)</f>
        <v>4.931018383485847</v>
      </c>
      <c r="E35" s="44">
        <f>IF(275631.94632="","-",275631.94632/5841782.33754*100)</f>
        <v>4.718285112212342</v>
      </c>
      <c r="F35" s="44">
        <f>IF(OR(4831335.29052="",202292.46993="",284029.47209=""),"-",(284029.47209-202292.46993)/4831335.29052*100)</f>
        <v>1.6918097636565106</v>
      </c>
      <c r="G35" s="44">
        <f>IF(OR(5760057.05112="",275631.94632="",284029.47209=""),"-",(275631.94632-284029.47209)/5760057.05112*100)</f>
        <v>-0.14578893395451997</v>
      </c>
    </row>
    <row r="36" spans="1:7" s="9" customFormat="1" ht="15.75">
      <c r="A36" s="31" t="s">
        <v>209</v>
      </c>
      <c r="B36" s="44">
        <f>IF(39853.73582="","-",39853.73582)</f>
        <v>39853.73582</v>
      </c>
      <c r="C36" s="44">
        <f>IF(OR(55088.2989="",39853.73582=""),"-",39853.73582/55088.2989*100)</f>
        <v>72.34519238349544</v>
      </c>
      <c r="D36" s="44">
        <f>IF(55088.2989="","-",55088.2989/5760057.05112*100)</f>
        <v>0.9563846054144289</v>
      </c>
      <c r="E36" s="44">
        <f>IF(39853.73582="","-",39853.73582/5841782.33754*100)</f>
        <v>0.682218773607758</v>
      </c>
      <c r="F36" s="44">
        <f>IF(OR(4831335.29052="",56979.2881599999="",55088.2989=""),"-",(55088.2989-56979.2881599999)/4831335.29052*100)</f>
        <v>-0.03914009577663511</v>
      </c>
      <c r="G36" s="44">
        <f>IF(OR(5760057.05112="",39853.73582="",55088.2989=""),"-",(39853.73582-55088.2989)/5760057.05112*100)</f>
        <v>-0.26448632270122663</v>
      </c>
    </row>
    <row r="37" spans="1:7" s="9" customFormat="1" ht="25.5">
      <c r="A37" s="49" t="s">
        <v>210</v>
      </c>
      <c r="B37" s="43">
        <f>IF(11289.84884="","-",11289.84884)</f>
        <v>11289.84884</v>
      </c>
      <c r="C37" s="43">
        <f>IF(11794.84431="","-",11289.84884/11794.84431*100)</f>
        <v>95.71850669048806</v>
      </c>
      <c r="D37" s="43">
        <f>IF(11794.84431="","-",11794.84431/5760057.05112*100)</f>
        <v>0.20476957442125648</v>
      </c>
      <c r="E37" s="43">
        <f>IF(11289.84884="","-",11289.84884/5841782.33754*100)</f>
        <v>0.19326034740202602</v>
      </c>
      <c r="F37" s="43">
        <f>IF(4831335.29052="","-",(11794.84431-15742.55525)/4831335.29052*100)</f>
        <v>-0.08171055624614089</v>
      </c>
      <c r="G37" s="43">
        <f>IF(5760057.05112="","-",(11289.84884-11794.84431)/5760057.05112*100)</f>
        <v>-0.008767195628762171</v>
      </c>
    </row>
    <row r="38" spans="1:7" s="9" customFormat="1" ht="15.75">
      <c r="A38" s="31" t="s">
        <v>242</v>
      </c>
      <c r="B38" s="44">
        <f>IF(1838.99859="","-",1838.99859)</f>
        <v>1838.99859</v>
      </c>
      <c r="C38" s="44">
        <f>IF(OR(1581.69683="",1838.99859=""),"-",1838.99859/1581.69683*100)</f>
        <v>116.26745120302225</v>
      </c>
      <c r="D38" s="44">
        <f>IF(1581.69683="","-",1581.69683/5760057.05112*100)</f>
        <v>0.027459742428982557</v>
      </c>
      <c r="E38" s="44">
        <f>IF(1838.99859="","-",1838.99859/5841782.33754*100)</f>
        <v>0.03148009432296669</v>
      </c>
      <c r="F38" s="44">
        <f>IF(OR(4831335.29052="",1411.58629="",1581.69683=""),"-",(1581.69683-1411.58629)/4831335.29052*100)</f>
        <v>0.0035209839468974425</v>
      </c>
      <c r="G38" s="44">
        <f>IF(OR(5760057.05112="",1838.99859="",1581.69683=""),"-",(1838.99859-1581.69683)/5760057.05112*100)</f>
        <v>0.004467000200110335</v>
      </c>
    </row>
    <row r="39" spans="1:7" s="9" customFormat="1" ht="25.5">
      <c r="A39" s="31" t="s">
        <v>211</v>
      </c>
      <c r="B39" s="44">
        <f>IF(6916.05161="","-",6916.05161)</f>
        <v>6916.05161</v>
      </c>
      <c r="C39" s="44">
        <f>IF(OR(7354.36451="",6916.05161=""),"-",6916.05161/7354.36451*100)</f>
        <v>94.0400982382093</v>
      </c>
      <c r="D39" s="44">
        <f>IF(7354.36451="","-",7354.36451/5760057.05112*100)</f>
        <v>0.12767867478968806</v>
      </c>
      <c r="E39" s="44">
        <f>IF(6916.05161="","-",6916.05161/5841782.33754*100)</f>
        <v>0.11838940943685314</v>
      </c>
      <c r="F39" s="44">
        <f>IF(OR(4831335.29052="",11573.92989="",7354.36451=""),"-",(7354.36451-11573.92989)/4831335.29052*100)</f>
        <v>-0.08733745696101013</v>
      </c>
      <c r="G39" s="44">
        <f>IF(OR(5760057.05112="",6916.05161="",7354.36451=""),"-",(6916.05161-7354.36451)/5760057.05112*100)</f>
        <v>-0.007609523588221635</v>
      </c>
    </row>
    <row r="40" spans="1:7" s="9" customFormat="1" ht="63.75">
      <c r="A40" s="31" t="s">
        <v>212</v>
      </c>
      <c r="B40" s="44">
        <f>IF(2534.79864="","-",2534.79864)</f>
        <v>2534.79864</v>
      </c>
      <c r="C40" s="44">
        <f>IF(OR(2858.78297="",2534.79864=""),"-",2534.79864/2858.78297*100)</f>
        <v>88.6670540086504</v>
      </c>
      <c r="D40" s="44">
        <f>IF(2858.78297="","-",2858.78297/5760057.05112*100)</f>
        <v>0.04963115720258589</v>
      </c>
      <c r="E40" s="44">
        <f>IF(2534.79864="","-",2534.79864/5841782.33754*100)</f>
        <v>0.0433908436422062</v>
      </c>
      <c r="F40" s="44">
        <f>IF(OR(4831335.29052="",2757.03907="",2858.78297=""),"-",(2858.78297-2757.03907)/4831335.29052*100)</f>
        <v>0.002105916767971813</v>
      </c>
      <c r="G40" s="44">
        <f>IF(OR(5760057.05112="",2534.79864="",2858.78297=""),"-",(2534.79864-2858.78297)/5760057.05112*100)</f>
        <v>-0.005624672240650879</v>
      </c>
    </row>
    <row r="41" spans="1:7" s="9" customFormat="1" ht="14.25" customHeight="1">
      <c r="A41" s="49" t="s">
        <v>213</v>
      </c>
      <c r="B41" s="43">
        <f>IF(841179.17357="","-",841179.17357)</f>
        <v>841179.17357</v>
      </c>
      <c r="C41" s="43">
        <f>IF(813994.12719="","-",841179.17357/813994.12719*100)</f>
        <v>103.33971038265912</v>
      </c>
      <c r="D41" s="43">
        <f>IF(813994.12719="","-",813994.12719/5760057.05112*100)</f>
        <v>14.131702515545829</v>
      </c>
      <c r="E41" s="43">
        <f>IF(841179.17357="","-",841179.17357/5841782.33754*100)</f>
        <v>14.39935836302015</v>
      </c>
      <c r="F41" s="43">
        <f>IF(4831335.29052="","-",(813994.12719-718563.13463)/4831335.29052*100)</f>
        <v>1.9752508741683446</v>
      </c>
      <c r="G41" s="43">
        <f>IF(5760057.05112="","-",(841179.17357-813994.12719)/5760057.05112*100)</f>
        <v>0.4719579361581848</v>
      </c>
    </row>
    <row r="42" spans="1:7" s="9" customFormat="1" ht="15" customHeight="1">
      <c r="A42" s="31" t="s">
        <v>25</v>
      </c>
      <c r="B42" s="44">
        <f>IF(22836.06704="","-",22836.06704)</f>
        <v>22836.06704</v>
      </c>
      <c r="C42" s="44">
        <f>IF(OR(22348.67186="",22836.06704=""),"-",22836.06704/22348.67186*100)</f>
        <v>102.18086865766887</v>
      </c>
      <c r="D42" s="44">
        <f>IF(22348.67186="","-",22348.67186/5760057.05112*100)</f>
        <v>0.38799393238048685</v>
      </c>
      <c r="E42" s="44">
        <f>IF(22836.06704="","-",22836.06704/5841782.33754*100)</f>
        <v>0.39090924174378555</v>
      </c>
      <c r="F42" s="44">
        <f>IF(OR(4831335.29052="",21186.84487="",22348.67186=""),"-",(22348.67186-21186.84487)/4831335.29052*100)</f>
        <v>0.02404774084464234</v>
      </c>
      <c r="G42" s="44">
        <f>IF(OR(5760057.05112="",22836.06704="",22348.67186=""),"-",(22836.06704-22348.67186)/5760057.05112*100)</f>
        <v>0.008461638064943</v>
      </c>
    </row>
    <row r="43" spans="1:7" s="9" customFormat="1" ht="15.75">
      <c r="A43" s="31" t="s">
        <v>26</v>
      </c>
      <c r="B43" s="44">
        <f>IF(16969.31788="","-",16969.31788)</f>
        <v>16969.31788</v>
      </c>
      <c r="C43" s="44">
        <f>IF(OR(16634.70977="",16969.31788=""),"-",16969.31788/16634.70977*100)</f>
        <v>102.01150554849745</v>
      </c>
      <c r="D43" s="44">
        <f>IF(16634.70977="","-",16634.70977/5760057.05112*100)</f>
        <v>0.28879418419589276</v>
      </c>
      <c r="E43" s="44">
        <f>IF(16969.31788="","-",16969.31788/5841782.33754*100)</f>
        <v>0.2904818580958265</v>
      </c>
      <c r="F43" s="44">
        <f>IF(OR(4831335.29052="",14048.62865="",16634.70977=""),"-",(16634.70977-14048.62865)/4831335.29052*100)</f>
        <v>0.05352725415423733</v>
      </c>
      <c r="G43" s="44">
        <f>IF(OR(5760057.05112="",16969.31788="",16634.70977=""),"-",(16969.31788-16634.70977)/5760057.05112*100)</f>
        <v>0.005809111038838328</v>
      </c>
    </row>
    <row r="44" spans="1:7" s="9" customFormat="1" ht="15.75">
      <c r="A44" s="31" t="s">
        <v>214</v>
      </c>
      <c r="B44" s="44">
        <f>IF(39402.61702="","-",39402.61702)</f>
        <v>39402.61702</v>
      </c>
      <c r="C44" s="44">
        <f>IF(OR(36914.47003="",39402.61702=""),"-",39402.61702/36914.47003*100)</f>
        <v>106.74030261839845</v>
      </c>
      <c r="D44" s="44">
        <f>IF(36914.47003="","-",36914.47003/5760057.05112*100)</f>
        <v>0.6408698681694872</v>
      </c>
      <c r="E44" s="44">
        <f>IF(39402.61702="","-",39402.61702/5841782.33754*100)</f>
        <v>0.674496493421092</v>
      </c>
      <c r="F44" s="44">
        <f>IF(OR(4831335.29052="",32917.09979="",36914.47003=""),"-",(36914.47003-32917.09979)/4831335.29052*100)</f>
        <v>0.08273841494386858</v>
      </c>
      <c r="G44" s="44">
        <f>IF(OR(5760057.05112="",39402.61702="",36914.47003=""),"-",(39402.61702-36914.47003)/5760057.05112*100)</f>
        <v>0.043196568504754645</v>
      </c>
    </row>
    <row r="45" spans="1:7" s="9" customFormat="1" ht="15.75">
      <c r="A45" s="31" t="s">
        <v>215</v>
      </c>
      <c r="B45" s="44">
        <f>IF(269000.28455="","-",269000.28455)</f>
        <v>269000.28455</v>
      </c>
      <c r="C45" s="44">
        <f>IF(OR(239260.91466="",269000.28455=""),"-",269000.28455/239260.91466*100)</f>
        <v>112.42968160188676</v>
      </c>
      <c r="D45" s="44">
        <f>IF(239260.91466="","-",239260.91466/5760057.05112*100)</f>
        <v>4.153794181838485</v>
      </c>
      <c r="E45" s="44">
        <f>IF(269000.28455="","-",269000.28455/5841782.33754*100)</f>
        <v>4.604763906066332</v>
      </c>
      <c r="F45" s="44">
        <f>IF(OR(4831335.29052="",219669.68077="",239260.91466=""),"-",(239260.91466-219669.68077)/4831335.29052*100)</f>
        <v>0.40550350393692886</v>
      </c>
      <c r="G45" s="44">
        <f>IF(OR(5760057.05112="",269000.28455="",239260.91466=""),"-",(269000.28455-239260.91466)/5760057.05112*100)</f>
        <v>0.5163033912002204</v>
      </c>
    </row>
    <row r="46" spans="1:7" s="9" customFormat="1" ht="38.25">
      <c r="A46" s="31" t="s">
        <v>216</v>
      </c>
      <c r="B46" s="44">
        <f>IF(116176.23588="","-",116176.23588)</f>
        <v>116176.23588</v>
      </c>
      <c r="C46" s="44">
        <f>IF(OR(113444.5841="",116176.23588=""),"-",116176.23588/113444.5841*100)</f>
        <v>102.40791731193804</v>
      </c>
      <c r="D46" s="44">
        <f>IF(113444.5841="","-",113444.5841/5760057.05112*100)</f>
        <v>1.9695045221460359</v>
      </c>
      <c r="E46" s="44">
        <f>IF(116176.23588="","-",116176.23588/5841782.33754*100)</f>
        <v>1.9887121629547448</v>
      </c>
      <c r="F46" s="44">
        <f>IF(OR(4831335.29052="",111320.4523="",113444.5841=""),"-",(113444.5841-111320.4523)/4831335.29052*100)</f>
        <v>0.04396572939509993</v>
      </c>
      <c r="G46" s="44">
        <f>IF(OR(5760057.05112="",116176.23588="",113444.5841=""),"-",(116176.23588-113444.5841)/5760057.05112*100)</f>
        <v>0.04742404034815681</v>
      </c>
    </row>
    <row r="47" spans="1:7" s="9" customFormat="1" ht="13.5" customHeight="1">
      <c r="A47" s="31" t="s">
        <v>218</v>
      </c>
      <c r="B47" s="44">
        <f>IF(83915.12719="","-",83915.12719)</f>
        <v>83915.12719</v>
      </c>
      <c r="C47" s="44">
        <f>IF(OR(86148.61069="",83915.12719=""),"-",83915.12719/86148.61069*100)</f>
        <v>97.40740624589172</v>
      </c>
      <c r="D47" s="44">
        <f>IF(86148.61069="","-",86148.61069/5760057.05112*100)</f>
        <v>1.4956207885692563</v>
      </c>
      <c r="E47" s="44">
        <f>IF(83915.12719="","-",83915.12719/5841782.33754*100)</f>
        <v>1.4364644613810966</v>
      </c>
      <c r="F47" s="44">
        <f>IF(OR(4831335.29052="",63500.49494="",86148.61069=""),"-",(86148.61069-63500.49494)/4831335.29052*100)</f>
        <v>0.4687754914141422</v>
      </c>
      <c r="G47" s="44">
        <f>IF(OR(5760057.05112="",83915.12719="",86148.61069=""),"-",(83915.12719-86148.61069)/5760057.05112*100)</f>
        <v>-0.03877537114959162</v>
      </c>
    </row>
    <row r="48" spans="1:7" s="9" customFormat="1" ht="15.75">
      <c r="A48" s="31" t="s">
        <v>27</v>
      </c>
      <c r="B48" s="44">
        <f>IF(53011.65669="","-",53011.65669)</f>
        <v>53011.65669</v>
      </c>
      <c r="C48" s="44">
        <f>IF(OR(58948.37123="",53011.65669=""),"-",53011.65669/58948.37123*100)</f>
        <v>89.92895916184588</v>
      </c>
      <c r="D48" s="44">
        <f>IF(58948.37123="","-",58948.37123/5760057.05112*100)</f>
        <v>1.0233990862735973</v>
      </c>
      <c r="E48" s="44">
        <f>IF(53011.65669="","-",53011.65669/5841782.33754*100)</f>
        <v>0.9074568963198215</v>
      </c>
      <c r="F48" s="44">
        <f>IF(OR(4831335.29052="",51454.69013="",58948.37123=""),"-",(58948.37123-51454.69013)/4831335.29052*100)</f>
        <v>0.15510579683227582</v>
      </c>
      <c r="G48" s="44">
        <f>IF(OR(5760057.05112="",53011.65669="",58948.37123=""),"-",(53011.65669-58948.37123)/5760057.05112*100)</f>
        <v>-0.10306693991591011</v>
      </c>
    </row>
    <row r="49" spans="1:7" s="9" customFormat="1" ht="15.75">
      <c r="A49" s="31" t="s">
        <v>28</v>
      </c>
      <c r="B49" s="44">
        <f>IF(115233.95496="","-",115233.95496)</f>
        <v>115233.95496</v>
      </c>
      <c r="C49" s="44">
        <f>IF(OR(112216.31839="",115233.95496=""),"-",115233.95496/112216.31839*100)</f>
        <v>102.68912455273431</v>
      </c>
      <c r="D49" s="44">
        <f>IF(112216.31839="","-",112216.31839/5760057.05112*100)</f>
        <v>1.9481806758872358</v>
      </c>
      <c r="E49" s="44">
        <f>IF(115233.95496="","-",115233.95496/5841782.33754*100)</f>
        <v>1.9725821384938065</v>
      </c>
      <c r="F49" s="44">
        <f>IF(OR(4831335.29052="",98651.23191="",112216.31839=""),"-",(112216.31839-98651.23191)/4831335.29052*100)</f>
        <v>0.2807730299037055</v>
      </c>
      <c r="G49" s="44">
        <f>IF(OR(5760057.05112="",115233.95496="",112216.31839=""),"-",(115233.95496-112216.31839)/5760057.05112*100)</f>
        <v>0.05238900488690898</v>
      </c>
    </row>
    <row r="50" spans="1:7" s="9" customFormat="1" ht="15.75">
      <c r="A50" s="31" t="s">
        <v>217</v>
      </c>
      <c r="B50" s="44">
        <f>IF(124633.91236="","-",124633.91236)</f>
        <v>124633.91236</v>
      </c>
      <c r="C50" s="44">
        <f>IF(OR(128077.47646="",124633.91236=""),"-",124633.91236/128077.47646*100)</f>
        <v>97.31134295023726</v>
      </c>
      <c r="D50" s="44">
        <f>IF(128077.47646="","-",128077.47646/5760057.05112*100)</f>
        <v>2.223545276085352</v>
      </c>
      <c r="E50" s="44">
        <f>IF(124633.91236="","-",124633.91236/5841782.33754*100)</f>
        <v>2.1334912045436445</v>
      </c>
      <c r="F50" s="44">
        <f>IF(OR(4831335.29052="",105814.01127="",128077.47646=""),"-",(128077.47646-105814.01127)/4831335.29052*100)</f>
        <v>0.460813912743443</v>
      </c>
      <c r="G50" s="44">
        <f>IF(OR(5760057.05112="",124633.91236="",128077.47646=""),"-",(124633.91236-128077.47646)/5760057.05112*100)</f>
        <v>-0.05978350682013519</v>
      </c>
    </row>
    <row r="51" spans="1:7" s="9" customFormat="1" ht="25.5">
      <c r="A51" s="49" t="s">
        <v>219</v>
      </c>
      <c r="B51" s="43">
        <f>IF(1132695.00455="","-",1132695.00455)</f>
        <v>1132695.00455</v>
      </c>
      <c r="C51" s="43">
        <f>IF(1141996.75554="","-",1132695.00455/1141996.75554*100)</f>
        <v>99.18548358873387</v>
      </c>
      <c r="D51" s="43">
        <f>IF(1141996.75554="","-",1141996.75554/5760057.05112*100)</f>
        <v>19.826136189362</v>
      </c>
      <c r="E51" s="43">
        <f>IF(1132695.00455="","-",1132695.00455/5841782.33754*100)</f>
        <v>19.38954481873049</v>
      </c>
      <c r="F51" s="43">
        <f>IF(4831335.29052="","-",(1141996.75554-993557.37109)/4831335.29052*100)</f>
        <v>3.07242978439659</v>
      </c>
      <c r="G51" s="43">
        <f>IF(5760057.05112="","-",(1132695.00455-1141996.75554)/5760057.05112*100)</f>
        <v>-0.16148713298232753</v>
      </c>
    </row>
    <row r="52" spans="1:7" s="9" customFormat="1" ht="15.75">
      <c r="A52" s="31" t="s">
        <v>220</v>
      </c>
      <c r="B52" s="44">
        <f>IF(55121.64688="","-",55121.64688)</f>
        <v>55121.64688</v>
      </c>
      <c r="C52" s="44">
        <f>IF(OR(54751.32865="",55121.64688=""),"-",55121.64688/54751.32865*100)</f>
        <v>100.67636391505177</v>
      </c>
      <c r="D52" s="44">
        <f>IF(54751.32865="","-",54751.32865/5760057.05112*100)</f>
        <v>0.9505344854067725</v>
      </c>
      <c r="E52" s="44">
        <f>IF(55121.64688="","-",55121.64688/5841782.33754*100)</f>
        <v>0.9435758420128328</v>
      </c>
      <c r="F52" s="44">
        <f>IF(OR(4831335.29052="",45495.29858="",54751.32865=""),"-",(54751.32865-45495.29858)/4831335.29052*100)</f>
        <v>0.19158326867030104</v>
      </c>
      <c r="G52" s="44">
        <f>IF(OR(5760057.05112="",55121.64688="",54751.32865=""),"-",(55121.64688-54751.32865)/5760057.05112*100)</f>
        <v>0.006429072259414367</v>
      </c>
    </row>
    <row r="53" spans="1:7" s="9" customFormat="1" ht="15.75">
      <c r="A53" s="31" t="s">
        <v>29</v>
      </c>
      <c r="B53" s="44">
        <f>IF(67878.3608="","-",67878.3608)</f>
        <v>67878.3608</v>
      </c>
      <c r="C53" s="44">
        <f>IF(OR(67970.49628="",67878.3608=""),"-",67878.3608/67970.49628*100)</f>
        <v>99.8644478339242</v>
      </c>
      <c r="D53" s="44">
        <f>IF(67970.49628="","-",67970.49628/5760057.05112*100)</f>
        <v>1.180031650325124</v>
      </c>
      <c r="E53" s="44">
        <f>IF(67878.3608="","-",67878.3608/5841782.33754*100)</f>
        <v>1.1619460787473275</v>
      </c>
      <c r="F53" s="44">
        <f>IF(OR(4831335.29052="",58872.67813="",67970.49628=""),"-",(67970.49628-58872.67813)/4831335.29052*100)</f>
        <v>0.18830856487753309</v>
      </c>
      <c r="G53" s="44">
        <f>IF(OR(5760057.05112="",67878.3608="",67970.49628=""),"-",(67878.3608-67970.49628)/5760057.05112*100)</f>
        <v>-0.0015995584623957272</v>
      </c>
    </row>
    <row r="54" spans="1:7" s="9" customFormat="1" ht="15.75">
      <c r="A54" s="31" t="s">
        <v>221</v>
      </c>
      <c r="B54" s="44">
        <f>IF(91692.59862="","-",91692.59862)</f>
        <v>91692.59862</v>
      </c>
      <c r="C54" s="44">
        <f>IF(OR(87997.06185="",91692.59862=""),"-",91692.59862/87997.06185*100)</f>
        <v>104.19961381926528</v>
      </c>
      <c r="D54" s="44">
        <f>IF(87997.06185="","-",87997.06185/5760057.05112*100)</f>
        <v>1.5277116366909878</v>
      </c>
      <c r="E54" s="44">
        <f>IF(91692.59862="","-",91692.59862/5841782.33754*100)</f>
        <v>1.5695997098483503</v>
      </c>
      <c r="F54" s="44">
        <f>IF(OR(4831335.29052="",72505.12054="",87997.06185=""),"-",(87997.06185-72505.12054)/4831335.29052*100)</f>
        <v>0.32065547883621603</v>
      </c>
      <c r="G54" s="44">
        <f>IF(OR(5760057.05112="",91692.59862="",87997.06185=""),"-",(91692.59862-87997.06185)/5760057.05112*100)</f>
        <v>0.06415798901299835</v>
      </c>
    </row>
    <row r="55" spans="1:7" s="9" customFormat="1" ht="25.5">
      <c r="A55" s="31" t="s">
        <v>222</v>
      </c>
      <c r="B55" s="44">
        <f>IF(105614.17104="","-",105614.17104)</f>
        <v>105614.17104</v>
      </c>
      <c r="C55" s="44">
        <f>IF(OR(100727.06154="",105614.17104=""),"-",105614.17104/100727.06154*100)</f>
        <v>104.85183368330394</v>
      </c>
      <c r="D55" s="44">
        <f>IF(100727.06154="","-",100727.06154/5760057.05112*100)</f>
        <v>1.748716386765898</v>
      </c>
      <c r="E55" s="44">
        <f>IF(105614.17104="","-",105614.17104/5841782.33754*100)</f>
        <v>1.8079100681535252</v>
      </c>
      <c r="F55" s="44">
        <f>IF(OR(4831335.29052="",89105.40875="",100727.06154=""),"-",(100727.06154-89105.40875)/4831335.29052*100)</f>
        <v>0.24054742821935562</v>
      </c>
      <c r="G55" s="44">
        <f>IF(OR(5760057.05112="",105614.17104="",100727.06154=""),"-",(105614.17104-100727.06154)/5760057.05112*100)</f>
        <v>0.0848448106785634</v>
      </c>
    </row>
    <row r="56" spans="1:7" s="9" customFormat="1" ht="25.5">
      <c r="A56" s="31" t="s">
        <v>245</v>
      </c>
      <c r="B56" s="44">
        <f>IF(271101.95166="","-",271101.95166)</f>
        <v>271101.95166</v>
      </c>
      <c r="C56" s="44">
        <f>IF(OR(295580.79067="",271101.95166=""),"-",271101.95166/295580.79067*100)</f>
        <v>91.71839314912405</v>
      </c>
      <c r="D56" s="44">
        <f>IF(295580.79067="","-",295580.79067/5760057.05112*100)</f>
        <v>5.131560122525636</v>
      </c>
      <c r="E56" s="44">
        <f>IF(271101.95166="","-",271101.95166/5841782.33754*100)</f>
        <v>4.640740376748824</v>
      </c>
      <c r="F56" s="44">
        <f>IF(OR(4831335.29052="",276215.80188="",295580.79067=""),"-",(295580.79067-276215.80188)/4831335.29052*100)</f>
        <v>0.4008206349908653</v>
      </c>
      <c r="G56" s="44">
        <f>IF(OR(5760057.05112="",271101.95166="",295580.79067=""),"-",(271101.95166-295580.79067)/5760057.05112*100)</f>
        <v>-0.424975634663901</v>
      </c>
    </row>
    <row r="57" spans="1:7" s="9" customFormat="1" ht="14.25" customHeight="1">
      <c r="A57" s="31" t="s">
        <v>30</v>
      </c>
      <c r="B57" s="44">
        <f>IF(130871.92849="","-",130871.92849)</f>
        <v>130871.92849</v>
      </c>
      <c r="C57" s="44">
        <f>IF(OR(128234.99771="",130871.92849=""),"-",130871.92849/128234.99771*100)</f>
        <v>102.05632692095755</v>
      </c>
      <c r="D57" s="44">
        <f>IF(128234.99771="","-",128234.99771/5760057.05112*100)</f>
        <v>2.2262799929223904</v>
      </c>
      <c r="E57" s="44">
        <f>IF(130871.92849="","-",130871.92849/5841782.33754*100)</f>
        <v>2.2402739596955055</v>
      </c>
      <c r="F57" s="44">
        <f>IF(OR(4831335.29052="",115307.92109="",128234.99771=""),"-",(128234.99771-115307.92109)/4831335.29052*100)</f>
        <v>0.26756736683884014</v>
      </c>
      <c r="G57" s="44">
        <f>IF(OR(5760057.05112="",130871.92849="",128234.99771=""),"-",(130871.92849-128234.99771)/5760057.05112*100)</f>
        <v>0.045779594830354646</v>
      </c>
    </row>
    <row r="58" spans="1:7" s="9" customFormat="1" ht="15" customHeight="1">
      <c r="A58" s="31" t="s">
        <v>223</v>
      </c>
      <c r="B58" s="44">
        <f>IF(145341.33702="","-",145341.33702)</f>
        <v>145341.33702</v>
      </c>
      <c r="C58" s="44">
        <f>IF(OR(134644.77938="",145341.33702=""),"-",145341.33702/134644.77938*100)</f>
        <v>107.94427952517323</v>
      </c>
      <c r="D58" s="44">
        <f>IF(134644.77938="","-",134644.77938/5760057.05112*100)</f>
        <v>2.337559822498968</v>
      </c>
      <c r="E58" s="44">
        <f>IF(145341.33702="","-",145341.33702/5841782.33754*100)</f>
        <v>2.4879622112248003</v>
      </c>
      <c r="F58" s="44">
        <f>IF(OR(4831335.29052="",110210.18461="",134644.77938=""),"-",(134644.77938-110210.18461)/4831335.29052*100)</f>
        <v>0.5057524121322179</v>
      </c>
      <c r="G58" s="44">
        <f>IF(OR(5760057.05112="",145341.33702="",134644.77938=""),"-",(145341.33702-134644.77938)/5760057.05112*100)</f>
        <v>0.1857022863674614</v>
      </c>
    </row>
    <row r="59" spans="1:7" s="9" customFormat="1" ht="15.75">
      <c r="A59" s="31" t="s">
        <v>31</v>
      </c>
      <c r="B59" s="44">
        <f>IF(91575.12802="","-",91575.12802)</f>
        <v>91575.12802</v>
      </c>
      <c r="C59" s="44">
        <f>IF(OR(105865.05564="",91575.12802=""),"-",91575.12802/105865.05564*100)</f>
        <v>86.50175212811139</v>
      </c>
      <c r="D59" s="44">
        <f>IF(105865.05564="","-",105865.05564/5760057.05112*100)</f>
        <v>1.837916789720257</v>
      </c>
      <c r="E59" s="44">
        <f>IF(91575.12802="","-",91575.12802/5841782.33754*100)</f>
        <v>1.5675888406784202</v>
      </c>
      <c r="F59" s="44">
        <f>IF(OR(4831335.29052="",85194.96149="",105865.05564=""),"-",(105865.05564-85194.96149)/4831335.29052*100)</f>
        <v>0.4278339818509112</v>
      </c>
      <c r="G59" s="44">
        <f>IF(OR(5760057.05112="",91575.12802="",105865.05564=""),"-",(91575.12802-105865.05564)/5760057.05112*100)</f>
        <v>-0.2480865639554982</v>
      </c>
    </row>
    <row r="60" spans="1:7" s="9" customFormat="1" ht="15" customHeight="1">
      <c r="A60" s="31" t="s">
        <v>32</v>
      </c>
      <c r="B60" s="44">
        <f>IF(173497.88202="","-",173497.88202)</f>
        <v>173497.88202</v>
      </c>
      <c r="C60" s="44">
        <f>IF(OR(166225.18382="",173497.88202=""),"-",173497.88202/166225.18382*100)</f>
        <v>104.37520839674652</v>
      </c>
      <c r="D60" s="44">
        <f>IF(166225.18382="","-",166225.18382/5760057.05112*100)</f>
        <v>2.8858253025059666</v>
      </c>
      <c r="E60" s="44">
        <f>IF(173497.88202="","-",173497.88202/5841782.33754*100)</f>
        <v>2.9699477316209064</v>
      </c>
      <c r="F60" s="44">
        <f>IF(OR(4831335.29052="",140649.99602="",166225.18382=""),"-",(166225.18382-140649.99602)/4831335.29052*100)</f>
        <v>0.5293606479803503</v>
      </c>
      <c r="G60" s="44">
        <f>IF(OR(5760057.05112="",173497.88202="",166225.18382=""),"-",(173497.88202-166225.18382)/5760057.05112*100)</f>
        <v>0.12626087095067684</v>
      </c>
    </row>
    <row r="61" spans="1:7" s="9" customFormat="1" ht="15.75" customHeight="1">
      <c r="A61" s="49" t="s">
        <v>224</v>
      </c>
      <c r="B61" s="43">
        <f>IF(1425784.67039="","-",1425784.67039)</f>
        <v>1425784.67039</v>
      </c>
      <c r="C61" s="43">
        <f>IF(1384427.77842="","-",1425784.67039/1384427.77842*100)</f>
        <v>102.98729140043687</v>
      </c>
      <c r="D61" s="43">
        <f>IF(1384427.77842="","-",1384427.77842/5760057.05112*100)</f>
        <v>24.034966427126072</v>
      </c>
      <c r="E61" s="43">
        <f>IF(1425784.67039="","-",1425784.67039/5841782.33754*100)</f>
        <v>24.40667227924148</v>
      </c>
      <c r="F61" s="43">
        <f>IF(4831335.29052="","-",(1384427.77842-1079739.8838)/4831335.29052*100)</f>
        <v>6.3064945051082635</v>
      </c>
      <c r="G61" s="43">
        <f>IF(5760057.05112="","-",(1425784.67039-1384427.77842)/5760057.05112*100)</f>
        <v>0.7179944851754282</v>
      </c>
    </row>
    <row r="62" spans="1:7" s="9" customFormat="1" ht="25.5">
      <c r="A62" s="31" t="s">
        <v>225</v>
      </c>
      <c r="B62" s="44">
        <f>IF(21396.35902="","-",21396.35902)</f>
        <v>21396.35902</v>
      </c>
      <c r="C62" s="44">
        <f>IF(OR(23220.78664="",21396.35902=""),"-",21396.35902/23220.78664*100)</f>
        <v>92.14312741301688</v>
      </c>
      <c r="D62" s="44">
        <f>IF(23220.78664="","-",23220.78664/5760057.05112*100)</f>
        <v>0.4031346640131783</v>
      </c>
      <c r="E62" s="44">
        <f>IF(21396.35902="","-",21396.35902/5841782.33754*100)</f>
        <v>0.36626422868418784</v>
      </c>
      <c r="F62" s="44">
        <f>IF(OR(4831335.29052="",17917.45082="",23220.78664=""),"-",(23220.78664-17917.45082)/4831335.29052*100)</f>
        <v>0.10976956681947028</v>
      </c>
      <c r="G62" s="44">
        <f>IF(OR(5760057.05112="",21396.35902="",23220.78664=""),"-",(21396.35902-23220.78664)/5760057.05112*100)</f>
        <v>-0.03167377690547791</v>
      </c>
    </row>
    <row r="63" spans="1:7" s="9" customFormat="1" ht="25.5">
      <c r="A63" s="31" t="s">
        <v>226</v>
      </c>
      <c r="B63" s="44">
        <f>IF(190950.46795="","-",190950.46795)</f>
        <v>190950.46795</v>
      </c>
      <c r="C63" s="44">
        <f>IF(OR(207366.31187="",190950.46795=""),"-",190950.46795/207366.31187*100)</f>
        <v>92.08364957067315</v>
      </c>
      <c r="D63" s="44">
        <f>IF(207366.31187="","-",207366.31187/5760057.05112*100)</f>
        <v>3.6000739233941994</v>
      </c>
      <c r="E63" s="44">
        <f>IF(190950.46795="","-",190950.46795/5841782.33754*100)</f>
        <v>3.2687022028008337</v>
      </c>
      <c r="F63" s="44">
        <f>IF(OR(4831335.29052="",156442.26041="",207366.31187=""),"-",(207366.31187-156442.26041)/4831335.29052*100)</f>
        <v>1.0540367910279937</v>
      </c>
      <c r="G63" s="44">
        <f>IF(OR(5760057.05112="",190950.46795="",207366.31187=""),"-",(190950.46795-207366.31187)/5760057.05112*100)</f>
        <v>-0.28499446749070095</v>
      </c>
    </row>
    <row r="64" spans="1:7" s="9" customFormat="1" ht="25.5">
      <c r="A64" s="31" t="s">
        <v>227</v>
      </c>
      <c r="B64" s="44">
        <f>IF(11249.06455="","-",11249.06455)</f>
        <v>11249.06455</v>
      </c>
      <c r="C64" s="44">
        <f>IF(OR(14351.10349="",11249.06455=""),"-",11249.06455/14351.10349*100)</f>
        <v>78.38466608395979</v>
      </c>
      <c r="D64" s="44">
        <f>IF(14351.10349="","-",14351.10349/5760057.05112*100)</f>
        <v>0.24914863451238795</v>
      </c>
      <c r="E64" s="44">
        <f>IF(11249.06455="","-",11249.06455/5841782.33754*100)</f>
        <v>0.19256219934303526</v>
      </c>
      <c r="F64" s="44">
        <f>IF(OR(4831335.29052="",9977.52895="",14351.10349=""),"-",(14351.10349-9977.52895)/4831335.29052*100)</f>
        <v>0.09052517113812791</v>
      </c>
      <c r="G64" s="44">
        <f>IF(OR(5760057.05112="",11249.06455="",14351.10349=""),"-",(11249.06455-14351.10349)/5760057.05112*100)</f>
        <v>-0.053854309297107265</v>
      </c>
    </row>
    <row r="65" spans="1:7" s="9" customFormat="1" ht="38.25">
      <c r="A65" s="31" t="s">
        <v>228</v>
      </c>
      <c r="B65" s="44">
        <f>IF(190375.53101="","-",190375.53101)</f>
        <v>190375.53101</v>
      </c>
      <c r="C65" s="44">
        <f>IF(OR(174723.26657="",190375.53101=""),"-",190375.53101/174723.26657*100)</f>
        <v>108.95831719911737</v>
      </c>
      <c r="D65" s="44">
        <f>IF(174723.26657="","-",174723.26657/5760057.05112*100)</f>
        <v>3.033360000071985</v>
      </c>
      <c r="E65" s="44">
        <f>IF(190375.53101="","-",190375.53101/5841782.33754*100)</f>
        <v>3.2588603958525435</v>
      </c>
      <c r="F65" s="44">
        <f>IF(OR(4831335.29052="",146341.55738="",174723.26657=""),"-",(174723.26657-146341.55738)/4831335.29052*100)</f>
        <v>0.5874506214811941</v>
      </c>
      <c r="G65" s="44">
        <f>IF(OR(5760057.05112="",190375.53101="",174723.26657=""),"-",(190375.53101-174723.26657)/5760057.05112*100)</f>
        <v>0.2717380105975953</v>
      </c>
    </row>
    <row r="66" spans="1:7" s="9" customFormat="1" ht="25.5">
      <c r="A66" s="31" t="s">
        <v>229</v>
      </c>
      <c r="B66" s="44">
        <f>IF(50155.80496="","-",50155.80496)</f>
        <v>50155.80496</v>
      </c>
      <c r="C66" s="44">
        <f>IF(OR(57483.09455="",50155.80496=""),"-",50155.80496/57483.09455*100)</f>
        <v>87.25313999296512</v>
      </c>
      <c r="D66" s="44">
        <f>IF(57483.09455="","-",57483.09455/5760057.05112*100)</f>
        <v>0.9979605069853057</v>
      </c>
      <c r="E66" s="44">
        <f>IF(50155.80496="","-",50155.80496/5841782.33754*100)</f>
        <v>0.8585702455514772</v>
      </c>
      <c r="F66" s="44">
        <f>IF(OR(4831335.29052="",47546.0984="",57483.09455=""),"-",(57483.09455-47546.0984)/4831335.29052*100)</f>
        <v>0.20567804866489553</v>
      </c>
      <c r="G66" s="44">
        <f>IF(OR(5760057.05112="",50155.80496="",57483.09455=""),"-",(50155.80496-57483.09455)/5760057.05112*100)</f>
        <v>-0.12720862875091252</v>
      </c>
    </row>
    <row r="67" spans="1:7" s="9" customFormat="1" ht="39" customHeight="1">
      <c r="A67" s="31" t="s">
        <v>230</v>
      </c>
      <c r="B67" s="44">
        <f>IF(170560.10751="","-",170560.10751)</f>
        <v>170560.10751</v>
      </c>
      <c r="C67" s="44">
        <f>IF(OR(155967.69848="",170560.10751=""),"-",170560.10751/155967.69848*100)</f>
        <v>109.35604562496717</v>
      </c>
      <c r="D67" s="44">
        <f>IF(155967.69848="","-",155967.69848/5760057.05112*100)</f>
        <v>2.707745723623922</v>
      </c>
      <c r="E67" s="44">
        <f>IF(170560.10751="","-",170560.10751/5841782.33754*100)</f>
        <v>2.91965872151655</v>
      </c>
      <c r="F67" s="44">
        <f>IF(OR(4831335.29052="",123519.33669="",155967.69848=""),"-",(155967.69848-123519.33669)/4831335.29052*100)</f>
        <v>0.6716230573702856</v>
      </c>
      <c r="G67" s="44">
        <f>IF(OR(5760057.05112="",170560.10751="",155967.69848=""),"-",(170560.10751-155967.69848)/5760057.05112*100)</f>
        <v>0.2533379253103513</v>
      </c>
    </row>
    <row r="68" spans="1:7" s="9" customFormat="1" ht="38.25" customHeight="1">
      <c r="A68" s="31" t="s">
        <v>231</v>
      </c>
      <c r="B68" s="44">
        <f>IF(446754.31326="","-",446754.31326)</f>
        <v>446754.31326</v>
      </c>
      <c r="C68" s="44">
        <f>IF(OR(436279.0181="",446754.31326=""),"-",446754.31326/436279.0181*100)</f>
        <v>102.40105407902035</v>
      </c>
      <c r="D68" s="44">
        <f>IF(436279.0181="","-",436279.0181/5760057.05112*100)</f>
        <v>7.5742134883051</v>
      </c>
      <c r="E68" s="44">
        <f>IF(446754.31326="","-",446754.31326/5841782.33754*100)</f>
        <v>7.647568626258168</v>
      </c>
      <c r="F68" s="44">
        <f>IF(OR(4831335.29052="",322839.83074="",436279.0181=""),"-",(436279.0181-322839.83074)/4831335.29052*100)</f>
        <v>2.347988300099752</v>
      </c>
      <c r="G68" s="44">
        <f>IF(OR(5760057.05112="",446754.31326="",436279.0181=""),"-",(446754.31326-436279.0181)/5760057.05112*100)</f>
        <v>0.18186096191466014</v>
      </c>
    </row>
    <row r="69" spans="1:7" s="9" customFormat="1" ht="25.5">
      <c r="A69" s="31" t="s">
        <v>232</v>
      </c>
      <c r="B69" s="44">
        <f>IF(335385.91725="","-",335385.91725)</f>
        <v>335385.91725</v>
      </c>
      <c r="C69" s="44">
        <f>IF(OR(310060.67053="",335385.91725=""),"-",335385.91725/310060.67053*100)</f>
        <v>108.16783588731536</v>
      </c>
      <c r="D69" s="44">
        <f>IF(310060.67053="","-",310060.67053/5760057.05112*100)</f>
        <v>5.382944435762334</v>
      </c>
      <c r="E69" s="44">
        <f>IF(335385.91725="","-",335385.91725/5841782.33754*100)</f>
        <v>5.741157370666989</v>
      </c>
      <c r="F69" s="44">
        <f>IF(OR(4831335.29052="",252766.94699="",310060.67053=""),"-",(310060.67053-252766.94699)/4831335.29052*100)</f>
        <v>1.1858776113597664</v>
      </c>
      <c r="G69" s="44">
        <f>IF(OR(5760057.05112="",335385.91725="",310060.67053=""),"-",(335385.91725-310060.67053)/5760057.05112*100)</f>
        <v>0.4396700674184415</v>
      </c>
    </row>
    <row r="70" spans="1:7" s="9" customFormat="1" ht="15.75">
      <c r="A70" s="31" t="s">
        <v>33</v>
      </c>
      <c r="B70" s="44">
        <f>IF(8957.10488="","-",8957.10488)</f>
        <v>8957.10488</v>
      </c>
      <c r="C70" s="44" t="s">
        <v>104</v>
      </c>
      <c r="D70" s="44">
        <f>IF(4975.82819="","-",4975.82819/5760057.05112*100)</f>
        <v>0.08638505045765975</v>
      </c>
      <c r="E70" s="44">
        <f>IF(8957.10488="","-",8957.10488/5841782.33754*100)</f>
        <v>0.15332828856769554</v>
      </c>
      <c r="F70" s="44">
        <f>IF(OR(4831335.29052="",2388.87342="",4975.82819=""),"-",(4975.82819-2388.87342)/4831335.29052*100)</f>
        <v>0.05354533714677386</v>
      </c>
      <c r="G70" s="44">
        <f>IF(OR(5760057.05112="",8957.10488="",4975.82819=""),"-",(8957.10488-4975.82819)/5760057.05112*100)</f>
        <v>0.06911870237857924</v>
      </c>
    </row>
    <row r="71" spans="1:7" s="9" customFormat="1" ht="15.75">
      <c r="A71" s="49" t="s">
        <v>34</v>
      </c>
      <c r="B71" s="43">
        <f>IF(630063.78039="","-",630063.78039)</f>
        <v>630063.78039</v>
      </c>
      <c r="C71" s="43">
        <f>IF(589723.28159="","-",630063.78039/589723.28159*100)</f>
        <v>106.8405810079661</v>
      </c>
      <c r="D71" s="43">
        <f>IF(589723.28159="","-",589723.28159/5760057.05112*100)</f>
        <v>10.238150010603327</v>
      </c>
      <c r="E71" s="43">
        <f>IF(630063.78039="","-",630063.78039/5841782.33754*100)</f>
        <v>10.785471693136081</v>
      </c>
      <c r="F71" s="43">
        <f>IF(4831335.29052="","-",(589723.28159-517513.454)/4831335.29052*100)</f>
        <v>1.494614288759661</v>
      </c>
      <c r="G71" s="43">
        <f>IF(5760057.05112="","-",(630063.78039-589723.28159)/5760057.05112*100)</f>
        <v>0.7003489451924098</v>
      </c>
    </row>
    <row r="72" spans="1:7" s="9" customFormat="1" ht="38.25">
      <c r="A72" s="31" t="s">
        <v>246</v>
      </c>
      <c r="B72" s="44">
        <f>IF(52980.46105="","-",52980.46105)</f>
        <v>52980.46105</v>
      </c>
      <c r="C72" s="44">
        <f>IF(OR(45917.55079="",52980.46105=""),"-",52980.46105/45917.55079*100)</f>
        <v>115.3817225406939</v>
      </c>
      <c r="D72" s="44">
        <f>IF(45917.55079="","-",45917.55079/5760057.05112*100)</f>
        <v>0.7971718054610533</v>
      </c>
      <c r="E72" s="44">
        <f>IF(52980.46105="","-",52980.46105/5841782.33754*100)</f>
        <v>0.9069228873787569</v>
      </c>
      <c r="F72" s="44">
        <f>IF(OR(4831335.29052="",41196.20925="",45917.55079=""),"-",(45917.55079-41196.20925)/4831335.29052*100)</f>
        <v>0.0977233260805594</v>
      </c>
      <c r="G72" s="44">
        <f>IF(OR(5760057.05112="",52980.46105="",45917.55079=""),"-",(52980.46105-45917.55079)/5760057.05112*100)</f>
        <v>0.12261875528865927</v>
      </c>
    </row>
    <row r="73" spans="1:7" s="9" customFormat="1" ht="14.25" customHeight="1">
      <c r="A73" s="31" t="s">
        <v>233</v>
      </c>
      <c r="B73" s="44">
        <f>IF(58560.02225="","-",58560.02225)</f>
        <v>58560.02225</v>
      </c>
      <c r="C73" s="44">
        <f>IF(OR(53815.80352="",58560.02225=""),"-",58560.02225/53815.80352*100)</f>
        <v>108.81566086481801</v>
      </c>
      <c r="D73" s="44">
        <f>IF(53815.80352="","-",53815.80352/5760057.05112*100)</f>
        <v>0.9342928905458656</v>
      </c>
      <c r="E73" s="44">
        <f>IF(58560.02225="","-",58560.02225/5841782.33754*100)</f>
        <v>1.0024341693405148</v>
      </c>
      <c r="F73" s="44">
        <f>IF(OR(4831335.29052="",48145.08879="",53815.80352=""),"-",(53815.80352-48145.08879)/4831335.29052*100)</f>
        <v>0.11737365322433783</v>
      </c>
      <c r="G73" s="44">
        <f>IF(OR(5760057.05112="",58560.02225="",53815.80352=""),"-",(58560.02225-53815.80352)/5760057.05112*100)</f>
        <v>0.08236409271462898</v>
      </c>
    </row>
    <row r="74" spans="1:7" s="9" customFormat="1" ht="15.75">
      <c r="A74" s="31" t="s">
        <v>234</v>
      </c>
      <c r="B74" s="44">
        <f>IF(9491.04277="","-",9491.04277)</f>
        <v>9491.04277</v>
      </c>
      <c r="C74" s="44">
        <f>IF(OR(8196.28588="",9491.04277=""),"-",9491.04277/8196.28588*100)</f>
        <v>115.79687322960972</v>
      </c>
      <c r="D74" s="44">
        <f>IF(8196.28588="","-",8196.28588/5760057.05112*100)</f>
        <v>0.14229522046845514</v>
      </c>
      <c r="E74" s="44">
        <f>IF(9491.04277="","-",9491.04277/5841782.33754*100)</f>
        <v>0.16246827118171472</v>
      </c>
      <c r="F74" s="44">
        <f>IF(OR(4831335.29052="",13169.35926="",8196.28588=""),"-",(8196.28588-13169.35926)/4831335.29052*100)</f>
        <v>-0.10293372496332674</v>
      </c>
      <c r="G74" s="44">
        <f>IF(OR(5760057.05112="",9491.04277="",8196.28588=""),"-",(9491.04277-8196.28588)/5760057.05112*100)</f>
        <v>0.022478195589195508</v>
      </c>
    </row>
    <row r="75" spans="1:7" s="9" customFormat="1" ht="15.75">
      <c r="A75" s="31" t="s">
        <v>235</v>
      </c>
      <c r="B75" s="44">
        <f>IF(141168.97188="","-",141168.97188)</f>
        <v>141168.97188</v>
      </c>
      <c r="C75" s="44">
        <f>IF(OR(141574.45261="",141168.97188=""),"-",141168.97188/141574.45261*100)</f>
        <v>99.71359187867249</v>
      </c>
      <c r="D75" s="44">
        <f>IF(141574.45261="","-",141574.45261/5760057.05112*100)</f>
        <v>2.457865457816462</v>
      </c>
      <c r="E75" s="44">
        <f>IF(141168.97188="","-",141168.97188/5841782.33754*100)</f>
        <v>2.416539400532456</v>
      </c>
      <c r="F75" s="44">
        <f>IF(OR(4831335.29052="",129300.43575="",141574.45261=""),"-",(141574.45261-129300.43575)/4831335.29052*100)</f>
        <v>0.2540501977596951</v>
      </c>
      <c r="G75" s="44">
        <f>IF(OR(5760057.05112="",141168.97188="",141574.45261=""),"-",(141168.97188-141574.45261)/5760057.05112*100)</f>
        <v>-0.00703952628248999</v>
      </c>
    </row>
    <row r="76" spans="1:7" ht="15.75">
      <c r="A76" s="31" t="s">
        <v>243</v>
      </c>
      <c r="B76" s="44">
        <f>IF(45678.80646="","-",45678.80646)</f>
        <v>45678.80646</v>
      </c>
      <c r="C76" s="44">
        <f>IF(OR(40766.47423="",45678.80646=""),"-",45678.80646/40766.47423*100)</f>
        <v>112.04993152531455</v>
      </c>
      <c r="D76" s="44">
        <f>IF(40766.47423="","-",40766.47423/5760057.05112*100)</f>
        <v>0.7077442787146225</v>
      </c>
      <c r="E76" s="44">
        <f>IF(45678.80646="","-",45678.80646/5841782.33754*100)</f>
        <v>0.7819327017109566</v>
      </c>
      <c r="F76" s="44">
        <f>IF(OR(4831335.29052="",40448.17403="",40766.47423=""),"-",(40766.47423-40448.17403)/4831335.29052*100)</f>
        <v>0.006588244881794138</v>
      </c>
      <c r="G76" s="44">
        <f>IF(OR(5760057.05112="",45678.80646="",40766.47423=""),"-",(45678.80646-40766.47423)/5760057.05112*100)</f>
        <v>0.08528270095944335</v>
      </c>
    </row>
    <row r="77" spans="1:7" ht="25.5">
      <c r="A77" s="31" t="s">
        <v>236</v>
      </c>
      <c r="B77" s="44">
        <f>IF(64904.49995="","-",64904.49995)</f>
        <v>64904.49995</v>
      </c>
      <c r="C77" s="44">
        <f>IF(OR(62438.21276="",64904.49995=""),"-",64904.49995/62438.21276*100)</f>
        <v>103.94996442239612</v>
      </c>
      <c r="D77" s="44">
        <f>IF(62438.21276="","-",62438.21276/5760057.05112*100)</f>
        <v>1.0839860127402619</v>
      </c>
      <c r="E77" s="44">
        <f>IF(64904.49995="","-",64904.49995/5841782.33754*100)</f>
        <v>1.1110393403895902</v>
      </c>
      <c r="F77" s="44">
        <f>IF(OR(4831335.29052="",51385.90378="",62438.21276=""),"-",(62438.21276-51385.90378)/4831335.29052*100)</f>
        <v>0.2287630295849418</v>
      </c>
      <c r="G77" s="44">
        <f>IF(OR(5760057.05112="",64904.49995="",62438.21276=""),"-",(64904.49995-62438.21276)/5760057.05112*100)</f>
        <v>0.04281706184699064</v>
      </c>
    </row>
    <row r="78" spans="1:7" ht="25.5">
      <c r="A78" s="31" t="s">
        <v>237</v>
      </c>
      <c r="B78" s="44">
        <f>IF(12162.97288="","-",12162.97288)</f>
        <v>12162.97288</v>
      </c>
      <c r="C78" s="44">
        <f>IF(OR(12747.1933="",12162.97288=""),"-",12162.97288/12747.1933*100)</f>
        <v>95.41687015917456</v>
      </c>
      <c r="D78" s="44">
        <f>IF(12747.1933="","-",12747.1933/5760057.05112*100)</f>
        <v>0.22130324729199347</v>
      </c>
      <c r="E78" s="44">
        <f>IF(12162.97288="","-",12162.97288/5841782.33754*100)</f>
        <v>0.20820654001158628</v>
      </c>
      <c r="F78" s="44">
        <f>IF(OR(4831335.29052="",10589.65753="",12747.1933=""),"-",(12747.1933-10589.65753)/4831335.29052*100)</f>
        <v>0.044657131833377335</v>
      </c>
      <c r="G78" s="44">
        <f>IF(OR(5760057.05112="",12162.97288="",12747.1933=""),"-",(12162.97288-12747.1933)/5760057.05112*100)</f>
        <v>-0.010142615165355074</v>
      </c>
    </row>
    <row r="79" spans="1:7" ht="15.75">
      <c r="A79" s="31" t="s">
        <v>35</v>
      </c>
      <c r="B79" s="44">
        <f>IF(245117.00315="","-",245117.00315)</f>
        <v>245117.00315</v>
      </c>
      <c r="C79" s="44">
        <f>IF(OR(224267.3085="",245117.00315=""),"-",245117.00315/224267.3085*100)</f>
        <v>109.29680513377187</v>
      </c>
      <c r="D79" s="44">
        <f>IF(224267.3085="","-",224267.3085/5760057.05112*100)</f>
        <v>3.8934910975646138</v>
      </c>
      <c r="E79" s="44">
        <f>IF(245117.00315="","-",245117.00315/5841782.33754*100)</f>
        <v>4.195928382590506</v>
      </c>
      <c r="F79" s="44">
        <f>IF(OR(4831335.29052="",183278.62561="",224267.3085=""),"-",(224267.3085-183278.62561)/4831335.29052*100)</f>
        <v>0.8483924303582826</v>
      </c>
      <c r="G79" s="44">
        <f>IF(OR(5760057.05112="",245117.00315="",224267.3085=""),"-",(245117.00315-224267.3085)/5760057.05112*100)</f>
        <v>0.3619702802413376</v>
      </c>
    </row>
    <row r="80" spans="1:7" ht="25.5">
      <c r="A80" s="51" t="s">
        <v>238</v>
      </c>
      <c r="B80" s="52">
        <f>IF(834.0205="","-",834.0205)</f>
        <v>834.0205</v>
      </c>
      <c r="C80" s="52">
        <f>IF(1161.46284="","-",834.0205/1161.46284*100)</f>
        <v>71.80776442232109</v>
      </c>
      <c r="D80" s="52">
        <f>IF(1161.46284="","-",1161.46284/5760057.05112*100)</f>
        <v>0.020164085697279024</v>
      </c>
      <c r="E80" s="52">
        <f>IF(834.0205="","-",834.0205/5841782.33754*100)</f>
        <v>0.014276815735507353</v>
      </c>
      <c r="F80" s="52">
        <f>IF(4831335.29052="","-",(1161.46284-1188.16463)/4831335.29052*100)</f>
        <v>-0.0005526792986691292</v>
      </c>
      <c r="G80" s="52">
        <f>IF(5760057.05112="","-",(834.0205-1161.46284)/5760057.05112*100)</f>
        <v>-0.005684706541861964</v>
      </c>
    </row>
    <row r="81" ht="15.75">
      <c r="A81" s="26" t="s">
        <v>20</v>
      </c>
    </row>
  </sheetData>
  <sheetProtection/>
  <mergeCells count="6">
    <mergeCell ref="A1:G1"/>
    <mergeCell ref="A2:G2"/>
    <mergeCell ref="A4:A5"/>
    <mergeCell ref="B4:C4"/>
    <mergeCell ref="D4:E4"/>
    <mergeCell ref="F4:G4"/>
  </mergeCells>
  <printOptions/>
  <pageMargins left="0.5905511811023623" right="0.3937007874015748" top="0.3937007874015748" bottom="0.3937007874015748" header="0.11811023622047245" footer="0.1181102362204724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F82"/>
  <sheetViews>
    <sheetView zoomScalePageLayoutView="0" workbookViewId="0" topLeftCell="A1">
      <selection activeCell="K13" sqref="K13"/>
    </sheetView>
  </sheetViews>
  <sheetFormatPr defaultColWidth="9.00390625" defaultRowHeight="15.75"/>
  <cols>
    <col min="1" max="1" width="42.125" style="0" customWidth="1"/>
    <col min="2" max="3" width="14.75390625" style="0" customWidth="1"/>
    <col min="4" max="4" width="13.875" style="0" customWidth="1"/>
    <col min="6" max="6" width="12.125" style="0" bestFit="1" customWidth="1"/>
  </cols>
  <sheetData>
    <row r="1" spans="1:4" ht="15.75">
      <c r="A1" s="80" t="s">
        <v>127</v>
      </c>
      <c r="B1" s="80"/>
      <c r="C1" s="80"/>
      <c r="D1" s="80"/>
    </row>
    <row r="2" spans="1:4" ht="15.75">
      <c r="A2" s="80" t="s">
        <v>22</v>
      </c>
      <c r="B2" s="80"/>
      <c r="C2" s="80"/>
      <c r="D2" s="80"/>
    </row>
    <row r="3" ht="15.75">
      <c r="A3" s="5"/>
    </row>
    <row r="4" spans="1:5" ht="36.75" customHeight="1">
      <c r="A4" s="38"/>
      <c r="B4" s="38">
        <v>2018</v>
      </c>
      <c r="C4" s="37">
        <v>2019</v>
      </c>
      <c r="D4" s="37" t="s">
        <v>264</v>
      </c>
      <c r="E4" s="1"/>
    </row>
    <row r="5" spans="1:6" ht="14.25" customHeight="1">
      <c r="A5" s="48" t="s">
        <v>147</v>
      </c>
      <c r="B5" s="40">
        <f>IF(-3053883.7497="","-",-3053883.7497)</f>
        <v>-3053883.7497</v>
      </c>
      <c r="C5" s="40">
        <f>IF(-3062587.07438="","-",-3062587.07438)</f>
        <v>-3062587.07438</v>
      </c>
      <c r="D5" s="40">
        <f>IF(-3053883.7497="","-",-3062587.07438/-3053883.7497*100)</f>
        <v>100.28499200995633</v>
      </c>
      <c r="F5" s="16"/>
    </row>
    <row r="6" spans="1:6" ht="14.25" customHeight="1">
      <c r="A6" s="41" t="s">
        <v>145</v>
      </c>
      <c r="B6" s="24"/>
      <c r="C6" s="24"/>
      <c r="D6" s="24"/>
      <c r="F6" s="16"/>
    </row>
    <row r="7" spans="1:6" ht="14.25" customHeight="1">
      <c r="A7" s="49" t="s">
        <v>186</v>
      </c>
      <c r="B7" s="53">
        <f>IF(51611.68181="","-",51611.68181)</f>
        <v>51611.68181</v>
      </c>
      <c r="C7" s="43">
        <f>IF(26331.29412="","-",26331.29412)</f>
        <v>26331.29412</v>
      </c>
      <c r="D7" s="54">
        <f>IF(51611.68181="","-",26331.29412/51611.68181*100)</f>
        <v>51.01808969708518</v>
      </c>
      <c r="F7" s="16"/>
    </row>
    <row r="8" spans="1:4" ht="15.75">
      <c r="A8" s="31" t="s">
        <v>23</v>
      </c>
      <c r="B8" s="32">
        <f>IF(OR(6817.24452="",6817.24452=0),"-",6817.24452)</f>
        <v>6817.24452</v>
      </c>
      <c r="C8" s="44">
        <f>IF(OR(4465.38854="",4465.38854=0),"-",4465.38854)</f>
        <v>4465.38854</v>
      </c>
      <c r="D8" s="55">
        <f>IF(OR(6817.24452="",4465.38854="",6817.24452=0,4465.38854=0),"-",4465.38854/6817.24452*100)</f>
        <v>65.50136975283381</v>
      </c>
    </row>
    <row r="9" spans="1:4" ht="15.75">
      <c r="A9" s="31" t="s">
        <v>187</v>
      </c>
      <c r="B9" s="32">
        <f>IF(OR(-30214.94701="",-30214.94701=0),"-",-30214.94701)</f>
        <v>-30214.94701</v>
      </c>
      <c r="C9" s="44">
        <f>IF(OR(-37237.4597="",-37237.4597=0),"-",-37237.4597)</f>
        <v>-37237.4597</v>
      </c>
      <c r="D9" s="55">
        <f>IF(OR(-30214.94701="",-37237.4597="",-30214.94701=0,-37237.4597=0),"-",-37237.4597/-30214.94701*100)</f>
        <v>123.24185009384863</v>
      </c>
    </row>
    <row r="10" spans="1:4" ht="15.75">
      <c r="A10" s="31" t="s">
        <v>188</v>
      </c>
      <c r="B10" s="32">
        <f>IF(OR(-37958.11477="",-37958.11477=0),"-",-37958.11477)</f>
        <v>-37958.11477</v>
      </c>
      <c r="C10" s="44">
        <f>IF(OR(-53245.55593="",-53245.55593=0),"-",-53245.55593)</f>
        <v>-53245.55593</v>
      </c>
      <c r="D10" s="55">
        <f>IF(OR(-37958.11477="",-53245.55593="",-37958.11477=0,-53245.55593=0),"-",-53245.55593/-37958.11477*100)</f>
        <v>140.2745005979126</v>
      </c>
    </row>
    <row r="11" spans="1:4" ht="15.75">
      <c r="A11" s="31" t="s">
        <v>189</v>
      </c>
      <c r="B11" s="32">
        <f>IF(OR(-52277.95629="",-52277.95629=0),"-",-52277.95629)</f>
        <v>-52277.95629</v>
      </c>
      <c r="C11" s="44">
        <f>IF(OR(-58564.58747="",-58564.58747=0),"-",-58564.58747)</f>
        <v>-58564.58747</v>
      </c>
      <c r="D11" s="55">
        <f>IF(OR(-52277.95629="",-58564.58747="",-52277.95629=0,-58564.58747=0),"-",-58564.58747/-52277.95629*100)</f>
        <v>112.02539583821209</v>
      </c>
    </row>
    <row r="12" spans="1:4" ht="15.75">
      <c r="A12" s="31" t="s">
        <v>190</v>
      </c>
      <c r="B12" s="32">
        <f>IF(OR(166296.94048="",166296.94048=0),"-",166296.94048)</f>
        <v>166296.94048</v>
      </c>
      <c r="C12" s="44">
        <f>IF(OR(168709.15187="",168709.15187=0),"-",168709.15187)</f>
        <v>168709.15187</v>
      </c>
      <c r="D12" s="55">
        <f>IF(OR(166296.94048="",168709.15187="",166296.94048=0,168709.15187=0),"-",168709.15187/166296.94048*100)</f>
        <v>101.45054466007457</v>
      </c>
    </row>
    <row r="13" spans="1:4" ht="15.75">
      <c r="A13" s="31" t="s">
        <v>191</v>
      </c>
      <c r="B13" s="32">
        <f>IF(OR(114508.25833="",114508.25833=0),"-",114508.25833)</f>
        <v>114508.25833</v>
      </c>
      <c r="C13" s="44">
        <f>IF(OR(129293.34647="",129293.34647=0),"-",129293.34647)</f>
        <v>129293.34647</v>
      </c>
      <c r="D13" s="55">
        <f>IF(OR(114508.25833="",129293.34647="",114508.25833=0,129293.34647=0),"-",129293.34647/114508.25833*100)</f>
        <v>112.91180946739321</v>
      </c>
    </row>
    <row r="14" spans="1:4" ht="15.75">
      <c r="A14" s="31" t="s">
        <v>192</v>
      </c>
      <c r="B14" s="32">
        <f>IF(OR(12544.04255="",12544.04255=0),"-",12544.04255)</f>
        <v>12544.04255</v>
      </c>
      <c r="C14" s="44">
        <f>IF(OR(3695.97326="",3695.97326=0),"-",3695.97326)</f>
        <v>3695.97326</v>
      </c>
      <c r="D14" s="55">
        <f>IF(OR(12544.04255="",3695.97326="",12544.04255=0,3695.97326=0),"-",3695.97326/12544.04255*100)</f>
        <v>29.463972601081462</v>
      </c>
    </row>
    <row r="15" spans="1:4" ht="15.75">
      <c r="A15" s="31" t="s">
        <v>193</v>
      </c>
      <c r="B15" s="32">
        <f>IF(OR(-45032.55525="",-45032.55525=0),"-",-45032.55525)</f>
        <v>-45032.55525</v>
      </c>
      <c r="C15" s="44">
        <f>IF(OR(-46795.05819="",-46795.05819=0),"-",-46795.05819)</f>
        <v>-46795.05819</v>
      </c>
      <c r="D15" s="55">
        <f>IF(OR(-45032.55525="",-46795.05819="",-45032.55525=0,-46795.05819=0),"-",-46795.05819/-45032.55525*100)</f>
        <v>103.91384173119957</v>
      </c>
    </row>
    <row r="16" spans="1:4" ht="15.75">
      <c r="A16" s="31" t="s">
        <v>194</v>
      </c>
      <c r="B16" s="32">
        <f>IF(OR(-12887.3695="",-12887.3695=0),"-",-12887.3695)</f>
        <v>-12887.3695</v>
      </c>
      <c r="C16" s="44">
        <f>IF(OR(-6352.98418="",-6352.98418=0),"-",-6352.98418)</f>
        <v>-6352.98418</v>
      </c>
      <c r="D16" s="55">
        <f>IF(OR(-12887.3695="",-6352.98418="",-12887.3695=0,-6352.98418=0),"-",-6352.98418/-12887.3695*100)</f>
        <v>49.296205715215976</v>
      </c>
    </row>
    <row r="17" spans="1:4" ht="15.75">
      <c r="A17" s="31" t="s">
        <v>195</v>
      </c>
      <c r="B17" s="32">
        <f>IF(OR(-70183.86125="",-70183.86125=0),"-",-70183.86125)</f>
        <v>-70183.86125</v>
      </c>
      <c r="C17" s="44">
        <f>IF(OR(-77636.92055="",-77636.92055=0),"-",-77636.92055)</f>
        <v>-77636.92055</v>
      </c>
      <c r="D17" s="55">
        <f>IF(OR(-70183.86125="",-77636.92055="",-70183.86125=0,-77636.92055=0),"-",-77636.92055/-70183.86125*100)</f>
        <v>110.6193349400536</v>
      </c>
    </row>
    <row r="18" spans="1:4" ht="15.75">
      <c r="A18" s="49" t="s">
        <v>196</v>
      </c>
      <c r="B18" s="53">
        <f>IF(93617.92458="","-",93617.92458)</f>
        <v>93617.92458</v>
      </c>
      <c r="C18" s="43">
        <f>IF(90441.45291="","-",90441.45291)</f>
        <v>90441.45291</v>
      </c>
      <c r="D18" s="54">
        <f>IF(93617.92458="","-",90441.45291/93617.92458*100)</f>
        <v>96.60698345509083</v>
      </c>
    </row>
    <row r="19" spans="1:4" ht="15.75">
      <c r="A19" s="31" t="s">
        <v>197</v>
      </c>
      <c r="B19" s="32">
        <f>IF(OR(134314.64384="",134314.64384=0),"-",134314.64384)</f>
        <v>134314.64384</v>
      </c>
      <c r="C19" s="44">
        <f>IF(OR(133375.27529="",133375.27529=0),"-",133375.27529)</f>
        <v>133375.27529</v>
      </c>
      <c r="D19" s="55">
        <f>IF(OR(134314.64384="",133375.27529="",134314.64384=0,133375.27529=0),"-",133375.27529/134314.64384*100)</f>
        <v>99.30062089795733</v>
      </c>
    </row>
    <row r="20" spans="1:4" ht="15.75">
      <c r="A20" s="31" t="s">
        <v>198</v>
      </c>
      <c r="B20" s="32">
        <f>IF(OR(-40696.71926="",-40696.71926=0),"-",-40696.71926)</f>
        <v>-40696.71926</v>
      </c>
      <c r="C20" s="44">
        <f>IF(OR(-42933.82238="",-42933.82238=0),"-",-42933.82238)</f>
        <v>-42933.82238</v>
      </c>
      <c r="D20" s="55">
        <f>IF(OR(-40696.71926="",-42933.82238="",-40696.71926=0,-42933.82238=0),"-",-42933.82238/-40696.71926*100)</f>
        <v>105.49701096471136</v>
      </c>
    </row>
    <row r="21" spans="1:4" ht="15.75">
      <c r="A21" s="49" t="s">
        <v>24</v>
      </c>
      <c r="B21" s="53">
        <f>IF(139304.70391="","-",139304.70391)</f>
        <v>139304.70391</v>
      </c>
      <c r="C21" s="43">
        <f>IF(156562.79088="","-",156562.79088)</f>
        <v>156562.79088</v>
      </c>
      <c r="D21" s="54">
        <f>IF(139304.70391="","-",156562.79088/139304.70391*100)</f>
        <v>112.3887323870627</v>
      </c>
    </row>
    <row r="22" spans="1:4" ht="15.75">
      <c r="A22" s="31" t="s">
        <v>199</v>
      </c>
      <c r="B22" s="32">
        <f>IF(OR(2878.33023="",2878.33023=0),"-",2878.33023)</f>
        <v>2878.33023</v>
      </c>
      <c r="C22" s="44">
        <f>IF(OR(1615.57161="",1615.57161=0),"-",1615.57161)</f>
        <v>1615.57161</v>
      </c>
      <c r="D22" s="55">
        <f>IF(OR(2878.33023="",1615.57161="",2878.33023=0,1615.57161=0),"-",1615.57161/2878.33023*100)</f>
        <v>56.12877887190866</v>
      </c>
    </row>
    <row r="23" spans="1:4" ht="15.75">
      <c r="A23" s="31" t="s">
        <v>200</v>
      </c>
      <c r="B23" s="32">
        <f>IF(OR(202009.56247="",202009.56247=0),"-",202009.56247)</f>
        <v>202009.56247</v>
      </c>
      <c r="C23" s="44">
        <f>IF(OR(228647.62414="",228647.62414=0),"-",228647.62414)</f>
        <v>228647.62414</v>
      </c>
      <c r="D23" s="55">
        <f>IF(OR(202009.56247="",228647.62414="",202009.56247=0,228647.62414=0),"-",228647.62414/202009.56247*100)</f>
        <v>113.18653500571585</v>
      </c>
    </row>
    <row r="24" spans="1:4" ht="15.75">
      <c r="A24" s="31" t="s">
        <v>239</v>
      </c>
      <c r="B24" s="32">
        <f>IF(OR(-943.106="",-943.106=0),"-",-943.106)</f>
        <v>-943.106</v>
      </c>
      <c r="C24" s="44">
        <f>IF(OR(-1541.00068="",-1541.00068=0),"-",-1541.00068)</f>
        <v>-1541.00068</v>
      </c>
      <c r="D24" s="55" t="s">
        <v>106</v>
      </c>
    </row>
    <row r="25" spans="1:4" ht="15.75">
      <c r="A25" s="31" t="s">
        <v>201</v>
      </c>
      <c r="B25" s="32">
        <f>IF(OR(-34629.59658="",-34629.59658=0),"-",-34629.59658)</f>
        <v>-34629.59658</v>
      </c>
      <c r="C25" s="44">
        <f>IF(OR(-37331.7312="",-37331.7312=0),"-",-37331.7312)</f>
        <v>-37331.7312</v>
      </c>
      <c r="D25" s="55">
        <f>IF(OR(-34629.59658="",-37331.7312="",-34629.59658=0,-37331.7312=0),"-",-37331.7312/-34629.59658*100)</f>
        <v>107.8029630341134</v>
      </c>
    </row>
    <row r="26" spans="1:4" ht="15.75">
      <c r="A26" s="31" t="s">
        <v>202</v>
      </c>
      <c r="B26" s="32">
        <f>IF(OR(2757.30304="",2757.30304=0),"-",2757.30304)</f>
        <v>2757.30304</v>
      </c>
      <c r="C26" s="44">
        <f>IF(OR(2185.98953="",2185.98953=0),"-",2185.98953)</f>
        <v>2185.98953</v>
      </c>
      <c r="D26" s="55">
        <f>IF(OR(2757.30304="",2185.98953="",2757.30304=0,2185.98953=0),"-",2185.98953/2757.30304*100)</f>
        <v>79.27998839039469</v>
      </c>
    </row>
    <row r="27" spans="1:4" ht="25.5">
      <c r="A27" s="31" t="s">
        <v>203</v>
      </c>
      <c r="B27" s="32">
        <f>IF(OR(-8097.59931="",-8097.59931=0),"-",-8097.59931)</f>
        <v>-8097.59931</v>
      </c>
      <c r="C27" s="44">
        <f>IF(OR(-7968.52911="",-7968.52911=0),"-",-7968.52911)</f>
        <v>-7968.52911</v>
      </c>
      <c r="D27" s="55">
        <f>IF(OR(-8097.59931="",-7968.52911="",-8097.59931=0,-7968.52911=0),"-",-7968.52911/-8097.59931*100)</f>
        <v>98.40606832891069</v>
      </c>
    </row>
    <row r="28" spans="1:4" ht="25.5">
      <c r="A28" s="31" t="s">
        <v>204</v>
      </c>
      <c r="B28" s="32">
        <f>IF(OR(-5620.40504="",-5620.40504=0),"-",-5620.40504)</f>
        <v>-5620.40504</v>
      </c>
      <c r="C28" s="44">
        <f>IF(OR(-14569.57519="",-14569.57519=0),"-",-14569.57519)</f>
        <v>-14569.57519</v>
      </c>
      <c r="D28" s="55" t="s">
        <v>279</v>
      </c>
    </row>
    <row r="29" spans="1:4" ht="15.75">
      <c r="A29" s="31" t="s">
        <v>205</v>
      </c>
      <c r="B29" s="32">
        <f>IF(OR(13137.36835="",13137.36835=0),"-",13137.36835)</f>
        <v>13137.36835</v>
      </c>
      <c r="C29" s="44">
        <f>IF(OR(14334.19222="",14334.19222=0),"-",14334.19222)</f>
        <v>14334.19222</v>
      </c>
      <c r="D29" s="55">
        <f>IF(OR(13137.36835="",14334.19222="",13137.36835=0,14334.19222=0),"-",14334.19222/13137.36835*100)</f>
        <v>109.11007317534794</v>
      </c>
    </row>
    <row r="30" spans="1:4" ht="15.75">
      <c r="A30" s="31" t="s">
        <v>206</v>
      </c>
      <c r="B30" s="32">
        <f>IF(OR(-32187.15325="",-32187.15325=0),"-",-32187.15325)</f>
        <v>-32187.15325</v>
      </c>
      <c r="C30" s="44">
        <f>IF(OR(-28809.75044="",-28809.75044=0),"-",-28809.75044)</f>
        <v>-28809.75044</v>
      </c>
      <c r="D30" s="55">
        <f>IF(OR(-32187.15325="",-28809.75044="",-32187.15325=0,-28809.75044=0),"-",-28809.75044/-32187.15325*100)</f>
        <v>89.50698502670471</v>
      </c>
    </row>
    <row r="31" spans="1:4" ht="15.75">
      <c r="A31" s="49" t="s">
        <v>207</v>
      </c>
      <c r="B31" s="53">
        <f>IF(-971242.92913="","-",-971242.92913)</f>
        <v>-971242.92913</v>
      </c>
      <c r="C31" s="43">
        <f>IF(-911717.81573="","-",-911717.81573)</f>
        <v>-911717.81573</v>
      </c>
      <c r="D31" s="54">
        <f>IF(-971242.92913="","-",-911717.81573/-971242.92913*100)</f>
        <v>93.87124357720472</v>
      </c>
    </row>
    <row r="32" spans="1:4" ht="15.75">
      <c r="A32" s="31" t="s">
        <v>240</v>
      </c>
      <c r="B32" s="32">
        <f>IF(OR(-18240.61741="",-18240.61741=0),"-",-18240.61741)</f>
        <v>-18240.61741</v>
      </c>
      <c r="C32" s="44">
        <f>IF(OR(-18698.44759="",-18698.44759=0),"-",-18698.44759)</f>
        <v>-18698.44759</v>
      </c>
      <c r="D32" s="55">
        <f>IF(OR(-18240.61741="",-18698.44759="",-18240.61741=0,-18698.44759=0),"-",-18698.44759/-18240.61741*100)</f>
        <v>102.50994892173443</v>
      </c>
    </row>
    <row r="33" spans="1:4" ht="15.75">
      <c r="A33" s="31" t="s">
        <v>208</v>
      </c>
      <c r="B33" s="32">
        <f>IF(OR(-613902.06377="",-613902.06377=0),"-",-613902.06377)</f>
        <v>-613902.06377</v>
      </c>
      <c r="C33" s="44">
        <f>IF(OR(-577579.306="",-577579.306=0),"-",-577579.306)</f>
        <v>-577579.306</v>
      </c>
      <c r="D33" s="55">
        <f>IF(OR(-613902.06377="",-577579.306="",-613902.06377=0,-577579.306=0),"-",-577579.306/-613902.06377*100)</f>
        <v>94.08329766038896</v>
      </c>
    </row>
    <row r="34" spans="1:4" ht="15.75">
      <c r="A34" s="31" t="s">
        <v>241</v>
      </c>
      <c r="B34" s="32">
        <f>IF(OR(-284020.09072="",-284020.09072=0),"-",-284020.09072)</f>
        <v>-284020.09072</v>
      </c>
      <c r="C34" s="44">
        <f>IF(OR(-275594.15008="",-275594.15008=0),"-",-275594.15008)</f>
        <v>-275594.15008</v>
      </c>
      <c r="D34" s="55">
        <f>IF(OR(-284020.09072="",-275594.15008="",-284020.09072=0,-275594.15008=0),"-",-275594.15008/-284020.09072*100)</f>
        <v>97.03332936108852</v>
      </c>
    </row>
    <row r="35" spans="1:4" ht="15.75">
      <c r="A35" s="31" t="s">
        <v>209</v>
      </c>
      <c r="B35" s="32">
        <f>IF(OR(-55080.15723="",-55080.15723=0),"-",-55080.15723)</f>
        <v>-55080.15723</v>
      </c>
      <c r="C35" s="44">
        <f>IF(OR(-39845.91206="",-39845.91206=0),"-",-39845.91206)</f>
        <v>-39845.91206</v>
      </c>
      <c r="D35" s="55">
        <f>IF(OR(-55080.15723="",-39845.91206="",-55080.15723=0,-39845.91206=0),"-",-39845.91206/-55080.15723*100)</f>
        <v>72.3416817668369</v>
      </c>
    </row>
    <row r="36" spans="1:4" ht="15.75">
      <c r="A36" s="49" t="s">
        <v>210</v>
      </c>
      <c r="B36" s="53">
        <f>IF(55046.47464="","-",55046.47464)</f>
        <v>55046.47464</v>
      </c>
      <c r="C36" s="43">
        <f>IF(58685.04603="","-",58685.04603)</f>
        <v>58685.04603</v>
      </c>
      <c r="D36" s="54">
        <f>IF(55046.47464="","-",58685.04603/55046.47464*100)</f>
        <v>106.609998939616</v>
      </c>
    </row>
    <row r="37" spans="1:4" ht="15.75">
      <c r="A37" s="31" t="s">
        <v>242</v>
      </c>
      <c r="B37" s="32">
        <f>IF(OR(-1581.67928="",-1581.67928=0),"-",-1581.67928)</f>
        <v>-1581.67928</v>
      </c>
      <c r="C37" s="44">
        <f>IF(OR(-1838.99859="",-1838.99859=0),"-",-1838.99859)</f>
        <v>-1838.99859</v>
      </c>
      <c r="D37" s="55">
        <f>IF(OR(-1581.67928="",-1838.99859="",-1581.67928=0,-1838.99859=0),"-",-1838.99859/-1581.67928*100)</f>
        <v>116.26874128363114</v>
      </c>
    </row>
    <row r="38" spans="1:4" ht="15.75" customHeight="1">
      <c r="A38" s="31" t="s">
        <v>211</v>
      </c>
      <c r="B38" s="32">
        <f>IF(OR(59313.02809="",59313.02809=0),"-",59313.02809)</f>
        <v>59313.02809</v>
      </c>
      <c r="C38" s="44">
        <f>IF(OR(63027.92648="",63027.92648=0),"-",63027.92648)</f>
        <v>63027.92648</v>
      </c>
      <c r="D38" s="55">
        <f>IF(OR(59313.02809="",63027.92648="",59313.02809=0,63027.92648=0),"-",63027.92648/59313.02809*100)</f>
        <v>106.26320811738547</v>
      </c>
    </row>
    <row r="39" spans="1:4" ht="38.25">
      <c r="A39" s="31" t="s">
        <v>212</v>
      </c>
      <c r="B39" s="32">
        <f>IF(OR(-2684.87417="",-2684.87417=0),"-",-2684.87417)</f>
        <v>-2684.87417</v>
      </c>
      <c r="C39" s="44">
        <f>IF(OR(-2503.88186="",-2503.88186=0),"-",-2503.88186)</f>
        <v>-2503.88186</v>
      </c>
      <c r="D39" s="55">
        <f>IF(OR(-2684.87417="",-2503.88186="",-2684.87417=0,-2503.88186=0),"-",-2503.88186/-2684.87417*100)</f>
        <v>93.25881592432317</v>
      </c>
    </row>
    <row r="40" spans="1:4" ht="15.75" customHeight="1">
      <c r="A40" s="49" t="s">
        <v>213</v>
      </c>
      <c r="B40" s="53">
        <f>IF(-684166.0582="","-",-684166.0582)</f>
        <v>-684166.0582</v>
      </c>
      <c r="C40" s="43">
        <f>IF(-695736.68067="","-",-695736.68067)</f>
        <v>-695736.68067</v>
      </c>
      <c r="D40" s="54">
        <f>IF(-684166.0582="","-",-695736.68067/-684166.0582*100)</f>
        <v>101.69120089067873</v>
      </c>
    </row>
    <row r="41" spans="1:4" ht="14.25" customHeight="1">
      <c r="A41" s="31" t="s">
        <v>25</v>
      </c>
      <c r="B41" s="32">
        <f>IF(OR(3952.25453="",3952.25453=0),"-",3952.25453)</f>
        <v>3952.25453</v>
      </c>
      <c r="C41" s="44">
        <f>IF(OR(1052.59067="",1052.59067=0),"-",1052.59067)</f>
        <v>1052.59067</v>
      </c>
      <c r="D41" s="55">
        <f>IF(OR(3952.25453="",1052.59067="",3952.25453=0,1052.59067=0),"-",1052.59067/3952.25453*100)</f>
        <v>26.632664015189327</v>
      </c>
    </row>
    <row r="42" spans="1:4" ht="15" customHeight="1">
      <c r="A42" s="31" t="s">
        <v>26</v>
      </c>
      <c r="B42" s="32">
        <f>IF(OR(-15552.74823="",-15552.74823=0),"-",-15552.74823)</f>
        <v>-15552.74823</v>
      </c>
      <c r="C42" s="44">
        <f>IF(OR(-15616.16847="",-15616.16847=0),"-",-15616.16847)</f>
        <v>-15616.16847</v>
      </c>
      <c r="D42" s="55">
        <f>IF(OR(-15552.74823="",-15616.16847="",-15552.74823=0,-15616.16847=0),"-",-15616.16847/-15552.74823*100)</f>
        <v>100.4077751344143</v>
      </c>
    </row>
    <row r="43" spans="1:4" ht="15.75">
      <c r="A43" s="31" t="s">
        <v>214</v>
      </c>
      <c r="B43" s="32">
        <f>IF(OR(-34168.84445="",-34168.84445=0),"-",-34168.84445)</f>
        <v>-34168.84445</v>
      </c>
      <c r="C43" s="44">
        <f>IF(OR(-38485.93829="",-38485.93829=0),"-",-38485.93829)</f>
        <v>-38485.93829</v>
      </c>
      <c r="D43" s="55">
        <f>IF(OR(-34168.84445="",-38485.93829="",-34168.84445=0,-38485.93829=0),"-",-38485.93829/-34168.84445*100)</f>
        <v>112.63459127603012</v>
      </c>
    </row>
    <row r="44" spans="1:4" ht="15.75">
      <c r="A44" s="31" t="s">
        <v>215</v>
      </c>
      <c r="B44" s="32">
        <f>IF(OR(-167451.75353="",-167451.75353=0),"-",-167451.75353)</f>
        <v>-167451.75353</v>
      </c>
      <c r="C44" s="44">
        <f>IF(OR(-171717.73422="",-171717.73422=0),"-",-171717.73422)</f>
        <v>-171717.73422</v>
      </c>
      <c r="D44" s="55">
        <f>IF(OR(-167451.75353="",-171717.73422="",-167451.75353=0,-171717.73422=0),"-",-171717.73422/-167451.75353*100)</f>
        <v>102.54758794701769</v>
      </c>
    </row>
    <row r="45" spans="1:4" ht="25.5">
      <c r="A45" s="31" t="s">
        <v>216</v>
      </c>
      <c r="B45" s="32">
        <f>IF(OR(-92445.28854="",-92445.28854=0),"-",-92445.28854)</f>
        <v>-92445.28854</v>
      </c>
      <c r="C45" s="44">
        <f>IF(OR(-101072.07368="",-101072.07368=0),"-",-101072.07368)</f>
        <v>-101072.07368</v>
      </c>
      <c r="D45" s="55">
        <f>IF(OR(-92445.28854="",-101072.07368="",-92445.28854=0,-101072.07368=0),"-",-101072.07368/-92445.28854*100)</f>
        <v>109.33177371853549</v>
      </c>
    </row>
    <row r="46" spans="1:4" ht="15.75">
      <c r="A46" s="31" t="s">
        <v>218</v>
      </c>
      <c r="B46" s="32">
        <f>IF(OR(-86112.08408="",-86112.08408=0),"-",-86112.08408)</f>
        <v>-86112.08408</v>
      </c>
      <c r="C46" s="44">
        <f>IF(OR(-83869.46273="",-83869.46273=0),"-",-83869.46273)</f>
        <v>-83869.46273</v>
      </c>
      <c r="D46" s="55">
        <f>IF(OR(-86112.08408="",-83869.46273="",-86112.08408=0,-83869.46273=0),"-",-83869.46273/-86112.08408*100)</f>
        <v>97.39569495505816</v>
      </c>
    </row>
    <row r="47" spans="1:4" ht="15.75">
      <c r="A47" s="31" t="s">
        <v>27</v>
      </c>
      <c r="B47" s="32">
        <f>IF(OR(-56733.82783="",-56733.82783=0),"-",-56733.82783)</f>
        <v>-56733.82783</v>
      </c>
      <c r="C47" s="44">
        <f>IF(OR(-50942.52965="",-50942.52965=0),"-",-50942.52965)</f>
        <v>-50942.52965</v>
      </c>
      <c r="D47" s="55">
        <f>IF(OR(-56733.82783="",-50942.52965="",-56733.82783=0,-50942.52965=0),"-",-50942.52965/-56733.82783*100)</f>
        <v>89.79216033624007</v>
      </c>
    </row>
    <row r="48" spans="1:4" ht="15.75">
      <c r="A48" s="31" t="s">
        <v>28</v>
      </c>
      <c r="B48" s="32">
        <f>IF(OR(-110269.88476="",-110269.88476=0),"-",-110269.88476)</f>
        <v>-110269.88476</v>
      </c>
      <c r="C48" s="44">
        <f>IF(OR(-112798.72751="",-112798.72751=0),"-",-112798.72751)</f>
        <v>-112798.72751</v>
      </c>
      <c r="D48" s="55">
        <f>IF(OR(-110269.88476="",-112798.72751="",-110269.88476=0,-112798.72751=0),"-",-112798.72751/-110269.88476*100)</f>
        <v>102.29332129574993</v>
      </c>
    </row>
    <row r="49" spans="1:4" ht="15.75">
      <c r="A49" s="31" t="s">
        <v>217</v>
      </c>
      <c r="B49" s="32">
        <f>IF(OR(-125383.88131="",-125383.88131=0),"-",-125383.88131)</f>
        <v>-125383.88131</v>
      </c>
      <c r="C49" s="44">
        <f>IF(OR(-122286.63679="",-122286.63679=0),"-",-122286.63679)</f>
        <v>-122286.63679</v>
      </c>
      <c r="D49" s="55">
        <f>IF(OR(-125383.88131="",-122286.63679="",-125383.88131=0,-122286.63679=0),"-",-122286.63679/-125383.88131*100)</f>
        <v>97.52979052200311</v>
      </c>
    </row>
    <row r="50" spans="1:4" ht="25.5">
      <c r="A50" s="49" t="s">
        <v>219</v>
      </c>
      <c r="B50" s="53">
        <f>IF(-962172.70468="","-",-962172.70468)</f>
        <v>-962172.70468</v>
      </c>
      <c r="C50" s="43">
        <f>IF(-960333.56738="","-",-960333.56738)</f>
        <v>-960333.56738</v>
      </c>
      <c r="D50" s="54">
        <f>IF(-962172.70468="","-",-960333.56738/-962172.70468*100)</f>
        <v>99.80885580197251</v>
      </c>
    </row>
    <row r="51" spans="1:4" ht="15" customHeight="1">
      <c r="A51" s="31" t="s">
        <v>220</v>
      </c>
      <c r="B51" s="32">
        <f>IF(OR(-53368.35362="",-53368.35362=0),"-",-53368.35362)</f>
        <v>-53368.35362</v>
      </c>
      <c r="C51" s="44">
        <f>IF(OR(-54527.61096="",-54527.61096=0),"-",-54527.61096)</f>
        <v>-54527.61096</v>
      </c>
      <c r="D51" s="55">
        <f>IF(OR(-53368.35362="",-54527.61096="",-53368.35362=0,-54527.61096=0),"-",-54527.61096/-53368.35362*100)</f>
        <v>102.1721811923491</v>
      </c>
    </row>
    <row r="52" spans="1:4" ht="15" customHeight="1">
      <c r="A52" s="31" t="s">
        <v>29</v>
      </c>
      <c r="B52" s="32">
        <f>IF(OR(-66671.12175="",-66671.12175=0),"-",-66671.12175)</f>
        <v>-66671.12175</v>
      </c>
      <c r="C52" s="44">
        <f>IF(OR(-65455.17488="",-65455.17488=0),"-",-65455.17488)</f>
        <v>-65455.17488</v>
      </c>
      <c r="D52" s="55">
        <f>IF(OR(-66671.12175="",-65455.17488="",-66671.12175=0,-65455.17488=0),"-",-65455.17488/-66671.12175*100)</f>
        <v>98.17620157260964</v>
      </c>
    </row>
    <row r="53" spans="1:4" ht="15.75">
      <c r="A53" s="31" t="s">
        <v>221</v>
      </c>
      <c r="B53" s="32">
        <f>IF(OR(-70877.3133="",-70877.3133=0),"-",-70877.3133)</f>
        <v>-70877.3133</v>
      </c>
      <c r="C53" s="44">
        <f>IF(OR(-71464.19719="",-71464.19719=0),"-",-71464.19719)</f>
        <v>-71464.19719</v>
      </c>
      <c r="D53" s="55">
        <f>IF(OR(-70877.3133="",-71464.19719="",-70877.3133=0,-71464.19719=0),"-",-71464.19719/-70877.3133*100)</f>
        <v>100.82802784512432</v>
      </c>
    </row>
    <row r="54" spans="1:4" ht="25.5">
      <c r="A54" s="31" t="s">
        <v>222</v>
      </c>
      <c r="B54" s="32">
        <f>IF(OR(-91290.00423="",-91290.00423=0),"-",-91290.00423)</f>
        <v>-91290.00423</v>
      </c>
      <c r="C54" s="44">
        <f>IF(OR(-95089.38149="",-95089.38149=0),"-",-95089.38149)</f>
        <v>-95089.38149</v>
      </c>
      <c r="D54" s="55">
        <f>IF(OR(-91290.00423="",-95089.38149="",-91290.00423=0,-95089.38149=0),"-",-95089.38149/-91290.00423*100)</f>
        <v>104.16187652968848</v>
      </c>
    </row>
    <row r="55" spans="1:4" ht="25.5">
      <c r="A55" s="31" t="s">
        <v>245</v>
      </c>
      <c r="B55" s="32">
        <f>IF(OR(-224517.15006="",-224517.15006=0),"-",-224517.15006)</f>
        <v>-224517.15006</v>
      </c>
      <c r="C55" s="44">
        <f>IF(OR(-209268.02823="",-209268.02823=0),"-",-209268.02823)</f>
        <v>-209268.02823</v>
      </c>
      <c r="D55" s="55">
        <f>IF(OR(-224517.15006="",-209268.02823="",-224517.15006=0,-209268.02823=0),"-",-209268.02823/-224517.15006*100)</f>
        <v>93.20803696914697</v>
      </c>
    </row>
    <row r="56" spans="1:4" ht="15.75">
      <c r="A56" s="31" t="s">
        <v>30</v>
      </c>
      <c r="B56" s="32">
        <f>IF(OR(-78598.14397="",-78598.14397=0),"-",-78598.14397)</f>
        <v>-78598.14397</v>
      </c>
      <c r="C56" s="44">
        <f>IF(OR(-82901.13313="",-82901.13313=0),"-",-82901.13313)</f>
        <v>-82901.13313</v>
      </c>
      <c r="D56" s="55">
        <f>IF(OR(-78598.14397="",-82901.13313="",-78598.14397=0,-82901.13313=0),"-",-82901.13313/-78598.14397*100)</f>
        <v>105.47467019277504</v>
      </c>
    </row>
    <row r="57" spans="1:4" ht="15.75">
      <c r="A57" s="31" t="s">
        <v>223</v>
      </c>
      <c r="B57" s="32">
        <f>IF(OR(-130492.14116="",-130492.14116=0),"-",-130492.14116)</f>
        <v>-130492.14116</v>
      </c>
      <c r="C57" s="44">
        <f>IF(OR(-141977.07639="",-141977.07639=0),"-",-141977.07639)</f>
        <v>-141977.07639</v>
      </c>
      <c r="D57" s="55">
        <f>IF(OR(-130492.14116="",-141977.07639="",-130492.14116=0,-141977.07639=0),"-",-141977.07639/-130492.14116*100)</f>
        <v>108.80124667118307</v>
      </c>
    </row>
    <row r="58" spans="1:4" ht="15.75">
      <c r="A58" s="31" t="s">
        <v>31</v>
      </c>
      <c r="B58" s="32">
        <f>IF(OR(-103715.65581="",-103715.65581=0),"-",-103715.65581)</f>
        <v>-103715.65581</v>
      </c>
      <c r="C58" s="44">
        <f>IF(OR(-89923.02054="",-89923.02054=0),"-",-89923.02054)</f>
        <v>-89923.02054</v>
      </c>
      <c r="D58" s="55">
        <f>IF(OR(-103715.65581="",-89923.02054="",-103715.65581=0,-89923.02054=0),"-",-89923.02054/-103715.65581*100)</f>
        <v>86.70149153251543</v>
      </c>
    </row>
    <row r="59" spans="1:4" ht="15.75">
      <c r="A59" s="31" t="s">
        <v>32</v>
      </c>
      <c r="B59" s="32">
        <f>IF(OR(-142642.82078="",-142642.82078=0),"-",-142642.82078)</f>
        <v>-142642.82078</v>
      </c>
      <c r="C59" s="44">
        <f>IF(OR(-149727.94457="",-149727.94457=0),"-",-149727.94457)</f>
        <v>-149727.94457</v>
      </c>
      <c r="D59" s="55">
        <f>IF(OR(-142642.82078="",-149727.94457="",-142642.82078=0,-149727.94457=0),"-",-149727.94457/-142642.82078*100)</f>
        <v>104.96703847502249</v>
      </c>
    </row>
    <row r="60" spans="1:4" ht="15.75">
      <c r="A60" s="49" t="s">
        <v>224</v>
      </c>
      <c r="B60" s="53">
        <f>IF(-798162.50319="","-",-798162.50319)</f>
        <v>-798162.50319</v>
      </c>
      <c r="C60" s="43">
        <f>IF(-777338.57773="","-",-777338.57773)</f>
        <v>-777338.57773</v>
      </c>
      <c r="D60" s="54">
        <f>IF(-798162.50319="","-",-777338.57773/-798162.50319*100)</f>
        <v>97.39101681966099</v>
      </c>
    </row>
    <row r="61" spans="1:4" ht="15.75">
      <c r="A61" s="31" t="s">
        <v>225</v>
      </c>
      <c r="B61" s="32">
        <f>IF(OR(-20213.32233="",-20213.32233=0),"-",-20213.32233)</f>
        <v>-20213.32233</v>
      </c>
      <c r="C61" s="44">
        <f>IF(OR(-17188.77626="",-17188.77626=0),"-",-17188.77626)</f>
        <v>-17188.77626</v>
      </c>
      <c r="D61" s="55">
        <f>IF(OR(-20213.32233="",-17188.77626="",-20213.32233=0,-17188.77626=0),"-",-17188.77626/-20213.32233*100)</f>
        <v>85.03686815743762</v>
      </c>
    </row>
    <row r="62" spans="1:4" ht="15.75">
      <c r="A62" s="31" t="s">
        <v>226</v>
      </c>
      <c r="B62" s="32">
        <f>IF(OR(-193985.78654="",-193985.78654=0),"-",-193985.78654)</f>
        <v>-193985.78654</v>
      </c>
      <c r="C62" s="44">
        <f>IF(OR(-176651.13476="",-176651.13476=0),"-",-176651.13476)</f>
        <v>-176651.13476</v>
      </c>
      <c r="D62" s="55">
        <f>IF(OR(-193985.78654="",-176651.13476="",-193985.78654=0,-176651.13476=0),"-",-176651.13476/-193985.78654*100)</f>
        <v>91.06395778309995</v>
      </c>
    </row>
    <row r="63" spans="1:4" ht="15.75">
      <c r="A63" s="31" t="s">
        <v>227</v>
      </c>
      <c r="B63" s="32">
        <f>IF(OR(-12083.08077="",-12083.08077=0),"-",-12083.08077)</f>
        <v>-12083.08077</v>
      </c>
      <c r="C63" s="44">
        <f>IF(OR(-8695.65542="",-8695.65542=0),"-",-8695.65542)</f>
        <v>-8695.65542</v>
      </c>
      <c r="D63" s="55">
        <f>IF(OR(-12083.08077="",-8695.65542="",-12083.08077=0,-8695.65542=0),"-",-8695.65542/-12083.08077*100)</f>
        <v>71.96554906418952</v>
      </c>
    </row>
    <row r="64" spans="1:4" ht="25.5">
      <c r="A64" s="31" t="s">
        <v>228</v>
      </c>
      <c r="B64" s="32">
        <f>IF(OR(-154506.93476="",-154506.93476=0),"-",-154506.93476)</f>
        <v>-154506.93476</v>
      </c>
      <c r="C64" s="44">
        <f>IF(OR(-166343.15625="",-166343.15625=0),"-",-166343.15625)</f>
        <v>-166343.15625</v>
      </c>
      <c r="D64" s="55">
        <f>IF(OR(-154506.93476="",-166343.15625="",-154506.93476=0,-166343.15625=0),"-",-166343.15625/-154506.93476*100)</f>
        <v>107.66064093393966</v>
      </c>
    </row>
    <row r="65" spans="1:4" ht="25.5">
      <c r="A65" s="31" t="s">
        <v>229</v>
      </c>
      <c r="B65" s="32">
        <f>IF(OR(-56324.82091="",-56324.82091=0),"-",-56324.82091)</f>
        <v>-56324.82091</v>
      </c>
      <c r="C65" s="44">
        <f>IF(OR(-48786.22451="",-48786.22451=0),"-",-48786.22451)</f>
        <v>-48786.22451</v>
      </c>
      <c r="D65" s="55">
        <f>IF(OR(-56324.82091="",-48786.22451="",-56324.82091=0,-48786.22451=0),"-",-48786.22451/-56324.82091*100)</f>
        <v>86.61585376002219</v>
      </c>
    </row>
    <row r="66" spans="1:4" ht="25.5">
      <c r="A66" s="31" t="s">
        <v>230</v>
      </c>
      <c r="B66" s="32">
        <f>IF(OR(-152227.27446="",-152227.27446=0),"-",-152227.27446)</f>
        <v>-152227.27446</v>
      </c>
      <c r="C66" s="44">
        <f>IF(OR(-166211.37934="",-166211.37934=0),"-",-166211.37934)</f>
        <v>-166211.37934</v>
      </c>
      <c r="D66" s="55">
        <f>IF(OR(-152227.27446="",-166211.37934="",-152227.27446=0,-166211.37934=0),"-",-166211.37934/-152227.27446*100)</f>
        <v>109.18633334900478</v>
      </c>
    </row>
    <row r="67" spans="1:4" ht="28.5" customHeight="1">
      <c r="A67" s="31" t="s">
        <v>231</v>
      </c>
      <c r="B67" s="32">
        <f>IF(OR(84988.39664="",84988.39664=0),"-",84988.39664)</f>
        <v>84988.39664</v>
      </c>
      <c r="C67" s="44">
        <f>IF(OR(124417.29905="",124417.29905=0),"-",124417.29905)</f>
        <v>124417.29905</v>
      </c>
      <c r="D67" s="55">
        <f>IF(OR(84988.39664="",124417.29905="",84988.39664=0,124417.29905=0),"-",124417.29905/84988.39664*100)</f>
        <v>146.3932771634883</v>
      </c>
    </row>
    <row r="68" spans="1:4" ht="15.75">
      <c r="A68" s="31" t="s">
        <v>232</v>
      </c>
      <c r="B68" s="32">
        <f>IF(OR(-289913.53895="",-289913.53895=0),"-",-289913.53895)</f>
        <v>-289913.53895</v>
      </c>
      <c r="C68" s="44">
        <f>IF(OR(-311999.78447="",-311999.78447=0),"-",-311999.78447)</f>
        <v>-311999.78447</v>
      </c>
      <c r="D68" s="55">
        <f>IF(OR(-289913.53895="",-311999.78447="",-289913.53895=0,-311999.78447=0),"-",-311999.78447/-289913.53895*100)</f>
        <v>107.61821803838181</v>
      </c>
    </row>
    <row r="69" spans="1:4" ht="15.75">
      <c r="A69" s="31" t="s">
        <v>33</v>
      </c>
      <c r="B69" s="32">
        <f>IF(OR(-3896.14111="",-3896.14111=0),"-",-3896.14111)</f>
        <v>-3896.14111</v>
      </c>
      <c r="C69" s="44">
        <f>IF(OR(-5879.76577="",-5879.76577=0),"-",-5879.76577)</f>
        <v>-5879.76577</v>
      </c>
      <c r="D69" s="55" t="s">
        <v>130</v>
      </c>
    </row>
    <row r="70" spans="1:4" ht="15.75">
      <c r="A70" s="49" t="s">
        <v>34</v>
      </c>
      <c r="B70" s="53">
        <f>IF(22369.77685="","-",22369.77685)</f>
        <v>22369.77685</v>
      </c>
      <c r="C70" s="43">
        <f>IF(-49526.32602="","-",-49526.32602)</f>
        <v>-49526.32602</v>
      </c>
      <c r="D70" s="54" t="s">
        <v>21</v>
      </c>
    </row>
    <row r="71" spans="1:4" ht="25.5">
      <c r="A71" s="31" t="s">
        <v>246</v>
      </c>
      <c r="B71" s="32">
        <f>IF(OR(-37461.22317="",-37461.22317=0),"-",-37461.22317)</f>
        <v>-37461.22317</v>
      </c>
      <c r="C71" s="44">
        <f>IF(OR(-43694.6116="",-43694.6116=0),"-",-43694.6116)</f>
        <v>-43694.6116</v>
      </c>
      <c r="D71" s="55">
        <f>IF(OR(-37461.22317="",-43694.6116="",-37461.22317=0,-43694.6116=0),"-",-43694.6116/-37461.22317*100)</f>
        <v>116.63957527951696</v>
      </c>
    </row>
    <row r="72" spans="1:4" ht="15.75">
      <c r="A72" s="31" t="s">
        <v>233</v>
      </c>
      <c r="B72" s="32">
        <f>IF(OR(103873.07716="",103873.07716=0),"-",103873.07716)</f>
        <v>103873.07716</v>
      </c>
      <c r="C72" s="44">
        <f>IF(OR(86642.6832="",86642.6832=0),"-",86642.6832)</f>
        <v>86642.6832</v>
      </c>
      <c r="D72" s="55">
        <f>IF(OR(103873.07716="",86642.6832="",103873.07716=0,86642.6832=0),"-",86642.6832/103873.07716*100)</f>
        <v>83.41206939170647</v>
      </c>
    </row>
    <row r="73" spans="1:4" ht="15.75">
      <c r="A73" s="31" t="s">
        <v>234</v>
      </c>
      <c r="B73" s="32">
        <f>IF(OR(8160.63563="",8160.63563=0),"-",8160.63563)</f>
        <v>8160.63563</v>
      </c>
      <c r="C73" s="44">
        <f>IF(OR(5127.9945="",5127.9945=0),"-",5127.9945)</f>
        <v>5127.9945</v>
      </c>
      <c r="D73" s="55">
        <f>IF(OR(8160.63563="",5127.9945="",8160.63563=0,5127.9945=0),"-",5127.9945/8160.63563*100)</f>
        <v>62.83817502093277</v>
      </c>
    </row>
    <row r="74" spans="1:4" ht="15.75">
      <c r="A74" s="31" t="s">
        <v>235</v>
      </c>
      <c r="B74" s="32">
        <f>IF(OR(167456.51971="",167456.51971=0),"-",167456.51971)</f>
        <v>167456.51971</v>
      </c>
      <c r="C74" s="44">
        <f>IF(OR(136309.04189="",136309.04189=0),"-",136309.04189)</f>
        <v>136309.04189</v>
      </c>
      <c r="D74" s="55">
        <f>IF(OR(167456.51971="",136309.04189="",167456.51971=0,136309.04189=0),"-",136309.04189/167456.51971*100)</f>
        <v>81.39966250705498</v>
      </c>
    </row>
    <row r="75" spans="1:4" ht="15.75">
      <c r="A75" s="31" t="s">
        <v>243</v>
      </c>
      <c r="B75" s="32">
        <f>IF(OR(-4746.7599="",-4746.7599=0),"-",-4746.7599)</f>
        <v>-4746.7599</v>
      </c>
      <c r="C75" s="44">
        <f>IF(OR(-11152.3327="",-11152.3327=0),"-",-11152.3327)</f>
        <v>-11152.3327</v>
      </c>
      <c r="D75" s="55" t="s">
        <v>161</v>
      </c>
    </row>
    <row r="76" spans="1:4" ht="15.75">
      <c r="A76" s="31" t="s">
        <v>236</v>
      </c>
      <c r="B76" s="32">
        <f>IF(OR(-39158.41109="",-39158.41109=0),"-",-39158.41109)</f>
        <v>-39158.41109</v>
      </c>
      <c r="C76" s="44">
        <f>IF(OR(-36233.23458="",-36233.23458=0),"-",-36233.23458)</f>
        <v>-36233.23458</v>
      </c>
      <c r="D76" s="55">
        <f>IF(OR(-39158.41109="",-36233.23458="",-39158.41109=0,-36233.23458=0),"-",-36233.23458/-39158.41109*100)</f>
        <v>92.52988967484686</v>
      </c>
    </row>
    <row r="77" spans="1:4" ht="25.5">
      <c r="A77" s="31" t="s">
        <v>237</v>
      </c>
      <c r="B77" s="32">
        <f>IF(OR(-8947.44933="",-8947.44933=0),"-",-8947.44933)</f>
        <v>-8947.44933</v>
      </c>
      <c r="C77" s="44">
        <f>IF(OR(-7590.88482="",-7590.88482=0),"-",-7590.88482)</f>
        <v>-7590.88482</v>
      </c>
      <c r="D77" s="55">
        <f>IF(OR(-8947.44933="",-7590.88482="",-8947.44933=0,-7590.88482=0),"-",-7590.88482/-8947.44933*100)</f>
        <v>84.83853375451304</v>
      </c>
    </row>
    <row r="78" spans="1:4" ht="15.75">
      <c r="A78" s="31" t="s">
        <v>35</v>
      </c>
      <c r="B78" s="32">
        <f>IF(OR(-166806.61216="",-166806.61216=0),"-",-166806.61216)</f>
        <v>-166806.61216</v>
      </c>
      <c r="C78" s="44">
        <f>IF(OR(-178934.98191="",-178934.98191=0),"-",-178934.98191)</f>
        <v>-178934.98191</v>
      </c>
      <c r="D78" s="55">
        <f>IF(OR(-166806.61216="",-178934.98191="",-166806.61216=0,-178934.98191=0),"-",-178934.98191/-166806.61216*100)</f>
        <v>107.27091665788797</v>
      </c>
    </row>
    <row r="79" spans="1:4" ht="16.5" customHeight="1">
      <c r="A79" s="51" t="s">
        <v>238</v>
      </c>
      <c r="B79" s="56">
        <f>IF(-90.11629="","-",-90.11629)</f>
        <v>-90.11629</v>
      </c>
      <c r="C79" s="52">
        <f>IF(45.30921="","-",45.30921)</f>
        <v>45.30921</v>
      </c>
      <c r="D79" s="57" t="s">
        <v>21</v>
      </c>
    </row>
    <row r="80" spans="1:4" ht="15.75" customHeight="1">
      <c r="A80" s="26" t="s">
        <v>20</v>
      </c>
      <c r="B80" s="32"/>
      <c r="C80" s="32"/>
      <c r="D80" s="32"/>
    </row>
    <row r="81" spans="1:4" ht="15.75">
      <c r="A81" s="31"/>
      <c r="B81" s="32"/>
      <c r="C81" s="32"/>
      <c r="D81" s="32"/>
    </row>
    <row r="82" spans="1:4" ht="15.75">
      <c r="A82" s="31"/>
      <c r="B82" s="32"/>
      <c r="C82" s="32"/>
      <c r="D82" s="32"/>
    </row>
  </sheetData>
  <sheetProtection/>
  <mergeCells count="2">
    <mergeCell ref="A1:D1"/>
    <mergeCell ref="A2:D2"/>
  </mergeCells>
  <printOptions/>
  <pageMargins left="0.5905511811023623" right="0.3937007874015748" top="0.3937007874015748" bottom="0.3937007874015748" header="0.11811023622047245" footer="0.1181102362204724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Mariana Eni</dc:creator>
  <cp:keywords/>
  <dc:description/>
  <cp:lastModifiedBy>Doina Vudvud</cp:lastModifiedBy>
  <cp:lastPrinted>2020-02-07T17:04:45Z</cp:lastPrinted>
  <dcterms:created xsi:type="dcterms:W3CDTF">2016-09-01T07:59:47Z</dcterms:created>
  <dcterms:modified xsi:type="dcterms:W3CDTF">2020-02-13T12:48:26Z</dcterms:modified>
  <cp:category/>
  <cp:version/>
  <cp:contentType/>
  <cp:contentStatus/>
</cp:coreProperties>
</file>