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3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/>
</workbook>
</file>

<file path=xl/calcChain.xml><?xml version="1.0" encoding="utf-8"?>
<calcChain xmlns="http://schemas.openxmlformats.org/spreadsheetml/2006/main">
  <c r="D126" i="3" l="1"/>
  <c r="C126" i="3"/>
  <c r="B126" i="3"/>
  <c r="C125" i="3"/>
  <c r="B125" i="3"/>
  <c r="D124" i="3"/>
  <c r="C124" i="3"/>
  <c r="B124" i="3"/>
  <c r="D123" i="3"/>
  <c r="C123" i="3"/>
  <c r="B123" i="3"/>
  <c r="D122" i="3"/>
  <c r="C122" i="3"/>
  <c r="B122" i="3"/>
  <c r="C121" i="3"/>
  <c r="B121" i="3"/>
  <c r="C120" i="3"/>
  <c r="B120" i="3"/>
  <c r="C119" i="3"/>
  <c r="B119" i="3"/>
  <c r="C118" i="3"/>
  <c r="B118" i="3"/>
  <c r="D117" i="3"/>
  <c r="C117" i="3"/>
  <c r="B117" i="3"/>
  <c r="D116" i="3"/>
  <c r="C116" i="3"/>
  <c r="B116" i="3"/>
  <c r="D115" i="3"/>
  <c r="C115" i="3"/>
  <c r="B115" i="3"/>
  <c r="C114" i="3"/>
  <c r="B114" i="3"/>
  <c r="D113" i="3"/>
  <c r="C113" i="3"/>
  <c r="B113" i="3"/>
  <c r="C112" i="3"/>
  <c r="B112" i="3"/>
  <c r="C111" i="3"/>
  <c r="B111" i="3"/>
  <c r="D110" i="3"/>
  <c r="C110" i="3"/>
  <c r="B110" i="3"/>
  <c r="D109" i="3"/>
  <c r="C109" i="3"/>
  <c r="B109" i="3"/>
  <c r="D108" i="3"/>
  <c r="C108" i="3"/>
  <c r="B108" i="3"/>
  <c r="C107" i="3"/>
  <c r="B107" i="3"/>
  <c r="D106" i="3"/>
  <c r="C106" i="3"/>
  <c r="B106" i="3"/>
  <c r="D105" i="3"/>
  <c r="C105" i="3"/>
  <c r="B105" i="3"/>
  <c r="D104" i="3"/>
  <c r="C104" i="3"/>
  <c r="B104" i="3"/>
  <c r="C103" i="3"/>
  <c r="B103" i="3"/>
  <c r="D102" i="3"/>
  <c r="C102" i="3"/>
  <c r="B102" i="3"/>
  <c r="C101" i="3"/>
  <c r="B101" i="3"/>
  <c r="C100" i="3"/>
  <c r="B100" i="3"/>
  <c r="D99" i="3"/>
  <c r="C99" i="3"/>
  <c r="B99" i="3"/>
  <c r="D98" i="3"/>
  <c r="C98" i="3"/>
  <c r="B98" i="3"/>
  <c r="D97" i="3"/>
  <c r="C97" i="3"/>
  <c r="B97" i="3"/>
  <c r="C96" i="3"/>
  <c r="B96" i="3"/>
  <c r="D95" i="3"/>
  <c r="C95" i="3"/>
  <c r="B95" i="3"/>
  <c r="D94" i="3"/>
  <c r="C94" i="3"/>
  <c r="B94" i="3"/>
  <c r="C93" i="3"/>
  <c r="B93" i="3"/>
  <c r="D92" i="3"/>
  <c r="C92" i="3"/>
  <c r="B92" i="3"/>
  <c r="C91" i="3"/>
  <c r="B91" i="3"/>
  <c r="D90" i="3"/>
  <c r="C90" i="3"/>
  <c r="B90" i="3"/>
  <c r="C89" i="3"/>
  <c r="B89" i="3"/>
  <c r="D88" i="3"/>
  <c r="C88" i="3"/>
  <c r="B88" i="3"/>
  <c r="D87" i="3"/>
  <c r="C87" i="3"/>
  <c r="B87" i="3"/>
  <c r="D86" i="3"/>
  <c r="C86" i="3"/>
  <c r="B86" i="3"/>
  <c r="C85" i="3"/>
  <c r="B85" i="3"/>
  <c r="D84" i="3"/>
  <c r="C84" i="3"/>
  <c r="B84" i="3"/>
  <c r="C83" i="3"/>
  <c r="B83" i="3"/>
  <c r="D82" i="3"/>
  <c r="C82" i="3"/>
  <c r="B82" i="3"/>
  <c r="D81" i="3"/>
  <c r="C81" i="3"/>
  <c r="B81" i="3"/>
  <c r="C80" i="3"/>
  <c r="B80" i="3"/>
  <c r="C79" i="3"/>
  <c r="B79" i="3"/>
  <c r="C78" i="3"/>
  <c r="B78" i="3"/>
  <c r="C77" i="3"/>
  <c r="B77" i="3"/>
  <c r="D76" i="3"/>
  <c r="C76" i="3"/>
  <c r="B76" i="3"/>
  <c r="D75" i="3"/>
  <c r="C75" i="3"/>
  <c r="B75" i="3"/>
  <c r="C74" i="3"/>
  <c r="B74" i="3"/>
  <c r="C73" i="3"/>
  <c r="B73" i="3"/>
  <c r="D72" i="3"/>
  <c r="C72" i="3"/>
  <c r="B72" i="3"/>
  <c r="D71" i="3"/>
  <c r="C71" i="3"/>
  <c r="B71" i="3"/>
  <c r="D70" i="3"/>
  <c r="C70" i="3"/>
  <c r="B70" i="3"/>
  <c r="C69" i="3"/>
  <c r="B69" i="3"/>
  <c r="C68" i="3"/>
  <c r="B68" i="3"/>
  <c r="C67" i="3"/>
  <c r="B67" i="3"/>
  <c r="C66" i="3"/>
  <c r="B66" i="3"/>
  <c r="C65" i="3"/>
  <c r="B65" i="3"/>
  <c r="D64" i="3"/>
  <c r="C64" i="3"/>
  <c r="B64" i="3"/>
  <c r="D63" i="3"/>
  <c r="C63" i="3"/>
  <c r="B63" i="3"/>
  <c r="C62" i="3"/>
  <c r="B62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C56" i="3"/>
  <c r="B56" i="3"/>
  <c r="D55" i="3"/>
  <c r="C55" i="3"/>
  <c r="B55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C48" i="3"/>
  <c r="B48" i="3"/>
  <c r="D47" i="3"/>
  <c r="C47" i="3"/>
  <c r="B47" i="3"/>
  <c r="D46" i="3"/>
  <c r="C46" i="3"/>
  <c r="B46" i="3"/>
  <c r="B45" i="3"/>
  <c r="B44" i="3"/>
  <c r="B43" i="3"/>
  <c r="B42" i="3"/>
  <c r="B41" i="3"/>
  <c r="B40" i="3"/>
  <c r="B39" i="3"/>
  <c r="B38" i="3"/>
  <c r="B37" i="3"/>
  <c r="B36" i="3"/>
  <c r="B35" i="3"/>
  <c r="C34" i="3"/>
  <c r="B34" i="3"/>
  <c r="C33" i="3"/>
  <c r="B33" i="3"/>
  <c r="C32" i="3"/>
  <c r="B32" i="3"/>
  <c r="D31" i="3"/>
  <c r="C31" i="3"/>
  <c r="B31" i="3"/>
  <c r="C30" i="3"/>
  <c r="B30" i="3"/>
  <c r="C29" i="3"/>
  <c r="B29" i="3"/>
  <c r="D28" i="3"/>
  <c r="C28" i="3"/>
  <c r="B28" i="3"/>
  <c r="D27" i="3"/>
  <c r="C27" i="3"/>
  <c r="B27" i="3"/>
  <c r="C26" i="3"/>
  <c r="B26" i="3"/>
  <c r="C25" i="3"/>
  <c r="B25" i="3"/>
  <c r="D24" i="3"/>
  <c r="C24" i="3"/>
  <c r="B24" i="3"/>
  <c r="C23" i="3"/>
  <c r="B23" i="3"/>
  <c r="C22" i="3"/>
  <c r="B22" i="3"/>
  <c r="D21" i="3"/>
  <c r="C21" i="3"/>
  <c r="B21" i="3"/>
  <c r="D20" i="3"/>
  <c r="C20" i="3"/>
  <c r="B20" i="3"/>
  <c r="D19" i="3"/>
  <c r="C19" i="3"/>
  <c r="B19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E39" i="8" l="1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4" i="8"/>
  <c r="D34" i="8"/>
  <c r="B34" i="8"/>
  <c r="E32" i="8"/>
  <c r="D32" i="8"/>
  <c r="C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5" i="8"/>
  <c r="D25" i="8"/>
  <c r="B25" i="8"/>
  <c r="E23" i="8"/>
  <c r="D23" i="8"/>
  <c r="C23" i="8"/>
  <c r="B23" i="8"/>
  <c r="E22" i="8"/>
  <c r="D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C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C6" i="8"/>
  <c r="B6" i="8"/>
  <c r="D39" i="7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C32" i="7"/>
  <c r="B32" i="7"/>
  <c r="E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C23" i="7"/>
  <c r="B23" i="7"/>
  <c r="D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C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B6" i="7"/>
  <c r="C80" i="4" l="1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C64" i="4"/>
  <c r="B64" i="4"/>
  <c r="D63" i="4"/>
  <c r="C63" i="4"/>
  <c r="B63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D14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C9" i="4"/>
  <c r="B9" i="4"/>
  <c r="D8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76" i="5" l="1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C56" i="5"/>
  <c r="B56" i="5"/>
  <c r="G55" i="5"/>
  <c r="F55" i="5"/>
  <c r="E55" i="5"/>
  <c r="D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B10" i="5"/>
  <c r="G9" i="5"/>
  <c r="F9" i="5"/>
  <c r="E9" i="5"/>
  <c r="D9" i="5"/>
  <c r="C9" i="5"/>
  <c r="B9" i="5"/>
  <c r="G7" i="5"/>
  <c r="F7" i="5"/>
  <c r="C7" i="5"/>
  <c r="B7" i="5"/>
  <c r="G109" i="2" l="1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B104" i="2"/>
  <c r="G103" i="2"/>
  <c r="F103" i="2"/>
  <c r="E103" i="2"/>
  <c r="D103" i="2"/>
  <c r="B103" i="2"/>
  <c r="G102" i="2"/>
  <c r="F102" i="2"/>
  <c r="E102" i="2"/>
  <c r="D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B97" i="2"/>
  <c r="G96" i="2"/>
  <c r="F96" i="2"/>
  <c r="E96" i="2"/>
  <c r="D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B90" i="2"/>
  <c r="G89" i="2"/>
  <c r="F89" i="2"/>
  <c r="E89" i="2"/>
  <c r="D89" i="2"/>
  <c r="C89" i="2"/>
  <c r="B89" i="2"/>
  <c r="G88" i="2"/>
  <c r="F88" i="2"/>
  <c r="E88" i="2"/>
  <c r="D88" i="2"/>
  <c r="B88" i="2"/>
  <c r="G87" i="2"/>
  <c r="F87" i="2"/>
  <c r="E87" i="2"/>
  <c r="D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B77" i="2"/>
  <c r="G76" i="2"/>
  <c r="F76" i="2"/>
  <c r="E76" i="2"/>
  <c r="D76" i="2"/>
  <c r="B76" i="2"/>
  <c r="G75" i="2"/>
  <c r="F75" i="2"/>
  <c r="E75" i="2"/>
  <c r="D75" i="2"/>
  <c r="C75" i="2"/>
  <c r="B75" i="2"/>
  <c r="G74" i="2"/>
  <c r="F74" i="2"/>
  <c r="E74" i="2"/>
  <c r="D74" i="2"/>
  <c r="B74" i="2"/>
  <c r="G73" i="2"/>
  <c r="F73" i="2"/>
  <c r="E73" i="2"/>
  <c r="D73" i="2"/>
  <c r="C73" i="2"/>
  <c r="B73" i="2"/>
  <c r="G72" i="2"/>
  <c r="F72" i="2"/>
  <c r="E72" i="2"/>
  <c r="D72" i="2"/>
  <c r="B72" i="2"/>
  <c r="G71" i="2"/>
  <c r="F71" i="2"/>
  <c r="E71" i="2"/>
  <c r="D71" i="2"/>
  <c r="B71" i="2"/>
  <c r="G70" i="2"/>
  <c r="F70" i="2"/>
  <c r="E70" i="2"/>
  <c r="D70" i="2"/>
  <c r="B70" i="2"/>
  <c r="G69" i="2"/>
  <c r="F69" i="2"/>
  <c r="E69" i="2"/>
  <c r="D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B41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94" i="1" l="1"/>
  <c r="F94" i="1"/>
  <c r="E94" i="1"/>
  <c r="D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B75" i="1"/>
  <c r="G74" i="1"/>
  <c r="F74" i="1"/>
  <c r="E74" i="1"/>
  <c r="D74" i="1"/>
  <c r="C74" i="1"/>
  <c r="B74" i="1"/>
  <c r="G73" i="1"/>
  <c r="F73" i="1"/>
  <c r="E73" i="1"/>
  <c r="D73" i="1"/>
  <c r="B73" i="1"/>
  <c r="G72" i="1"/>
  <c r="F72" i="1"/>
  <c r="E72" i="1"/>
  <c r="D72" i="1"/>
  <c r="C72" i="1"/>
  <c r="B72" i="1"/>
  <c r="G71" i="1"/>
  <c r="F71" i="1"/>
  <c r="E71" i="1"/>
  <c r="D71" i="1"/>
  <c r="B71" i="1"/>
  <c r="G70" i="1"/>
  <c r="F70" i="1"/>
  <c r="E70" i="1"/>
  <c r="D70" i="1"/>
  <c r="B70" i="1"/>
  <c r="G69" i="1"/>
  <c r="F69" i="1"/>
  <c r="E69" i="1"/>
  <c r="D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B65" i="1"/>
  <c r="G64" i="1"/>
  <c r="F64" i="1"/>
  <c r="E64" i="1"/>
  <c r="D64" i="1"/>
  <c r="B64" i="1"/>
  <c r="G63" i="1"/>
  <c r="F63" i="1"/>
  <c r="E63" i="1"/>
  <c r="D63" i="1"/>
  <c r="B63" i="1"/>
  <c r="G62" i="1"/>
  <c r="F62" i="1"/>
  <c r="E62" i="1"/>
  <c r="D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B28" i="1"/>
  <c r="G27" i="1"/>
  <c r="F27" i="1"/>
  <c r="E27" i="1"/>
  <c r="D27" i="1"/>
  <c r="C27" i="1"/>
  <c r="B27" i="1"/>
  <c r="G26" i="1"/>
  <c r="F26" i="1"/>
  <c r="E26" i="1"/>
  <c r="D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<sst xmlns="http://schemas.openxmlformats.org/spreadsheetml/2006/main" count="801" uniqueCount="286">
  <si>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</si>
  <si>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</si>
  <si>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</si>
  <si>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</si>
  <si>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</si>
  <si>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</si>
  <si>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</si>
  <si>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</si>
  <si>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</si>
  <si>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</si>
  <si>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</si>
  <si>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</si>
  <si>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</si>
  <si>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</si>
  <si>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</si>
  <si>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</si>
  <si>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</si>
  <si>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</si>
  <si>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</si>
  <si>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</si>
  <si>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</si>
  <si>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</si>
  <si>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</si>
  <si>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</si>
  <si>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</si>
  <si>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</si>
  <si>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</si>
  <si>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</si>
  <si>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</si>
  <si>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</si>
  <si>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</si>
  <si>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</si>
  <si>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</si>
  <si>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</si>
  <si>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</si>
  <si>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</si>
  <si>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</si>
  <si>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</si>
  <si>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</si>
  <si>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</si>
  <si>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</si>
  <si>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</si>
  <si>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</si>
  <si>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</si>
  <si>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</si>
  <si>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</si>
  <si>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</si>
  <si>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</si>
  <si>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</si>
  <si>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</si>
  <si>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</si>
  <si>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</si>
  <si>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</si>
  <si>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</si>
  <si>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</si>
  <si>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</si>
  <si>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</si>
  <si>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</si>
  <si>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</si>
  <si>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</si>
  <si>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</si>
  <si>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</si>
  <si>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</si>
  <si>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</si>
  <si>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</si>
  <si>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</si>
  <si>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</si>
  <si>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Articole din minerale nemetalice</t>
  </si>
  <si>
    <t>Fier şi oţel</t>
  </si>
  <si>
    <t>Metale neferoase</t>
  </si>
  <si>
    <t>Articole prelucrate din metal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</si>
  <si>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</si>
  <si>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</si>
  <si>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</si>
  <si>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</si>
  <si>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</si>
  <si>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</si>
  <si>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</si>
  <si>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</si>
  <si>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</si>
  <si>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</si>
  <si>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</si>
  <si>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</si>
  <si>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</si>
  <si>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</si>
  <si>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</si>
  <si>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</si>
  <si>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</si>
  <si>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</si>
  <si>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</si>
  <si>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</si>
  <si>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</si>
  <si>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</si>
  <si>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</si>
  <si>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</si>
  <si>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</si>
  <si>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</si>
  <si>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</si>
  <si>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</si>
  <si>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</si>
  <si>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</si>
  <si>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</si>
  <si>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</si>
  <si>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</si>
  <si>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</si>
  <si>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</si>
  <si>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</si>
  <si>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</si>
  <si>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</si>
  <si>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</si>
  <si>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</si>
  <si>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</si>
  <si>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</si>
  <si>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</si>
  <si>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</si>
  <si>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</si>
  <si>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</si>
  <si>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</si>
  <si>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</si>
  <si>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</si>
  <si>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</si>
  <si>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</si>
  <si>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</si>
  <si>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</si>
  <si>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</si>
  <si>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</si>
  <si>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</si>
  <si>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</si>
  <si>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</si>
  <si>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</si>
  <si>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</si>
  <si>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</si>
  <si>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</si>
  <si>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</si>
  <si>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</si>
  <si>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</si>
  <si>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</si>
  <si>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</si>
  <si>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</si>
  <si>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</si>
  <si>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</si>
  <si>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</si>
  <si>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</si>
  <si>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</si>
  <si>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</si>
  <si>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</si>
  <si>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</si>
  <si>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</si>
  <si>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</si>
  <si>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de 2,2 ori</t>
  </si>
  <si>
    <t>mii dolari        SUA</t>
  </si>
  <si>
    <t>EXPORT - total</t>
  </si>
  <si>
    <t>Oman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</si>
  <si>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</si>
  <si>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</si>
  <si>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</si>
  <si>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</si>
  <si>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</si>
  <si>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</si>
  <si>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</si>
  <si>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</si>
  <si>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</si>
  <si>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de 2,3 ori</t>
  </si>
  <si>
    <t>mii dolari         SUA</t>
  </si>
  <si>
    <t>Belize</t>
  </si>
  <si>
    <t>de 3,2 ori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</si>
  <si>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</si>
  <si>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</si>
  <si>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</si>
  <si>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</si>
  <si>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</si>
  <si>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</si>
  <si>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</si>
  <si>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</si>
  <si>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</si>
  <si>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</si>
  <si>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</si>
  <si>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</si>
  <si>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</si>
  <si>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</si>
  <si>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</si>
  <si>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</si>
  <si>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</si>
  <si>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</si>
  <si>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</si>
  <si>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</si>
  <si>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</si>
  <si>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de 3,0 ori</t>
  </si>
  <si>
    <t>San Marino</t>
  </si>
  <si>
    <t>Şri Lanka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</si>
  <si>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</si>
  <si>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</si>
  <si>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</si>
  <si>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</si>
  <si>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</si>
  <si>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</si>
  <si>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Pastă de hârtie şi deşeuri de hârtie</t>
  </si>
  <si>
    <t>Fibre textile (cu excepţia lânii în fuior şi a lânii pieptănate) şi deşeurile lor (neprelucrate în fire sau ţesături)</t>
  </si>
  <si>
    <t>Alte uleiuri şi grăsimi animale sau vegetale prelucrate; ceară de origine animală sau vegetală, amestecuri sau preparate necomestibile din uleiuri animale sau vegetale</t>
  </si>
  <si>
    <t>Hârtie, carton şi articole din pastă de celuloză, din hârtie sau din carton</t>
  </si>
  <si>
    <t>Bunuri neclasificate în altă secţiune din CSCI</t>
  </si>
  <si>
    <t>Băuturi (alcoolice şi nealcoolice)</t>
  </si>
  <si>
    <t>2020¹</t>
  </si>
  <si>
    <t>Bosnia şi Herţegovina</t>
  </si>
  <si>
    <t>Burkina Faso</t>
  </si>
  <si>
    <t>Macedonia de Nord</t>
  </si>
  <si>
    <t>Andorra</t>
  </si>
  <si>
    <t>Cote D'Ivoire</t>
  </si>
  <si>
    <t>de 2,5 ori</t>
  </si>
  <si>
    <t>Insulele Feroe</t>
  </si>
  <si>
    <t>Antigua şi Barbuda</t>
  </si>
  <si>
    <t>Insulele Folkland</t>
  </si>
  <si>
    <t>Laos</t>
  </si>
  <si>
    <t>Insulele Georgia şi Sandwich de Sud</t>
  </si>
  <si>
    <t>de 2,6 ori</t>
  </si>
  <si>
    <t>de 19,4 ori</t>
  </si>
  <si>
    <t>Fire, tesături, articole textile necuprinse în altă parte şi produse conexe</t>
  </si>
  <si>
    <t>Maşini şi echipamente pentru transport</t>
  </si>
  <si>
    <t>Maşini şi aparate specializate pentru industriile specifice</t>
  </si>
  <si>
    <t>Maşini şi aparate electrice şi părţi ale acestora (inclusiv echivalente neelectrice ale maşinilor şi aparatelor de uz casnic)</t>
  </si>
  <si>
    <t>de 3,3 ori</t>
  </si>
  <si>
    <t>Construcţii prefabricate; alte instalaţii şi accesorii pentru instalaţii sanitare, de încalzit şi de iluminat</t>
  </si>
  <si>
    <t>Instrumente şi aparate, profesionale, ştiinţifice şi de control</t>
  </si>
  <si>
    <t xml:space="preserve"> - </t>
  </si>
  <si>
    <t xml:space="preserve"> -</t>
  </si>
  <si>
    <t xml:space="preserve">     din care:</t>
  </si>
  <si>
    <t>de 5,4 ori</t>
  </si>
  <si>
    <t>de 3,5 ori</t>
  </si>
  <si>
    <t>Ianuarie - martie 2020</t>
  </si>
  <si>
    <t>în % faţă de ianuarie-martie 2019¹</t>
  </si>
  <si>
    <t>ianuarie - martie</t>
  </si>
  <si>
    <t>Ianuarie - martie</t>
  </si>
  <si>
    <t>Ianuarie - martie 2020    în % faţă de                          ianuarie - martie 2019¹</t>
  </si>
  <si>
    <t>în % faţă de ianuarie - martie 2019¹</t>
  </si>
  <si>
    <t>Ianuarie - martie 2020      în % faţă de                          ianuarie - martie 2019¹</t>
  </si>
  <si>
    <t>Republica Yemen</t>
  </si>
  <si>
    <t>-</t>
  </si>
  <si>
    <t>de 193,1 ori</t>
  </si>
  <si>
    <t>de 15,6 ori</t>
  </si>
  <si>
    <t>de 5,3 ori</t>
  </si>
  <si>
    <t>de 33,3 ori</t>
  </si>
  <si>
    <t>de 8,2 ori</t>
  </si>
  <si>
    <t>de 15,2 ori</t>
  </si>
  <si>
    <t>de 17,4 ori</t>
  </si>
  <si>
    <t>de 921,0 ori</t>
  </si>
  <si>
    <t>de 143,5 ori</t>
  </si>
  <si>
    <t>Zimbabwe</t>
  </si>
  <si>
    <t>Madagascar</t>
  </si>
  <si>
    <t>Camerun</t>
  </si>
  <si>
    <t>de 37,5 ori</t>
  </si>
  <si>
    <t>de 11,6 ori</t>
  </si>
  <si>
    <t>de 60,3 ori</t>
  </si>
  <si>
    <t>de 30,5 ori</t>
  </si>
  <si>
    <t>de 4,6 ori</t>
  </si>
  <si>
    <t>de 9,3 ori</t>
  </si>
  <si>
    <t>de 4,4 ori</t>
  </si>
  <si>
    <t xml:space="preserve">EXPORT - total      </t>
  </si>
  <si>
    <t>de1,6 ori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</si>
  <si>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</si>
  <si>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</si>
  <si>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</si>
  <si>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</si>
  <si>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grupe de ţări și moduri de transport a mărfurilor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</si>
  <si>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</si>
  <si>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</si>
  <si>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</si>
  <si>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Insulele Georgia si Sandwich de Sud</t>
  </si>
  <si>
    <t>Liechtenstein</t>
  </si>
  <si>
    <t>Tanzania</t>
  </si>
  <si>
    <t>Guatemala</t>
  </si>
  <si>
    <t>Sierra Leone</t>
  </si>
  <si>
    <t>Mali</t>
  </si>
  <si>
    <t>de 7,2 ori</t>
  </si>
  <si>
    <t>de 4,1 ori</t>
  </si>
  <si>
    <t>de 4,5 ori</t>
  </si>
  <si>
    <t>de 2,8 ori</t>
  </si>
  <si>
    <t>de 30,3 ori</t>
  </si>
  <si>
    <t>de 2,4 ori</t>
  </si>
  <si>
    <t>Ţările Uniunii Europene (UE-27) - total</t>
  </si>
  <si>
    <t xml:space="preserve">Ţările CSI - total </t>
  </si>
  <si>
    <t xml:space="preserve">Celelalte ţări ale lumii - total </t>
  </si>
  <si>
    <t>Țările Uniunii Europene (UE-27) - total</t>
  </si>
  <si>
    <t xml:space="preserve">Țările CSI - total </t>
  </si>
  <si>
    <t>Celelalte țări ale lumii - total</t>
  </si>
  <si>
    <t xml:space="preserve">Celelalte țări ale lumii - total </t>
  </si>
  <si>
    <t>de 2,7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</si>
</sst>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3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5" fontId="11" fillId="0" borderId="0" xfId="0" applyNumberFormat="1" applyFont="1" applyFill="1" applyAlignment="1" applyProtection="1">
      <alignment horizontal="right"/>
    </xf>
    <xf numFmtId="165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4" fontId="9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11" fillId="0" borderId="0" xfId="0" applyNumberFormat="1" applyFont="1" applyFill="1" applyBorder="1" applyAlignment="1" applyProtection="1">
      <alignment horizontal="left" vertical="top" wrapText="1"/>
    </xf>
    <xf numFmtId="38" fontId="23" fillId="0" borderId="0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Alignment="1" applyProtection="1">
      <alignment horizontal="left" vertical="top" wrapText="1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7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0" fontId="27" fillId="0" borderId="0" xfId="0" applyFont="1" applyAlignment="1">
      <alignment horizontal="left" vertical="top" wrapText="1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wrapText="1"/>
    </xf>
    <xf numFmtId="0" fontId="9" fillId="0" borderId="0" xfId="0" applyFont="1" applyAlignment="1">
      <alignment horizontal="left" vertical="top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Alignment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Fill="1" applyAlignment="1" applyProtection="1">
      <alignment horizontal="righ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11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26" fillId="0" borderId="0" xfId="0" applyNumberFormat="1" applyFont="1" applyAlignment="1">
      <alignment horizontal="right" vertical="top" indent="1"/>
    </xf>
    <xf numFmtId="2" fontId="27" fillId="0" borderId="5" xfId="0" applyNumberFormat="1" applyFont="1" applyFill="1" applyBorder="1" applyAlignment="1" applyProtection="1">
      <alignment horizontal="left" vertical="top" wrapText="1"/>
    </xf>
    <xf numFmtId="2" fontId="9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2" fontId="9" fillId="0" borderId="0" xfId="0" applyNumberFormat="1" applyFont="1" applyFill="1" applyAlignment="1" applyProtection="1">
      <alignment horizontal="left" vertical="top" wrapText="1"/>
    </xf>
    <xf numFmtId="2" fontId="11" fillId="0" borderId="3" xfId="0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6"/>
  <sheetViews>
    <sheetView tabSelected="1" zoomScaleNormal="100" workbookViewId="0">
      <selection activeCell="J16" sqref="J16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0.7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4" t="s">
        <v>258</v>
      </c>
      <c r="B1" s="84"/>
      <c r="C1" s="84"/>
      <c r="D1" s="84"/>
      <c r="E1" s="84"/>
      <c r="F1" s="84"/>
      <c r="G1" s="84"/>
    </row>
    <row r="3" spans="1:7" ht="54" customHeight="1" x14ac:dyDescent="0.25">
      <c r="A3" s="85"/>
      <c r="B3" s="88" t="s">
        <v>228</v>
      </c>
      <c r="C3" s="89"/>
      <c r="D3" s="88" t="s">
        <v>160</v>
      </c>
      <c r="E3" s="89"/>
      <c r="F3" s="90" t="s">
        <v>1</v>
      </c>
      <c r="G3" s="91"/>
    </row>
    <row r="4" spans="1:7" ht="24" customHeight="1" x14ac:dyDescent="0.25">
      <c r="A4" s="86"/>
      <c r="B4" s="92" t="s">
        <v>150</v>
      </c>
      <c r="C4" s="94" t="s">
        <v>229</v>
      </c>
      <c r="D4" s="96" t="s">
        <v>230</v>
      </c>
      <c r="E4" s="96"/>
      <c r="F4" s="96" t="s">
        <v>230</v>
      </c>
      <c r="G4" s="88"/>
    </row>
    <row r="5" spans="1:7" ht="29.25" customHeight="1" x14ac:dyDescent="0.25">
      <c r="A5" s="87"/>
      <c r="B5" s="93"/>
      <c r="C5" s="95"/>
      <c r="D5" s="25">
        <v>2019</v>
      </c>
      <c r="E5" s="25">
        <v>2020</v>
      </c>
      <c r="F5" s="25" t="s">
        <v>175</v>
      </c>
      <c r="G5" s="21" t="s">
        <v>202</v>
      </c>
    </row>
    <row r="6" spans="1:7" ht="15.75" customHeight="1" x14ac:dyDescent="0.25">
      <c r="A6" s="36" t="s">
        <v>151</v>
      </c>
      <c r="B6" s="37">
        <f>IF(675040.29206="","-",675040.29206)</f>
        <v>675040.29206000001</v>
      </c>
      <c r="C6" s="37">
        <f>IF(732895.97599="","-",675040.29206/732895.97599*100)</f>
        <v>92.105880530746788</v>
      </c>
      <c r="D6" s="37">
        <v>100</v>
      </c>
      <c r="E6" s="37">
        <v>100</v>
      </c>
      <c r="F6" s="37">
        <f>IF(677915.43358="","-",(732895.97599-677915.43358)/677915.43358*100)</f>
        <v>8.1102361277797659</v>
      </c>
      <c r="G6" s="37">
        <f>IF(732895.97599="","-",(675040.29206-732895.97599)/732895.97599*100)</f>
        <v>-7.8941194692532139</v>
      </c>
    </row>
    <row r="7" spans="1:7" ht="15.75" customHeight="1" x14ac:dyDescent="0.25">
      <c r="A7" s="47" t="s">
        <v>193</v>
      </c>
      <c r="B7" s="46"/>
      <c r="C7" s="46"/>
      <c r="D7" s="46"/>
      <c r="E7" s="46"/>
      <c r="F7" s="46"/>
      <c r="G7" s="46"/>
    </row>
    <row r="8" spans="1:7" ht="15.75" customHeight="1" x14ac:dyDescent="0.25">
      <c r="A8" s="38" t="s">
        <v>278</v>
      </c>
      <c r="B8" s="39">
        <f>IF(447437.58687="","-",447437.58687)</f>
        <v>447437.58687</v>
      </c>
      <c r="C8" s="39">
        <f>IF(458888.68047="","-",447437.58687/458888.68047*100)</f>
        <v>97.504603166878795</v>
      </c>
      <c r="D8" s="39">
        <f>IF(458888.68047="","-",458888.68047/732895.97599*100)</f>
        <v>62.613071363931368</v>
      </c>
      <c r="E8" s="39">
        <f>IF(447437.58687="","-",447437.58687/675040.29206*100)</f>
        <v>66.283093340186895</v>
      </c>
      <c r="F8" s="39">
        <f>IF(677915.43358="","-",(458888.68047-428384.00266)/677915.43358*100)</f>
        <v>4.4997762698671773</v>
      </c>
      <c r="G8" s="39">
        <f>IF(732895.97599="","-",(447437.58687-458888.68047)/732895.97599*100)</f>
        <v>-1.5624445999354575</v>
      </c>
    </row>
    <row r="9" spans="1:7" ht="15.75" customHeight="1" x14ac:dyDescent="0.25">
      <c r="A9" s="40" t="s">
        <v>2</v>
      </c>
      <c r="B9" s="41">
        <f>IF(178044.52866="","-",178044.52866)</f>
        <v>178044.52866000001</v>
      </c>
      <c r="C9" s="41">
        <f>IF(OR(195467.66512="",178044.52866=""),"-",178044.52866/195467.66512*100)</f>
        <v>91.086435472944487</v>
      </c>
      <c r="D9" s="41">
        <f>IF(195467.66512="","-",195467.66512/732895.97599*100)</f>
        <v>26.670587849245752</v>
      </c>
      <c r="E9" s="41">
        <f>IF(178044.52866="","-",178044.52866/675040.29206*100)</f>
        <v>26.375392810504234</v>
      </c>
      <c r="F9" s="41">
        <f>IF(OR(677915.43358="",165956.25162="",195467.66512=""),"-",(195467.66512-165956.25162)/677915.43358*100)</f>
        <v>4.3532588340928209</v>
      </c>
      <c r="G9" s="41">
        <f>IF(OR(732895.97599="",178044.52866="",195467.66512=""),"-",(178044.52866-195467.66512)/732895.97599*100)</f>
        <v>-2.3773000576875472</v>
      </c>
    </row>
    <row r="10" spans="1:7" ht="13.5" customHeight="1" x14ac:dyDescent="0.25">
      <c r="A10" s="40" t="s">
        <v>4</v>
      </c>
      <c r="B10" s="41">
        <f>IF(63115.10894="","-",63115.10894)</f>
        <v>63115.108939999998</v>
      </c>
      <c r="C10" s="41">
        <f>IF(OR(63543.1922="",63115.10894=""),"-",63115.10894/63543.1922*100)</f>
        <v>99.326311371558688</v>
      </c>
      <c r="D10" s="41">
        <f>IF(63543.1922="","-",63543.1922/732895.97599*100)</f>
        <v>8.6701516015510247</v>
      </c>
      <c r="E10" s="41">
        <f>IF(63115.10894="","-",63115.10894/675040.29206*100)</f>
        <v>9.3498284002268264</v>
      </c>
      <c r="F10" s="41">
        <f>IF(OR(677915.43358="",60501.11789="",63543.1922=""),"-",(63543.1922-60501.11789)/677915.43358*100)</f>
        <v>0.44873949748202702</v>
      </c>
      <c r="G10" s="41">
        <f>IF(OR(732895.97599="",63115.10894="",63543.1922=""),"-",(63115.10894-63543.1922)/732895.97599*100)</f>
        <v>-5.8409825408270555E-2</v>
      </c>
    </row>
    <row r="11" spans="1:7" ht="15.75" customHeight="1" x14ac:dyDescent="0.25">
      <c r="A11" s="40" t="s">
        <v>3</v>
      </c>
      <c r="B11" s="41">
        <f>IF(61323.09266="","-",61323.09266)</f>
        <v>61323.092660000002</v>
      </c>
      <c r="C11" s="41">
        <f>IF(OR(82672.20664="",61323.09266=""),"-",61323.09266/82672.20664*100)</f>
        <v>74.176189498647688</v>
      </c>
      <c r="D11" s="41">
        <f>IF(82672.20664="","-",82672.20664/732895.97599*100)</f>
        <v>11.280210200134601</v>
      </c>
      <c r="E11" s="41">
        <f>IF(61323.09266="","-",61323.09266/675040.29206*100)</f>
        <v>9.0843603531964252</v>
      </c>
      <c r="F11" s="41">
        <f>IF(OR(677915.43358="",80249.65459="",82672.20664=""),"-",(82672.20664-80249.65459)/677915.43358*100)</f>
        <v>0.35735313432927118</v>
      </c>
      <c r="G11" s="41">
        <f>IF(OR(732895.97599="",61323.09266="",82672.20664=""),"-",(61323.09266-82672.20664)/732895.97599*100)</f>
        <v>-2.9129801062369731</v>
      </c>
    </row>
    <row r="12" spans="1:7" s="16" customFormat="1" x14ac:dyDescent="0.25">
      <c r="A12" s="40" t="s">
        <v>5</v>
      </c>
      <c r="B12" s="41">
        <f>IF(28958.32919="","-",28958.32919)</f>
        <v>28958.32919</v>
      </c>
      <c r="C12" s="41">
        <f>IF(OR(26644.24486="",28958.32919=""),"-",28958.32919/26644.24486*100)</f>
        <v>108.68511883958118</v>
      </c>
      <c r="D12" s="41">
        <f>IF(26644.24486="","-",26644.24486/732895.97599*100)</f>
        <v>3.6354743009754968</v>
      </c>
      <c r="E12" s="41">
        <f>IF(28958.32919="","-",28958.32919/675040.29206*100)</f>
        <v>4.2898667724897939</v>
      </c>
      <c r="F12" s="41">
        <f>IF(OR(677915.43358="",22490.70169="",26644.24486=""),"-",(26644.24486-22490.70169)/677915.43358*100)</f>
        <v>0.6126934075044691</v>
      </c>
      <c r="G12" s="41">
        <f>IF(OR(732895.97599="",28958.32919="",26644.24486=""),"-",(28958.32919-26644.24486)/732895.97599*100)</f>
        <v>0.31574526342215531</v>
      </c>
    </row>
    <row r="13" spans="1:7" s="16" customFormat="1" x14ac:dyDescent="0.25">
      <c r="A13" s="40" t="s">
        <v>7</v>
      </c>
      <c r="B13" s="41">
        <f>IF(23528.61888="","-",23528.61888)</f>
        <v>23528.618880000002</v>
      </c>
      <c r="C13" s="41" t="s">
        <v>157</v>
      </c>
      <c r="D13" s="41">
        <f>IF(12186.97096="","-",12186.97096/732895.97599*100)</f>
        <v>1.6628513949115047</v>
      </c>
      <c r="E13" s="41">
        <f>IF(23528.61888="","-",23528.61888/675040.29206*100)</f>
        <v>3.4855132585046777</v>
      </c>
      <c r="F13" s="41">
        <f>IF(OR(677915.43358="",9851.9301="",12186.97096=""),"-",(12186.97096-9851.9301)/677915.43358*100)</f>
        <v>0.34444426905416448</v>
      </c>
      <c r="G13" s="41">
        <f>IF(OR(732895.97599="",23528.61888="",12186.97096=""),"-",(23528.61888-12186.97096)/732895.97599*100)</f>
        <v>1.5475112828501536</v>
      </c>
    </row>
    <row r="14" spans="1:7" s="16" customFormat="1" x14ac:dyDescent="0.25">
      <c r="A14" s="40" t="s">
        <v>6</v>
      </c>
      <c r="B14" s="41">
        <f>IF(13375.19576="","-",13375.19576)</f>
        <v>13375.195760000001</v>
      </c>
      <c r="C14" s="41">
        <f>IF(OR(11506.16893="",13375.19576=""),"-",13375.19576/11506.16893*100)</f>
        <v>116.24369363400264</v>
      </c>
      <c r="D14" s="41">
        <f>IF(11506.16893="","-",11506.16893/732895.97599*100)</f>
        <v>1.5699593539802703</v>
      </c>
      <c r="E14" s="41">
        <f>IF(13375.19576="","-",13375.19576/675040.29206*100)</f>
        <v>1.9813922098165904</v>
      </c>
      <c r="F14" s="41">
        <f>IF(OR(677915.43358="",14666.10081="",11506.16893=""),"-",(11506.16893-14666.10081)/677915.43358*100)</f>
        <v>-0.4661247883549034</v>
      </c>
      <c r="G14" s="41">
        <f>IF(OR(732895.97599="",13375.19576="",11506.16893=""),"-",(13375.19576-11506.16893)/732895.97599*100)</f>
        <v>0.25501938763892223</v>
      </c>
    </row>
    <row r="15" spans="1:7" s="16" customFormat="1" x14ac:dyDescent="0.25">
      <c r="A15" s="40" t="s">
        <v>178</v>
      </c>
      <c r="B15" s="41">
        <f>IF(12317.34528="","-",12317.34528)</f>
        <v>12317.34528</v>
      </c>
      <c r="C15" s="41">
        <f>IF(OR(11035.70534="",12317.34528=""),"-",12317.34528/11035.70534*100)</f>
        <v>111.6135752134897</v>
      </c>
      <c r="D15" s="41">
        <f>IF(11035.70534="","-",11035.70534/732895.97599*100)</f>
        <v>1.5057669439503893</v>
      </c>
      <c r="E15" s="41">
        <f>IF(12317.34528="","-",12317.34528/675040.29206*100)</f>
        <v>1.8246829744653508</v>
      </c>
      <c r="F15" s="41">
        <f>IF(OR(677915.43358="",13842.11283="",11035.70534=""),"-",(11035.70534-13842.11283)/677915.43358*100)</f>
        <v>-0.41397604346897038</v>
      </c>
      <c r="G15" s="41">
        <f>IF(OR(732895.97599="",12317.34528="",11035.70534=""),"-",(12317.34528-11035.70534)/732895.97599*100)</f>
        <v>0.17487337657554372</v>
      </c>
    </row>
    <row r="16" spans="1:7" s="16" customFormat="1" x14ac:dyDescent="0.25">
      <c r="A16" s="40" t="s">
        <v>9</v>
      </c>
      <c r="B16" s="41">
        <f>IF(12227.42385="","-",12227.42385)</f>
        <v>12227.423849999999</v>
      </c>
      <c r="C16" s="41">
        <f>IF(OR(8266.52526="",12227.42385=""),"-",12227.42385/8266.52526*100)</f>
        <v>147.914915462316</v>
      </c>
      <c r="D16" s="41">
        <f>IF(8266.52526="","-",8266.52526/732895.97599*100)</f>
        <v>1.1279261356065617</v>
      </c>
      <c r="E16" s="41">
        <f>IF(12227.42385="","-",12227.42385/675040.29206*100)</f>
        <v>1.8113620762822822</v>
      </c>
      <c r="F16" s="41">
        <f>IF(OR(677915.43358="",10755.12426="",8266.52526=""),"-",(8266.52526-10755.12426)/677915.43358*100)</f>
        <v>-0.36709578757603606</v>
      </c>
      <c r="G16" s="41">
        <f>IF(OR(732895.97599="",12227.42385="",8266.52526=""),"-",(12227.42385-8266.52526)/732895.97599*100)</f>
        <v>0.54044485435325185</v>
      </c>
    </row>
    <row r="17" spans="1:7" s="16" customFormat="1" x14ac:dyDescent="0.25">
      <c r="A17" s="40" t="s">
        <v>89</v>
      </c>
      <c r="B17" s="41">
        <f>IF(10388.74923="","-",10388.74923)</f>
        <v>10388.749229999999</v>
      </c>
      <c r="C17" s="41">
        <f>IF(OR(11551.20424="",10388.74923=""),"-",10388.74923/11551.20424*100)</f>
        <v>89.936503711235574</v>
      </c>
      <c r="D17" s="41">
        <f>IF(11551.20424="","-",11551.20424/732895.97599*100)</f>
        <v>1.5761041973789758</v>
      </c>
      <c r="E17" s="41">
        <f>IF(10388.74923="","-",10388.74923/675040.29206*100)</f>
        <v>1.5389820951719737</v>
      </c>
      <c r="F17" s="41">
        <f>IF(OR(677915.43358="",11127.22212="",11551.20424=""),"-",(11551.20424-11127.22212)/677915.43358*100)</f>
        <v>6.2542036808484192E-2</v>
      </c>
      <c r="G17" s="41">
        <f>IF(OR(732895.97599="",10388.74923="",11551.20424=""),"-",(10388.74923-11551.20424)/732895.97599*100)</f>
        <v>-0.15861118741029365</v>
      </c>
    </row>
    <row r="18" spans="1:7" s="18" customFormat="1" x14ac:dyDescent="0.25">
      <c r="A18" s="40" t="s">
        <v>10</v>
      </c>
      <c r="B18" s="41">
        <f>IF(9664.45686="","-",9664.45686)</f>
        <v>9664.4568600000002</v>
      </c>
      <c r="C18" s="41">
        <f>IF(OR(10645.42028="",9664.45686=""),"-",9664.45686/10645.42028*100)</f>
        <v>90.785113276899196</v>
      </c>
      <c r="D18" s="41">
        <f>IF(10645.42028="","-",10645.42028/732895.97599*100)</f>
        <v>1.452514494382386</v>
      </c>
      <c r="E18" s="41">
        <f>IF(9664.45686="","-",9664.45686/675040.29206*100)</f>
        <v>1.4316859265551793</v>
      </c>
      <c r="F18" s="41">
        <f>IF(OR(677915.43358="",10441.87115="",10645.42028=""),"-",(10645.42028-10441.87115)/677915.43358*100)</f>
        <v>3.0025740662825439E-2</v>
      </c>
      <c r="G18" s="41">
        <f>IF(OR(732895.97599="",9664.45686="",10645.42028=""),"-",(9664.45686-10645.42028)/732895.97599*100)</f>
        <v>-0.13384756529395719</v>
      </c>
    </row>
    <row r="19" spans="1:7" s="16" customFormat="1" x14ac:dyDescent="0.25">
      <c r="A19" s="40" t="s">
        <v>8</v>
      </c>
      <c r="B19" s="41">
        <f>IF(6825.24555="","-",6825.24555)</f>
        <v>6825.2455499999996</v>
      </c>
      <c r="C19" s="41">
        <f>IF(OR(7371.5039="",6825.24555=""),"-",6825.24555/7371.5039*100)</f>
        <v>92.589594234631008</v>
      </c>
      <c r="D19" s="41">
        <f>IF(7371.5039="","-",7371.5039/732895.97599*100)</f>
        <v>1.0058049356926173</v>
      </c>
      <c r="E19" s="41">
        <f>IF(6825.24555="","-",6825.24555/675040.29206*100)</f>
        <v>1.0110871351355346</v>
      </c>
      <c r="F19" s="41">
        <f>IF(OR(677915.43358="",11115.96788="",7371.5039=""),"-",(7371.5039-11115.96788)/677915.43358*100)</f>
        <v>-0.55234971716544068</v>
      </c>
      <c r="G19" s="41">
        <f>IF(OR(732895.97599="",6825.24555="",7371.5039=""),"-",(6825.24555-7371.5039)/732895.97599*100)</f>
        <v>-7.4534226942931603E-2</v>
      </c>
    </row>
    <row r="20" spans="1:7" s="16" customFormat="1" x14ac:dyDescent="0.25">
      <c r="A20" s="40" t="s">
        <v>96</v>
      </c>
      <c r="B20" s="41">
        <f>IF(6545.69779="","-",6545.69779)</f>
        <v>6545.6977900000002</v>
      </c>
      <c r="C20" s="41" t="s">
        <v>156</v>
      </c>
      <c r="D20" s="41">
        <f>IF(4205.43552="","-",4205.43552/732895.97599*100)</f>
        <v>0.57381069862189849</v>
      </c>
      <c r="E20" s="41">
        <f>IF(6545.69779="","-",6545.69779/675040.29206*100)</f>
        <v>0.9696751241358782</v>
      </c>
      <c r="F20" s="41">
        <f>IF(OR(677915.43358="",753.6707="",4205.43552=""),"-",(4205.43552-753.6707)/677915.43358*100)</f>
        <v>0.50917336426043491</v>
      </c>
      <c r="G20" s="41">
        <f>IF(OR(732895.97599="",6545.69779="",4205.43552=""),"-",(6545.69779-4205.43552)/732895.97599*100)</f>
        <v>0.31931711275106417</v>
      </c>
    </row>
    <row r="21" spans="1:7" s="16" customFormat="1" x14ac:dyDescent="0.25">
      <c r="A21" s="40" t="s">
        <v>91</v>
      </c>
      <c r="B21" s="41">
        <f>IF(4596.19342="","-",4596.19342)</f>
        <v>4596.1934199999996</v>
      </c>
      <c r="C21" s="41" t="s">
        <v>214</v>
      </c>
      <c r="D21" s="41">
        <f>IF(1761.70275="","-",1761.70275/732895.97599*100)</f>
        <v>0.24037555229038912</v>
      </c>
      <c r="E21" s="41">
        <f>IF(4596.19342="","-",4596.19342/675040.29206*100)</f>
        <v>0.68087690084008701</v>
      </c>
      <c r="F21" s="41">
        <f>IF(OR(677915.43358="",1961.12703="",1761.70275=""),"-",(1761.70275-1961.12703)/677915.43358*100)</f>
        <v>-2.9417279814218357E-2</v>
      </c>
      <c r="G21" s="41">
        <f>IF(OR(732895.97599="",4596.19342="",1761.70275=""),"-",(4596.19342-1761.70275)/732895.97599*100)</f>
        <v>0.38675211255883263</v>
      </c>
    </row>
    <row r="22" spans="1:7" s="16" customFormat="1" x14ac:dyDescent="0.25">
      <c r="A22" s="40" t="s">
        <v>100</v>
      </c>
      <c r="B22" s="41">
        <f>IF(4561.07244="","-",4561.07244)</f>
        <v>4561.0724399999999</v>
      </c>
      <c r="C22" s="41" t="s">
        <v>237</v>
      </c>
      <c r="D22" s="41">
        <f>IF(23.61769="","-",23.61769/732895.97599*100)</f>
        <v>3.222515987769901E-3</v>
      </c>
      <c r="E22" s="41">
        <f>IF(4561.07244="","-",4561.07244/675040.29206*100)</f>
        <v>0.67567410325702382</v>
      </c>
      <c r="F22" s="41">
        <f>IF(OR(677915.43358="",104.1113="",23.61769=""),"-",(23.61769-104.1113)/677915.43358*100)</f>
        <v>-1.1873694861160149E-2</v>
      </c>
      <c r="G22" s="41">
        <f>IF(OR(732895.97599="",4561.07244="",23.61769=""),"-",(4561.07244-23.61769)/732895.97599*100)</f>
        <v>0.61911306633533914</v>
      </c>
    </row>
    <row r="23" spans="1:7" s="16" customFormat="1" x14ac:dyDescent="0.25">
      <c r="A23" s="40" t="s">
        <v>93</v>
      </c>
      <c r="B23" s="41">
        <f>IF(3219.2327="","-",3219.2327)</f>
        <v>3219.2327</v>
      </c>
      <c r="C23" s="41">
        <f>IF(OR(2426.6358="",3219.2327=""),"-",3219.2327/2426.6358*100)</f>
        <v>132.66237562307455</v>
      </c>
      <c r="D23" s="41">
        <f>IF(2426.6358="","-",2426.6358/732895.97599*100)</f>
        <v>0.33110235006026428</v>
      </c>
      <c r="E23" s="41">
        <f>IF(3219.2327="","-",3219.2327/675040.29206*100)</f>
        <v>0.47689489618108055</v>
      </c>
      <c r="F23" s="41">
        <f>IF(OR(677915.43358="",3503.96933="",2426.6358=""),"-",(2426.6358-3503.96933)/677915.43358*100)</f>
        <v>-0.15891857252913022</v>
      </c>
      <c r="G23" s="41">
        <f>IF(OR(732895.97599="",3219.2327="",2426.6358=""),"-",(3219.2327-2426.6358)/732895.97599*100)</f>
        <v>0.10814589327351071</v>
      </c>
    </row>
    <row r="24" spans="1:7" s="16" customFormat="1" x14ac:dyDescent="0.25">
      <c r="A24" s="40" t="s">
        <v>90</v>
      </c>
      <c r="B24" s="41">
        <f>IF(2862.76423="","-",2862.76423)</f>
        <v>2862.7642300000002</v>
      </c>
      <c r="C24" s="41">
        <f>IF(OR(3914.98227="",2862.76423=""),"-",2862.76423/3914.98227*100)</f>
        <v>73.123299993897547</v>
      </c>
      <c r="D24" s="41">
        <f>IF(3914.98227="","-",3914.98227/732895.97599*100)</f>
        <v>0.53417980153481126</v>
      </c>
      <c r="E24" s="41">
        <f>IF(2862.76423="","-",2862.76423/675040.29206*100)</f>
        <v>0.42408790462918727</v>
      </c>
      <c r="F24" s="41">
        <f>IF(OR(677915.43358="",3964.71934="",3914.98227=""),"-",(3914.98227-3964.71934)/677915.43358*100)</f>
        <v>-7.3367661416622286E-3</v>
      </c>
      <c r="G24" s="41">
        <f>IF(OR(732895.97599="",2862.76423="",3914.98227=""),"-",(2862.76423-3914.98227)/732895.97599*100)</f>
        <v>-0.14356990275170467</v>
      </c>
    </row>
    <row r="25" spans="1:7" s="9" customFormat="1" x14ac:dyDescent="0.25">
      <c r="A25" s="40" t="s">
        <v>92</v>
      </c>
      <c r="B25" s="41">
        <f>IF(1869.70988="","-",1869.70988)</f>
        <v>1869.7098800000001</v>
      </c>
      <c r="C25" s="41">
        <f>IF(OR(2302.55879="",1869.70988=""),"-",1869.70988/2302.55879*100)</f>
        <v>81.2013959478533</v>
      </c>
      <c r="D25" s="41">
        <f>IF(2302.55879="","-",2302.55879/732895.97599*100)</f>
        <v>0.31417266098230257</v>
      </c>
      <c r="E25" s="41">
        <f>IF(1869.70988="","-",1869.70988/675040.29206*100)</f>
        <v>0.27697752297040862</v>
      </c>
      <c r="F25" s="41">
        <f>IF(OR(677915.43358="",2648.80583="",2302.55879=""),"-",(2302.55879-2648.80583)/677915.43358*100)</f>
        <v>-5.107525553320208E-2</v>
      </c>
      <c r="G25" s="41">
        <f>IF(OR(732895.97599="",1869.70988="",2302.55879=""),"-",(1869.70988-2302.55879)/732895.97599*100)</f>
        <v>-5.9060074578156228E-2</v>
      </c>
    </row>
    <row r="26" spans="1:7" s="9" customFormat="1" x14ac:dyDescent="0.25">
      <c r="A26" s="40" t="s">
        <v>95</v>
      </c>
      <c r="B26" s="41">
        <f>IF(1782.1733="","-",1782.1733)</f>
        <v>1782.1732999999999</v>
      </c>
      <c r="C26" s="41" t="s">
        <v>208</v>
      </c>
      <c r="D26" s="41">
        <f>IF(713.74335="","-",713.74335/732895.97599*100)</f>
        <v>9.7386719723201037E-2</v>
      </c>
      <c r="E26" s="41">
        <f>IF(1782.1733="","-",1782.1733/675040.29206*100)</f>
        <v>0.26400991480988428</v>
      </c>
      <c r="F26" s="41">
        <f>IF(OR(677915.43358="",1097.9577="",713.74335=""),"-",(713.74335-1097.9577)/677915.43358*100)</f>
        <v>-5.6675852321432546E-2</v>
      </c>
      <c r="G26" s="41">
        <f>IF(OR(732895.97599="",1782.1733="",713.74335=""),"-",(1782.1733-713.74335)/732895.97599*100)</f>
        <v>0.14578193700091735</v>
      </c>
    </row>
    <row r="27" spans="1:7" s="16" customFormat="1" x14ac:dyDescent="0.25">
      <c r="A27" s="40" t="s">
        <v>94</v>
      </c>
      <c r="B27" s="41">
        <f>IF(1175.70898="","-",1175.70898)</f>
        <v>1175.7089800000001</v>
      </c>
      <c r="C27" s="41">
        <f>IF(OR(1828.3637="",1175.70898=""),"-",1175.70898/1828.3637*100)</f>
        <v>64.303889866113622</v>
      </c>
      <c r="D27" s="41">
        <f>IF(1828.3637="","-",1828.3637/732895.97599*100)</f>
        <v>0.24947110639135878</v>
      </c>
      <c r="E27" s="41">
        <f>IF(1175.70898="","-",1175.70898/675040.29206*100)</f>
        <v>0.17416871167973169</v>
      </c>
      <c r="F27" s="41">
        <f>IF(OR(677915.43358="",1609.29831="",1828.3637=""),"-",(1828.3637-1609.29831)/677915.43358*100)</f>
        <v>3.2314560068818464E-2</v>
      </c>
      <c r="G27" s="41">
        <f>IF(OR(732895.97599="",1175.70898="",1828.3637=""),"-",(1175.70898-1828.3637)/732895.97599*100)</f>
        <v>-8.9051480889684301E-2</v>
      </c>
    </row>
    <row r="28" spans="1:7" s="16" customFormat="1" x14ac:dyDescent="0.25">
      <c r="A28" s="40" t="s">
        <v>97</v>
      </c>
      <c r="B28" s="41">
        <f>IF(319.10219="","-",319.10219)</f>
        <v>319.10219000000001</v>
      </c>
      <c r="C28" s="41" t="s">
        <v>20</v>
      </c>
      <c r="D28" s="41">
        <f>IF(161.77087="","-",161.77087/732895.97599*100)</f>
        <v>2.2072828245710999E-2</v>
      </c>
      <c r="E28" s="41">
        <f>IF(319.10219="","-",319.10219/675040.29206*100)</f>
        <v>4.7271576786358266E-2</v>
      </c>
      <c r="F28" s="41">
        <f>IF(OR(677915.43358="",810.76736="",161.77087=""),"-",(161.77087-810.76736)/677915.43358*100)</f>
        <v>-9.5734137010676679E-2</v>
      </c>
      <c r="G28" s="41">
        <f>IF(OR(732895.97599="",319.10219="",161.77087=""),"-",(319.10219-161.77087)/732895.97599*100)</f>
        <v>2.1467073794132378E-2</v>
      </c>
    </row>
    <row r="29" spans="1:7" s="9" customFormat="1" x14ac:dyDescent="0.25">
      <c r="A29" s="40" t="s">
        <v>98</v>
      </c>
      <c r="B29" s="41">
        <f>IF(316.87517="","-",316.87517)</f>
        <v>316.87517000000003</v>
      </c>
      <c r="C29" s="41">
        <f>IF(OR(294.94685="",316.87517=""),"-",316.87517/294.94685*100)</f>
        <v>107.43466831396913</v>
      </c>
      <c r="D29" s="41">
        <f>IF(294.94685="","-",294.94685/732895.97599*100)</f>
        <v>4.024402639154679E-2</v>
      </c>
      <c r="E29" s="41">
        <f>IF(316.87517="","-",316.87517/675040.29206*100)</f>
        <v>4.6941667590389556E-2</v>
      </c>
      <c r="F29" s="41">
        <f>IF(OR(677915.43358="",3.8135="",294.94685=""),"-",(294.94685-3.8135)/677915.43358*100)</f>
        <v>4.2945378668037618E-2</v>
      </c>
      <c r="G29" s="41">
        <f>IF(OR(732895.97599="",316.87517="",294.94685=""),"-",(316.87517-294.94685)/732895.97599*100)</f>
        <v>2.9920098783977013E-3</v>
      </c>
    </row>
    <row r="30" spans="1:7" s="9" customFormat="1" x14ac:dyDescent="0.25">
      <c r="A30" s="40" t="s">
        <v>179</v>
      </c>
      <c r="B30" s="41">
        <f>IF(153.94229="","-",153.94229)</f>
        <v>153.94229000000001</v>
      </c>
      <c r="C30" s="41">
        <f>IF(OR(158.95636="",153.94229=""),"-",153.94229/158.95636*100)</f>
        <v>96.845631090193578</v>
      </c>
      <c r="D30" s="41">
        <f>IF(158.95636="","-",158.95636/732895.97599*100)</f>
        <v>2.1688802395903574E-2</v>
      </c>
      <c r="E30" s="41">
        <f>IF(153.94229="","-",153.94229/675040.29206*100)</f>
        <v>2.2804903916212021E-2</v>
      </c>
      <c r="F30" s="41">
        <f>IF(OR(677915.43358="",226.83118="",158.95636=""),"-",(158.95636-226.83118)/677915.43358*100)</f>
        <v>-1.0012284222762156E-2</v>
      </c>
      <c r="G30" s="41">
        <f>IF(OR(732895.97599="",153.94229="",158.95636=""),"-",(153.94229-158.95636)/732895.97599*100)</f>
        <v>-6.841448396857333E-4</v>
      </c>
    </row>
    <row r="31" spans="1:7" s="9" customFormat="1" x14ac:dyDescent="0.25">
      <c r="A31" s="40" t="s">
        <v>99</v>
      </c>
      <c r="B31" s="41">
        <f>IF(108.71315="","-",108.71315)</f>
        <v>108.71315</v>
      </c>
      <c r="C31" s="41">
        <f>IF(OR(152.67728="",108.71315=""),"-",108.71315/152.67728*100)</f>
        <v>71.204536785040972</v>
      </c>
      <c r="D31" s="41">
        <f>IF(152.67728="","-",152.67728/732895.97599*100)</f>
        <v>2.0832053251999737E-2</v>
      </c>
      <c r="E31" s="41">
        <f>IF(108.71315="","-",108.71315/675040.29206*100)</f>
        <v>1.610469053161899E-2</v>
      </c>
      <c r="F31" s="41">
        <f>IF(OR(677915.43358="",176.56565="",152.67728=""),"-",(152.67728-176.56565)/677915.43358*100)</f>
        <v>-3.5237979276925508E-3</v>
      </c>
      <c r="G31" s="41">
        <f>IF(OR(732895.97599="",108.71315="",152.67728=""),"-",(108.71315-152.67728)/732895.97599*100)</f>
        <v>-5.9986862311002601E-3</v>
      </c>
    </row>
    <row r="32" spans="1:7" s="9" customFormat="1" x14ac:dyDescent="0.25">
      <c r="A32" s="40" t="s">
        <v>102</v>
      </c>
      <c r="B32" s="41">
        <f>IF(95.5496="","-",95.5496)</f>
        <v>95.549599999999998</v>
      </c>
      <c r="C32" s="41" t="s">
        <v>238</v>
      </c>
      <c r="D32" s="41">
        <f>IF(6.11559="","-",6.11559/732895.97599*100)</f>
        <v>8.3444174894520707E-4</v>
      </c>
      <c r="E32" s="41">
        <f>IF(95.5496="","-",95.5496/675040.29206*100)</f>
        <v>1.4154651377685054E-2</v>
      </c>
      <c r="F32" s="41">
        <f>IF(OR(677915.43358="",311.0327="",6.11559=""),"-",(6.11559-311.0327)/677915.43358*100)</f>
        <v>-4.4978635224420971E-2</v>
      </c>
      <c r="G32" s="41">
        <f>IF(OR(732895.97599="",95.5496="",6.11559=""),"-",(95.5496-6.11559)/732895.97599*100)</f>
        <v>1.2202824538529092E-2</v>
      </c>
    </row>
    <row r="33" spans="1:7" s="9" customFormat="1" x14ac:dyDescent="0.25">
      <c r="A33" s="40" t="s">
        <v>101</v>
      </c>
      <c r="B33" s="41">
        <f>IF(34.72929="","-",34.72929)</f>
        <v>34.729289999999999</v>
      </c>
      <c r="C33" s="41" t="s">
        <v>239</v>
      </c>
      <c r="D33" s="41">
        <f>IF(6.61457="","-",6.61457/732895.97599*100)</f>
        <v>9.0252508087044711E-4</v>
      </c>
      <c r="E33" s="41">
        <f>IF(34.72929="","-",34.72929/675040.29206*100)</f>
        <v>5.1447728985210169E-3</v>
      </c>
      <c r="F33" s="41" t="str">
        <f>IF(OR(677915.43358="",""="",6.61457=""),"-",(6.61457-"")/677915.43358*100)</f>
        <v>-</v>
      </c>
      <c r="G33" s="41">
        <f>IF(OR(732895.97599="",34.72929="",6.61457=""),"-",(34.72929-6.61457)/732895.97599*100)</f>
        <v>3.8361132986195591E-3</v>
      </c>
    </row>
    <row r="34" spans="1:7" s="9" customFormat="1" x14ac:dyDescent="0.25">
      <c r="A34" s="40" t="s">
        <v>103</v>
      </c>
      <c r="B34" s="41">
        <f>IF(25.65794="","-",25.65794)</f>
        <v>25.65794</v>
      </c>
      <c r="C34" s="41">
        <f>IF(OR(39.75135="",25.65794=""),"-",25.65794/39.75135*100)</f>
        <v>64.546084598384695</v>
      </c>
      <c r="D34" s="41">
        <f>IF(39.75135="","-",39.75135/732895.97599*100)</f>
        <v>5.4238734148190212E-3</v>
      </c>
      <c r="E34" s="41">
        <f>IF(25.65794="","-",25.65794/675040.29206*100)</f>
        <v>3.8009494102493411E-3</v>
      </c>
      <c r="F34" s="41">
        <f>IF(OR(677915.43358="",4.42339="",39.75135=""),"-",(39.75135-4.42339)/677915.43358*100)</f>
        <v>5.2112635662293115E-3</v>
      </c>
      <c r="G34" s="41">
        <f>IF(OR(732895.97599="",25.65794="",39.75135=""),"-",(25.65794-39.75135)/732895.97599*100)</f>
        <v>-1.9229754919806385E-3</v>
      </c>
    </row>
    <row r="35" spans="1:7" s="9" customFormat="1" x14ac:dyDescent="0.25">
      <c r="A35" s="40" t="s">
        <v>104</v>
      </c>
      <c r="B35" s="41">
        <f>IF(2.36964="","-",2.36964)</f>
        <v>2.36964</v>
      </c>
      <c r="C35" s="41" t="str">
        <f>IF(OR(""="",2.36964=""),"-",2.36964/""*100)</f>
        <v>-</v>
      </c>
      <c r="D35" s="41" t="str">
        <f>IF(""="","-",""/732895.97599*100)</f>
        <v>-</v>
      </c>
      <c r="E35" s="41">
        <f>IF(2.36964="","-",2.36964/675040.29206*100)</f>
        <v>3.5103682370849913E-4</v>
      </c>
      <c r="F35" s="41" t="str">
        <f>IF(OR(677915.43358="",208.8544="",""=""),"-",(""-208.8544)/677915.43358*100)</f>
        <v>-</v>
      </c>
      <c r="G35" s="41" t="str">
        <f>IF(OR(732895.97599="",2.36964="",""=""),"-",(2.36964-"")/732895.97599*100)</f>
        <v>-</v>
      </c>
    </row>
    <row r="36" spans="1:7" s="9" customFormat="1" x14ac:dyDescent="0.25">
      <c r="A36" s="38" t="s">
        <v>279</v>
      </c>
      <c r="B36" s="39">
        <f>IF(94890.7183="","-",94890.7183)</f>
        <v>94890.718299999993</v>
      </c>
      <c r="C36" s="39">
        <f>IF(102132.10469="","-",94890.7183/102132.10469*100)</f>
        <v>92.90978442872624</v>
      </c>
      <c r="D36" s="39">
        <f>IF(102132.10469="","-",102132.10469/732895.97599*100)</f>
        <v>13.935416216747457</v>
      </c>
      <c r="E36" s="39">
        <f>IF(94890.7183="","-",94890.7183/675040.29206*100)</f>
        <v>14.057045100289475</v>
      </c>
      <c r="F36" s="39">
        <f>IF(677915.43358="","-",(102132.10469-113666.72983)/677915.43358*100)</f>
        <v>-1.7014843693831934</v>
      </c>
      <c r="G36" s="39">
        <f>IF(732895.97599="","-",(94890.7183-102132.10469)/732895.97599*100)</f>
        <v>-0.98805105052163711</v>
      </c>
    </row>
    <row r="37" spans="1:7" s="9" customFormat="1" ht="14.25" customHeight="1" x14ac:dyDescent="0.25">
      <c r="A37" s="40" t="s">
        <v>180</v>
      </c>
      <c r="B37" s="41">
        <f>IF(52975.13653="","-",52975.13653)</f>
        <v>52975.136530000003</v>
      </c>
      <c r="C37" s="41">
        <f>IF(OR(58097.61756="",52975.13653=""),"-",52975.13653/58097.61756*100)</f>
        <v>91.182975748171117</v>
      </c>
      <c r="D37" s="41">
        <f>IF(58097.61756="","-",58097.61756/732895.97599*100)</f>
        <v>7.9271301062229762</v>
      </c>
      <c r="E37" s="41">
        <f>IF(52975.13653="","-",52975.13653/675040.29206*100)</f>
        <v>7.8476999303756205</v>
      </c>
      <c r="F37" s="41">
        <f>IF(OR(677915.43358="",60138.63881="",58097.61756=""),"-",(58097.61756-60138.63881)/677915.43358*100)</f>
        <v>-0.30107313521711399</v>
      </c>
      <c r="G37" s="41">
        <f>IF(OR(732895.97599="",52975.13653="",58097.61756=""),"-",(52975.13653-58097.61756)/732895.97599*100)</f>
        <v>-0.69893698393970849</v>
      </c>
    </row>
    <row r="38" spans="1:7" s="17" customFormat="1" ht="14.25" customHeight="1" x14ac:dyDescent="0.2">
      <c r="A38" s="40" t="s">
        <v>11</v>
      </c>
      <c r="B38" s="41">
        <f>IF(18708.08303="","-",18708.08303)</f>
        <v>18708.083030000002</v>
      </c>
      <c r="C38" s="41">
        <f>IF(OR(23522.68107="",18708.08303=""),"-",18708.08303/23522.68107*100)</f>
        <v>79.532103395559091</v>
      </c>
      <c r="D38" s="41">
        <f>IF(23522.68107="","-",23522.68107/732895.97599*100)</f>
        <v>3.2095524932068882</v>
      </c>
      <c r="E38" s="41">
        <f>IF(18708.08303="","-",18708.08303/675040.29206*100)</f>
        <v>2.7714024259069205</v>
      </c>
      <c r="F38" s="41">
        <f>IF(OR(677915.43358="",28625.74096="",23522.68107=""),"-",(23522.68107-28625.74096)/677915.43358*100)</f>
        <v>-0.75275759146701804</v>
      </c>
      <c r="G38" s="41">
        <f>IF(OR(732895.97599="",18708.08303="",23522.68107=""),"-",(18708.08303-23522.68107)/732895.97599*100)</f>
        <v>-0.65692788577484151</v>
      </c>
    </row>
    <row r="39" spans="1:7" s="17" customFormat="1" ht="14.25" customHeight="1" x14ac:dyDescent="0.2">
      <c r="A39" s="40" t="s">
        <v>12</v>
      </c>
      <c r="B39" s="41">
        <f>IF(17734.78508="","-",17734.78508)</f>
        <v>17734.785080000001</v>
      </c>
      <c r="C39" s="41">
        <f>IF(OR(16629.23875="",17734.78508=""),"-",17734.78508/16629.23875*100)</f>
        <v>106.64820769381281</v>
      </c>
      <c r="D39" s="41">
        <f>IF(16629.23875="","-",16629.23875/732895.97599*100)</f>
        <v>2.2689766753784033</v>
      </c>
      <c r="E39" s="41">
        <f>IF(17734.78508="","-",17734.78508/675040.29206*100)</f>
        <v>2.6272187436218504</v>
      </c>
      <c r="F39" s="41">
        <f>IF(OR(677915.43358="",18566.91381="",16629.23875=""),"-",(16629.23875-18566.91381)/677915.43358*100)</f>
        <v>-0.28582843287212684</v>
      </c>
      <c r="G39" s="41">
        <f>IF(OR(732895.97599="",17734.78508="",16629.23875=""),"-",(17734.78508-16629.23875)/732895.97599*100)</f>
        <v>0.15084628190332508</v>
      </c>
    </row>
    <row r="40" spans="1:7" s="17" customFormat="1" ht="14.25" customHeight="1" x14ac:dyDescent="0.2">
      <c r="A40" s="40" t="s">
        <v>13</v>
      </c>
      <c r="B40" s="41">
        <f>IF(3219.43806="","-",3219.43806)</f>
        <v>3219.43806</v>
      </c>
      <c r="C40" s="41" t="s">
        <v>145</v>
      </c>
      <c r="D40" s="41">
        <f>IF(1542.96693="","-",1542.96693/732895.97599*100)</f>
        <v>0.21053014077690246</v>
      </c>
      <c r="E40" s="41">
        <f>IF(3219.43806="","-",3219.43806/675040.29206*100)</f>
        <v>0.4769253180688427</v>
      </c>
      <c r="F40" s="41">
        <f>IF(OR(677915.43358="",3460.42573="",1542.96693=""),"-",(1542.96693-3460.42573)/677915.43358*100)</f>
        <v>-0.28284631165189766</v>
      </c>
      <c r="G40" s="41">
        <f>IF(OR(732895.97599="",3219.43806="",1542.96693=""),"-",(3219.43806-1542.96693)/732895.97599*100)</f>
        <v>0.22874612290446997</v>
      </c>
    </row>
    <row r="41" spans="1:7" s="15" customFormat="1" ht="14.25" customHeight="1" x14ac:dyDescent="0.2">
      <c r="A41" s="40" t="s">
        <v>15</v>
      </c>
      <c r="B41" s="41">
        <f>IF(878.53868="","-",878.53868)</f>
        <v>878.53868</v>
      </c>
      <c r="C41" s="41">
        <f>IF(OR(650.73855="",878.53868=""),"-",878.53868/650.73855*100)</f>
        <v>135.00639849905923</v>
      </c>
      <c r="D41" s="41">
        <f>IF(650.73855="","-",650.73855/732895.97599*100)</f>
        <v>8.8790029051664374E-2</v>
      </c>
      <c r="E41" s="41">
        <f>IF(878.53868="","-",878.53868/675040.29206*100)</f>
        <v>0.13014610984464203</v>
      </c>
      <c r="F41" s="41">
        <f>IF(OR(677915.43358="",627.66302="",650.73855=""),"-",(650.73855-627.66302)/677915.43358*100)</f>
        <v>3.4038950666959488E-3</v>
      </c>
      <c r="G41" s="41">
        <f>IF(OR(732895.97599="",878.53868="",650.73855=""),"-",(878.53868-650.73855)/732895.97599*100)</f>
        <v>3.1082191397256109E-2</v>
      </c>
    </row>
    <row r="42" spans="1:7" s="17" customFormat="1" ht="14.25" customHeight="1" x14ac:dyDescent="0.2">
      <c r="A42" s="40" t="s">
        <v>14</v>
      </c>
      <c r="B42" s="41">
        <f>IF(806.54305="","-",806.54305)</f>
        <v>806.54304999999999</v>
      </c>
      <c r="C42" s="41">
        <f>IF(OR(1142.55061="",806.54305=""),"-",806.54305/1142.55061*100)</f>
        <v>70.591450649175187</v>
      </c>
      <c r="D42" s="41">
        <f>IF(1142.55061="","-",1142.55061/732895.97599*100)</f>
        <v>0.15589533131992386</v>
      </c>
      <c r="E42" s="41">
        <f>IF(806.54305="","-",806.54305/675040.29206*100)</f>
        <v>0.11948072722277021</v>
      </c>
      <c r="F42" s="41">
        <f>IF(OR(677915.43358="",1243.96731="",1142.55061=""),"-",(1142.55061-1243.96731)/677915.43358*100)</f>
        <v>-1.4960081298699617E-2</v>
      </c>
      <c r="G42" s="41">
        <f>IF(OR(732895.97599="",806.54305="",1142.55061=""),"-",(806.54305-1142.55061)/732895.97599*100)</f>
        <v>-4.5846555446851671E-2</v>
      </c>
    </row>
    <row r="43" spans="1:7" s="15" customFormat="1" ht="14.25" customHeight="1" x14ac:dyDescent="0.2">
      <c r="A43" s="40" t="s">
        <v>17</v>
      </c>
      <c r="B43" s="41">
        <f>IF(260.32668="","-",260.32668)</f>
        <v>260.32668000000001</v>
      </c>
      <c r="C43" s="41">
        <f>IF(OR(246.59265="",260.32668=""),"-",260.32668/246.59265*100)</f>
        <v>105.56952123268881</v>
      </c>
      <c r="D43" s="41">
        <f>IF(246.59265="","-",246.59265/732895.97599*100)</f>
        <v>3.3646337008045549E-2</v>
      </c>
      <c r="E43" s="41">
        <f>IF(260.32668="","-",260.32668/675040.29206*100)</f>
        <v>3.8564613558928311E-2</v>
      </c>
      <c r="F43" s="41">
        <f>IF(OR(677915.43358="",547.88034="",246.59265=""),"-",(246.59265-547.88034)/677915.43358*100)</f>
        <v>-4.4443255762585537E-2</v>
      </c>
      <c r="G43" s="41">
        <f>IF(OR(732895.97599="",260.32668="",246.59265=""),"-",(260.32668-246.59265)/732895.97599*100)</f>
        <v>1.873939883685132E-3</v>
      </c>
    </row>
    <row r="44" spans="1:7" s="15" customFormat="1" ht="14.25" customHeight="1" x14ac:dyDescent="0.2">
      <c r="A44" s="40" t="s">
        <v>182</v>
      </c>
      <c r="B44" s="41">
        <f>IF(196.8437="","-",196.8437)</f>
        <v>196.84370000000001</v>
      </c>
      <c r="C44" s="41">
        <f>IF(OR(152.79547="",196.8437=""),"-",196.8437/152.79547*100)</f>
        <v>128.82823031337253</v>
      </c>
      <c r="D44" s="41">
        <f>IF(152.79547="","-",152.79547/732895.97599*100)</f>
        <v>2.084817968792952E-2</v>
      </c>
      <c r="E44" s="41">
        <f>IF(196.8437="","-",196.8437/675040.29206*100)</f>
        <v>2.9160288995386936E-2</v>
      </c>
      <c r="F44" s="41">
        <f>IF(OR(677915.43358="",301.36982="",152.79547=""),"-",(152.79547-301.36982)/677915.43358*100)</f>
        <v>-2.1916354554047328E-2</v>
      </c>
      <c r="G44" s="41">
        <f>IF(OR(732895.97599="",196.8437="",152.79547=""),"-",(196.8437-152.79547)/732895.97599*100)</f>
        <v>6.0101612565820715E-3</v>
      </c>
    </row>
    <row r="45" spans="1:7" s="15" customFormat="1" ht="14.25" customHeight="1" x14ac:dyDescent="0.2">
      <c r="A45" s="40" t="s">
        <v>18</v>
      </c>
      <c r="B45" s="41">
        <f>IF(111.02349="","-",111.02349)</f>
        <v>111.02349</v>
      </c>
      <c r="C45" s="41" t="s">
        <v>181</v>
      </c>
      <c r="D45" s="41">
        <f>IF(73.92006="","-",73.92006/732895.97599*100)</f>
        <v>1.0086023449664651E-2</v>
      </c>
      <c r="E45" s="41">
        <f>IF(111.02349="","-",111.02349/675040.29206*100)</f>
        <v>1.6446942694515757E-2</v>
      </c>
      <c r="F45" s="41">
        <f>IF(OR(677915.43358="",98.18355="",73.92006=""),"-",(73.92006-98.18355)/677915.43358*100)</f>
        <v>-3.5791322631300864E-3</v>
      </c>
      <c r="G45" s="41">
        <f>IF(OR(732895.97599="",111.02349="",73.92006=""),"-",(111.02349-73.92006)/732895.97599*100)</f>
        <v>5.0625779395064175E-3</v>
      </c>
    </row>
    <row r="46" spans="1:7" s="15" customFormat="1" ht="14.25" customHeight="1" x14ac:dyDescent="0.2">
      <c r="A46" s="40" t="s">
        <v>16</v>
      </c>
      <c r="B46" s="41" t="str">
        <f>IF(""="","-","")</f>
        <v>-</v>
      </c>
      <c r="C46" s="41" t="str">
        <f>IF(OR(73.00304="",""=""),"-",""/73.00304*100)</f>
        <v>-</v>
      </c>
      <c r="D46" s="41">
        <f>IF(73.00304="","-",73.00304/732895.97599*100)</f>
        <v>9.9609006450590877E-3</v>
      </c>
      <c r="E46" s="41" t="str">
        <f>IF(""="","-",""/675040.29206*100)</f>
        <v>-</v>
      </c>
      <c r="F46" s="41">
        <f>IF(OR(677915.43358="",55.94648="",73.00304=""),"-",(73.00304-55.94648)/677915.43358*100)</f>
        <v>2.5160306367309122E-3</v>
      </c>
      <c r="G46" s="41" t="str">
        <f>IF(OR(732895.97599="",""="",73.00304=""),"-",(""-73.00304)/732895.97599*100)</f>
        <v>-</v>
      </c>
    </row>
    <row r="47" spans="1:7" s="9" customFormat="1" x14ac:dyDescent="0.25">
      <c r="A47" s="38" t="s">
        <v>280</v>
      </c>
      <c r="B47" s="39">
        <f>IF(132711.98689="","-",132711.98689)</f>
        <v>132711.98689</v>
      </c>
      <c r="C47" s="39">
        <f>IF(171875.19083="","-",132711.98689/171875.19083*100)</f>
        <v>77.214161188198517</v>
      </c>
      <c r="D47" s="39">
        <f>IF(171875.19083="","-",171875.19083/732895.97599*100)</f>
        <v>23.45151241932118</v>
      </c>
      <c r="E47" s="39">
        <f>IF(132711.98689="","-",132711.98689/675040.29206*100)</f>
        <v>19.659861559523634</v>
      </c>
      <c r="F47" s="39">
        <f>IF(677915.43358="","-",(171875.19083-135864.70109)/677915.43358*100)</f>
        <v>5.311944227295788</v>
      </c>
      <c r="G47" s="39">
        <f>IF(732895.97599="","-",(132711.98689-171875.19083)/732895.97599*100)</f>
        <v>-5.3436238187961305</v>
      </c>
    </row>
    <row r="48" spans="1:7" s="9" customFormat="1" x14ac:dyDescent="0.25">
      <c r="A48" s="40" t="s">
        <v>105</v>
      </c>
      <c r="B48" s="41">
        <f>IF(42676.6489="","-",42676.6489)</f>
        <v>42676.6489</v>
      </c>
      <c r="C48" s="41">
        <f>IF(OR(73034.48793="",42676.6489=""),"-",42676.6489/73034.48793*100)</f>
        <v>58.433556679282106</v>
      </c>
      <c r="D48" s="41">
        <f>IF(73034.48793="","-",73034.48793/732895.97599*100)</f>
        <v>9.9651915582350696</v>
      </c>
      <c r="E48" s="41">
        <f>IF(42676.6489="","-",42676.6489/675040.29206*100)</f>
        <v>6.3220891259342409</v>
      </c>
      <c r="F48" s="41">
        <f>IF(OR(677915.43358="",31203.28897="",73034.48793=""),"-",(73034.48793-31203.28897)/677915.43358*100)</f>
        <v>6.1705630065233725</v>
      </c>
      <c r="G48" s="41">
        <f>IF(OR(732895.97599="",42676.6489="",73034.48793=""),"-",(42676.6489-73034.48793)/732895.97599*100)</f>
        <v>-4.1421757008547448</v>
      </c>
    </row>
    <row r="49" spans="1:7" s="16" customFormat="1" x14ac:dyDescent="0.25">
      <c r="A49" s="40" t="s">
        <v>183</v>
      </c>
      <c r="B49" s="41">
        <f>IF(26700.48246="","-",26700.48246)</f>
        <v>26700.482459999999</v>
      </c>
      <c r="C49" s="41">
        <f>IF(OR(22115.30565="",26700.48246=""),"-",26700.48246/22115.30565*100)</f>
        <v>120.73304743133859</v>
      </c>
      <c r="D49" s="41">
        <f>IF(22115.30565="","-",22115.30565/732895.97599*100)</f>
        <v>3.0175231375948708</v>
      </c>
      <c r="E49" s="41">
        <f>IF(26700.48246="","-",26700.48246/675040.29206*100)</f>
        <v>3.9553909261503408</v>
      </c>
      <c r="F49" s="41">
        <f>IF(OR(677915.43358="",20438.51513="",22115.30565=""),"-",(22115.30565-20438.51513)/677915.43358*100)</f>
        <v>0.24734508715121656</v>
      </c>
      <c r="G49" s="41">
        <f>IF(OR(732895.97599="",26700.48246="",22115.30565=""),"-",(26700.48246-22115.30565)/732895.97599*100)</f>
        <v>0.62562450336916076</v>
      </c>
    </row>
    <row r="50" spans="1:7" s="18" customFormat="1" ht="25.5" x14ac:dyDescent="0.25">
      <c r="A50" s="40" t="s">
        <v>177</v>
      </c>
      <c r="B50" s="41">
        <f>IF(11270.10205="","-",11270.10205)</f>
        <v>11270.10205</v>
      </c>
      <c r="C50" s="41">
        <f>IF(OR(11893.0369="",11270.10205=""),"-",11270.10205/11893.0369*100)</f>
        <v>94.76218853739536</v>
      </c>
      <c r="D50" s="41">
        <f>IF(11893.0369="","-",11893.0369/732895.97599*100)</f>
        <v>1.6227455586633313</v>
      </c>
      <c r="E50" s="41">
        <f>IF(11270.10205="","-",11270.10205/675040.29206*100)</f>
        <v>1.669545089761586</v>
      </c>
      <c r="F50" s="41">
        <f>IF(OR(677915.43358="",25975.35093="",11893.0369=""),"-",(11893.0369-25975.35093)/677915.43358*100)</f>
        <v>-2.0772965671592378</v>
      </c>
      <c r="G50" s="41">
        <f>IF(OR(732895.97599="",11270.10205="",11893.0369=""),"-",(11270.10205-11893.0369)/732895.97599*100)</f>
        <v>-8.4996352880575693E-2</v>
      </c>
    </row>
    <row r="51" spans="1:7" s="9" customFormat="1" x14ac:dyDescent="0.25">
      <c r="A51" s="40" t="s">
        <v>19</v>
      </c>
      <c r="B51" s="41">
        <f>IF(6056.64251="","-",6056.64251)</f>
        <v>6056.6425099999997</v>
      </c>
      <c r="C51" s="41">
        <f>IF(OR(5141.47692="",6056.64251=""),"-",6056.64251/5141.47692*100)</f>
        <v>117.79966348657653</v>
      </c>
      <c r="D51" s="41">
        <f>IF(5141.47692="","-",5141.47692/732895.97599*100)</f>
        <v>0.70152887837252265</v>
      </c>
      <c r="E51" s="41">
        <f>IF(6056.64251="","-",6056.64251/675040.29206*100)</f>
        <v>0.89722681464200116</v>
      </c>
      <c r="F51" s="41">
        <f>IF(OR(677915.43358="",4989.51575="",5141.47692=""),"-",(5141.47692-4989.51575)/677915.43358*100)</f>
        <v>2.2415947841386286E-2</v>
      </c>
      <c r="G51" s="41">
        <f>IF(OR(732895.97599="",6056.64251="",5141.47692=""),"-",(6056.64251-5141.47692)/732895.97599*100)</f>
        <v>0.1248697796114638</v>
      </c>
    </row>
    <row r="52" spans="1:7" s="18" customFormat="1" x14ac:dyDescent="0.25">
      <c r="A52" s="40" t="s">
        <v>107</v>
      </c>
      <c r="B52" s="41">
        <f>IF(5283.80118="","-",5283.80118)</f>
        <v>5283.8011800000004</v>
      </c>
      <c r="C52" s="41">
        <f>IF(OR(4364.47359="",5283.80118=""),"-",5283.80118/4364.47359*100)</f>
        <v>121.06388252884355</v>
      </c>
      <c r="D52" s="41">
        <f>IF(4364.47359="","-",4364.47359/732895.97599*100)</f>
        <v>0.59551064993970593</v>
      </c>
      <c r="E52" s="41">
        <f>IF(5283.80118="","-",5283.80118/675040.29206*100)</f>
        <v>0.78273863681167599</v>
      </c>
      <c r="F52" s="41">
        <f>IF(OR(677915.43358="",6022.71037="",4364.47359=""),"-",(4364.47359-6022.71037)/677915.43358*100)</f>
        <v>-0.24460820595911592</v>
      </c>
      <c r="G52" s="41">
        <f>IF(OR(732895.97599="",5283.80118="",4364.47359=""),"-",(5283.80118-4364.47359)/732895.97599*100)</f>
        <v>0.12543766375005239</v>
      </c>
    </row>
    <row r="53" spans="1:7" s="16" customFormat="1" x14ac:dyDescent="0.25">
      <c r="A53" s="40" t="s">
        <v>114</v>
      </c>
      <c r="B53" s="41">
        <f>IF(4396.02129="","-",4396.02129)</f>
        <v>4396.0212899999997</v>
      </c>
      <c r="C53" s="41">
        <f>IF(OR(4043.76472="",4396.02129=""),"-",4396.02129/4043.76472*100)</f>
        <v>108.71110448780017</v>
      </c>
      <c r="D53" s="41">
        <f>IF(4043.76472="","-",4043.76472/732895.97599*100)</f>
        <v>0.55175152442850572</v>
      </c>
      <c r="E53" s="41">
        <f>IF(4396.02129="","-",4396.02129/675040.29206*100)</f>
        <v>0.65122354053634257</v>
      </c>
      <c r="F53" s="41">
        <f>IF(OR(677915.43358="",1573.57068="",4043.76472=""),"-",(4043.76472-1573.57068)/677915.43358*100)</f>
        <v>0.36438085307413137</v>
      </c>
      <c r="G53" s="41">
        <f>IF(OR(732895.97599="",4396.02129="",4043.76472=""),"-",(4396.02129-4043.76472)/732895.97599*100)</f>
        <v>4.8063651805997358E-2</v>
      </c>
    </row>
    <row r="54" spans="1:7" s="9" customFormat="1" x14ac:dyDescent="0.25">
      <c r="A54" s="40" t="s">
        <v>109</v>
      </c>
      <c r="B54" s="41">
        <f>IF(3780.46236="","-",3780.46236)</f>
        <v>3780.46236</v>
      </c>
      <c r="C54" s="41" t="s">
        <v>155</v>
      </c>
      <c r="D54" s="41">
        <f>IF(2196.03758="","-",2196.03758/732895.97599*100)</f>
        <v>0.29963837324029241</v>
      </c>
      <c r="E54" s="41">
        <f>IF(3780.46236="","-",3780.46236/675040.29206*100)</f>
        <v>0.56003506819767424</v>
      </c>
      <c r="F54" s="41">
        <f>IF(OR(677915.43358="",3627.75408="",2196.03758=""),"-",(2196.03758-3627.75408)/677915.43358*100)</f>
        <v>-0.21119396743031149</v>
      </c>
      <c r="G54" s="41">
        <f>IF(OR(732895.97599="",3780.46236="",2196.03758=""),"-",(3780.46236-2196.03758)/732895.97599*100)</f>
        <v>0.21618685760414363</v>
      </c>
    </row>
    <row r="55" spans="1:7" s="9" customFormat="1" x14ac:dyDescent="0.25">
      <c r="A55" s="40" t="s">
        <v>108</v>
      </c>
      <c r="B55" s="41">
        <f>IF(2762.18541="","-",2762.18541)</f>
        <v>2762.18541</v>
      </c>
      <c r="C55" s="41">
        <f>IF(OR(3604.66763="",2762.18541=""),"-",2762.18541/3604.66763*100)</f>
        <v>76.628019377198456</v>
      </c>
      <c r="D55" s="41">
        <f>IF(3604.66763="","-",3604.66763/732895.97599*100)</f>
        <v>0.49183891685730641</v>
      </c>
      <c r="E55" s="41">
        <f>IF(2762.18541="","-",2762.18541/675040.29206*100)</f>
        <v>0.40918822809387018</v>
      </c>
      <c r="F55" s="41">
        <f>IF(OR(677915.43358="",3880.80707="",3604.66763=""),"-",(3604.66763-3880.80707)/677915.43358*100)</f>
        <v>-4.073361164559075E-2</v>
      </c>
      <c r="G55" s="41">
        <f>IF(OR(732895.97599="",2762.18541="",3604.66763=""),"-",(2762.18541-3604.66763)/732895.97599*100)</f>
        <v>-0.11495249634328668</v>
      </c>
    </row>
    <row r="56" spans="1:7" s="18" customFormat="1" x14ac:dyDescent="0.25">
      <c r="A56" s="40" t="s">
        <v>106</v>
      </c>
      <c r="B56" s="41">
        <f>IF(2035.33996="","-",2035.33996)</f>
        <v>2035.33996</v>
      </c>
      <c r="C56" s="41">
        <f>IF(OR(3310.99055="",2035.33996=""),"-",2035.33996/3310.99055*100)</f>
        <v>61.472237062108192</v>
      </c>
      <c r="D56" s="41">
        <f>IF(3310.99055="","-",3310.99055/732895.97599*100)</f>
        <v>0.45176814424823331</v>
      </c>
      <c r="E56" s="41">
        <f>IF(2035.33996="","-",2035.33996/675040.29206*100)</f>
        <v>0.30151384797917985</v>
      </c>
      <c r="F56" s="41">
        <f>IF(OR(677915.43358="",3652.31174="",3310.99055=""),"-",(3310.99055-3652.31174)/677915.43358*100)</f>
        <v>-5.0348638354126105E-2</v>
      </c>
      <c r="G56" s="41">
        <f>IF(OR(732895.97599="",2035.33996="",3310.99055=""),"-",(2035.33996-3310.99055)/732895.97599*100)</f>
        <v>-0.17405615964487239</v>
      </c>
    </row>
    <row r="57" spans="1:7" s="9" customFormat="1" x14ac:dyDescent="0.25">
      <c r="A57" s="40" t="s">
        <v>110</v>
      </c>
      <c r="B57" s="41">
        <f>IF(2017.33154="","-",2017.33154)</f>
        <v>2017.3315399999999</v>
      </c>
      <c r="C57" s="41">
        <f>IF(OR(1890.7178="",2017.33154=""),"-",2017.33154/1890.7178*100)</f>
        <v>106.69659639317935</v>
      </c>
      <c r="D57" s="41">
        <f>IF(1890.7178="","-",1890.7178/732895.97599*100)</f>
        <v>0.25797901229379899</v>
      </c>
      <c r="E57" s="41">
        <f>IF(2017.33154="","-",2017.33154/675040.29206*100)</f>
        <v>0.29884609314856897</v>
      </c>
      <c r="F57" s="41">
        <f>IF(OR(677915.43358="",1425.82294="",1890.7178=""),"-",(1890.7178-1425.82294)/677915.43358*100)</f>
        <v>6.8577116993035411E-2</v>
      </c>
      <c r="G57" s="41">
        <f>IF(OR(732895.97599="",2017.33154="",1890.7178=""),"-",(2017.33154-1890.7178)/732895.97599*100)</f>
        <v>1.7275813232426263E-2</v>
      </c>
    </row>
    <row r="58" spans="1:7" s="16" customFormat="1" x14ac:dyDescent="0.25">
      <c r="A58" s="40" t="s">
        <v>115</v>
      </c>
      <c r="B58" s="41">
        <f>IF(1860.21414="","-",1860.21414)</f>
        <v>1860.21414</v>
      </c>
      <c r="C58" s="41">
        <f>IF(OR(3394.77986="",1860.21414=""),"-",1860.21414/3394.77986*100)</f>
        <v>54.796311298960042</v>
      </c>
      <c r="D58" s="41">
        <f>IF(3394.77986="","-",3394.77986/732895.97599*100)</f>
        <v>0.46320077762936446</v>
      </c>
      <c r="E58" s="41">
        <f>IF(1860.21414="","-",1860.21414/675040.29206*100)</f>
        <v>0.27557083064230742</v>
      </c>
      <c r="F58" s="41">
        <f>IF(OR(677915.43358="",3232.59603="",3394.77986=""),"-",(3394.77986-3232.59603)/677915.43358*100)</f>
        <v>2.3923902889114682E-2</v>
      </c>
      <c r="G58" s="41">
        <f>IF(OR(732895.97599="",1860.21414="",3394.77986=""),"-",(1860.21414-3394.77986)/732895.97599*100)</f>
        <v>-0.20938383758037424</v>
      </c>
    </row>
    <row r="59" spans="1:7" s="9" customFormat="1" x14ac:dyDescent="0.25">
      <c r="A59" s="40" t="s">
        <v>111</v>
      </c>
      <c r="B59" s="41">
        <f>IF(1753.14007="","-",1753.14007)</f>
        <v>1753.1400699999999</v>
      </c>
      <c r="C59" s="41">
        <f>IF(OR(2703.56814="",1753.14007=""),"-",1753.14007/2703.56814*100)</f>
        <v>64.845418321877403</v>
      </c>
      <c r="D59" s="41">
        <f>IF(2703.56814="","-",2703.56814/732895.97599*100)</f>
        <v>0.36888838642455429</v>
      </c>
      <c r="E59" s="41">
        <f>IF(1753.14007="","-",1753.14007/675040.29206*100)</f>
        <v>0.25970895228342528</v>
      </c>
      <c r="F59" s="41">
        <f>IF(OR(677915.43358="",793.0484="",2703.56814=""),"-",(2703.56814-793.0484)/677915.43358*100)</f>
        <v>0.2818227238035792</v>
      </c>
      <c r="G59" s="41">
        <f>IF(OR(732895.97599="",1753.14007="",2703.56814=""),"-",(1753.14007-2703.56814)/732895.97599*100)</f>
        <v>-0.12968116910672847</v>
      </c>
    </row>
    <row r="60" spans="1:7" s="16" customFormat="1" x14ac:dyDescent="0.25">
      <c r="A60" s="40" t="s">
        <v>117</v>
      </c>
      <c r="B60" s="41">
        <f>IF(1491.27139="","-",1491.27139)</f>
        <v>1491.2713900000001</v>
      </c>
      <c r="C60" s="41">
        <f>IF(OR(3180.02586="",1491.27139=""),"-",1491.27139/3180.02586*100)</f>
        <v>46.894945376324706</v>
      </c>
      <c r="D60" s="41">
        <f>IF(3180.02586="","-",3180.02586/732895.97599*100)</f>
        <v>0.43389866559226276</v>
      </c>
      <c r="E60" s="41">
        <f>IF(1491.27139="","-",1491.27139/675040.29206*100)</f>
        <v>0.22091590791553087</v>
      </c>
      <c r="F60" s="41">
        <f>IF(OR(677915.43358="",951.81612="",3180.02586=""),"-",(3180.02586-951.81612)/677915.43358*100)</f>
        <v>0.32868550111524375</v>
      </c>
      <c r="G60" s="41">
        <f>IF(OR(732895.97599="",1491.27139="",3180.02586=""),"-",(1491.27139-3180.02586)/732895.97599*100)</f>
        <v>-0.23042212337416931</v>
      </c>
    </row>
    <row r="61" spans="1:7" s="9" customFormat="1" x14ac:dyDescent="0.25">
      <c r="A61" s="40" t="s">
        <v>86</v>
      </c>
      <c r="B61" s="41">
        <f>IF(1254.81922="","-",1254.81922)</f>
        <v>1254.8192200000001</v>
      </c>
      <c r="C61" s="41">
        <f>IF(OR(877.03737="",1254.81922=""),"-",1254.81922/877.03737*100)</f>
        <v>143.07477228706915</v>
      </c>
      <c r="D61" s="41">
        <f>IF(877.03737="","-",877.03737/732895.97599*100)</f>
        <v>0.11966737418844374</v>
      </c>
      <c r="E61" s="41">
        <f>IF(1254.81922="","-",1254.81922/675040.29206*100)</f>
        <v>0.18588804768537687</v>
      </c>
      <c r="F61" s="41">
        <f>IF(OR(677915.43358="",1600.94682="",877.03737=""),"-",(877.03737-1600.94682)/677915.43358*100)</f>
        <v>-0.10678462447404544</v>
      </c>
      <c r="G61" s="41">
        <f>IF(OR(732895.97599="",1254.81922="",877.03737=""),"-",(1254.81922-877.03737)/732895.97599*100)</f>
        <v>5.1546448933587098E-2</v>
      </c>
    </row>
    <row r="62" spans="1:7" s="16" customFormat="1" x14ac:dyDescent="0.25">
      <c r="A62" s="40" t="s">
        <v>116</v>
      </c>
      <c r="B62" s="41">
        <f>IF(741.44258="","-",741.44258)</f>
        <v>741.44258000000002</v>
      </c>
      <c r="C62" s="41" t="s">
        <v>240</v>
      </c>
      <c r="D62" s="41">
        <f>IF(22.26872="","-",22.26872/732895.97599*100)</f>
        <v>3.0384557603716253E-3</v>
      </c>
      <c r="E62" s="41">
        <f>IF(741.44258="","-",741.44258/675040.29206*100)</f>
        <v>0.10983678881409614</v>
      </c>
      <c r="F62" s="41" t="str">
        <f>IF(OR(677915.43358="",""="",22.26872=""),"-",(22.26872-"")/677915.43358*100)</f>
        <v>-</v>
      </c>
      <c r="G62" s="41">
        <f>IF(OR(732895.97599="",741.44258="",22.26872=""),"-",(741.44258-22.26872)/732895.97599*100)</f>
        <v>9.8127685723548408E-2</v>
      </c>
    </row>
    <row r="63" spans="1:7" s="9" customFormat="1" x14ac:dyDescent="0.25">
      <c r="A63" s="40" t="s">
        <v>137</v>
      </c>
      <c r="B63" s="41">
        <f>IF(683.87201="","-",683.87201)</f>
        <v>683.87201000000005</v>
      </c>
      <c r="C63" s="41" t="s">
        <v>241</v>
      </c>
      <c r="D63" s="41">
        <f>IF(83.85833="","-",83.85833/732895.97599*100)</f>
        <v>1.1442050815836954E-2</v>
      </c>
      <c r="E63" s="41">
        <f>IF(683.87201="","-",683.87201/675040.29206*100)</f>
        <v>0.10130832456134559</v>
      </c>
      <c r="F63" s="41">
        <f>IF(OR(677915.43358="",15.96="",83.85833=""),"-",(83.85833-15.96)/677915.43358*100)</f>
        <v>1.001575220694358E-2</v>
      </c>
      <c r="G63" s="41">
        <f>IF(OR(732895.97599="",683.87201="",83.85833=""),"-",(683.87201-83.85833)/732895.97599*100)</f>
        <v>8.1868873572337228E-2</v>
      </c>
    </row>
    <row r="64" spans="1:7" s="9" customFormat="1" x14ac:dyDescent="0.25">
      <c r="A64" s="40" t="s">
        <v>119</v>
      </c>
      <c r="B64" s="41">
        <f>IF(612.19363="","-",612.19363)</f>
        <v>612.19362999999998</v>
      </c>
      <c r="C64" s="41" t="s">
        <v>242</v>
      </c>
      <c r="D64" s="41">
        <f>IF(40.16854="","-",40.16854/732895.97599*100)</f>
        <v>5.4807969092394203E-3</v>
      </c>
      <c r="E64" s="41">
        <f>IF(612.19363="","-",612.19363/675040.29206*100)</f>
        <v>9.0689939134120018E-2</v>
      </c>
      <c r="F64" s="41">
        <f>IF(OR(677915.43358="",512.74329="",40.16854=""),"-",(40.16854-512.74329)/677915.43358*100)</f>
        <v>-6.9709985433490218E-2</v>
      </c>
      <c r="G64" s="41">
        <f>IF(OR(732895.97599="",612.19363="",40.16854=""),"-",(612.19363-40.16854)/732895.97599*100)</f>
        <v>7.8049970083040141E-2</v>
      </c>
    </row>
    <row r="65" spans="1:7" s="16" customFormat="1" x14ac:dyDescent="0.25">
      <c r="A65" s="40" t="s">
        <v>203</v>
      </c>
      <c r="B65" s="41">
        <f>IF(559.55631="","-",559.55631)</f>
        <v>559.55631000000005</v>
      </c>
      <c r="C65" s="41" t="s">
        <v>156</v>
      </c>
      <c r="D65" s="41">
        <f>IF(357.91323="","-",357.91323/732895.97599*100)</f>
        <v>4.8835474845734937E-2</v>
      </c>
      <c r="E65" s="41">
        <f>IF(559.55631="","-",559.55631/675040.29206*100)</f>
        <v>8.2892283109859868E-2</v>
      </c>
      <c r="F65" s="41">
        <f>IF(OR(677915.43358="",503.68829="",357.91323=""),"-",(357.91323-503.68829)/677915.43358*100)</f>
        <v>-2.1503428418818742E-2</v>
      </c>
      <c r="G65" s="41">
        <f>IF(OR(732895.97599="",559.55631="",357.91323=""),"-",(559.55631-357.91323)/732895.97599*100)</f>
        <v>2.7513192404640983E-2</v>
      </c>
    </row>
    <row r="66" spans="1:7" s="18" customFormat="1" x14ac:dyDescent="0.25">
      <c r="A66" s="40" t="s">
        <v>135</v>
      </c>
      <c r="B66" s="41">
        <f>IF(509.38636="","-",509.38636)</f>
        <v>509.38636000000002</v>
      </c>
      <c r="C66" s="41">
        <f>IF(OR(789.96225="",509.38636=""),"-",509.38636/789.96225*100)</f>
        <v>64.482367353629883</v>
      </c>
      <c r="D66" s="41">
        <f>IF(789.96225="","-",789.96225/732895.97599*100)</f>
        <v>0.10778640842350302</v>
      </c>
      <c r="E66" s="41">
        <f>IF(509.38636="","-",509.38636/675040.29206*100)</f>
        <v>7.5460141563627431E-2</v>
      </c>
      <c r="F66" s="41">
        <f>IF(OR(677915.43358="",521.97067="",789.96225=""),"-",(789.96225-521.97067)/677915.43358*100)</f>
        <v>3.9531712471091669E-2</v>
      </c>
      <c r="G66" s="41">
        <f>IF(OR(732895.97599="",509.38636="",789.96225=""),"-",(509.38636-789.96225)/732895.97599*100)</f>
        <v>-3.8283180586575954E-2</v>
      </c>
    </row>
    <row r="67" spans="1:7" s="9" customFormat="1" x14ac:dyDescent="0.25">
      <c r="A67" s="40" t="s">
        <v>113</v>
      </c>
      <c r="B67" s="41">
        <f>IF(432.21897="","-",432.21897)</f>
        <v>432.21897000000001</v>
      </c>
      <c r="C67" s="41">
        <f>IF(OR(700.93438="",432.21897=""),"-",432.21897/700.93438*100)</f>
        <v>61.663257265252135</v>
      </c>
      <c r="D67" s="41">
        <f>IF(700.93438="","-",700.93438/732895.97599*100)</f>
        <v>9.5638999662015334E-2</v>
      </c>
      <c r="E67" s="41">
        <f>IF(432.21897="","-",432.21897/675040.29206*100)</f>
        <v>6.4028618007528182E-2</v>
      </c>
      <c r="F67" s="41">
        <f>IF(OR(677915.43358="",618.54195="",700.93438=""),"-",(700.93438-618.54195)/677915.43358*100)</f>
        <v>1.2153791744332218E-2</v>
      </c>
      <c r="G67" s="41">
        <f>IF(OR(732895.97599="",432.21897="",700.93438=""),"-",(432.21897-700.93438)/732895.97599*100)</f>
        <v>-3.6664877254513201E-2</v>
      </c>
    </row>
    <row r="68" spans="1:7" s="9" customFormat="1" x14ac:dyDescent="0.25">
      <c r="A68" s="40" t="s">
        <v>125</v>
      </c>
      <c r="B68" s="41">
        <f>IF(429.15921="","-",429.15921)</f>
        <v>429.15920999999997</v>
      </c>
      <c r="C68" s="41">
        <f>IF(OR(348.54405="",429.15921=""),"-",429.15921/348.54405*100)</f>
        <v>123.12911667836532</v>
      </c>
      <c r="D68" s="41">
        <f>IF(348.54405="","-",348.54405/732895.97599*100)</f>
        <v>4.7557096971256367E-2</v>
      </c>
      <c r="E68" s="41">
        <f>IF(429.15921="","-",429.15921/675040.29206*100)</f>
        <v>6.3575347286359427E-2</v>
      </c>
      <c r="F68" s="41">
        <f>IF(OR(677915.43358="",219.38011="",348.54405=""),"-",(348.54405-219.38011)/677915.43358*100)</f>
        <v>1.9053105092754548E-2</v>
      </c>
      <c r="G68" s="41">
        <f>IF(OR(732895.97599="",429.15921="",348.54405=""),"-",(429.15921-348.54405)/732895.97599*100)</f>
        <v>1.0999536447325221E-2</v>
      </c>
    </row>
    <row r="69" spans="1:7" s="9" customFormat="1" x14ac:dyDescent="0.25">
      <c r="A69" s="40" t="s">
        <v>126</v>
      </c>
      <c r="B69" s="41">
        <f>IF(402.9711="","-",402.9711)</f>
        <v>402.97109999999998</v>
      </c>
      <c r="C69" s="41" t="s">
        <v>181</v>
      </c>
      <c r="D69" s="41">
        <f>IF(266.06521="","-",266.06521/732895.97599*100)</f>
        <v>3.6303270684573979E-2</v>
      </c>
      <c r="E69" s="41">
        <f>IF(402.9711="","-",402.9711/675040.29206*100)</f>
        <v>5.9695858860552647E-2</v>
      </c>
      <c r="F69" s="41">
        <f>IF(OR(677915.43358="",471.24163="",266.06521=""),"-",(266.06521-471.24163)/677915.43358*100)</f>
        <v>-3.026578387756788E-2</v>
      </c>
      <c r="G69" s="41">
        <f>IF(OR(732895.97599="",402.9711="",266.06521=""),"-",(402.9711-266.06521)/732895.97599*100)</f>
        <v>1.8680125759329865E-2</v>
      </c>
    </row>
    <row r="70" spans="1:7" s="9" customFormat="1" x14ac:dyDescent="0.25">
      <c r="A70" s="40" t="s">
        <v>143</v>
      </c>
      <c r="B70" s="41">
        <f>IF(330.41507="","-",330.41507)</f>
        <v>330.41507000000001</v>
      </c>
      <c r="C70" s="41" t="s">
        <v>243</v>
      </c>
      <c r="D70" s="41">
        <f>IF(18.97914="","-",18.97914/732895.97599*100)</f>
        <v>2.5896089788680957E-3</v>
      </c>
      <c r="E70" s="41">
        <f>IF(330.41507="","-",330.41507/675040.29206*100)</f>
        <v>4.8947458971920384E-2</v>
      </c>
      <c r="F70" s="41">
        <f>IF(OR(677915.43358="",77.46353="",18.97914=""),"-",(18.97914-77.46353)/677915.43358*100)</f>
        <v>-8.6270922747915778E-3</v>
      </c>
      <c r="G70" s="41">
        <f>IF(OR(732895.97599="",330.41507="",18.97914=""),"-",(330.41507-18.97914)/732895.97599*100)</f>
        <v>4.2493879104645187E-2</v>
      </c>
    </row>
    <row r="71" spans="1:7" s="9" customFormat="1" x14ac:dyDescent="0.25">
      <c r="A71" s="40" t="s">
        <v>132</v>
      </c>
      <c r="B71" s="41">
        <f>IF(301.87319="","-",301.87319)</f>
        <v>301.87319000000002</v>
      </c>
      <c r="C71" s="41" t="s">
        <v>244</v>
      </c>
      <c r="D71" s="41">
        <f>IF(0.32777="","-",0.32777/732895.97599*100)</f>
        <v>4.4722581476483957E-5</v>
      </c>
      <c r="E71" s="41">
        <f>IF(301.87319="","-",301.87319/675040.29206*100)</f>
        <v>4.4719284693182204E-2</v>
      </c>
      <c r="F71" s="41">
        <f>IF(OR(677915.43358="",462.68075="",0.32777=""),"-",(0.32777-462.68075)/677915.43358*100)</f>
        <v>-6.8202161670573372E-2</v>
      </c>
      <c r="G71" s="41">
        <f>IF(OR(732895.97599="",301.87319="",0.32777=""),"-",(301.87319-0.32777)/732895.97599*100)</f>
        <v>4.1144368352230454E-2</v>
      </c>
    </row>
    <row r="72" spans="1:7" s="9" customFormat="1" x14ac:dyDescent="0.25">
      <c r="A72" s="40" t="s">
        <v>88</v>
      </c>
      <c r="B72" s="41">
        <f>IF(296.70533="","-",296.70533)</f>
        <v>296.70533</v>
      </c>
      <c r="C72" s="41">
        <f>IF(OR(827.78213="",296.70533=""),"-",296.70533/827.78213*100)</f>
        <v>35.843408458213517</v>
      </c>
      <c r="D72" s="41">
        <f>IF(827.78213="","-",827.78213/732895.97599*100)</f>
        <v>0.11294674239162349</v>
      </c>
      <c r="E72" s="41">
        <f>IF(296.70533="","-",296.70533/675040.29206*100)</f>
        <v>4.395372150224594E-2</v>
      </c>
      <c r="F72" s="41">
        <f>IF(OR(677915.43358="",263.78699="",827.78213=""),"-",(827.78213-263.78699)/677915.43358*100)</f>
        <v>8.3195500804812944E-2</v>
      </c>
      <c r="G72" s="41">
        <f>IF(OR(732895.97599="",296.70533="",827.78213=""),"-",(296.70533-827.78213)/732895.97599*100)</f>
        <v>-7.2462780175947691E-2</v>
      </c>
    </row>
    <row r="73" spans="1:7" s="9" customFormat="1" x14ac:dyDescent="0.25">
      <c r="A73" s="40" t="s">
        <v>121</v>
      </c>
      <c r="B73" s="41">
        <f>IF(279.50742="","-",279.50742)</f>
        <v>279.50742000000002</v>
      </c>
      <c r="C73" s="41" t="s">
        <v>156</v>
      </c>
      <c r="D73" s="41">
        <f>IF(176.56459="","-",176.56459/732895.97599*100)</f>
        <v>2.4091357543817263E-2</v>
      </c>
      <c r="E73" s="41">
        <f>IF(279.50742="","-",279.50742/675040.29206*100)</f>
        <v>4.1406035060075556E-2</v>
      </c>
      <c r="F73" s="41">
        <f>IF(OR(677915.43358="",180.896="",176.56459=""),"-",(176.56459-180.896)/677915.43358*100)</f>
        <v>-6.3893072578776638E-4</v>
      </c>
      <c r="G73" s="41">
        <f>IF(OR(732895.97599="",279.50742="",176.56459=""),"-",(279.50742-176.56459)/732895.97599*100)</f>
        <v>1.4046035641135057E-2</v>
      </c>
    </row>
    <row r="74" spans="1:7" s="9" customFormat="1" x14ac:dyDescent="0.25">
      <c r="A74" s="40" t="s">
        <v>204</v>
      </c>
      <c r="B74" s="41">
        <f>IF(224.1376="","-",224.1376)</f>
        <v>224.13759999999999</v>
      </c>
      <c r="C74" s="41" t="str">
        <f>IF(OR(""="",224.1376=""),"-",224.1376/""*100)</f>
        <v>-</v>
      </c>
      <c r="D74" s="41" t="str">
        <f>IF(""="","-",""/732895.97599*100)</f>
        <v>-</v>
      </c>
      <c r="E74" s="41">
        <f>IF(224.1376="","-",224.1376/675040.29206*100)</f>
        <v>3.3203588383740185E-2</v>
      </c>
      <c r="F74" s="41" t="str">
        <f>IF(OR(677915.43358="",""="",""=""),"-",(""-"")/677915.43358*100)</f>
        <v>-</v>
      </c>
      <c r="G74" s="41" t="str">
        <f>IF(OR(732895.97599="",224.1376="",""=""),"-",(224.1376-"")/732895.97599*100)</f>
        <v>-</v>
      </c>
    </row>
    <row r="75" spans="1:7" s="9" customFormat="1" x14ac:dyDescent="0.25">
      <c r="A75" s="40" t="s">
        <v>136</v>
      </c>
      <c r="B75" s="41">
        <f>IF(201.66525="","-",201.66525)</f>
        <v>201.66524999999999</v>
      </c>
      <c r="C75" s="41" t="s">
        <v>245</v>
      </c>
      <c r="D75" s="41">
        <f>IF(1.40515="","-",1.40515/732895.97599*100)</f>
        <v>1.9172570815413682E-4</v>
      </c>
      <c r="E75" s="41">
        <f>IF(201.66525="","-",201.66525/675040.29206*100)</f>
        <v>2.9874550063461288E-2</v>
      </c>
      <c r="F75" s="41">
        <f>IF(OR(677915.43358="",28.67468="",1.40515=""),"-",(1.40515-28.67468)/677915.43358*100)</f>
        <v>-4.0225563026338677E-3</v>
      </c>
      <c r="G75" s="41">
        <f>IF(OR(732895.97599="",201.66525="",1.40515=""),"-",(201.66525-1.40515)/732895.97599*100)</f>
        <v>2.7324491682395657E-2</v>
      </c>
    </row>
    <row r="76" spans="1:7" x14ac:dyDescent="0.25">
      <c r="A76" s="40" t="s">
        <v>205</v>
      </c>
      <c r="B76" s="41">
        <f>IF(191.86344="","-",191.86344)</f>
        <v>191.86344</v>
      </c>
      <c r="C76" s="41">
        <f>IF(OR(265.58045="",191.86344=""),"-",191.86344/265.58045*100)</f>
        <v>72.243058553443973</v>
      </c>
      <c r="D76" s="41">
        <f>IF(265.58045="","-",265.58045/732895.97599*100)</f>
        <v>3.623712760071475E-2</v>
      </c>
      <c r="E76" s="41">
        <f>IF(191.86344="","-",191.86344/675040.29206*100)</f>
        <v>2.8422516738148496E-2</v>
      </c>
      <c r="F76" s="41">
        <f>IF(OR(677915.43358="",563.42904="",265.58045=""),"-",(265.58045-563.42904)/677915.43358*100)</f>
        <v>-4.3935950598895941E-2</v>
      </c>
      <c r="G76" s="41">
        <f>IF(OR(732895.97599="",191.86344="",265.58045=""),"-",(191.86344-265.58045)/732895.97599*100)</f>
        <v>-1.0058318290044183E-2</v>
      </c>
    </row>
    <row r="77" spans="1:7" x14ac:dyDescent="0.25">
      <c r="A77" s="40" t="s">
        <v>87</v>
      </c>
      <c r="B77" s="41">
        <f>IF(188.48417="","-",188.48417)</f>
        <v>188.48417000000001</v>
      </c>
      <c r="C77" s="41">
        <f>IF(OR(287.97278="",188.48417=""),"-",188.48417/287.97278*100)</f>
        <v>65.452078491585212</v>
      </c>
      <c r="D77" s="41">
        <f>IF(287.97278="","-",287.97278/732895.97599*100)</f>
        <v>3.9292449328979434E-2</v>
      </c>
      <c r="E77" s="41">
        <f>IF(188.48417="","-",188.48417/675040.29206*100)</f>
        <v>2.7921914027503245E-2</v>
      </c>
      <c r="F77" s="41">
        <f>IF(OR(677915.43358="",35.97259="",287.97278=""),"-",(287.97278-35.97259)/677915.43358*100)</f>
        <v>3.7172806152120416E-2</v>
      </c>
      <c r="G77" s="41">
        <f>IF(OR(732895.97599="",188.48417="",287.97278=""),"-",(188.48417-287.97278)/732895.97599*100)</f>
        <v>-1.3574724552909466E-2</v>
      </c>
    </row>
    <row r="78" spans="1:7" x14ac:dyDescent="0.25">
      <c r="A78" s="40" t="s">
        <v>191</v>
      </c>
      <c r="B78" s="41">
        <f>IF(185.52352="","-",185.52352)</f>
        <v>185.52351999999999</v>
      </c>
      <c r="C78" s="41" t="s">
        <v>145</v>
      </c>
      <c r="D78" s="41">
        <f>IF(89.84425="","-",89.84425/732895.97599*100)</f>
        <v>1.2258799740118355E-2</v>
      </c>
      <c r="E78" s="41">
        <f>IF(185.52352="","-",185.52352/675040.29206*100)</f>
        <v>2.7483325392895212E-2</v>
      </c>
      <c r="F78" s="41">
        <f>IF(OR(677915.43358="",7.147="",89.84425=""),"-",(89.84425-7.147)/677915.43358*100)</f>
        <v>1.2198756054761069E-2</v>
      </c>
      <c r="G78" s="41">
        <f>IF(OR(732895.97599="",185.52352="",89.84425=""),"-",(185.52352-89.84425)/732895.97599*100)</f>
        <v>1.3054959112138106E-2</v>
      </c>
    </row>
    <row r="79" spans="1:7" x14ac:dyDescent="0.25">
      <c r="A79" s="40" t="s">
        <v>184</v>
      </c>
      <c r="B79" s="41">
        <f>IF(177.3="","-",177.3)</f>
        <v>177.3</v>
      </c>
      <c r="C79" s="41">
        <f>IF(OR(4602.08194="",177.3=""),"-",177.3/4602.08194*100)</f>
        <v>3.8526041541972198</v>
      </c>
      <c r="D79" s="41">
        <f>IF(4602.08194="","-",4602.08194/732895.97599*100)</f>
        <v>0.62793112402936613</v>
      </c>
      <c r="E79" s="41">
        <f>IF(177.3="","-",177.3/675040.29206*100)</f>
        <v>2.6265098851942448E-2</v>
      </c>
      <c r="F79" s="41">
        <f>IF(OR(677915.43358="",75.03="",4602.08194=""),"-",(4602.08194-75.03)/677915.43358*100)</f>
        <v>0.6677900687543159</v>
      </c>
      <c r="G79" s="41">
        <f>IF(OR(732895.97599="",177.3="",4602.08194=""),"-",(177.3-4602.08194)/732895.97599*100)</f>
        <v>-0.60373942345951348</v>
      </c>
    </row>
    <row r="80" spans="1:7" x14ac:dyDescent="0.25">
      <c r="A80" s="40" t="s">
        <v>189</v>
      </c>
      <c r="B80" s="41">
        <f>IF(154.07314="","-",154.07314)</f>
        <v>154.07314</v>
      </c>
      <c r="C80" s="41" t="str">
        <f>IF(OR(""="",154.07314=""),"-",154.07314/""*100)</f>
        <v>-</v>
      </c>
      <c r="D80" s="41" t="str">
        <f>IF(""="","-",""/732895.97599*100)</f>
        <v>-</v>
      </c>
      <c r="E80" s="41">
        <f>IF(154.07314="","-",154.07314/675040.29206*100)</f>
        <v>2.2824287944326945E-2</v>
      </c>
      <c r="F80" s="41" t="str">
        <f>IF(OR(677915.43358="",""="",""=""),"-",(""-"")/677915.43358*100)</f>
        <v>-</v>
      </c>
      <c r="G80" s="41" t="str">
        <f>IF(OR(732895.97599="",154.07314="",""=""),"-",(154.07314-"")/732895.97599*100)</f>
        <v>-</v>
      </c>
    </row>
    <row r="81" spans="1:7" x14ac:dyDescent="0.25">
      <c r="A81" s="40" t="s">
        <v>146</v>
      </c>
      <c r="B81" s="41">
        <f>IF(144.76891="","-",144.76891)</f>
        <v>144.76891000000001</v>
      </c>
      <c r="C81" s="41">
        <f>IF(OR(237.80074="",144.76891=""),"-",144.76891/237.80074*100)</f>
        <v>60.878242010516878</v>
      </c>
      <c r="D81" s="41">
        <f>IF(237.80074="","-",237.80074/732895.97599*100)</f>
        <v>3.2446724745456193E-2</v>
      </c>
      <c r="E81" s="41">
        <f>IF(144.76891="","-",144.76891/675040.29206*100)</f>
        <v>2.1445965774607782E-2</v>
      </c>
      <c r="F81" s="41">
        <f>IF(OR(677915.43358="",222.61881="",237.80074=""),"-",(237.80074-222.61881)/677915.43358*100)</f>
        <v>2.2395020452367965E-3</v>
      </c>
      <c r="G81" s="41">
        <f>IF(OR(732895.97599="",144.76891="",237.80074=""),"-",(144.76891-237.80074)/732895.97599*100)</f>
        <v>-1.2693729130431106E-2</v>
      </c>
    </row>
    <row r="82" spans="1:7" x14ac:dyDescent="0.25">
      <c r="A82" s="40" t="s">
        <v>124</v>
      </c>
      <c r="B82" s="41">
        <f>IF(136.8668="","-",136.8668)</f>
        <v>136.86680000000001</v>
      </c>
      <c r="C82" s="41">
        <f>IF(OR(389.2113="",136.8668=""),"-",136.8668/389.2113*100)</f>
        <v>35.165166067891661</v>
      </c>
      <c r="D82" s="41">
        <f>IF(389.2113="","-",389.2113/732895.97599*100)</f>
        <v>5.310594037226786E-2</v>
      </c>
      <c r="E82" s="41">
        <f>IF(136.8668="","-",136.8668/675040.29206*100)</f>
        <v>2.0275352687811828E-2</v>
      </c>
      <c r="F82" s="41">
        <f>IF(OR(677915.43358="",5962.19903="",389.2113=""),"-",(389.2113-5962.19903)/677915.43358*100)</f>
        <v>-0.82207712849516335</v>
      </c>
      <c r="G82" s="41">
        <f>IF(OR(732895.97599="",136.8668="",389.2113=""),"-",(136.8668-389.2113)/732895.97599*100)</f>
        <v>-3.443114824844435E-2</v>
      </c>
    </row>
    <row r="83" spans="1:7" x14ac:dyDescent="0.25">
      <c r="A83" s="40" t="s">
        <v>133</v>
      </c>
      <c r="B83" s="41">
        <f>IF(130.39804="","-",130.39804)</f>
        <v>130.39804000000001</v>
      </c>
      <c r="C83" s="41">
        <f>IF(OR(541.71295="",130.39804=""),"-",130.39804/541.71295*100)</f>
        <v>24.071427496795124</v>
      </c>
      <c r="D83" s="41">
        <f>IF(541.71295="","-",541.71295/732895.97599*100)</f>
        <v>7.3914029786867244E-2</v>
      </c>
      <c r="E83" s="41">
        <f>IF(130.39804="","-",130.39804/675040.29206*100)</f>
        <v>1.9317075074447521E-2</v>
      </c>
      <c r="F83" s="41">
        <f>IF(OR(677915.43358="",0.02089="",541.71295=""),"-",(541.71295-0.02089)/677915.43358*100)</f>
        <v>7.9905550628841915E-2</v>
      </c>
      <c r="G83" s="41">
        <f>IF(OR(732895.97599="",130.39804="",541.71295=""),"-",(130.39804-541.71295)/732895.97599*100)</f>
        <v>-5.6121867696761939E-2</v>
      </c>
    </row>
    <row r="84" spans="1:7" x14ac:dyDescent="0.25">
      <c r="A84" s="40" t="s">
        <v>120</v>
      </c>
      <c r="B84" s="41">
        <f>IF(129.2811="","-",129.2811)</f>
        <v>129.28110000000001</v>
      </c>
      <c r="C84" s="41">
        <f>IF(OR(174.80814="",129.2811=""),"-",129.2811/174.80814*100)</f>
        <v>73.955995413028248</v>
      </c>
      <c r="D84" s="41">
        <f>IF(174.80814="","-",174.80814/732895.97599*100)</f>
        <v>2.3851698703061947E-2</v>
      </c>
      <c r="E84" s="41">
        <f>IF(129.2811="","-",129.2811/675040.29206*100)</f>
        <v>1.9151612358645556E-2</v>
      </c>
      <c r="F84" s="41" t="str">
        <f>IF(OR(677915.43358="",""="",174.80814=""),"-",(174.80814-"")/677915.43358*100)</f>
        <v>-</v>
      </c>
      <c r="G84" s="41">
        <f>IF(OR(732895.97599="",129.2811="",174.80814=""),"-",(129.2811-174.80814)/732895.97599*100)</f>
        <v>-6.2119375042961351E-3</v>
      </c>
    </row>
    <row r="85" spans="1:7" x14ac:dyDescent="0.25">
      <c r="A85" s="40" t="s">
        <v>161</v>
      </c>
      <c r="B85" s="41">
        <f>IF(117.96236="","-",117.96236)</f>
        <v>117.96236</v>
      </c>
      <c r="C85" s="41">
        <f>IF(OR(442.60447="",117.96236=""),"-",117.96236/442.60447*100)</f>
        <v>26.651868201873334</v>
      </c>
      <c r="D85" s="41">
        <f>IF(442.60447="","-",442.60447/732895.97599*100)</f>
        <v>6.0391172076245531E-2</v>
      </c>
      <c r="E85" s="41">
        <f>IF(117.96236="","-",117.96236/675040.29206*100)</f>
        <v>1.7474862076753649E-2</v>
      </c>
      <c r="F85" s="41">
        <f>IF(OR(677915.43358="",421.13265="",442.60447=""),"-",(442.60447-421.13265)/677915.43358*100)</f>
        <v>3.1673301619067088E-3</v>
      </c>
      <c r="G85" s="41">
        <f>IF(OR(732895.97599="",117.96236="",442.60447=""),"-",(117.96236-442.60447)/732895.97599*100)</f>
        <v>-4.4295796488918036E-2</v>
      </c>
    </row>
    <row r="86" spans="1:7" x14ac:dyDescent="0.25">
      <c r="A86" s="40" t="s">
        <v>85</v>
      </c>
      <c r="B86" s="41">
        <f>IF(94.11463="","-",94.11463)</f>
        <v>94.114630000000005</v>
      </c>
      <c r="C86" s="41">
        <f>IF(OR(94.36692="",94.11463=""),"-",94.11463/94.36692*100)</f>
        <v>99.732649958269292</v>
      </c>
      <c r="D86" s="41">
        <f>IF(94.36692="","-",94.36692/732895.97599*100)</f>
        <v>1.2875895501067344E-2</v>
      </c>
      <c r="E86" s="41">
        <f>IF(94.11463="","-",94.11463/675040.29206*100)</f>
        <v>1.3942075918578614E-2</v>
      </c>
      <c r="F86" s="41">
        <f>IF(OR(677915.43358="",53.53212="",94.36692=""),"-",(94.36692-53.53212)/677915.43358*100)</f>
        <v>6.0235831753166795E-3</v>
      </c>
      <c r="G86" s="41">
        <f>IF(OR(732895.97599="",94.11463="",94.36692=""),"-",(94.11463-94.36692)/732895.97599*100)</f>
        <v>-3.4423711995306455E-5</v>
      </c>
    </row>
    <row r="87" spans="1:7" x14ac:dyDescent="0.25">
      <c r="A87" s="40" t="s">
        <v>192</v>
      </c>
      <c r="B87" s="41">
        <f>IF(86.79418="","-",86.79418)</f>
        <v>86.794179999999997</v>
      </c>
      <c r="C87" s="41">
        <f>IF(OR(133.42082="",86.79418=""),"-",86.79418/133.42082*100)</f>
        <v>65.052950506525136</v>
      </c>
      <c r="D87" s="41">
        <f>IF(133.42082="","-",133.42082/732895.97599*100)</f>
        <v>1.8204605342494126E-2</v>
      </c>
      <c r="E87" s="41">
        <f>IF(86.79418="","-",86.79418/675040.29206*100)</f>
        <v>1.2857629540176458E-2</v>
      </c>
      <c r="F87" s="41">
        <f>IF(OR(677915.43358="",113.52085="",133.42082=""),"-",(133.42082-113.52085)/677915.43358*100)</f>
        <v>2.9354649583518628E-3</v>
      </c>
      <c r="G87" s="41">
        <f>IF(OR(732895.97599="",86.79418="",133.42082=""),"-",(86.79418-133.42082)/732895.97599*100)</f>
        <v>-6.3619724391331903E-3</v>
      </c>
    </row>
    <row r="88" spans="1:7" x14ac:dyDescent="0.25">
      <c r="A88" s="40" t="s">
        <v>112</v>
      </c>
      <c r="B88" s="41">
        <f>IF(80.49547="","-",80.49547)</f>
        <v>80.495469999999997</v>
      </c>
      <c r="C88" s="41">
        <f>IF(OR(976.63325="",80.49547=""),"-",80.49547/976.63325*100)</f>
        <v>8.2421390015136176</v>
      </c>
      <c r="D88" s="41">
        <f>IF(976.63325="","-",976.63325/732895.97599*100)</f>
        <v>0.13325673519775549</v>
      </c>
      <c r="E88" s="41">
        <f>IF(80.49547="","-",80.49547/675040.29206*100)</f>
        <v>1.192454301569976E-2</v>
      </c>
      <c r="F88" s="41">
        <f>IF(OR(677915.43358="",137.56439="",976.63325=""),"-",(976.63325-137.56439)/677915.43358*100)</f>
        <v>0.12377190700158067</v>
      </c>
      <c r="G88" s="41">
        <f>IF(OR(732895.97599="",80.49547="",976.63325=""),"-",(80.49547-976.63325)/732895.97599*100)</f>
        <v>-0.12227352985387757</v>
      </c>
    </row>
    <row r="89" spans="1:7" x14ac:dyDescent="0.25">
      <c r="A89" s="40" t="s">
        <v>153</v>
      </c>
      <c r="B89" s="41">
        <f>IF(74.84361="","-",74.84361)</f>
        <v>74.843609999999998</v>
      </c>
      <c r="C89" s="41">
        <f>IF(OR(62.58987="",74.84361=""),"-",74.84361/62.58987*100)</f>
        <v>119.57783264288615</v>
      </c>
      <c r="D89" s="41">
        <f>IF(62.58987="","-",62.58987/732895.97599*100)</f>
        <v>8.5400755428426608E-3</v>
      </c>
      <c r="E89" s="41">
        <f>IF(74.84361="","-",74.84361/675040.29206*100)</f>
        <v>1.1087280400937554E-2</v>
      </c>
      <c r="F89" s="41">
        <f>IF(OR(677915.43358="",16.81995="",62.58987=""),"-",(62.58987-16.81995)/677915.43358*100)</f>
        <v>6.7515677815880182E-3</v>
      </c>
      <c r="G89" s="41">
        <f>IF(OR(732895.97599="",74.84361="",62.58987=""),"-",(74.84361-62.58987)/732895.97599*100)</f>
        <v>1.6719616973537863E-3</v>
      </c>
    </row>
    <row r="90" spans="1:7" x14ac:dyDescent="0.25">
      <c r="A90" s="40" t="s">
        <v>159</v>
      </c>
      <c r="B90" s="41">
        <f>IF(73.887="","-",73.887)</f>
        <v>73.887</v>
      </c>
      <c r="C90" s="41">
        <f>IF(OR(141.32449="",73.887=""),"-",73.887/141.32449*100)</f>
        <v>52.28180904809917</v>
      </c>
      <c r="D90" s="41">
        <f>IF(141.32449="","-",141.32449/732895.97599*100)</f>
        <v>1.9283021687913907E-2</v>
      </c>
      <c r="E90" s="41">
        <f>IF(73.887="","-",73.887/675040.29206*100)</f>
        <v>1.0945568859974459E-2</v>
      </c>
      <c r="F90" s="41">
        <f>IF(OR(677915.43358="",72.36412="",141.32449=""),"-",(141.32449-72.36412)/677915.43358*100)</f>
        <v>1.0172414815197163E-2</v>
      </c>
      <c r="G90" s="41">
        <f>IF(OR(732895.97599="",73.887="",141.32449=""),"-",(73.887-141.32449)/732895.97599*100)</f>
        <v>-9.2015091103352098E-3</v>
      </c>
    </row>
    <row r="91" spans="1:7" x14ac:dyDescent="0.25">
      <c r="A91" s="40" t="s">
        <v>122</v>
      </c>
      <c r="B91" s="41">
        <f>IF(70.05237="","-",70.05237)</f>
        <v>70.052369999999996</v>
      </c>
      <c r="C91" s="41" t="str">
        <f>IF(OR(""="",70.05237=""),"-",70.05237/""*100)</f>
        <v>-</v>
      </c>
      <c r="D91" s="41" t="str">
        <f>IF(""="","-",""/732895.97599*100)</f>
        <v>-</v>
      </c>
      <c r="E91" s="41">
        <f>IF(70.05237="","-",70.05237/675040.29206*100)</f>
        <v>1.0377509435210645E-2</v>
      </c>
      <c r="F91" s="41" t="str">
        <f>IF(OR(677915.43358="",71.04334="",""=""),"-",(""-71.04334)/677915.43358*100)</f>
        <v>-</v>
      </c>
      <c r="G91" s="41" t="str">
        <f>IF(OR(732895.97599="",70.05237="",""=""),"-",(70.05237-"")/732895.97599*100)</f>
        <v>-</v>
      </c>
    </row>
    <row r="92" spans="1:7" x14ac:dyDescent="0.25">
      <c r="A92" s="40" t="s">
        <v>152</v>
      </c>
      <c r="B92" s="41">
        <f>IF(68.48415="","-",68.48415)</f>
        <v>68.48415</v>
      </c>
      <c r="C92" s="41">
        <f>IF(OR(114.50702="",68.48415=""),"-",68.48415/114.50702*100)</f>
        <v>59.807817896230297</v>
      </c>
      <c r="D92" s="41">
        <f>IF(114.50702="","-",114.50702/732895.97599*100)</f>
        <v>1.5623911680688829E-2</v>
      </c>
      <c r="E92" s="41">
        <f>IF(68.48415="","-",68.48415/675040.29206*100)</f>
        <v>1.0145194413656257E-2</v>
      </c>
      <c r="F92" s="41" t="str">
        <f>IF(OR(677915.43358="",""="",114.50702=""),"-",(114.50702-"")/677915.43358*100)</f>
        <v>-</v>
      </c>
      <c r="G92" s="41">
        <f>IF(OR(732895.97599="",68.48415="",114.50702=""),"-",(68.48415-114.50702)/732895.97599*100)</f>
        <v>-6.2795910344346003E-3</v>
      </c>
    </row>
    <row r="93" spans="1:7" x14ac:dyDescent="0.25">
      <c r="A93" s="40" t="s">
        <v>185</v>
      </c>
      <c r="B93" s="41">
        <f>IF(67.63267="","-",67.63267)</f>
        <v>67.632670000000005</v>
      </c>
      <c r="C93" s="41">
        <f>IF(OR(2430.76171="",67.63267=""),"-",67.63267/2430.76171*100)</f>
        <v>2.7823652858181647</v>
      </c>
      <c r="D93" s="41">
        <f>IF(2430.76171="","-",2430.76171/732895.97599*100)</f>
        <v>0.33166530989838139</v>
      </c>
      <c r="E93" s="41">
        <f>IF(67.63267="","-",67.63267/675040.29206*100)</f>
        <v>1.0019056757872546E-2</v>
      </c>
      <c r="F93" s="41">
        <f>IF(OR(677915.43358="",33.00214="",2430.76171=""),"-",(2430.76171-33.00214)/677915.43358*100)</f>
        <v>0.35369597020939392</v>
      </c>
      <c r="G93" s="41">
        <f>IF(OR(732895.97599="",67.63267="",2430.76171=""),"-",(67.63267-2430.76171)/732895.97599*100)</f>
        <v>-0.32243716945066758</v>
      </c>
    </row>
    <row r="94" spans="1:7" x14ac:dyDescent="0.25">
      <c r="A94" s="42" t="s">
        <v>127</v>
      </c>
      <c r="B94" s="43">
        <f>IF(54.71266="","-",54.71266)</f>
        <v>54.71266</v>
      </c>
      <c r="C94" s="43" t="s">
        <v>155</v>
      </c>
      <c r="D94" s="43">
        <f>IF(31.62614="","-",31.62614/732895.97599*100)</f>
        <v>4.3152290415129149E-3</v>
      </c>
      <c r="E94" s="43">
        <f>IF(54.71266="","-",54.71266/675040.29206*100)</f>
        <v>8.105095450381938E-3</v>
      </c>
      <c r="F94" s="43">
        <f>IF(OR(677915.43358="",124.16184="",31.62614=""),"-",(31.62614-124.16184)/677915.43358*100)</f>
        <v>-1.3650035891841068E-2</v>
      </c>
      <c r="G94" s="43">
        <f>IF(OR(732895.97599="",54.71266="",31.62614=""),"-",(54.71266-31.62614)/732895.97599*100)</f>
        <v>3.1500404909188652E-3</v>
      </c>
    </row>
    <row r="95" spans="1:7" x14ac:dyDescent="0.25">
      <c r="A95" s="44" t="s">
        <v>235</v>
      </c>
      <c r="B95" s="45">
        <v>50.18</v>
      </c>
      <c r="C95" s="45" t="s">
        <v>236</v>
      </c>
      <c r="D95" s="45" t="s">
        <v>236</v>
      </c>
      <c r="E95" s="45">
        <v>0</v>
      </c>
      <c r="F95" s="45" t="s">
        <v>236</v>
      </c>
      <c r="G95" s="45" t="s">
        <v>236</v>
      </c>
    </row>
    <row r="96" spans="1:7" x14ac:dyDescent="0.25">
      <c r="A96" s="28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0"/>
  <sheetViews>
    <sheetView zoomScaleNormal="100" workbookViewId="0">
      <selection activeCell="J22" sqref="J22"/>
    </sheetView>
  </sheetViews>
  <sheetFormatPr defaultRowHeight="15.75" x14ac:dyDescent="0.25"/>
  <cols>
    <col min="1" max="1" width="27.625" customWidth="1"/>
    <col min="2" max="2" width="12.875" customWidth="1"/>
    <col min="3" max="3" width="10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7" t="s">
        <v>259</v>
      </c>
      <c r="B1" s="97"/>
      <c r="C1" s="97"/>
      <c r="D1" s="97"/>
      <c r="E1" s="97"/>
      <c r="F1" s="97"/>
      <c r="G1" s="97"/>
    </row>
    <row r="2" spans="1:7" x14ac:dyDescent="0.25">
      <c r="A2" s="2"/>
    </row>
    <row r="3" spans="1:7" ht="55.5" customHeight="1" x14ac:dyDescent="0.25">
      <c r="A3" s="85"/>
      <c r="B3" s="88" t="s">
        <v>228</v>
      </c>
      <c r="C3" s="89"/>
      <c r="D3" s="88" t="s">
        <v>160</v>
      </c>
      <c r="E3" s="89"/>
      <c r="F3" s="90" t="s">
        <v>174</v>
      </c>
      <c r="G3" s="91"/>
    </row>
    <row r="4" spans="1:7" ht="25.5" customHeight="1" x14ac:dyDescent="0.25">
      <c r="A4" s="86"/>
      <c r="B4" s="92" t="s">
        <v>150</v>
      </c>
      <c r="C4" s="94" t="s">
        <v>229</v>
      </c>
      <c r="D4" s="96" t="s">
        <v>230</v>
      </c>
      <c r="E4" s="96"/>
      <c r="F4" s="96" t="s">
        <v>230</v>
      </c>
      <c r="G4" s="88"/>
    </row>
    <row r="5" spans="1:7" ht="26.25" customHeight="1" x14ac:dyDescent="0.25">
      <c r="A5" s="87"/>
      <c r="B5" s="93"/>
      <c r="C5" s="95"/>
      <c r="D5" s="33">
        <v>2019</v>
      </c>
      <c r="E5" s="33">
        <v>2020</v>
      </c>
      <c r="F5" s="33" t="s">
        <v>175</v>
      </c>
      <c r="G5" s="32" t="s">
        <v>202</v>
      </c>
    </row>
    <row r="6" spans="1:7" s="3" customFormat="1" ht="15" x14ac:dyDescent="0.25">
      <c r="A6" s="36" t="s">
        <v>186</v>
      </c>
      <c r="B6" s="37">
        <f>IF(1365812.81697="","-",1365812.81697)</f>
        <v>1365812.81697</v>
      </c>
      <c r="C6" s="37">
        <f>IF(1365036.36807="","-",1365812.81697/1365036.36807*100)</f>
        <v>100.05688118779558</v>
      </c>
      <c r="D6" s="37">
        <v>100</v>
      </c>
      <c r="E6" s="37">
        <v>100</v>
      </c>
      <c r="F6" s="37">
        <f>IF(1326009.79931="","-",(1365036.36807-1326009.79931)/1326009.79931*100)</f>
        <v>2.943158397495099</v>
      </c>
      <c r="G6" s="37">
        <f>IF(1365036.36807="","-",(1365812.81697-1365036.36807)/1365036.36807*100)</f>
        <v>5.6881187795587172E-2</v>
      </c>
    </row>
    <row r="7" spans="1:7" s="3" customFormat="1" ht="15" x14ac:dyDescent="0.25">
      <c r="A7" s="48" t="s">
        <v>193</v>
      </c>
      <c r="B7" s="46"/>
      <c r="C7" s="46"/>
      <c r="D7" s="46"/>
      <c r="E7" s="46"/>
      <c r="F7" s="46"/>
      <c r="G7" s="46"/>
    </row>
    <row r="8" spans="1:7" ht="12.75" customHeight="1" x14ac:dyDescent="0.25">
      <c r="A8" s="38" t="s">
        <v>278</v>
      </c>
      <c r="B8" s="39">
        <f>IF(647728.13287="","-",647728.13287)</f>
        <v>647728.13286999997</v>
      </c>
      <c r="C8" s="39">
        <f>IF(638540.78719="","-",647728.13287/638540.78719*100)</f>
        <v>101.43880326273759</v>
      </c>
      <c r="D8" s="39">
        <f>IF(638540.78719="","-",638540.78719/1365036.36807*100)</f>
        <v>46.778298522025544</v>
      </c>
      <c r="E8" s="39">
        <f>IF(647728.13287="","-",647728.13287/1365812.81697*100)</f>
        <v>47.424370662076406</v>
      </c>
      <c r="F8" s="39">
        <f>IF(1326009.79931="","-",(638540.78719-629654.35734)/1326009.79931*100)</f>
        <v>0.67016321105802412</v>
      </c>
      <c r="G8" s="39">
        <f>IF(1365036.36807="","-",(647728.13287-638540.78719)/1365036.36807*100)</f>
        <v>0.67304768538803461</v>
      </c>
    </row>
    <row r="9" spans="1:7" x14ac:dyDescent="0.25">
      <c r="A9" s="40" t="s">
        <v>2</v>
      </c>
      <c r="B9" s="41">
        <f>IF(177392.97529="","-",177392.97529)</f>
        <v>177392.97529</v>
      </c>
      <c r="C9" s="41">
        <f>IF(OR(180112.92304="",177392.97529=""),"-",177392.97529/180112.92304*100)</f>
        <v>98.489865300006301</v>
      </c>
      <c r="D9" s="41">
        <f>IF(180112.92304="","-",180112.92304/1365036.36807*100)</f>
        <v>13.194734386063162</v>
      </c>
      <c r="E9" s="41">
        <f>IF(177392.97529="","-",177392.97529/1365812.81697*100)</f>
        <v>12.988088344604867</v>
      </c>
      <c r="F9" s="41">
        <f>IF(OR(1326009.79931="",171927.61248="",180112.92304=""),"-",(180112.92304-171927.61248)/1326009.79931*100)</f>
        <v>0.61728884388782623</v>
      </c>
      <c r="G9" s="41">
        <f>IF(OR(1365036.36807="",177392.97529="",180112.92304=""),"-",(177392.97529-180112.92304)/1365036.36807*100)</f>
        <v>-0.19925826253594081</v>
      </c>
    </row>
    <row r="10" spans="1:7" s="9" customFormat="1" x14ac:dyDescent="0.25">
      <c r="A10" s="40" t="s">
        <v>4</v>
      </c>
      <c r="B10" s="41">
        <f>IF(114465.89104="","-",114465.89104)</f>
        <v>114465.89104</v>
      </c>
      <c r="C10" s="41">
        <f>IF(OR(114098.35952="",114465.89104=""),"-",114465.89104/114098.35952*100)</f>
        <v>100.3221181457351</v>
      </c>
      <c r="D10" s="41">
        <f>IF(114098.35952="","-",114098.35952/1365036.36807*100)</f>
        <v>8.3586314759746347</v>
      </c>
      <c r="E10" s="41">
        <f>IF(114465.89104="","-",114465.89104/1365812.81697*100)</f>
        <v>8.380789052334265</v>
      </c>
      <c r="F10" s="41">
        <f>IF(OR(1326009.79931="",110393.63392="",114098.35952=""),"-",(114098.35952-110393.63392)/1326009.79931*100)</f>
        <v>0.27938900616932011</v>
      </c>
      <c r="G10" s="41">
        <f>IF(OR(1365036.36807="",114465.89104="",114098.35952=""),"-",(114465.89104-114098.35952)/1365036.36807*100)</f>
        <v>2.6924668719240808E-2</v>
      </c>
    </row>
    <row r="11" spans="1:7" s="9" customFormat="1" x14ac:dyDescent="0.25">
      <c r="A11" s="40" t="s">
        <v>3</v>
      </c>
      <c r="B11" s="41">
        <f>IF(81704.18831="","-",81704.18831)</f>
        <v>81704.188309999998</v>
      </c>
      <c r="C11" s="41">
        <f>IF(OR(85496.47686="",81704.18831=""),"-",81704.18831/85496.47686*100)</f>
        <v>95.564392020258509</v>
      </c>
      <c r="D11" s="41">
        <f>IF(85496.47686="","-",85496.47686/1365036.36807*100)</f>
        <v>6.2633112831185516</v>
      </c>
      <c r="E11" s="41">
        <f>IF(81704.18831="","-",81704.18831/1365812.81697*100)</f>
        <v>5.9820926626869264</v>
      </c>
      <c r="F11" s="41">
        <f>IF(OR(1326009.79931="",85757.59683="",85496.47686=""),"-",(85496.47686-85757.59683)/1326009.79931*100)</f>
        <v>-1.969215990227792E-2</v>
      </c>
      <c r="G11" s="41">
        <f>IF(OR(1365036.36807="",81704.18831="",85496.47686=""),"-",(81704.18831-85496.47686)/1365036.36807*100)</f>
        <v>-0.2778159350700557</v>
      </c>
    </row>
    <row r="12" spans="1:7" s="9" customFormat="1" x14ac:dyDescent="0.25">
      <c r="A12" s="40" t="s">
        <v>5</v>
      </c>
      <c r="B12" s="41">
        <f>IF(52705.01038="","-",52705.01038)</f>
        <v>52705.01038</v>
      </c>
      <c r="C12" s="41">
        <f>IF(OR(44086.04133="",52705.01038=""),"-",52705.01038/44086.04133*100)</f>
        <v>119.55033563908333</v>
      </c>
      <c r="D12" s="41">
        <f>IF(44086.04133="","-",44086.04133/1365036.36807*100)</f>
        <v>3.2296605688486122</v>
      </c>
      <c r="E12" s="41">
        <f>IF(52705.01038="","-",52705.01038/1365812.81697*100)</f>
        <v>3.8588750760828203</v>
      </c>
      <c r="F12" s="41">
        <f>IF(OR(1326009.79931="",45572.21323="",44086.04133=""),"-",(44086.04133-45572.21323)/1326009.79931*100)</f>
        <v>-0.11207850053395858</v>
      </c>
      <c r="G12" s="41">
        <f>IF(OR(1365036.36807="",52705.01038="",44086.04133=""),"-",(52705.01038-44086.04133)/1365036.36807*100)</f>
        <v>0.63140948121303186</v>
      </c>
    </row>
    <row r="13" spans="1:7" s="9" customFormat="1" x14ac:dyDescent="0.25">
      <c r="A13" s="40" t="s">
        <v>178</v>
      </c>
      <c r="B13" s="41">
        <f>IF(42059.04263="","-",42059.04263)</f>
        <v>42059.042630000004</v>
      </c>
      <c r="C13" s="41">
        <f>IF(OR(40588.43228="",42059.04263=""),"-",42059.04263/40588.43228*100)</f>
        <v>103.62322530679424</v>
      </c>
      <c r="D13" s="41">
        <f>IF(40588.43228="","-",40588.43228/1365036.36807*100)</f>
        <v>2.9734323003706664</v>
      </c>
      <c r="E13" s="41">
        <f>IF(42059.04263="","-",42059.04263/1365812.81697*100)</f>
        <v>3.079414844217546</v>
      </c>
      <c r="F13" s="41">
        <f>IF(OR(1326009.79931="",39757.03702="",40588.43228=""),"-",(40588.43228-39757.03702)/1326009.79931*100)</f>
        <v>6.2699028350516023E-2</v>
      </c>
      <c r="G13" s="41">
        <f>IF(OR(1365036.36807="",42059.04263="",40588.43228=""),"-",(42059.04263-40588.43228)/1365036.36807*100)</f>
        <v>0.10773415158742412</v>
      </c>
    </row>
    <row r="14" spans="1:7" s="9" customFormat="1" x14ac:dyDescent="0.25">
      <c r="A14" s="40" t="s">
        <v>91</v>
      </c>
      <c r="B14" s="41">
        <f>IF(32547.7631="","-",32547.7631)</f>
        <v>32547.7631</v>
      </c>
      <c r="C14" s="41">
        <f>IF(OR(28928.20996="",32547.7631=""),"-",32547.7631/28928.20996*100)</f>
        <v>112.51219188814268</v>
      </c>
      <c r="D14" s="41">
        <f>IF(28928.20996="","-",28928.20996/1365036.36807*100)</f>
        <v>2.1192263178233901</v>
      </c>
      <c r="E14" s="41">
        <f>IF(32547.7631="","-",32547.7631/1365812.81697*100)</f>
        <v>2.3830324840709785</v>
      </c>
      <c r="F14" s="41">
        <f>IF(OR(1326009.79931="",31603.72212="",28928.20996=""),"-",(28928.20996-31603.72212)/1326009.79931*100)</f>
        <v>-0.20177167328568937</v>
      </c>
      <c r="G14" s="41">
        <f>IF(OR(1365036.36807="",32547.7631="",28928.20996=""),"-",(32547.7631-28928.20996)/1365036.36807*100)</f>
        <v>0.26516166343008279</v>
      </c>
    </row>
    <row r="15" spans="1:7" s="9" customFormat="1" x14ac:dyDescent="0.25">
      <c r="A15" s="40" t="s">
        <v>7</v>
      </c>
      <c r="B15" s="41">
        <f>IF(23102.37228="","-",23102.37228)</f>
        <v>23102.37228</v>
      </c>
      <c r="C15" s="41">
        <f>IF(OR(25005.19076="",23102.37228=""),"-",23102.37228/25005.19076*100)</f>
        <v>92.3903060837917</v>
      </c>
      <c r="D15" s="41">
        <f>IF(25005.19076="","-",25005.19076/1365036.36807*100)</f>
        <v>1.8318333009218195</v>
      </c>
      <c r="E15" s="41">
        <f>IF(23102.37228="","-",23102.37228/1365812.81697*100)</f>
        <v>1.6914742630144346</v>
      </c>
      <c r="F15" s="41">
        <f>IF(OR(1326009.79931="",19736.44873="",25005.19076=""),"-",(25005.19076-19736.44873)/1326009.79931*100)</f>
        <v>0.39733809152403204</v>
      </c>
      <c r="G15" s="41">
        <f>IF(OR(1365036.36807="",23102.37228="",25005.19076=""),"-",(23102.37228-25005.19076)/1365036.36807*100)</f>
        <v>-0.1393969072553255</v>
      </c>
    </row>
    <row r="16" spans="1:7" s="9" customFormat="1" x14ac:dyDescent="0.25">
      <c r="A16" s="40" t="s">
        <v>89</v>
      </c>
      <c r="B16" s="41">
        <f>IF(21330.31021="","-",21330.31021)</f>
        <v>21330.31021</v>
      </c>
      <c r="C16" s="41">
        <f>IF(OR(20467.73922="",21330.31021=""),"-",21330.31021/20467.73922*100)</f>
        <v>104.21429538811566</v>
      </c>
      <c r="D16" s="41">
        <f>IF(20467.73922="","-",20467.73922/1365036.36807*100)</f>
        <v>1.499428125049808</v>
      </c>
      <c r="E16" s="41">
        <f>IF(21330.31021="","-",21330.31021/1365812.81697*100)</f>
        <v>1.5617301247267852</v>
      </c>
      <c r="F16" s="41">
        <f>IF(OR(1326009.79931="",19332.57764="",20467.73922=""),"-",(20467.73922-19332.57764)/1326009.79931*100)</f>
        <v>8.5607329643467997E-2</v>
      </c>
      <c r="G16" s="41">
        <f>IF(OR(1365036.36807="",21330.31021="",20467.73922=""),"-",(21330.31021-20467.73922)/1365036.36807*100)</f>
        <v>6.3190330322083182E-2</v>
      </c>
    </row>
    <row r="17" spans="1:7" s="9" customFormat="1" x14ac:dyDescent="0.25">
      <c r="A17" s="40" t="s">
        <v>8</v>
      </c>
      <c r="B17" s="41">
        <f>IF(16992.78733="","-",16992.78733)</f>
        <v>16992.787329999999</v>
      </c>
      <c r="C17" s="41">
        <f>IF(OR(20908.33912="",16992.78733=""),"-",16992.78733/20908.33912*100)</f>
        <v>81.27277462103838</v>
      </c>
      <c r="D17" s="41">
        <f>IF(20908.33912="","-",20908.33912/1365036.36807*100)</f>
        <v>1.5317056460233303</v>
      </c>
      <c r="E17" s="41">
        <f>IF(16992.78733="","-",16992.78733/1365812.81697*100)</f>
        <v>1.2441519891208668</v>
      </c>
      <c r="F17" s="41">
        <f>IF(OR(1326009.79931="",24452.92598="",20908.33912=""),"-",(20908.33912-24452.92598)/1326009.79931*100)</f>
        <v>-0.26731226736366909</v>
      </c>
      <c r="G17" s="41">
        <f>IF(OR(1365036.36807="",16992.78733="",20908.33912=""),"-",(16992.78733-20908.33912)/1365036.36807*100)</f>
        <v>-0.2868459684730692</v>
      </c>
    </row>
    <row r="18" spans="1:7" s="9" customFormat="1" x14ac:dyDescent="0.25">
      <c r="A18" s="40" t="s">
        <v>6</v>
      </c>
      <c r="B18" s="41">
        <f>IF(14741.23123="","-",14741.23123)</f>
        <v>14741.231229999999</v>
      </c>
      <c r="C18" s="41">
        <f>IF(OR(10332.6686="",14741.23123=""),"-",14741.23123/10332.6686*100)</f>
        <v>142.66625400141061</v>
      </c>
      <c r="D18" s="41">
        <f>IF(10332.6686="","-",10332.6686/1365036.36807*100)</f>
        <v>0.75695189093087467</v>
      </c>
      <c r="E18" s="41">
        <f>IF(14741.23123="","-",14741.23123/1365812.81697*100)</f>
        <v>1.0793009881619664</v>
      </c>
      <c r="F18" s="41">
        <f>IF(OR(1326009.79931="",14362.64263="",10332.6686=""),"-",(10332.6686-14362.64263)/1326009.79931*100)</f>
        <v>-0.30391736411729608</v>
      </c>
      <c r="G18" s="41">
        <f>IF(OR(1365036.36807="",14741.23123="",10332.6686=""),"-",(14741.23123-10332.6686)/1365036.36807*100)</f>
        <v>0.3229630164530477</v>
      </c>
    </row>
    <row r="19" spans="1:7" s="9" customFormat="1" x14ac:dyDescent="0.25">
      <c r="A19" s="40" t="s">
        <v>10</v>
      </c>
      <c r="B19" s="41">
        <f>IF(14588.42311="","-",14588.42311)</f>
        <v>14588.42311</v>
      </c>
      <c r="C19" s="41">
        <f>IF(OR(13205.77268="",14588.42311=""),"-",14588.42311/13205.77268*100)</f>
        <v>110.47004566490841</v>
      </c>
      <c r="D19" s="41">
        <f>IF(13205.77268="","-",13205.77268/1365036.36807*100)</f>
        <v>0.96743009848678252</v>
      </c>
      <c r="E19" s="41">
        <f>IF(14588.42311="","-",14588.42311/1365812.81697*100)</f>
        <v>1.06811291626065</v>
      </c>
      <c r="F19" s="41">
        <f>IF(OR(1326009.79931="",14153.19483="",13205.77268=""),"-",(13205.77268-14153.19483)/1326009.79931*100)</f>
        <v>-7.1449106220255632E-2</v>
      </c>
      <c r="G19" s="41">
        <f>IF(OR(1365036.36807="",14588.42311="",13205.77268=""),"-",(14588.42311-13205.77268)/1365036.36807*100)</f>
        <v>0.10129037308763457</v>
      </c>
    </row>
    <row r="20" spans="1:7" s="9" customFormat="1" ht="15.75" customHeight="1" x14ac:dyDescent="0.25">
      <c r="A20" s="40" t="s">
        <v>90</v>
      </c>
      <c r="B20" s="41">
        <f>IF(8848.44548="","-",8848.44548)</f>
        <v>8848.4454800000003</v>
      </c>
      <c r="C20" s="41">
        <f>IF(OR(8908.97776="",8848.44548=""),"-",8848.44548/8908.97776*100)</f>
        <v>99.320547411491134</v>
      </c>
      <c r="D20" s="41">
        <f>IF(8908.97776="","-",8908.97776/1365036.36807*100)</f>
        <v>0.65265497450417675</v>
      </c>
      <c r="E20" s="41">
        <f>IF(8848.44548="","-",8848.44548/1365812.81697*100)</f>
        <v>0.6478519874802402</v>
      </c>
      <c r="F20" s="41">
        <f>IF(OR(1326009.79931="",9498.6438="",8908.97776=""),"-",(8908.97776-9498.6438)/1326009.79931*100)</f>
        <v>-4.4469206811807702E-2</v>
      </c>
      <c r="G20" s="41">
        <f>IF(OR(1365036.36807="",8848.44548="",8908.97776=""),"-",(8848.44548-8908.97776)/1365036.36807*100)</f>
        <v>-4.4344811183005279E-3</v>
      </c>
    </row>
    <row r="21" spans="1:7" s="9" customFormat="1" x14ac:dyDescent="0.25">
      <c r="A21" s="40" t="s">
        <v>101</v>
      </c>
      <c r="B21" s="41">
        <f>IF(7026.7421="","-",7026.7421)</f>
        <v>7026.7421000000004</v>
      </c>
      <c r="C21" s="41">
        <f>IF(OR(5589.87246="",7026.7421=""),"-",7026.7421/5589.87246*100)</f>
        <v>125.70487341673626</v>
      </c>
      <c r="D21" s="41">
        <f>IF(5589.87246="","-",5589.87246/1365036.36807*100)</f>
        <v>0.40950355541833794</v>
      </c>
      <c r="E21" s="41">
        <f>IF(7026.7421="","-",7026.7421/1365812.81697*100)</f>
        <v>0.51447328745885845</v>
      </c>
      <c r="F21" s="41">
        <f>IF(OR(1326009.79931="",5322.96507="",5589.87246=""),"-",(5589.87246-5322.96507)/1326009.79931*100)</f>
        <v>2.0128613690403106E-2</v>
      </c>
      <c r="G21" s="41">
        <f>IF(OR(1365036.36807="",7026.7421="",5589.87246=""),"-",(7026.7421-5589.87246)/1365036.36807*100)</f>
        <v>0.10526237055731816</v>
      </c>
    </row>
    <row r="22" spans="1:7" s="9" customFormat="1" x14ac:dyDescent="0.25">
      <c r="A22" s="40" t="s">
        <v>93</v>
      </c>
      <c r="B22" s="41">
        <f>IF(6414.84165="","-",6414.84165)</f>
        <v>6414.8416500000003</v>
      </c>
      <c r="C22" s="41">
        <f>IF(OR(8423.6194="",6414.84165=""),"-",6414.84165/8423.6194*100)</f>
        <v>76.153032863759265</v>
      </c>
      <c r="D22" s="41">
        <f>IF(8423.6194="","-",8423.6194/1365036.36807*100)</f>
        <v>0.61709853283323146</v>
      </c>
      <c r="E22" s="41">
        <f>IF(6414.84165="","-",6414.84165/1365812.81697*100)</f>
        <v>0.46967209344477118</v>
      </c>
      <c r="F22" s="41">
        <f>IF(OR(1326009.79931="",7398.87107="",8423.6194=""),"-",(8423.6194-7398.87107)/1326009.79931*100)</f>
        <v>7.7280600078011172E-2</v>
      </c>
      <c r="G22" s="41">
        <f>IF(OR(1365036.36807="",6414.84165="",8423.6194=""),"-",(6414.84165-8423.6194)/1365036.36807*100)</f>
        <v>-0.14715928432296449</v>
      </c>
    </row>
    <row r="23" spans="1:7" s="9" customFormat="1" x14ac:dyDescent="0.25">
      <c r="A23" s="40" t="s">
        <v>9</v>
      </c>
      <c r="B23" s="41">
        <f>IF(6268.80368="","-",6268.80368)</f>
        <v>6268.80368</v>
      </c>
      <c r="C23" s="41">
        <f>IF(OR(4545.89305="",6268.80368=""),"-",6268.80368/4545.89305*100)</f>
        <v>137.90037757267518</v>
      </c>
      <c r="D23" s="41">
        <f>IF(4545.89305="","-",4545.89305/1365036.36807*100)</f>
        <v>0.33302358503659168</v>
      </c>
      <c r="E23" s="41">
        <f>IF(6268.80368="","-",6268.80368/1365812.81697*100)</f>
        <v>0.45897970806183275</v>
      </c>
      <c r="F23" s="41">
        <f>IF(OR(1326009.79931="",4926.71443="",4545.89305=""),"-",(4545.89305-4926.71443)/1326009.79931*100)</f>
        <v>-2.8719348846302933E-2</v>
      </c>
      <c r="G23" s="41">
        <f>IF(OR(1365036.36807="",6268.80368="",4545.89305=""),"-",(6268.80368-4545.89305)/1365036.36807*100)</f>
        <v>0.1262171961349273</v>
      </c>
    </row>
    <row r="24" spans="1:7" s="9" customFormat="1" x14ac:dyDescent="0.25">
      <c r="A24" s="40" t="s">
        <v>99</v>
      </c>
      <c r="B24" s="41">
        <f>IF(5201.3752="","-",5201.3752)</f>
        <v>5201.3752000000004</v>
      </c>
      <c r="C24" s="41">
        <f>IF(OR(6616.05249="",5201.3752=""),"-",5201.3752/6616.05249*100)</f>
        <v>78.617502020453287</v>
      </c>
      <c r="D24" s="41">
        <f>IF(6616.05249="","-",6616.05249/1365036.36807*100)</f>
        <v>0.48467957665877542</v>
      </c>
      <c r="E24" s="41">
        <f>IF(5201.3752="","-",5201.3752/1365812.81697*100)</f>
        <v>0.38082635741689985</v>
      </c>
      <c r="F24" s="41">
        <f>IF(OR(1326009.79931="",6533.85617="",6616.05249=""),"-",(6616.05249-6533.85617)/1326009.79931*100)</f>
        <v>6.1987716865117845E-3</v>
      </c>
      <c r="G24" s="41">
        <f>IF(OR(1365036.36807="",5201.3752="",6616.05249=""),"-",(5201.3752-6616.05249)/1365036.36807*100)</f>
        <v>-0.1036366006863382</v>
      </c>
    </row>
    <row r="25" spans="1:7" s="9" customFormat="1" x14ac:dyDescent="0.25">
      <c r="A25" s="40" t="s">
        <v>100</v>
      </c>
      <c r="B25" s="41">
        <f>IF(4975.23317="","-",4975.23317)</f>
        <v>4975.2331700000004</v>
      </c>
      <c r="C25" s="41">
        <f>IF(OR(4081.16557="",4975.23317=""),"-",4975.23317/4081.16557*100)</f>
        <v>121.90716315388303</v>
      </c>
      <c r="D25" s="41">
        <f>IF(4081.16557="","-",4081.16557/1365036.36807*100)</f>
        <v>0.29897852287776666</v>
      </c>
      <c r="E25" s="41">
        <f>IF(4975.23317="","-",4975.23317/1365812.81697*100)</f>
        <v>0.36426903512571746</v>
      </c>
      <c r="F25" s="41">
        <f>IF(OR(1326009.79931="",4194.44228="",4081.16557=""),"-",(4081.16557-4194.44228)/1326009.79931*100)</f>
        <v>-8.5426751792441174E-3</v>
      </c>
      <c r="G25" s="41">
        <f>IF(OR(1365036.36807="",4975.23317="",4081.16557=""),"-",(4975.23317-4081.16557)/1365036.36807*100)</f>
        <v>6.5497712801901836E-2</v>
      </c>
    </row>
    <row r="26" spans="1:7" s="9" customFormat="1" x14ac:dyDescent="0.25">
      <c r="A26" s="40" t="s">
        <v>92</v>
      </c>
      <c r="B26" s="41">
        <f>IF(3652.53201="","-",3652.53201)</f>
        <v>3652.5320099999999</v>
      </c>
      <c r="C26" s="41">
        <f>IF(OR(4325.78488="",3652.53201=""),"-",3652.53201/4325.78488*100)</f>
        <v>84.436284080774712</v>
      </c>
      <c r="D26" s="41">
        <f>IF(4325.78488="","-",4325.78488/1365036.36807*100)</f>
        <v>0.31689887399235733</v>
      </c>
      <c r="E26" s="41">
        <f>IF(3652.53201="","-",3652.53201/1365812.81697*100)</f>
        <v>0.26742551868146863</v>
      </c>
      <c r="F26" s="41">
        <f>IF(OR(1326009.79931="",2541.14141999999="",4325.78488=""),"-",(4325.78488-2541.14141999999)/1326009.79931*100)</f>
        <v>0.13458750161037</v>
      </c>
      <c r="G26" s="41">
        <f>IF(OR(1365036.36807="",3652.53201="",4325.78488=""),"-",(3652.53201-4325.78488)/1365036.36807*100)</f>
        <v>-4.9321240499394174E-2</v>
      </c>
    </row>
    <row r="27" spans="1:7" s="9" customFormat="1" x14ac:dyDescent="0.25">
      <c r="A27" s="40" t="s">
        <v>94</v>
      </c>
      <c r="B27" s="41">
        <f>IF(2971.30283="","-",2971.30283)</f>
        <v>2971.3028300000001</v>
      </c>
      <c r="C27" s="41">
        <f>IF(OR(2601.27742="",2971.30283=""),"-",2971.30283/2601.27742*100)</f>
        <v>114.22475769616301</v>
      </c>
      <c r="D27" s="41">
        <f>IF(2601.27742="","-",2601.27742/1365036.36807*100)</f>
        <v>0.19056469709139678</v>
      </c>
      <c r="E27" s="41">
        <f>IF(2971.30283="","-",2971.30283/1365812.81697*100)</f>
        <v>0.21754831943894873</v>
      </c>
      <c r="F27" s="41">
        <f>IF(OR(1326009.79931="",2813.8363="",2601.27742=""),"-",(2601.27742-2813.8363)/1326009.79931*100)</f>
        <v>-1.6029962984482227E-2</v>
      </c>
      <c r="G27" s="41">
        <f>IF(OR(1365036.36807="",2971.30283="",2601.27742=""),"-",(2971.30283-2601.27742)/1365036.36807*100)</f>
        <v>2.7107366415678163E-2</v>
      </c>
    </row>
    <row r="28" spans="1:7" s="9" customFormat="1" x14ac:dyDescent="0.25">
      <c r="A28" s="40" t="s">
        <v>97</v>
      </c>
      <c r="B28" s="41">
        <f>IF(2955.99531="","-",2955.99531)</f>
        <v>2955.9953099999998</v>
      </c>
      <c r="C28" s="41">
        <f>IF(OR(3186.19428="",2955.99531=""),"-",2955.99531/3186.19428*100)</f>
        <v>92.77511194326793</v>
      </c>
      <c r="D28" s="41">
        <f>IF(3186.19428="","-",3186.19428/1365036.36807*100)</f>
        <v>0.23341460744411535</v>
      </c>
      <c r="E28" s="41">
        <f>IF(2955.99531="","-",2955.99531/1365812.81697*100)</f>
        <v>0.21642755678320216</v>
      </c>
      <c r="F28" s="41">
        <f>IF(OR(1326009.79931="",3931.54273="",3186.19428=""),"-",(3186.19428-3931.54273)/1326009.79931*100)</f>
        <v>-5.620987494872573E-2</v>
      </c>
      <c r="G28" s="41">
        <f>IF(OR(1365036.36807="",2955.99531="",3186.19428=""),"-",(2955.99531-3186.19428)/1365036.36807*100)</f>
        <v>-1.6863944095897934E-2</v>
      </c>
    </row>
    <row r="29" spans="1:7" s="9" customFormat="1" x14ac:dyDescent="0.25">
      <c r="A29" s="40" t="s">
        <v>98</v>
      </c>
      <c r="B29" s="41">
        <f>IF(2760.88922="","-",2760.88922)</f>
        <v>2760.88922</v>
      </c>
      <c r="C29" s="41">
        <f>IF(OR(3155.85991="",2760.88922=""),"-",2760.88922/3155.85991*100)</f>
        <v>87.4845303256823</v>
      </c>
      <c r="D29" s="41">
        <f>IF(3155.85991="","-",3155.85991/1365036.36807*100)</f>
        <v>0.23119236848334032</v>
      </c>
      <c r="E29" s="41">
        <f>IF(2760.88922="","-",2760.88922/1365812.81697*100)</f>
        <v>0.20214257661785015</v>
      </c>
      <c r="F29" s="41">
        <f>IF(OR(1326009.79931="",1852.72336="",3155.85991=""),"-",(3155.85991-1852.72336)/1326009.79931*100)</f>
        <v>9.8275031653468764E-2</v>
      </c>
      <c r="G29" s="41">
        <f>IF(OR(1365036.36807="",2760.88922="",3155.85991=""),"-",(2760.88922-3155.85991)/1365036.36807*100)</f>
        <v>-2.8934810766869306E-2</v>
      </c>
    </row>
    <row r="30" spans="1:7" s="9" customFormat="1" x14ac:dyDescent="0.25">
      <c r="A30" s="40" t="s">
        <v>102</v>
      </c>
      <c r="B30" s="41">
        <f>IF(2401.31801="","-",2401.31801)</f>
        <v>2401.31801</v>
      </c>
      <c r="C30" s="41" t="s">
        <v>154</v>
      </c>
      <c r="D30" s="41">
        <f>IF(1371.13818="","-",1371.13818/1365036.36807*100)</f>
        <v>0.10044700727927322</v>
      </c>
      <c r="E30" s="41">
        <f>IF(2401.31801="","-",2401.31801/1365812.81697*100)</f>
        <v>0.17581604010183666</v>
      </c>
      <c r="F30" s="41">
        <f>IF(OR(1326009.79931="",1379.16551="",1371.13818=""),"-",(1371.13818-1379.16551)/1326009.79931*100)</f>
        <v>-6.0537486255208726E-4</v>
      </c>
      <c r="G30" s="41">
        <f>IF(OR(1365036.36807="",2401.31801="",1371.13818=""),"-",(2401.31801-1371.13818)/1365036.36807*100)</f>
        <v>7.5469039074508498E-2</v>
      </c>
    </row>
    <row r="31" spans="1:7" s="9" customFormat="1" x14ac:dyDescent="0.25">
      <c r="A31" s="40" t="s">
        <v>179</v>
      </c>
      <c r="B31" s="41">
        <f>IF(1321.32681="","-",1321.32681)</f>
        <v>1321.32681</v>
      </c>
      <c r="C31" s="41">
        <f>IF(OR(906.29569="",1321.32681=""),"-",1321.32681/906.29569*100)</f>
        <v>145.79422859221586</v>
      </c>
      <c r="D31" s="41">
        <f>IF(906.29569="","-",906.29569/1365036.36807*100)</f>
        <v>6.6393519703903198E-2</v>
      </c>
      <c r="E31" s="41">
        <f>IF(1321.32681="","-",1321.32681/1365812.81697*100)</f>
        <v>9.6742891381800741E-2</v>
      </c>
      <c r="F31" s="41">
        <f>IF(OR(1326009.79931="",628.32747="",906.29569=""),"-",(906.29569-628.32747)/1326009.79931*100)</f>
        <v>2.0962757601387497E-2</v>
      </c>
      <c r="G31" s="41">
        <f>IF(OR(1365036.36807="",1321.32681="",906.29569=""),"-",(1321.32681-906.29569)/1365036.36807*100)</f>
        <v>3.0404400183623306E-2</v>
      </c>
    </row>
    <row r="32" spans="1:7" s="9" customFormat="1" x14ac:dyDescent="0.25">
      <c r="A32" s="40" t="s">
        <v>95</v>
      </c>
      <c r="B32" s="41">
        <f>IF(878.69361="","-",878.69361)</f>
        <v>878.69361000000004</v>
      </c>
      <c r="C32" s="41">
        <f>IF(OR(1054.89369="",878.69361=""),"-",878.69361/1054.89369*100)</f>
        <v>83.29688748067116</v>
      </c>
      <c r="D32" s="41">
        <f>IF(1054.89369="","-",1054.89369/1365036.36807*100)</f>
        <v>7.7279530031239746E-2</v>
      </c>
      <c r="E32" s="41">
        <f>IF(878.69361="","-",878.69361/1365812.81697*100)</f>
        <v>6.4334848749577997E-2</v>
      </c>
      <c r="F32" s="41">
        <f>IF(OR(1326009.79931="",1001.68517="",1054.89369=""),"-",(1054.89369-1001.68517)/1326009.79931*100)</f>
        <v>4.0126792447301388E-3</v>
      </c>
      <c r="G32" s="41">
        <f>IF(OR(1365036.36807="",878.69361="",1054.89369=""),"-",(878.69361-1054.89369)/1365036.36807*100)</f>
        <v>-1.2908086855526505E-2</v>
      </c>
    </row>
    <row r="33" spans="1:7" s="9" customFormat="1" x14ac:dyDescent="0.25">
      <c r="A33" s="40" t="s">
        <v>103</v>
      </c>
      <c r="B33" s="41">
        <f>IF(256.1703="","-",256.1703)</f>
        <v>256.1703</v>
      </c>
      <c r="C33" s="41">
        <f>IF(OR(321.31445="",256.1703=""),"-",256.1703/321.31445*100)</f>
        <v>79.72573284519261</v>
      </c>
      <c r="D33" s="41">
        <f>IF(321.31445="","-",321.31445/1365036.36807*100)</f>
        <v>2.3538892993327398E-2</v>
      </c>
      <c r="E33" s="41">
        <f>IF(256.1703="","-",256.1703/1365812.81697*100)</f>
        <v>1.8755886371626188E-2</v>
      </c>
      <c r="F33" s="41">
        <f>IF(OR(1326009.79931="",240.50547="",321.31445=""),"-",(321.31445-240.50547)/1326009.79931*100)</f>
        <v>6.0941465170204351E-3</v>
      </c>
      <c r="G33" s="41">
        <f>IF(OR(1365036.36807="",256.1703="",321.31445=""),"-",(256.1703-321.31445)/1365036.36807*100)</f>
        <v>-4.7723380507514353E-3</v>
      </c>
    </row>
    <row r="34" spans="1:7" s="9" customFormat="1" x14ac:dyDescent="0.25">
      <c r="A34" s="40" t="s">
        <v>96</v>
      </c>
      <c r="B34" s="41">
        <f>IF(163.3947="","-",163.3947)</f>
        <v>163.3947</v>
      </c>
      <c r="C34" s="41">
        <f>IF(OR(176.33729="",163.3947=""),"-",163.3947/176.33729*100)</f>
        <v>92.660321591649733</v>
      </c>
      <c r="D34" s="41">
        <f>IF(176.33729="","-",176.33729/1365036.36807*100)</f>
        <v>1.291813860236706E-2</v>
      </c>
      <c r="E34" s="41">
        <f>IF(163.3947="","-",163.3947/1365812.81697*100)</f>
        <v>1.1963183971467223E-2</v>
      </c>
      <c r="F34" s="41">
        <f>IF(OR(1326009.79931="",304.22619="",176.33729=""),"-",(176.33729-304.22619)/1326009.79931*100)</f>
        <v>-9.6446421486890976E-3</v>
      </c>
      <c r="G34" s="41">
        <f>IF(OR(1365036.36807="",163.3947="",176.33729=""),"-",(163.3947-176.33729)/1365036.36807*100)</f>
        <v>-9.4814982975869623E-4</v>
      </c>
    </row>
    <row r="35" spans="1:7" s="9" customFormat="1" x14ac:dyDescent="0.25">
      <c r="A35" s="40" t="s">
        <v>104</v>
      </c>
      <c r="B35" s="41">
        <f>IF(1.07388="","-",1.07388)</f>
        <v>1.0738799999999999</v>
      </c>
      <c r="C35" s="41">
        <f>IF(OR(45.9573="",1.07388=""),"-",1.07388/45.9573*100)</f>
        <v>2.3366907977622708</v>
      </c>
      <c r="D35" s="41">
        <f>IF(45.9573="","-",45.9573/1365036.36807*100)</f>
        <v>3.3667454637108444E-3</v>
      </c>
      <c r="E35" s="41">
        <f>IF(1.07388="","-",1.07388/1365812.81697*100)</f>
        <v>7.8625708197874354E-5</v>
      </c>
      <c r="F35" s="41">
        <f>IF(OR(1326009.79931="",36.10549="",45.9573=""),"-",(45.9573-36.10549)/1326009.79931*100)</f>
        <v>7.4296660591244973E-4</v>
      </c>
      <c r="G35" s="41">
        <f>IF(OR(1365036.36807="",1.07388="",45.9573=""),"-",(1.07388-45.9573)/1365036.36807*100)</f>
        <v>-3.2880750322762347E-3</v>
      </c>
    </row>
    <row r="36" spans="1:7" s="9" customFormat="1" x14ac:dyDescent="0.25">
      <c r="A36" s="38" t="s">
        <v>279</v>
      </c>
      <c r="B36" s="39">
        <f>IF(341555.66314="","-",341555.66314)</f>
        <v>341555.66314000002</v>
      </c>
      <c r="C36" s="39">
        <f>IF(367055.05493="","-",341555.66314/367055.05493*100)</f>
        <v>93.052978988434617</v>
      </c>
      <c r="D36" s="39">
        <f>IF(367055.05493="","-",367055.05493/1365036.36807*100)</f>
        <v>26.889763783288235</v>
      </c>
      <c r="E36" s="39">
        <f>IF(341555.66314="","-",341555.66314/1365812.81697*100)</f>
        <v>25.007501679309712</v>
      </c>
      <c r="F36" s="39">
        <f>IF(1326009.79931="","-",(367055.05493-332547.32598)/1326009.79931*100)</f>
        <v>2.6023735999504938</v>
      </c>
      <c r="G36" s="39">
        <f>IF(1365036.36807="","-",(341555.66314-367055.05493)/1365036.36807*100)</f>
        <v>-1.8680375399853331</v>
      </c>
    </row>
    <row r="37" spans="1:7" s="9" customFormat="1" x14ac:dyDescent="0.25">
      <c r="A37" s="40" t="s">
        <v>180</v>
      </c>
      <c r="B37" s="41">
        <f>IF(187964.71794="","-",187964.71794)</f>
        <v>187964.71794</v>
      </c>
      <c r="C37" s="41">
        <f>IF(OR(213096.63773="",187964.71794=""),"-",187964.71794/213096.63773*100)</f>
        <v>88.206327393188204</v>
      </c>
      <c r="D37" s="41">
        <f>IF(213096.63773="","-",213096.63773/1365036.36807*100)</f>
        <v>15.611059361831762</v>
      </c>
      <c r="E37" s="41">
        <f>IF(187964.71794="","-",187964.71794/1365812.81697*100)</f>
        <v>13.762114076289903</v>
      </c>
      <c r="F37" s="41">
        <f>IF(OR(1326009.79931="",201078.68015="",213096.63773=""),"-",(213096.63773-201078.68015)/1326009.79931*100)</f>
        <v>0.90632494467639912</v>
      </c>
      <c r="G37" s="41">
        <f>IF(OR(1365036.36807="",187964.71794="",213096.63773=""),"-",(187964.71794-213096.63773)/1365036.36807*100)</f>
        <v>-1.841117231589481</v>
      </c>
    </row>
    <row r="38" spans="1:7" s="9" customFormat="1" x14ac:dyDescent="0.25">
      <c r="A38" s="40" t="s">
        <v>12</v>
      </c>
      <c r="B38" s="41">
        <f>IF(119189.46471="","-",119189.46471)</f>
        <v>119189.46471</v>
      </c>
      <c r="C38" s="41">
        <f>IF(OR(120227.05216="",119189.46471=""),"-",119189.46471/120227.05216*100)</f>
        <v>99.136976719167023</v>
      </c>
      <c r="D38" s="41">
        <f>IF(120227.05216="","-",120227.05216/1365036.36807*100)</f>
        <v>8.8076079855650171</v>
      </c>
      <c r="E38" s="41">
        <f>IF(119189.46471="","-",119189.46471/1365812.81697*100)</f>
        <v>8.7266324659638901</v>
      </c>
      <c r="F38" s="41">
        <f>IF(OR(1326009.79931="",109835.3885="",120227.05216=""),"-",(120227.05216-109835.3885)/1326009.79931*100)</f>
        <v>0.78367925074214329</v>
      </c>
      <c r="G38" s="41">
        <f>IF(OR(1365036.36807="",119189.46471="",120227.05216=""),"-",(119189.46471-120227.05216)/1365036.36807*100)</f>
        <v>-7.6011707399930462E-2</v>
      </c>
    </row>
    <row r="39" spans="1:7" s="9" customFormat="1" x14ac:dyDescent="0.25">
      <c r="A39" s="40" t="s">
        <v>11</v>
      </c>
      <c r="B39" s="41">
        <f>IF(24935.93137="","-",24935.93137)</f>
        <v>24935.931369999998</v>
      </c>
      <c r="C39" s="41">
        <f>IF(OR(27466.71768="",24935.93137=""),"-",24935.93137/27466.71768*100)</f>
        <v>90.785989285342211</v>
      </c>
      <c r="D39" s="41">
        <f>IF(27466.71768="","-",27466.71768/1365036.36807*100)</f>
        <v>2.0121601389151769</v>
      </c>
      <c r="E39" s="41">
        <f>IF(24935.93137="","-",24935.93137/1365812.81697*100)</f>
        <v>1.8257209963309133</v>
      </c>
      <c r="F39" s="41">
        <f>IF(OR(1326009.79931="",19586.0032="",27466.71768=""),"-",(27466.71768-19586.0032)/1326009.79931*100)</f>
        <v>0.59431796688838923</v>
      </c>
      <c r="G39" s="41">
        <f>IF(OR(1365036.36807="",24935.93137="",27466.71768=""),"-",(24935.93137-27466.71768)/1365036.36807*100)</f>
        <v>-0.1854006507957173</v>
      </c>
    </row>
    <row r="40" spans="1:7" s="9" customFormat="1" x14ac:dyDescent="0.25">
      <c r="A40" s="40" t="s">
        <v>13</v>
      </c>
      <c r="B40" s="41">
        <f>IF(3066.0693="","-",3066.0693)</f>
        <v>3066.0693000000001</v>
      </c>
      <c r="C40" s="41" t="s">
        <v>20</v>
      </c>
      <c r="D40" s="41">
        <f>IF(1551.45774="","-",1551.45774/1365036.36807*100)</f>
        <v>0.11365687950084273</v>
      </c>
      <c r="E40" s="41">
        <f>IF(3066.0693="","-",3066.0693/1365812.81697*100)</f>
        <v>0.22448678632273708</v>
      </c>
      <c r="F40" s="41">
        <f>IF(OR(1326009.79931="",428.30971="",1551.45774=""),"-",(1551.45774-428.30971)/1326009.79931*100)</f>
        <v>8.4701337093016915E-2</v>
      </c>
      <c r="G40" s="41">
        <f>IF(OR(1365036.36807="",3066.0693="",1551.45774=""),"-",(3066.0693-1551.45774)/1365036.36807*100)</f>
        <v>0.11095759757239886</v>
      </c>
    </row>
    <row r="41" spans="1:7" s="9" customFormat="1" x14ac:dyDescent="0.25">
      <c r="A41" s="40" t="s">
        <v>14</v>
      </c>
      <c r="B41" s="41">
        <f>IF(2780.83354="","-",2780.83354)</f>
        <v>2780.8335400000001</v>
      </c>
      <c r="C41" s="41" t="s">
        <v>249</v>
      </c>
      <c r="D41" s="41">
        <f>IF(74.06376="","-",74.06376/1365036.36807*100)</f>
        <v>5.4257719231845369E-3</v>
      </c>
      <c r="E41" s="41">
        <f>IF(2780.83354="","-",2780.83354/1365812.81697*100)</f>
        <v>0.20360282942498414</v>
      </c>
      <c r="F41" s="41">
        <f>IF(OR(1326009.79931="",149.26807="",74.06376=""),"-",(74.06376-149.26807)/1326009.79931*100)</f>
        <v>-5.6714746783269009E-3</v>
      </c>
      <c r="G41" s="41">
        <f>IF(OR(1365036.36807="",2780.83354="",74.06376=""),"-",(2780.83354-74.06376)/1365036.36807*100)</f>
        <v>0.19829286920956196</v>
      </c>
    </row>
    <row r="42" spans="1:7" s="9" customFormat="1" x14ac:dyDescent="0.25">
      <c r="A42" s="40" t="s">
        <v>15</v>
      </c>
      <c r="B42" s="41">
        <f>IF(2175.41091="","-",2175.41091)</f>
        <v>2175.4109100000001</v>
      </c>
      <c r="C42" s="41">
        <f>IF(OR(2301.63631="",2175.41091=""),"-",2175.41091/2301.63631*100)</f>
        <v>94.515840775904351</v>
      </c>
      <c r="D42" s="41">
        <f>IF(2301.63631="","-",2301.63631/1365036.36807*100)</f>
        <v>0.16861355227144909</v>
      </c>
      <c r="E42" s="41">
        <f>IF(2175.41091="","-",2175.41091/1365812.81697*100)</f>
        <v>0.15927591855713144</v>
      </c>
      <c r="F42" s="41">
        <f>IF(OR(1326009.79931="",1140.33392="",2301.63631=""),"-",(2301.63631-1140.33392)/1326009.79931*100)</f>
        <v>8.7578718543731199E-2</v>
      </c>
      <c r="G42" s="41">
        <f>IF(OR(1365036.36807="",2175.41091="",2301.63631=""),"-",(2175.41091-2301.63631)/1365036.36807*100)</f>
        <v>-9.2470356799700202E-3</v>
      </c>
    </row>
    <row r="43" spans="1:7" s="9" customFormat="1" x14ac:dyDescent="0.25">
      <c r="A43" s="40" t="s">
        <v>16</v>
      </c>
      <c r="B43" s="41">
        <f>IF(1260.74422="","-",1260.74422)</f>
        <v>1260.74422</v>
      </c>
      <c r="C43" s="41">
        <f>IF(OR(1920.10881="",1260.74422=""),"-",1260.74422/1920.10881*100)</f>
        <v>65.660040380732383</v>
      </c>
      <c r="D43" s="41">
        <f>IF(1920.10881="","-",1920.10881/1365036.36807*100)</f>
        <v>0.14066356434992328</v>
      </c>
      <c r="E43" s="41">
        <f>IF(1260.74422="","-",1260.74422/1365812.81697*100)</f>
        <v>9.2307247694227212E-2</v>
      </c>
      <c r="F43" s="41">
        <f>IF(OR(1326009.79931="",0.918="",1920.10881=""),"-",(1920.10881-0.918)/1326009.79931*100)</f>
        <v>0.14473428559869367</v>
      </c>
      <c r="G43" s="41">
        <f>IF(OR(1365036.36807="",1260.74422="",1920.10881=""),"-",(1260.74422-1920.10881)/1365036.36807*100)</f>
        <v>-4.8303811196786166E-2</v>
      </c>
    </row>
    <row r="44" spans="1:7" s="9" customFormat="1" x14ac:dyDescent="0.25">
      <c r="A44" s="40" t="s">
        <v>17</v>
      </c>
      <c r="B44" s="41">
        <f>IF(159.93541="","-",159.93541)</f>
        <v>159.93540999999999</v>
      </c>
      <c r="C44" s="41">
        <f>IF(OR(367.59188="",159.93541=""),"-",159.93541/367.59188*100)</f>
        <v>43.50896162341779</v>
      </c>
      <c r="D44" s="41">
        <f>IF(367.59188="","-",367.59188/1365036.36807*100)</f>
        <v>2.6929090579449647E-2</v>
      </c>
      <c r="E44" s="41">
        <f>IF(159.93541="","-",159.93541/1365812.81697*100)</f>
        <v>1.1709906951584343E-2</v>
      </c>
      <c r="F44" s="41">
        <f>IF(OR(1326009.79931="",301.28338="",367.59188=""),"-",(367.59188-301.28338)/1326009.79931*100)</f>
        <v>5.0006040705358407E-3</v>
      </c>
      <c r="G44" s="41">
        <f>IF(OR(1365036.36807="",159.93541="",367.59188=""),"-",(159.93541-367.59188)/1365036.36807*100)</f>
        <v>-1.5212522893701482E-2</v>
      </c>
    </row>
    <row r="45" spans="1:7" s="9" customFormat="1" x14ac:dyDescent="0.25">
      <c r="A45" s="40" t="s">
        <v>182</v>
      </c>
      <c r="B45" s="41">
        <f>IF(22.37023="","-",22.37023)</f>
        <v>22.370229999999999</v>
      </c>
      <c r="C45" s="41">
        <f>IF(OR(49.75449="",22.37023=""),"-",22.37023/49.75449*100)</f>
        <v>44.961228624793463</v>
      </c>
      <c r="D45" s="41">
        <f>IF(49.75449="","-",49.75449/1365036.36807*100)</f>
        <v>3.6449204698001535E-3</v>
      </c>
      <c r="E45" s="41">
        <f>IF(22.37023="","-",22.37023/1365812.81697*100)</f>
        <v>1.6378693860574132E-3</v>
      </c>
      <c r="F45" s="41">
        <f>IF(OR(1326009.79931="",27.12266="",49.75449=""),"-",(49.75449-27.12266)/1326009.79931*100)</f>
        <v>1.70676189661469E-3</v>
      </c>
      <c r="G45" s="41">
        <f>IF(OR(1365036.36807="",22.37023="",49.75449=""),"-",(22.37023-49.75449)/1365036.36807*100)</f>
        <v>-2.0061194441814102E-3</v>
      </c>
    </row>
    <row r="46" spans="1:7" s="9" customFormat="1" x14ac:dyDescent="0.25">
      <c r="A46" s="40" t="s">
        <v>18</v>
      </c>
      <c r="B46" s="41">
        <f>IF(0.18551="","-",0.18551)</f>
        <v>0.18551000000000001</v>
      </c>
      <c r="C46" s="41" t="s">
        <v>226</v>
      </c>
      <c r="D46" s="41">
        <f>IF(0.03437="","-",0.03437/1365036.36807*100)</f>
        <v>2.5178816333366349E-6</v>
      </c>
      <c r="E46" s="41">
        <f>IF(0.18551="","-",0.18551/1365812.81697*100)</f>
        <v>1.358238828154698E-5</v>
      </c>
      <c r="F46" s="41">
        <f>IF(OR(1326009.79931="",0.01839="",0.03437=""),"-",(0.03437-0.01839)/1326009.79931*100)</f>
        <v>1.2051192991420819E-6</v>
      </c>
      <c r="G46" s="41">
        <f>IF(OR(1365036.36807="",0.18551="",0.03437=""),"-",(0.18551-0.03437)/1365036.36807*100)</f>
        <v>1.1072232471995898E-5</v>
      </c>
    </row>
    <row r="47" spans="1:7" s="9" customFormat="1" x14ac:dyDescent="0.25">
      <c r="A47" s="38" t="s">
        <v>280</v>
      </c>
      <c r="B47" s="39">
        <f>IF(376529.02096="","-",376529.02096)</f>
        <v>376529.02095999999</v>
      </c>
      <c r="C47" s="39">
        <f>IF(359440.52595="","-",376529.02096/359440.52595*100)</f>
        <v>104.7541926344658</v>
      </c>
      <c r="D47" s="39">
        <f>IF(359440.52595="","-",359440.52595/1365036.36807*100)</f>
        <v>26.331937694686214</v>
      </c>
      <c r="E47" s="39">
        <f>IF(376529.02096="","-",376529.02096/1365812.81697*100)</f>
        <v>27.568127658613882</v>
      </c>
      <c r="F47" s="39">
        <f>IF(1326009.79931="","-",(359440.52595-363808.11599)/1326009.79931*100)</f>
        <v>-0.32937841351344088</v>
      </c>
      <c r="G47" s="39">
        <f>IF(1365036.36807="","-",(376529.02096-359440.52595)/1365036.36807*100)</f>
        <v>1.251871042392894</v>
      </c>
    </row>
    <row r="48" spans="1:7" s="9" customFormat="1" x14ac:dyDescent="0.25">
      <c r="A48" s="40" t="s">
        <v>108</v>
      </c>
      <c r="B48" s="41">
        <f>IF(136671.48944="","-",136671.48944)</f>
        <v>136671.48944</v>
      </c>
      <c r="C48" s="41">
        <f>IF(OR(143602.41542="",136671.48944=""),"-",136671.48944/143602.41542*100)</f>
        <v>95.173531058144917</v>
      </c>
      <c r="D48" s="41">
        <f>IF(143602.41542="","-",143602.41542/1365036.36807*100)</f>
        <v>10.520043185591959</v>
      </c>
      <c r="E48" s="41">
        <f>IF(136671.48944="","-",136671.48944/1365812.81697*100)</f>
        <v>10.006604692962256</v>
      </c>
      <c r="F48" s="41">
        <f>IF(OR(1326009.79931="",147460.51298="",143602.41542=""),"-",(143602.41542-147460.51298)/1326009.79931*100)</f>
        <v>-0.29095543351245123</v>
      </c>
      <c r="G48" s="41">
        <f>IF(OR(1365036.36807="",136671.48944="",143602.41542=""),"-",(136671.48944-143602.41542)/1365036.36807*100)</f>
        <v>-0.50774661702233681</v>
      </c>
    </row>
    <row r="49" spans="1:7" s="9" customFormat="1" x14ac:dyDescent="0.25">
      <c r="A49" s="40" t="s">
        <v>105</v>
      </c>
      <c r="B49" s="41">
        <f>IF(96296.58473="","-",96296.58473)</f>
        <v>96296.584730000002</v>
      </c>
      <c r="C49" s="41">
        <f>IF(OR(85968.04434="",96296.58473=""),"-",96296.58473/85968.04434*100)</f>
        <v>112.0143949641928</v>
      </c>
      <c r="D49" s="41">
        <f>IF(85968.04434="","-",85968.04434/1365036.36807*100)</f>
        <v>6.2978574308279152</v>
      </c>
      <c r="E49" s="41">
        <f>IF(96296.58473="","-",96296.58473/1365812.81697*100)</f>
        <v>7.0504964906999508</v>
      </c>
      <c r="F49" s="41">
        <f>IF(OR(1326009.79931="",82549.87343="",85968.04434=""),"-",(85968.04434-82549.87343)/1326009.79931*100)</f>
        <v>0.25777870659618501</v>
      </c>
      <c r="G49" s="41">
        <f>IF(OR(1365036.36807="",96296.58473="",85968.04434=""),"-",(96296.58473-85968.04434)/1365036.36807*100)</f>
        <v>0.75664946602143235</v>
      </c>
    </row>
    <row r="50" spans="1:7" s="9" customFormat="1" x14ac:dyDescent="0.25">
      <c r="A50" s="40" t="s">
        <v>19</v>
      </c>
      <c r="B50" s="41">
        <f>IF(17854.79314="","-",17854.79314)</f>
        <v>17854.793140000002</v>
      </c>
      <c r="C50" s="41">
        <f>IF(OR(18790.10373="",17854.79314=""),"-",17854.79314/18790.10373*100)</f>
        <v>95.0223234345072</v>
      </c>
      <c r="D50" s="41">
        <f>IF(18790.10373="","-",18790.10373/1365036.36807*100)</f>
        <v>1.3765277006184811</v>
      </c>
      <c r="E50" s="41">
        <f>IF(17854.79314="","-",17854.79314/1365812.81697*100)</f>
        <v>1.3072650159785533</v>
      </c>
      <c r="F50" s="41">
        <f>IF(OR(1326009.79931="",19282.51916="",18790.10373=""),"-",(18790.10373-19282.51916)/1326009.79931*100)</f>
        <v>-3.7135127527431047E-2</v>
      </c>
      <c r="G50" s="41">
        <f>IF(OR(1365036.36807="",17854.79314="",18790.10373=""),"-",(17854.79314-18790.10373)/1365036.36807*100)</f>
        <v>-6.851909677120295E-2</v>
      </c>
    </row>
    <row r="51" spans="1:7" s="9" customFormat="1" ht="25.5" x14ac:dyDescent="0.25">
      <c r="A51" s="40" t="s">
        <v>177</v>
      </c>
      <c r="B51" s="41">
        <f>IF(16184.77396="","-",16184.77396)</f>
        <v>16184.77396</v>
      </c>
      <c r="C51" s="41">
        <f>IF(OR(14509.2595399999="",16184.77396=""),"-",16184.77396/14509.2595399999*100)</f>
        <v>111.54789750214992</v>
      </c>
      <c r="D51" s="41">
        <f>IF(14509.2595399999="","-",14509.2595399999/1365036.36807*100)</f>
        <v>1.0629210971510068</v>
      </c>
      <c r="E51" s="41">
        <f>IF(16184.77396="","-",16184.77396/1365812.81697*100)</f>
        <v>1.1849920983978801</v>
      </c>
      <c r="F51" s="41">
        <f>IF(OR(1326009.79931="",13798.12927="",14509.2595399999=""),"-",(14509.2595399999-13798.12927)/1326009.79931*100)</f>
        <v>5.3629337458135223E-2</v>
      </c>
      <c r="G51" s="41">
        <f>IF(OR(1365036.36807="",16184.77396="",14509.2595399999=""),"-",(16184.77396-14509.2595399999)/1365036.36807*100)</f>
        <v>0.12274503882772579</v>
      </c>
    </row>
    <row r="52" spans="1:7" s="9" customFormat="1" x14ac:dyDescent="0.25">
      <c r="A52" s="40" t="s">
        <v>125</v>
      </c>
      <c r="B52" s="41">
        <f>IF(12775.39865="","-",12775.39865)</f>
        <v>12775.398649999999</v>
      </c>
      <c r="C52" s="41">
        <f>IF(OR(10354.13158="",12775.39865=""),"-",12775.39865/10354.13158*100)</f>
        <v>123.3845499382769</v>
      </c>
      <c r="D52" s="41">
        <f>IF(10354.13158="","-",10354.13158/1365036.36807*100)</f>
        <v>0.75852422852583157</v>
      </c>
      <c r="E52" s="41">
        <f>IF(12775.39865="","-",12775.39865/1365812.81697*100)</f>
        <v>0.93536965616867618</v>
      </c>
      <c r="F52" s="41">
        <f>IF(OR(1326009.79931="",12086.97992="",10354.13158=""),"-",(10354.13158-12086.97992)/1326009.79931*100)</f>
        <v>-0.13068141282980733</v>
      </c>
      <c r="G52" s="41">
        <f>IF(OR(1365036.36807="",12775.39865="",10354.13158=""),"-",(12775.39865-10354.13158)/1365036.36807*100)</f>
        <v>0.17737747701355278</v>
      </c>
    </row>
    <row r="53" spans="1:7" s="9" customFormat="1" x14ac:dyDescent="0.25">
      <c r="A53" s="40" t="s">
        <v>118</v>
      </c>
      <c r="B53" s="41">
        <f>IF(9958.29505="","-",9958.29505)</f>
        <v>9958.2950500000006</v>
      </c>
      <c r="C53" s="41">
        <f>IF(OR(9416.91386="",9958.29505=""),"-",9958.29505/9416.91386*100)</f>
        <v>105.74902986316582</v>
      </c>
      <c r="D53" s="41">
        <f>IF(9416.91386="","-",9416.91386/1365036.36807*100)</f>
        <v>0.68986541899351761</v>
      </c>
      <c r="E53" s="41">
        <f>IF(9958.29505="","-",9958.29505/1365812.81697*100)</f>
        <v>0.72911126080161348</v>
      </c>
      <c r="F53" s="41">
        <f>IF(OR(1326009.79931="",7766.0489="",9416.91386=""),"-",(9416.91386-7766.0489)/1326009.79931*100)</f>
        <v>0.12449869984814908</v>
      </c>
      <c r="G53" s="41">
        <f>IF(OR(1365036.36807="",9958.29505="",9416.91386=""),"-",(9958.29505-9416.91386)/1365036.36807*100)</f>
        <v>3.9660568953591255E-2</v>
      </c>
    </row>
    <row r="54" spans="1:7" s="9" customFormat="1" x14ac:dyDescent="0.25">
      <c r="A54" s="40" t="s">
        <v>85</v>
      </c>
      <c r="B54" s="41">
        <f>IF(8413.36784="","-",8413.36784)</f>
        <v>8413.3678400000008</v>
      </c>
      <c r="C54" s="41">
        <f>IF(OR(6286.94929="",8413.36784=""),"-",8413.36784/6286.94929*100)</f>
        <v>133.82274059983712</v>
      </c>
      <c r="D54" s="41">
        <f>IF(6286.94929="","-",6286.94929/1365036.36807*100)</f>
        <v>0.46057009447220826</v>
      </c>
      <c r="E54" s="41">
        <f>IF(8413.36784="","-",8413.36784/1365812.81697*100)</f>
        <v>0.61599713631804343</v>
      </c>
      <c r="F54" s="41">
        <f>IF(OR(1326009.79931="",6291.3504="",6286.94929=""),"-",(6286.94929-6291.3504)/1326009.79931*100)</f>
        <v>-3.3190629528460897E-4</v>
      </c>
      <c r="G54" s="41">
        <f>IF(OR(1365036.36807="",8413.36784="",6286.94929=""),"-",(8413.36784-6286.94929)/1365036.36807*100)</f>
        <v>0.15577742833375974</v>
      </c>
    </row>
    <row r="55" spans="1:7" s="9" customFormat="1" x14ac:dyDescent="0.25">
      <c r="A55" s="40" t="s">
        <v>115</v>
      </c>
      <c r="B55" s="41">
        <f>IF(7960.81148="","-",7960.81148)</f>
        <v>7960.8114800000003</v>
      </c>
      <c r="C55" s="41" t="s">
        <v>155</v>
      </c>
      <c r="D55" s="41">
        <f>IF(4735.61089="","-",4735.61089/1365036.36807*100)</f>
        <v>0.34692195759557626</v>
      </c>
      <c r="E55" s="41">
        <f>IF(7960.81148="","-",7960.81148/1365812.81697*100)</f>
        <v>0.58286255488952987</v>
      </c>
      <c r="F55" s="41">
        <f>IF(OR(1326009.79931="",5032.08634="",4735.61089=""),"-",(4735.61089-5032.08634)/1326009.79931*100)</f>
        <v>-2.2358465989789317E-2</v>
      </c>
      <c r="G55" s="41">
        <f>IF(OR(1365036.36807="",7960.81148="",4735.61089=""),"-",(7960.81148-4735.61089)/1365036.36807*100)</f>
        <v>0.23627213643839046</v>
      </c>
    </row>
    <row r="56" spans="1:7" s="9" customFormat="1" x14ac:dyDescent="0.25">
      <c r="A56" s="40" t="s">
        <v>121</v>
      </c>
      <c r="B56" s="41">
        <f>IF(6700.847="","-",6700.847)</f>
        <v>6700.8469999999998</v>
      </c>
      <c r="C56" s="41">
        <f>IF(OR(7171.28004="",6700.847=""),"-",6700.847/7171.28004*100)</f>
        <v>93.440040866121294</v>
      </c>
      <c r="D56" s="41">
        <f>IF(7171.28004="","-",7171.28004/1365036.36807*100)</f>
        <v>0.52535450393452454</v>
      </c>
      <c r="E56" s="41">
        <f>IF(6700.847="","-",6700.847/1365812.81697*100)</f>
        <v>0.49061239700953713</v>
      </c>
      <c r="F56" s="41">
        <f>IF(OR(1326009.79931="",8946.2226="",7171.28004=""),"-",(7171.28004-8946.2226)/1326009.79931*100)</f>
        <v>-0.133855915764997</v>
      </c>
      <c r="G56" s="41">
        <f>IF(OR(1365036.36807="",6700.847="",7171.28004=""),"-",(6700.847-7171.28004)/1365036.36807*100)</f>
        <v>-3.4463040766095965E-2</v>
      </c>
    </row>
    <row r="57" spans="1:7" s="9" customFormat="1" x14ac:dyDescent="0.25">
      <c r="A57" s="40" t="s">
        <v>183</v>
      </c>
      <c r="B57" s="41">
        <f>IF(6590.64353="","-",6590.64353)</f>
        <v>6590.6435300000003</v>
      </c>
      <c r="C57" s="41">
        <f>IF(OR(7554.4958="",6590.64353=""),"-",6590.64353/7554.4958*100)</f>
        <v>87.241342168725538</v>
      </c>
      <c r="D57" s="41">
        <f>IF(7554.4958="","-",7554.4958/1365036.36807*100)</f>
        <v>0.55342817061212535</v>
      </c>
      <c r="E57" s="41">
        <f>IF(6590.64353="","-",6590.64353/1365812.81697*100)</f>
        <v>0.48254368740081632</v>
      </c>
      <c r="F57" s="41">
        <f>IF(OR(1326009.79931="",6034.46247="",7554.4958=""),"-",(7554.4958-6034.46247)/1326009.79931*100)</f>
        <v>0.11463213400013793</v>
      </c>
      <c r="G57" s="41">
        <f>IF(OR(1365036.36807="",6590.64353="",7554.4958=""),"-",(6590.64353-7554.4958)/1365036.36807*100)</f>
        <v>-7.0610006630282857E-2</v>
      </c>
    </row>
    <row r="58" spans="1:7" s="9" customFormat="1" x14ac:dyDescent="0.25">
      <c r="A58" s="40" t="s">
        <v>129</v>
      </c>
      <c r="B58" s="41">
        <f>IF(5586.28384="","-",5586.28384)</f>
        <v>5586.2838400000001</v>
      </c>
      <c r="C58" s="41">
        <f>IF(OR(4890.98288="",5586.28384=""),"-",5586.28384/4890.98288*100)</f>
        <v>114.21597615569657</v>
      </c>
      <c r="D58" s="41">
        <f>IF(4890.98288="","-",4890.98288/1365036.36807*100)</f>
        <v>0.35830421770485654</v>
      </c>
      <c r="E58" s="41">
        <f>IF(5586.28384="","-",5586.28384/1365812.81697*100)</f>
        <v>0.40900801124365949</v>
      </c>
      <c r="F58" s="41">
        <f>IF(OR(1326009.79931="",4514.99966="",4890.98288=""),"-",(4890.98288-4514.99966)/1326009.79931*100)</f>
        <v>2.835448276442943E-2</v>
      </c>
      <c r="G58" s="41">
        <f>IF(OR(1365036.36807="",5586.28384="",4890.98288=""),"-",(5586.28384-4890.98288)/1365036.36807*100)</f>
        <v>5.0936442153777475E-2</v>
      </c>
    </row>
    <row r="59" spans="1:7" s="9" customFormat="1" x14ac:dyDescent="0.25">
      <c r="A59" s="40" t="s">
        <v>119</v>
      </c>
      <c r="B59" s="41">
        <f>IF(3963.90588="","-",3963.90588)</f>
        <v>3963.9058799999998</v>
      </c>
      <c r="C59" s="41">
        <f>IF(OR(3666.78941="",3963.90588=""),"-",3963.90588/3666.78941*100)</f>
        <v>108.10290520611055</v>
      </c>
      <c r="D59" s="41">
        <f>IF(3666.78941="","-",3666.78941/1365036.36807*100)</f>
        <v>0.26862210383335106</v>
      </c>
      <c r="E59" s="41">
        <f>IF(3963.90588="","-",3963.90588/1365812.81697*100)</f>
        <v>0.29022321585718919</v>
      </c>
      <c r="F59" s="41">
        <f>IF(OR(1326009.79931="",4069.7213="",3666.78941=""),"-",(3666.78941-4069.7213)/1326009.79931*100)</f>
        <v>-3.0386795799674272E-2</v>
      </c>
      <c r="G59" s="41">
        <f>IF(OR(1365036.36807="",3963.90588="",3666.78941=""),"-",(3963.90588-3666.78941)/1365036.36807*100)</f>
        <v>2.1766194436276264E-2</v>
      </c>
    </row>
    <row r="60" spans="1:7" s="9" customFormat="1" x14ac:dyDescent="0.25">
      <c r="A60" s="40" t="s">
        <v>111</v>
      </c>
      <c r="B60" s="41">
        <f>IF(3191.01873="","-",3191.01873)</f>
        <v>3191.0187299999998</v>
      </c>
      <c r="C60" s="41">
        <f>IF(OR(3320.52225="",3191.01873=""),"-",3191.01873/3320.52225*100)</f>
        <v>96.099905067644102</v>
      </c>
      <c r="D60" s="41">
        <f>IF(3320.52225="","-",3320.52225/1365036.36807*100)</f>
        <v>0.24325522218099035</v>
      </c>
      <c r="E60" s="41">
        <f>IF(3191.01873="","-",3191.01873/1365812.81697*100)</f>
        <v>0.23363514314349051</v>
      </c>
      <c r="F60" s="41">
        <f>IF(OR(1326009.79931="",4134.47745="",3320.52225=""),"-",(3320.52225-4134.47745)/1326009.79931*100)</f>
        <v>-6.1383799759515245E-2</v>
      </c>
      <c r="G60" s="41">
        <f>IF(OR(1365036.36807="",3191.01873="",3320.52225=""),"-",(3191.01873-3320.52225)/1365036.36807*100)</f>
        <v>-9.4871845929718965E-3</v>
      </c>
    </row>
    <row r="61" spans="1:7" s="9" customFormat="1" x14ac:dyDescent="0.25">
      <c r="A61" s="40" t="s">
        <v>120</v>
      </c>
      <c r="B61" s="41">
        <f>IF(2739.20545="","-",2739.20545)</f>
        <v>2739.2054499999999</v>
      </c>
      <c r="C61" s="41">
        <f>IF(OR(2625.66928="",2739.20545=""),"-",2739.20545/2625.66928*100)</f>
        <v>104.32408494340154</v>
      </c>
      <c r="D61" s="41">
        <f>IF(2625.66928="","-",2625.66928/1365036.36807*100)</f>
        <v>0.19235159893302958</v>
      </c>
      <c r="E61" s="41">
        <f>IF(2739.20545="","-",2739.20545/1365812.81697*100)</f>
        <v>0.20055496741323717</v>
      </c>
      <c r="F61" s="41">
        <f>IF(OR(1326009.79931="",2796.3743="",2625.66928=""),"-",(2625.66928-2796.3743)/1326009.79931*100)</f>
        <v>-1.2873586612167394E-2</v>
      </c>
      <c r="G61" s="41">
        <f>IF(OR(1365036.36807="",2739.20545="",2625.66928=""),"-",(2739.20545-2625.66928)/1365036.36807*100)</f>
        <v>8.3174465278552673E-3</v>
      </c>
    </row>
    <row r="62" spans="1:7" s="9" customFormat="1" x14ac:dyDescent="0.25">
      <c r="A62" s="40" t="s">
        <v>112</v>
      </c>
      <c r="B62" s="41">
        <f>IF(2660.48532="","-",2660.48532)</f>
        <v>2660.4853199999998</v>
      </c>
      <c r="C62" s="41">
        <f>IF(OR(2979.70517="",2660.48532=""),"-",2660.48532/2979.70517*100)</f>
        <v>89.286864579289897</v>
      </c>
      <c r="D62" s="41">
        <f>IF(2979.70517="","-",2979.70517/1365036.36807*100)</f>
        <v>0.21828760315103918</v>
      </c>
      <c r="E62" s="41">
        <f>IF(2660.48532="","-",2660.48532/1365812.81697*100)</f>
        <v>0.19479135698127198</v>
      </c>
      <c r="F62" s="41">
        <f>IF(OR(1326009.79931="",2014.30069="",2979.70517=""),"-",(2979.70517-2014.30069)/1326009.79931*100)</f>
        <v>7.2805229682492256E-2</v>
      </c>
      <c r="G62" s="41">
        <f>IF(OR(1365036.36807="",2660.48532="",2979.70517=""),"-",(2660.48532-2979.70517)/1365036.36807*100)</f>
        <v>-2.3385446532193096E-2</v>
      </c>
    </row>
    <row r="63" spans="1:7" s="9" customFormat="1" x14ac:dyDescent="0.25">
      <c r="A63" s="40" t="s">
        <v>110</v>
      </c>
      <c r="B63" s="41">
        <f>IF(2553.79423="","-",2553.79423)</f>
        <v>2553.79423</v>
      </c>
      <c r="C63" s="41">
        <f>IF(OR(2458.53846="",2553.79423=""),"-",2553.79423/2458.53846*100)</f>
        <v>103.8744876905444</v>
      </c>
      <c r="D63" s="41">
        <f>IF(2458.53846="","-",2458.53846/1365036.36807*100)</f>
        <v>0.18010790902780727</v>
      </c>
      <c r="E63" s="41">
        <f>IF(2553.79423="","-",2553.79423/1365812.81697*100)</f>
        <v>0.18697981145509296</v>
      </c>
      <c r="F63" s="41">
        <f>IF(OR(1326009.79931="",2126.79835="",2458.53846=""),"-",(2458.53846-2126.79835)/1326009.79931*100)</f>
        <v>2.5017922957479191E-2</v>
      </c>
      <c r="G63" s="41">
        <f>IF(OR(1365036.36807="",2553.79423="",2458.53846=""),"-",(2553.79423-2458.53846)/1365036.36807*100)</f>
        <v>6.9782587649792911E-3</v>
      </c>
    </row>
    <row r="64" spans="1:7" s="9" customFormat="1" x14ac:dyDescent="0.25">
      <c r="A64" s="40" t="s">
        <v>127</v>
      </c>
      <c r="B64" s="41">
        <f>IF(2500.29423="","-",2500.29423)</f>
        <v>2500.29423</v>
      </c>
      <c r="C64" s="41">
        <f>IF(OR(2328.4938="",2500.29423=""),"-",2500.29423/2328.4938*100)</f>
        <v>107.37817854614858</v>
      </c>
      <c r="D64" s="41">
        <f>IF(2328.4938="","-",2328.4938/1365036.36807*100)</f>
        <v>0.17058108153500809</v>
      </c>
      <c r="E64" s="41">
        <f>IF(2500.29423="","-",2500.29423/1365812.81697*100)</f>
        <v>0.18306273004135373</v>
      </c>
      <c r="F64" s="41">
        <f>IF(OR(1326009.79931="",2437.34114="",2328.4938=""),"-",(2328.4938-2437.34114)/1326009.79931*100)</f>
        <v>-8.2086376779899675E-3</v>
      </c>
      <c r="G64" s="41">
        <f>IF(OR(1365036.36807="",2500.29423="",2328.4938=""),"-",(2500.29423-2328.4938)/1365036.36807*100)</f>
        <v>1.2585776761604181E-2</v>
      </c>
    </row>
    <row r="65" spans="1:7" s="9" customFormat="1" x14ac:dyDescent="0.25">
      <c r="A65" s="40" t="s">
        <v>123</v>
      </c>
      <c r="B65" s="41">
        <f>IF(2441.93134="","-",2441.93134)</f>
        <v>2441.9313400000001</v>
      </c>
      <c r="C65" s="41" t="s">
        <v>156</v>
      </c>
      <c r="D65" s="41">
        <f>IF(1554.94677="","-",1554.94677/1365036.36807*100)</f>
        <v>0.11391247928423406</v>
      </c>
      <c r="E65" s="41">
        <f>IF(2441.93134="","-",2441.93134/1365812.81697*100)</f>
        <v>0.17878960496338914</v>
      </c>
      <c r="F65" s="41">
        <f>IF(OR(1326009.79931="",1367.41307="",1554.94677=""),"-",(1554.94677-1367.41307)/1326009.79931*100)</f>
        <v>1.4142708454913732E-2</v>
      </c>
      <c r="G65" s="41">
        <f>IF(OR(1365036.36807="",2441.93134="",1554.94677=""),"-",(2441.93134-1554.94677)/1365036.36807*100)</f>
        <v>6.4978823330113275E-2</v>
      </c>
    </row>
    <row r="66" spans="1:7" s="9" customFormat="1" x14ac:dyDescent="0.25">
      <c r="A66" s="40" t="s">
        <v>133</v>
      </c>
      <c r="B66" s="41">
        <f>IF(2272.71885="","-",2272.71885)</f>
        <v>2272.7188500000002</v>
      </c>
      <c r="C66" s="41">
        <f>IF(OR(1599.58354="",2272.71885=""),"-",2272.71885/1599.58354*100)</f>
        <v>142.08191027021945</v>
      </c>
      <c r="D66" s="41">
        <f>IF(1599.58354="","-",1599.58354/1365036.36807*100)</f>
        <v>0.11718248520086114</v>
      </c>
      <c r="E66" s="41">
        <f>IF(2272.71885="","-",2272.71885/1365812.81697*100)</f>
        <v>0.16640046291569691</v>
      </c>
      <c r="F66" s="41">
        <f>IF(OR(1326009.79931="",2761.0445="",1599.58354=""),"-",(1599.58354-2761.0445)/1326009.79931*100)</f>
        <v>-8.7590676977227139E-2</v>
      </c>
      <c r="G66" s="41">
        <f>IF(OR(1365036.36807="",2272.71885="",1599.58354=""),"-",(2272.71885-1599.58354)/1365036.36807*100)</f>
        <v>4.9312628274639586E-2</v>
      </c>
    </row>
    <row r="67" spans="1:7" s="9" customFormat="1" x14ac:dyDescent="0.25">
      <c r="A67" s="40" t="s">
        <v>132</v>
      </c>
      <c r="B67" s="41">
        <f>IF(2078.52645="","-",2078.52645)</f>
        <v>2078.5264499999998</v>
      </c>
      <c r="C67" s="41">
        <f>IF(OR(2252.90746="",2078.52645=""),"-",2078.52645/2252.90746*100)</f>
        <v>92.259734893860212</v>
      </c>
      <c r="D67" s="41">
        <f>IF(2252.90746="","-",2252.90746/1365036.36807*100)</f>
        <v>0.16504376826130607</v>
      </c>
      <c r="E67" s="41">
        <f>IF(2078.52645="","-",2078.52645/1365812.81697*100)</f>
        <v>0.15218237991140879</v>
      </c>
      <c r="F67" s="41">
        <f>IF(OR(1326009.79931="",2368.02464="",2252.90746=""),"-",(2252.90746-2368.02464)/1326009.79931*100)</f>
        <v>-8.6814727960458776E-3</v>
      </c>
      <c r="G67" s="41">
        <f>IF(OR(1365036.36807="",2078.52645="",2252.90746=""),"-",(2078.52645-2252.90746)/1365036.36807*100)</f>
        <v>-1.2774825204588079E-2</v>
      </c>
    </row>
    <row r="68" spans="1:7" s="9" customFormat="1" x14ac:dyDescent="0.25">
      <c r="A68" s="40" t="s">
        <v>130</v>
      </c>
      <c r="B68" s="41">
        <f>IF(1722.07421="","-",1722.07421)</f>
        <v>1722.07421</v>
      </c>
      <c r="C68" s="41">
        <f>IF(OR(1844.44473="",1722.07421=""),"-",1722.07421/1844.44473*100)</f>
        <v>93.365454762095254</v>
      </c>
      <c r="D68" s="41">
        <f>IF(1844.44473="","-",1844.44473/1365036.36807*100)</f>
        <v>0.13512055598986175</v>
      </c>
      <c r="E68" s="41">
        <f>IF(1722.07421="","-",1722.07421/1365812.81697*100)</f>
        <v>0.12608420338449827</v>
      </c>
      <c r="F68" s="41">
        <f>IF(OR(1326009.79931="",2478.59312="",1844.44473=""),"-",(1844.44473-2478.59312)/1326009.79931*100)</f>
        <v>-4.7823808717702115E-2</v>
      </c>
      <c r="G68" s="41">
        <f>IF(OR(1365036.36807="",1722.07421="",1844.44473=""),"-",(1722.07421-1844.44473)/1365036.36807*100)</f>
        <v>-8.9646344128557817E-3</v>
      </c>
    </row>
    <row r="69" spans="1:7" s="9" customFormat="1" x14ac:dyDescent="0.25">
      <c r="A69" s="40" t="s">
        <v>114</v>
      </c>
      <c r="B69" s="41">
        <f>IF(1708.98371="","-",1708.98371)</f>
        <v>1708.98371</v>
      </c>
      <c r="C69" s="41" t="s">
        <v>156</v>
      </c>
      <c r="D69" s="41">
        <f>IF(1073.23833="","-",1073.23833/1365036.36807*100)</f>
        <v>7.8623423895835973E-2</v>
      </c>
      <c r="E69" s="41">
        <f>IF(1708.98371="","-",1708.98371/1365812.81697*100)</f>
        <v>0.12512576311820756</v>
      </c>
      <c r="F69" s="41">
        <f>IF(OR(1326009.79931="",1250.62519="",1073.23833=""),"-",(1073.23833-1250.62519)/1326009.79931*100)</f>
        <v>-1.3377492390501547E-2</v>
      </c>
      <c r="G69" s="41">
        <f>IF(OR(1365036.36807="",1708.98371="",1073.23833=""),"-",(1708.98371-1073.23833)/1365036.36807*100)</f>
        <v>4.6573512242671512E-2</v>
      </c>
    </row>
    <row r="70" spans="1:7" s="9" customFormat="1" x14ac:dyDescent="0.25">
      <c r="A70" s="40" t="s">
        <v>124</v>
      </c>
      <c r="B70" s="41">
        <f>IF(1683.1502="","-",1683.1502)</f>
        <v>1683.1502</v>
      </c>
      <c r="C70" s="41" t="s">
        <v>154</v>
      </c>
      <c r="D70" s="41">
        <f>IF(937.53342="","-",937.53342/1365036.36807*100)</f>
        <v>6.8681937121247635E-2</v>
      </c>
      <c r="E70" s="41">
        <f>IF(1683.1502="","-",1683.1502/1365812.81697*100)</f>
        <v>0.12323432457853192</v>
      </c>
      <c r="F70" s="41">
        <f>IF(OR(1326009.79931="",1070.37712="",937.53342=""),"-",(937.53342-1070.37712)/1326009.79931*100)</f>
        <v>-1.001830454564713E-2</v>
      </c>
      <c r="G70" s="41">
        <f>IF(OR(1365036.36807="",1683.1502="",937.53342=""),"-",(1683.1502-937.53342)/1365036.36807*100)</f>
        <v>5.4622484604876426E-2</v>
      </c>
    </row>
    <row r="71" spans="1:7" s="9" customFormat="1" x14ac:dyDescent="0.25">
      <c r="A71" s="40" t="s">
        <v>107</v>
      </c>
      <c r="B71" s="41">
        <f>IF(1516.20857="","-",1516.20857)</f>
        <v>1516.20857</v>
      </c>
      <c r="C71" s="41" t="s">
        <v>157</v>
      </c>
      <c r="D71" s="41">
        <f>IF(784.72606="","-",784.72606/1365036.36807*100)</f>
        <v>5.7487556987914523E-2</v>
      </c>
      <c r="E71" s="41">
        <f>IF(1516.20857="","-",1516.20857/1365812.81697*100)</f>
        <v>0.11101144689531078</v>
      </c>
      <c r="F71" s="41">
        <f>IF(OR(1326009.79931="",941.06849="",784.72606=""),"-",(784.72606-941.06849)/1326009.79931*100)</f>
        <v>-1.1790443033026912E-2</v>
      </c>
      <c r="G71" s="41">
        <f>IF(OR(1365036.36807="",1516.20857="",784.72606=""),"-",(1516.20857-784.72606)/1365036.36807*100)</f>
        <v>5.358703453697939E-2</v>
      </c>
    </row>
    <row r="72" spans="1:7" s="9" customFormat="1" x14ac:dyDescent="0.25">
      <c r="A72" s="40" t="s">
        <v>134</v>
      </c>
      <c r="B72" s="41">
        <f>IF(1486.35475="","-",1486.35475)</f>
        <v>1486.35475</v>
      </c>
      <c r="C72" s="41" t="s">
        <v>154</v>
      </c>
      <c r="D72" s="41">
        <f>IF(809.47965="","-",809.47965/1365036.36807*100)</f>
        <v>5.9300958489809937E-2</v>
      </c>
      <c r="E72" s="41">
        <f>IF(1486.35475="","-",1486.35475/1365812.81697*100)</f>
        <v>0.10882565542893478</v>
      </c>
      <c r="F72" s="41">
        <f>IF(OR(1326009.79931="",1531.48033="",809.47965=""),"-",(809.47965-1531.48033)/1326009.79931*100)</f>
        <v>-5.4449120992597418E-2</v>
      </c>
      <c r="G72" s="41">
        <f>IF(OR(1365036.36807="",1486.35475="",809.47965=""),"-",(1486.35475-809.47965)/1365036.36807*100)</f>
        <v>4.9586598264559162E-2</v>
      </c>
    </row>
    <row r="73" spans="1:7" s="9" customFormat="1" x14ac:dyDescent="0.25">
      <c r="A73" s="40" t="s">
        <v>135</v>
      </c>
      <c r="B73" s="41">
        <f>IF(1436.59076="","-",1436.59076)</f>
        <v>1436.59076</v>
      </c>
      <c r="C73" s="41">
        <f>IF(OR(1937.22184="",1436.59076=""),"-",1436.59076/1937.22184*100)</f>
        <v>74.157266366561302</v>
      </c>
      <c r="D73" s="41">
        <f>IF(1937.22184="","-",1937.22184/1365036.36807*100)</f>
        <v>0.1419172327795927</v>
      </c>
      <c r="E73" s="41">
        <f>IF(1436.59076="","-",1436.59076/1365812.81697*100)</f>
        <v>0.10518211149804686</v>
      </c>
      <c r="F73" s="41">
        <f>IF(OR(1326009.79931="",1002.54484="",1937.22184=""),"-",(1937.22184-1002.54484)/1326009.79931*100)</f>
        <v>7.048794062354341E-2</v>
      </c>
      <c r="G73" s="41">
        <f>IF(OR(1365036.36807="",1436.59076="",1937.22184=""),"-",(1436.59076-1937.22184)/1365036.36807*100)</f>
        <v>-3.6675292447177286E-2</v>
      </c>
    </row>
    <row r="74" spans="1:7" s="9" customFormat="1" x14ac:dyDescent="0.25">
      <c r="A74" s="40" t="s">
        <v>136</v>
      </c>
      <c r="B74" s="41">
        <f>IF(1321.16369="","-",1321.16369)</f>
        <v>1321.1636900000001</v>
      </c>
      <c r="C74" s="41" t="s">
        <v>227</v>
      </c>
      <c r="D74" s="41">
        <f>IF(373.06151="","-",373.06151/1365036.36807*100)</f>
        <v>2.7329785398133008E-2</v>
      </c>
      <c r="E74" s="41">
        <f>IF(1321.16369="","-",1321.16369/1365812.81697*100)</f>
        <v>9.6730948310394957E-2</v>
      </c>
      <c r="F74" s="41">
        <f>IF(OR(1326009.79931="",444.83646="",373.06151=""),"-",(373.06151-444.83646)/1326009.79931*100)</f>
        <v>-5.4128521551913625E-3</v>
      </c>
      <c r="G74" s="41">
        <f>IF(OR(1365036.36807="",1321.16369="",373.06151=""),"-",(1321.16369-373.06151)/1365036.36807*100)</f>
        <v>6.9456184624626854E-2</v>
      </c>
    </row>
    <row r="75" spans="1:7" s="9" customFormat="1" x14ac:dyDescent="0.25">
      <c r="A75" s="40" t="s">
        <v>117</v>
      </c>
      <c r="B75" s="41">
        <f>IF(1270.77275="","-",1270.77275)</f>
        <v>1270.7727500000001</v>
      </c>
      <c r="C75" s="41">
        <f>IF(OR(1093.64646="",1270.77275=""),"-",1270.77275/1093.64646*100)</f>
        <v>116.19593684781829</v>
      </c>
      <c r="D75" s="41">
        <f>IF(1093.64646="","-",1093.64646/1365036.36807*100)</f>
        <v>8.0118485161409042E-2</v>
      </c>
      <c r="E75" s="41">
        <f>IF(1270.77275="","-",1270.77275/1365812.81697*100)</f>
        <v>9.3041501310491256E-2</v>
      </c>
      <c r="F75" s="41">
        <f>IF(OR(1326009.79931="",1338.64608="",1093.64646=""),"-",(1093.64646-1338.64608)/1326009.79931*100)</f>
        <v>-1.8476456216800781E-2</v>
      </c>
      <c r="G75" s="41">
        <f>IF(OR(1365036.36807="",1270.77275="",1093.64646=""),"-",(1270.77275-1093.64646)/1365036.36807*100)</f>
        <v>1.2975939260170466E-2</v>
      </c>
    </row>
    <row r="76" spans="1:7" s="9" customFormat="1" x14ac:dyDescent="0.25">
      <c r="A76" s="40" t="s">
        <v>131</v>
      </c>
      <c r="B76" s="41">
        <f>IF(1096.66041="","-",1096.66041)</f>
        <v>1096.66041</v>
      </c>
      <c r="C76" s="41" t="s">
        <v>156</v>
      </c>
      <c r="D76" s="41">
        <f>IF(696.20592="","-",696.20592/1365036.36807*100)</f>
        <v>5.1002737823341131E-2</v>
      </c>
      <c r="E76" s="41">
        <f>IF(1096.66041="","-",1096.66041/1365812.81697*100)</f>
        <v>8.0293609517656767E-2</v>
      </c>
      <c r="F76" s="41">
        <f>IF(OR(1326009.79931="",749.86904="",696.20592=""),"-",(696.20592-749.86904)/1326009.79931*100)</f>
        <v>-4.0469625509497818E-3</v>
      </c>
      <c r="G76" s="41">
        <f>IF(OR(1365036.36807="",1096.66041="",696.20592=""),"-",(1096.66041-696.20592)/1365036.36807*100)</f>
        <v>2.9336543653133231E-2</v>
      </c>
    </row>
    <row r="77" spans="1:7" s="9" customFormat="1" x14ac:dyDescent="0.25">
      <c r="A77" s="40" t="s">
        <v>86</v>
      </c>
      <c r="B77" s="41">
        <f>IF(1052.80437="","-",1052.80437)</f>
        <v>1052.8043700000001</v>
      </c>
      <c r="C77" s="41" t="s">
        <v>20</v>
      </c>
      <c r="D77" s="41">
        <f>IF(520.06067="","-",520.06067/1365036.36807*100)</f>
        <v>3.8098667710612301E-2</v>
      </c>
      <c r="E77" s="41">
        <f>IF(1052.80437="","-",1052.80437/1365812.81697*100)</f>
        <v>7.7082624860381935E-2</v>
      </c>
      <c r="F77" s="41">
        <f>IF(OR(1326009.79931="",408.88765="",520.06067=""),"-",(520.06067-408.88765)/1326009.79931*100)</f>
        <v>8.384027030407297E-3</v>
      </c>
      <c r="G77" s="41">
        <f>IF(OR(1365036.36807="",1052.80437="",520.06067=""),"-",(1052.80437-520.06067)/1365036.36807*100)</f>
        <v>3.9027802662374239E-2</v>
      </c>
    </row>
    <row r="78" spans="1:7" s="9" customFormat="1" x14ac:dyDescent="0.25">
      <c r="A78" s="40" t="s">
        <v>138</v>
      </c>
      <c r="B78" s="41">
        <f>IF(760.74126="","-",760.74126)</f>
        <v>760.74126000000001</v>
      </c>
      <c r="C78" s="41">
        <f>IF(OR(700.58216="",760.74126=""),"-",760.74126/700.58216*100)</f>
        <v>108.58701568992279</v>
      </c>
      <c r="D78" s="41">
        <f>IF(700.58216="","-",700.58216/1365036.36807*100)</f>
        <v>5.1323332944640906E-2</v>
      </c>
      <c r="E78" s="41">
        <f>IF(760.74126="","-",760.74126/1365812.81697*100)</f>
        <v>5.56987934618796E-2</v>
      </c>
      <c r="F78" s="41">
        <f>IF(OR(1326009.79931="",611.70125="",700.58216=""),"-",(700.58216-611.70125)/1326009.79931*100)</f>
        <v>6.702884853961864E-3</v>
      </c>
      <c r="G78" s="41">
        <f>IF(OR(1365036.36807="",760.74126="",700.58216=""),"-",(760.74126-700.58216)/1365036.36807*100)</f>
        <v>4.4071426525476255E-3</v>
      </c>
    </row>
    <row r="79" spans="1:7" s="9" customFormat="1" x14ac:dyDescent="0.25">
      <c r="A79" s="40" t="s">
        <v>87</v>
      </c>
      <c r="B79" s="41">
        <f>IF(751.77431="","-",751.77431)</f>
        <v>751.77431000000001</v>
      </c>
      <c r="C79" s="41">
        <f>IF(OR(542.99505="",751.77431=""),"-",751.77431/542.99505*100)</f>
        <v>138.44956965998125</v>
      </c>
      <c r="D79" s="41">
        <f>IF(542.99505="","-",542.99505/1365036.36807*100)</f>
        <v>3.9778797305432288E-2</v>
      </c>
      <c r="E79" s="41">
        <f>IF(751.77431="","-",751.77431/1365812.81697*100)</f>
        <v>5.5042264991170653E-2</v>
      </c>
      <c r="F79" s="41">
        <f>IF(OR(1326009.79931="",648.70451="",542.99505=""),"-",(542.99505-648.70451)/1326009.79931*100)</f>
        <v>-7.9719968928590734E-3</v>
      </c>
      <c r="G79" s="41">
        <f>IF(OR(1365036.36807="",751.77431="",542.99505=""),"-",(751.77431-542.99505)/1365036.36807*100)</f>
        <v>1.5294776379854932E-2</v>
      </c>
    </row>
    <row r="80" spans="1:7" s="9" customFormat="1" x14ac:dyDescent="0.25">
      <c r="A80" s="40" t="s">
        <v>88</v>
      </c>
      <c r="B80" s="41">
        <f>IF(712.51292="","-",712.51292)</f>
        <v>712.51292000000001</v>
      </c>
      <c r="C80" s="41">
        <f>IF(OR(662.6708="",712.51292=""),"-",712.51292/662.6708*100)</f>
        <v>107.52139976591695</v>
      </c>
      <c r="D80" s="41">
        <f>IF(662.6708="","-",662.6708/1365036.36807*100)</f>
        <v>4.8546017930418815E-2</v>
      </c>
      <c r="E80" s="41">
        <f>IF(712.51292="","-",712.51292/1365812.81697*100)</f>
        <v>5.2167684410860983E-2</v>
      </c>
      <c r="F80" s="41">
        <f>IF(OR(1326009.79931="",1562.69466="",662.6708=""),"-",(662.6708-1562.69466)/1326009.79931*100)</f>
        <v>-6.7874600962099602E-2</v>
      </c>
      <c r="G80" s="41">
        <f>IF(OR(1365036.36807="",712.51292="",662.6708=""),"-",(712.51292-662.6708)/1365036.36807*100)</f>
        <v>3.6513400789805243E-3</v>
      </c>
    </row>
    <row r="81" spans="1:7" s="9" customFormat="1" x14ac:dyDescent="0.25">
      <c r="A81" s="40" t="s">
        <v>122</v>
      </c>
      <c r="B81" s="41">
        <f>IF(699.2074="","-",699.2074)</f>
        <v>699.20740000000001</v>
      </c>
      <c r="C81" s="41">
        <f>IF(OR(541.30334="",699.2074=""),"-",699.2074/541.30334*100)</f>
        <v>129.17108547676796</v>
      </c>
      <c r="D81" s="41">
        <f>IF(541.30334="","-",541.30334/1365036.36807*100)</f>
        <v>3.9654865808838403E-2</v>
      </c>
      <c r="E81" s="41">
        <f>IF(699.2074="","-",699.2074/1365812.81697*100)</f>
        <v>5.1193501138110789E-2</v>
      </c>
      <c r="F81" s="41">
        <f>IF(OR(1326009.79931="",551.18428="",541.30334=""),"-",(541.30334-551.18428)/1326009.79931*100)</f>
        <v>-7.4516342225687353E-4</v>
      </c>
      <c r="G81" s="41">
        <f>IF(OR(1365036.36807="",699.2074="",541.30334=""),"-",(699.2074-541.30334)/1365036.36807*100)</f>
        <v>1.1567754800793889E-2</v>
      </c>
    </row>
    <row r="82" spans="1:7" s="9" customFormat="1" x14ac:dyDescent="0.25">
      <c r="A82" s="40" t="s">
        <v>213</v>
      </c>
      <c r="B82" s="41">
        <f>IF(625.2805="","-",625.2805)</f>
        <v>625.28049999999996</v>
      </c>
      <c r="C82" s="41" t="str">
        <f>IF(OR(""="",625.2805=""),"-",625.2805/""*100)</f>
        <v>-</v>
      </c>
      <c r="D82" s="41" t="str">
        <f>IF(""="","-",""/1365036.36807*100)</f>
        <v>-</v>
      </c>
      <c r="E82" s="41">
        <f>IF(625.2805="","-",625.2805/1365812.81697*100)</f>
        <v>4.5780834110720911E-2</v>
      </c>
      <c r="F82" s="41" t="str">
        <f>IF(OR(1326009.79931="",""="",""=""),"-",(""-"")/1326009.79931*100)</f>
        <v>-</v>
      </c>
      <c r="G82" s="41" t="str">
        <f>IF(OR(1365036.36807="",625.2805="",""=""),"-",(625.2805-"")/1365036.36807*100)</f>
        <v>-</v>
      </c>
    </row>
    <row r="83" spans="1:7" s="9" customFormat="1" x14ac:dyDescent="0.25">
      <c r="A83" s="40" t="s">
        <v>209</v>
      </c>
      <c r="B83" s="41">
        <f>IF(537.3987="","-",537.3987)</f>
        <v>537.39869999999996</v>
      </c>
      <c r="C83" s="41">
        <f>IF(OR(1004.21384="",537.3987=""),"-",537.3987/1004.21384*100)</f>
        <v>53.514369011285481</v>
      </c>
      <c r="D83" s="41">
        <f>IF(1004.21384="","-",1004.21384/1365036.36807*100)</f>
        <v>7.3566819426198846E-2</v>
      </c>
      <c r="E83" s="41">
        <f>IF(537.3987="","-",537.3987/1365812.81697*100)</f>
        <v>3.9346438496030298E-2</v>
      </c>
      <c r="F83" s="41">
        <f>IF(OR(1326009.79931="",458.75719="",1004.21384=""),"-",(1004.21384-458.75719)/1326009.79931*100)</f>
        <v>4.1135189972489869E-2</v>
      </c>
      <c r="G83" s="41">
        <f>IF(OR(1365036.36807="",537.3987="",1004.21384=""),"-",(537.3987-1004.21384)/1365036.36807*100)</f>
        <v>-3.4198000208596743E-2</v>
      </c>
    </row>
    <row r="84" spans="1:7" s="9" customFormat="1" x14ac:dyDescent="0.25">
      <c r="A84" s="40" t="s">
        <v>205</v>
      </c>
      <c r="B84" s="41">
        <f>IF(535.89416="","-",535.89416)</f>
        <v>535.89416000000006</v>
      </c>
      <c r="C84" s="41">
        <f>IF(OR(1420.00437="",535.89416=""),"-",535.89416/1420.00437*100)</f>
        <v>37.73890921194841</v>
      </c>
      <c r="D84" s="41">
        <f>IF(1420.00437="","-",1420.00437/1365036.36807*100)</f>
        <v>0.10402685255981262</v>
      </c>
      <c r="E84" s="41">
        <f>IF(535.89416="","-",535.89416/1365812.81697*100)</f>
        <v>3.9236281380698956E-2</v>
      </c>
      <c r="F84" s="41">
        <f>IF(OR(1326009.79931="",928.8873="",1420.00437=""),"-",(1420.00437-928.8873)/1326009.79931*100)</f>
        <v>3.7037212715589046E-2</v>
      </c>
      <c r="G84" s="41">
        <f>IF(OR(1365036.36807="",535.89416="",1420.00437=""),"-",(535.89416-1420.00437)/1365036.36807*100)</f>
        <v>-6.4768253116217506E-2</v>
      </c>
    </row>
    <row r="85" spans="1:7" s="9" customFormat="1" x14ac:dyDescent="0.25">
      <c r="A85" s="40" t="s">
        <v>137</v>
      </c>
      <c r="B85" s="41">
        <f>IF(514.76691="","-",514.76691)</f>
        <v>514.76691000000005</v>
      </c>
      <c r="C85" s="41">
        <f>IF(OR(587.19572="",514.76691=""),"-",514.76691/587.19572*100)</f>
        <v>87.665303486885094</v>
      </c>
      <c r="D85" s="41">
        <f>IF(587.19572="","-",587.19572/1365036.36807*100)</f>
        <v>4.3016855355306416E-2</v>
      </c>
      <c r="E85" s="41">
        <f>IF(514.76691="","-",514.76691/1365812.81697*100)</f>
        <v>3.7689418608765839E-2</v>
      </c>
      <c r="F85" s="41">
        <f>IF(OR(1326009.79931="",794.02474="",587.19572=""),"-",(587.19572-794.02474)/1326009.79931*100)</f>
        <v>-1.5597850039089084E-2</v>
      </c>
      <c r="G85" s="41">
        <f>IF(OR(1365036.36807="",514.76691="",587.19572=""),"-",(514.76691-587.19572)/1365036.36807*100)</f>
        <v>-5.3059985575626654E-3</v>
      </c>
    </row>
    <row r="86" spans="1:7" s="9" customFormat="1" x14ac:dyDescent="0.25">
      <c r="A86" s="40" t="s">
        <v>141</v>
      </c>
      <c r="B86" s="41">
        <f>IF(483.34219="","-",483.34219)</f>
        <v>483.34219000000002</v>
      </c>
      <c r="C86" s="41">
        <f>IF(OR(701.25799="",483.34219=""),"-",483.34219/701.25799*100)</f>
        <v>68.925017168075343</v>
      </c>
      <c r="D86" s="41">
        <f>IF(701.25799="","-",701.25799/1365036.36807*100)</f>
        <v>5.1372842980842756E-2</v>
      </c>
      <c r="E86" s="41">
        <f>IF(483.34219="","-",483.34219/1365812.81697*100)</f>
        <v>3.5388611381775938E-2</v>
      </c>
      <c r="F86" s="41">
        <f>IF(OR(1326009.79931="",469.27092="",701.25799=""),"-",(701.25799-469.27092)/1326009.79931*100)</f>
        <v>1.7495124856597315E-2</v>
      </c>
      <c r="G86" s="41">
        <f>IF(OR(1365036.36807="",483.34219="",701.25799=""),"-",(483.34219-701.25799)/1365036.36807*100)</f>
        <v>-1.59641021365685E-2</v>
      </c>
    </row>
    <row r="87" spans="1:7" s="9" customFormat="1" x14ac:dyDescent="0.25">
      <c r="A87" s="40" t="s">
        <v>207</v>
      </c>
      <c r="B87" s="41">
        <f>IF(387.25187="","-",387.25187)</f>
        <v>387.25187</v>
      </c>
      <c r="C87" s="41" t="s">
        <v>250</v>
      </c>
      <c r="D87" s="41">
        <f>IF(33.36769="","-",33.36769/1365036.36807*100)</f>
        <v>2.4444542856523277E-3</v>
      </c>
      <c r="E87" s="41">
        <f>IF(387.25187="","-",387.25187/1365812.81697*100)</f>
        <v>2.8353216867528192E-2</v>
      </c>
      <c r="F87" s="41">
        <f>IF(OR(1326009.79931="",38.16393="",33.36769=""),"-",(33.36769-38.16393)/1326009.79931*100)</f>
        <v>-3.6170471760433144E-4</v>
      </c>
      <c r="G87" s="41">
        <f>IF(OR(1365036.36807="",387.25187="",33.36769=""),"-",(387.25187-33.36769)/1365036.36807*100)</f>
        <v>2.5924890228408371E-2</v>
      </c>
    </row>
    <row r="88" spans="1:7" s="9" customFormat="1" x14ac:dyDescent="0.25">
      <c r="A88" s="40" t="s">
        <v>144</v>
      </c>
      <c r="B88" s="41">
        <f>IF(366.07941="","-",366.07941)</f>
        <v>366.07941</v>
      </c>
      <c r="C88" s="41" t="s">
        <v>187</v>
      </c>
      <c r="D88" s="41">
        <f>IF(120.18033="","-",120.18033/1365036.36807*100)</f>
        <v>8.8041852078945531E-3</v>
      </c>
      <c r="E88" s="41">
        <f>IF(366.07941="","-",366.07941/1365812.81697*100)</f>
        <v>2.6803043978759274E-2</v>
      </c>
      <c r="F88" s="41">
        <f>IF(OR(1326009.79931="",157.39761="",120.18033=""),"-",(120.18033-157.39761)/1326009.79931*100)</f>
        <v>-2.8067122897105514E-3</v>
      </c>
      <c r="G88" s="41">
        <f>IF(OR(1365036.36807="",366.07941="",120.18033=""),"-",(366.07941-120.18033)/1365036.36807*100)</f>
        <v>1.8014104660645212E-2</v>
      </c>
    </row>
    <row r="89" spans="1:7" x14ac:dyDescent="0.25">
      <c r="A89" s="40" t="s">
        <v>139</v>
      </c>
      <c r="B89" s="41">
        <f>IF(350.29264="","-",350.29264)</f>
        <v>350.29264000000001</v>
      </c>
      <c r="C89" s="41">
        <f>IF(OR(342.22837="",350.29264=""),"-",350.29264/342.22837*100)</f>
        <v>102.35640020142107</v>
      </c>
      <c r="D89" s="41">
        <f>IF(342.22837="","-",342.22837/1365036.36807*100)</f>
        <v>2.5071007484135415E-2</v>
      </c>
      <c r="E89" s="41">
        <f>IF(350.29264="","-",350.29264/1365812.81697*100)</f>
        <v>2.5647192327357855E-2</v>
      </c>
      <c r="F89" s="41">
        <f>IF(OR(1326009.79931="",391.26288="",342.22837=""),"-",(342.22837-391.26288)/1326009.79931*100)</f>
        <v>-3.6978995197106024E-3</v>
      </c>
      <c r="G89" s="41">
        <f>IF(OR(1365036.36807="",350.29264="",342.22837=""),"-",(350.29264-342.22837)/1365036.36807*100)</f>
        <v>5.9077327085445687E-4</v>
      </c>
    </row>
    <row r="90" spans="1:7" x14ac:dyDescent="0.25">
      <c r="A90" s="40" t="s">
        <v>142</v>
      </c>
      <c r="B90" s="41">
        <f>IF(331.69887="","-",331.69887)</f>
        <v>331.69887</v>
      </c>
      <c r="C90" s="41" t="s">
        <v>156</v>
      </c>
      <c r="D90" s="41">
        <f>IF(205.37586="","-",205.37586/1365036.36807*100)</f>
        <v>1.5045449689401108E-2</v>
      </c>
      <c r="E90" s="41">
        <f>IF(331.69887="","-",331.69887/1365812.81697*100)</f>
        <v>2.4285822030566413E-2</v>
      </c>
      <c r="F90" s="41">
        <f>IF(OR(1326009.79931="",479.13928="",205.37586=""),"-",(205.37586-479.13928)/1326009.79931*100)</f>
        <v>-2.0645655872411732E-2</v>
      </c>
      <c r="G90" s="41">
        <f>IF(OR(1365036.36807="",331.69887="",205.37586=""),"-",(331.69887-205.37586)/1365036.36807*100)</f>
        <v>9.2541864052022148E-3</v>
      </c>
    </row>
    <row r="91" spans="1:7" x14ac:dyDescent="0.25">
      <c r="A91" s="40" t="s">
        <v>116</v>
      </c>
      <c r="B91" s="41">
        <f>IF(328.37703="","-",328.37703)</f>
        <v>328.37702999999999</v>
      </c>
      <c r="C91" s="41">
        <f>IF(OR(616.58951="",328.37703=""),"-",328.37703/616.58951*100)</f>
        <v>53.256992646533995</v>
      </c>
      <c r="D91" s="41">
        <f>IF(616.58951="","-",616.58951/1365036.36807*100)</f>
        <v>4.5170189192232632E-2</v>
      </c>
      <c r="E91" s="41">
        <f>IF(328.37703="","-",328.37703/1365812.81697*100)</f>
        <v>2.404260861517547E-2</v>
      </c>
      <c r="F91" s="41">
        <f>IF(OR(1326009.79931="",493.2872="",616.58951=""),"-",(616.58951-493.2872)/1326009.79931*100)</f>
        <v>9.2987480231414132E-3</v>
      </c>
      <c r="G91" s="41">
        <f>IF(OR(1365036.36807="",328.37703="",616.58951=""),"-",(328.37703-616.58951)/1365036.36807*100)</f>
        <v>-2.1113904855699809E-2</v>
      </c>
    </row>
    <row r="92" spans="1:7" x14ac:dyDescent="0.25">
      <c r="A92" s="40" t="s">
        <v>147</v>
      </c>
      <c r="B92" s="41">
        <f>IF(294.16995="","-",294.16995)</f>
        <v>294.16994999999997</v>
      </c>
      <c r="C92" s="41">
        <f>IF(OR(197.87194="",294.16995=""),"-",294.16995/197.87194*100)</f>
        <v>148.66683472148702</v>
      </c>
      <c r="D92" s="41">
        <f>IF(197.87194="","-",197.87194/1365036.36807*100)</f>
        <v>1.4495726606886489E-2</v>
      </c>
      <c r="E92" s="41">
        <f>IF(294.16995="","-",294.16995/1365812.81697*100)</f>
        <v>2.1538086796740127E-2</v>
      </c>
      <c r="F92" s="41">
        <f>IF(OR(1326009.79931="",261.28769="",197.87194=""),"-",(197.87194-261.28769)/1326009.79931*100)</f>
        <v>-4.7824495741282539E-3</v>
      </c>
      <c r="G92" s="41">
        <f>IF(OR(1365036.36807="",294.16995="",197.87194=""),"-",(294.16995-197.87194)/1365036.36807*100)</f>
        <v>7.054611309452067E-3</v>
      </c>
    </row>
    <row r="93" spans="1:7" x14ac:dyDescent="0.25">
      <c r="A93" s="40" t="s">
        <v>203</v>
      </c>
      <c r="B93" s="41">
        <f>IF(287.16184="","-",287.16184)</f>
        <v>287.16183999999998</v>
      </c>
      <c r="C93" s="41">
        <f>IF(OR(398.84293="",287.16184=""),"-",287.16184/398.84293*100)</f>
        <v>71.998728923187869</v>
      </c>
      <c r="D93" s="41">
        <f>IF(398.84293="","-",398.84293/1365036.36807*100)</f>
        <v>2.9218483794971467E-2</v>
      </c>
      <c r="E93" s="41">
        <f>IF(287.16184="","-",287.16184/1365812.81697*100)</f>
        <v>2.1024977685965549E-2</v>
      </c>
      <c r="F93" s="41">
        <f>IF(OR(1326009.79931="",183.68943="",398.84293=""),"-",(398.84293-183.68943)/1326009.79931*100)</f>
        <v>1.6225634238295743E-2</v>
      </c>
      <c r="G93" s="41">
        <f>IF(OR(1365036.36807="",287.16184="",398.84293=""),"-",(287.16184-398.84293)/1365036.36807*100)</f>
        <v>-8.1815468519643841E-3</v>
      </c>
    </row>
    <row r="94" spans="1:7" x14ac:dyDescent="0.25">
      <c r="A94" s="40" t="s">
        <v>128</v>
      </c>
      <c r="B94" s="41">
        <f>IF(261.04345="","-",261.04345)</f>
        <v>261.04345000000001</v>
      </c>
      <c r="C94" s="41">
        <f>IF(OR(348.26915="",261.04345=""),"-",261.04345/348.26915*100)</f>
        <v>74.954514346160138</v>
      </c>
      <c r="D94" s="41">
        <f>IF(348.26915="","-",348.26915/1365036.36807*100)</f>
        <v>2.5513543678869991E-2</v>
      </c>
      <c r="E94" s="41">
        <f>IF(261.04345="","-",261.04345/1365812.81697*100)</f>
        <v>1.911268123688532E-2</v>
      </c>
      <c r="F94" s="41">
        <f>IF(OR(1326009.79931="",258.82767="",348.26915=""),"-",(348.26915-258.82767)/1326009.79931*100)</f>
        <v>6.7451598054962814E-3</v>
      </c>
      <c r="G94" s="41">
        <f>IF(OR(1365036.36807="",261.04345="",348.26915=""),"-",(261.04345-348.26915)/1365036.36807*100)</f>
        <v>-6.3899909218775499E-3</v>
      </c>
    </row>
    <row r="95" spans="1:7" x14ac:dyDescent="0.25">
      <c r="A95" s="40" t="s">
        <v>164</v>
      </c>
      <c r="B95" s="41">
        <f>IF(255.61042="","-",255.61042)</f>
        <v>255.61042</v>
      </c>
      <c r="C95" s="41">
        <f>IF(OR(215.3527="",255.61042=""),"-",255.61042/215.3527*100)</f>
        <v>118.69385431434108</v>
      </c>
      <c r="D95" s="41">
        <f>IF(215.3527="","-",215.3527/1365036.36807*100)</f>
        <v>1.5776334245547117E-2</v>
      </c>
      <c r="E95" s="41">
        <f>IF(255.61042="","-",255.61042/1365812.81697*100)</f>
        <v>1.8714893931590225E-2</v>
      </c>
      <c r="F95" s="41">
        <f>IF(OR(1326009.79931="",0.56135="",215.3527=""),"-",(215.3527-0.56135)/1326009.79931*100)</f>
        <v>1.6198322977082704E-2</v>
      </c>
      <c r="G95" s="41">
        <f>IF(OR(1365036.36807="",255.61042="",215.3527=""),"-",(255.61042-215.3527)/1365036.36807*100)</f>
        <v>2.949204940006079E-3</v>
      </c>
    </row>
    <row r="96" spans="1:7" x14ac:dyDescent="0.25">
      <c r="A96" s="40" t="s">
        <v>189</v>
      </c>
      <c r="B96" s="41">
        <f>IF(248.25217="","-",248.25217)</f>
        <v>248.25217000000001</v>
      </c>
      <c r="C96" s="41" t="s">
        <v>145</v>
      </c>
      <c r="D96" s="41">
        <f>IF(116.19618="","-",116.19618/1365036.36807*100)</f>
        <v>8.5123138634238486E-3</v>
      </c>
      <c r="E96" s="41">
        <f>IF(248.25217="","-",248.25217/1365812.81697*100)</f>
        <v>1.8176148804251033E-2</v>
      </c>
      <c r="F96" s="41">
        <f>IF(OR(1326009.79931="",156.11649="",116.19618=""),"-",(116.19618-156.11649)/1326009.79931*100)</f>
        <v>-3.0105591995453472E-3</v>
      </c>
      <c r="G96" s="41">
        <f>IF(OR(1365036.36807="",248.25217="",116.19618=""),"-",(248.25217-116.19618)/1365036.36807*100)</f>
        <v>9.6741737501625357E-3</v>
      </c>
    </row>
    <row r="97" spans="1:7" x14ac:dyDescent="0.25">
      <c r="A97" s="40" t="s">
        <v>113</v>
      </c>
      <c r="B97" s="41">
        <f>IF(214.53702="","-",214.53702)</f>
        <v>214.53702000000001</v>
      </c>
      <c r="C97" s="41" t="s">
        <v>156</v>
      </c>
      <c r="D97" s="41">
        <f>IF(137.43664="","-",137.43664/1365036.36807*100)</f>
        <v>1.0068350061201605E-2</v>
      </c>
      <c r="E97" s="41">
        <f>IF(214.53702="","-",214.53702/1365812.81697*100)</f>
        <v>1.5707644366373837E-2</v>
      </c>
      <c r="F97" s="41">
        <f>IF(OR(1326009.79931="",106.39519="",137.43664=""),"-",(137.43664-106.39519)/1326009.79931*100)</f>
        <v>2.3409668628506883E-3</v>
      </c>
      <c r="G97" s="41">
        <f>IF(OR(1365036.36807="",214.53702="",137.43664=""),"-",(214.53702-137.43664)/1365036.36807*100)</f>
        <v>5.648228999862533E-3</v>
      </c>
    </row>
    <row r="98" spans="1:7" x14ac:dyDescent="0.25">
      <c r="A98" s="40" t="s">
        <v>153</v>
      </c>
      <c r="B98" s="41">
        <f>IF(197.60985="","-",197.60985)</f>
        <v>197.60984999999999</v>
      </c>
      <c r="C98" s="41">
        <f>IF(OR(153.81045="",197.60985=""),"-",197.60985/153.81045*100)</f>
        <v>128.47621861843587</v>
      </c>
      <c r="D98" s="41">
        <f>IF(153.81045="","-",153.81045/1365036.36807*100)</f>
        <v>1.1267864622352134E-2</v>
      </c>
      <c r="E98" s="41">
        <f>IF(197.60985="","-",197.60985/1365812.81697*100)</f>
        <v>1.4468296646856E-2</v>
      </c>
      <c r="F98" s="41">
        <f>IF(OR(1326009.79931="",190.72731="",153.81045=""),"-",(153.81045-190.72731)/1326009.79931*100)</f>
        <v>-2.7840563485435764E-3</v>
      </c>
      <c r="G98" s="41">
        <f>IF(OR(1365036.36807="",197.60985="",153.81045=""),"-",(197.60985-153.81045)/1365036.36807*100)</f>
        <v>3.2086617634903866E-3</v>
      </c>
    </row>
    <row r="99" spans="1:7" x14ac:dyDescent="0.25">
      <c r="A99" s="40" t="s">
        <v>140</v>
      </c>
      <c r="B99" s="41">
        <f>IF(185.59071="","-",185.59071)</f>
        <v>185.59071</v>
      </c>
      <c r="C99" s="41">
        <f>IF(OR(206.7573="",185.59071=""),"-",185.59071/206.7573*100)</f>
        <v>89.762591212015252</v>
      </c>
      <c r="D99" s="41">
        <f>IF(206.7573="","-",206.7573/1365036.36807*100)</f>
        <v>1.5146651388660826E-2</v>
      </c>
      <c r="E99" s="41">
        <f>IF(185.59071="","-",185.59071/1365812.81697*100)</f>
        <v>1.3588297583246102E-2</v>
      </c>
      <c r="F99" s="41">
        <f>IF(OR(1326009.79931="",390.73899="",206.7573=""),"-",(206.7573-390.73899)/1326009.79931*100)</f>
        <v>-1.3874836377207499E-2</v>
      </c>
      <c r="G99" s="41">
        <f>IF(OR(1365036.36807="",185.59071="",206.7573=""),"-",(185.59071-206.7573)/1365036.36807*100)</f>
        <v>-1.5506246203481774E-3</v>
      </c>
    </row>
    <row r="100" spans="1:7" x14ac:dyDescent="0.25">
      <c r="A100" s="40" t="s">
        <v>143</v>
      </c>
      <c r="B100" s="41">
        <f>IF(180.33406="","-",180.33406)</f>
        <v>180.33405999999999</v>
      </c>
      <c r="C100" s="41">
        <f>IF(OR(319.94262="",180.33406=""),"-",180.33406/319.94262*100)</f>
        <v>56.364500609515545</v>
      </c>
      <c r="D100" s="41">
        <f>IF(319.94262="","-",319.94262/1365036.36807*100)</f>
        <v>2.3438395304614557E-2</v>
      </c>
      <c r="E100" s="41">
        <f>IF(180.33406="","-",180.33406/1365812.81697*100)</f>
        <v>1.3203424199815589E-2</v>
      </c>
      <c r="F100" s="41">
        <f>IF(OR(1326009.79931="",220.96757="",319.94262=""),"-",(319.94262-220.96757)/1326009.79931*100)</f>
        <v>7.4641265887704956E-3</v>
      </c>
      <c r="G100" s="41">
        <f>IF(OR(1365036.36807="",180.33406="",319.94262=""),"-",(180.33406-319.94262)/1365036.36807*100)</f>
        <v>-1.0227460840284423E-2</v>
      </c>
    </row>
    <row r="101" spans="1:7" x14ac:dyDescent="0.25">
      <c r="A101" s="40" t="s">
        <v>148</v>
      </c>
      <c r="B101" s="41">
        <f>IF(157.47="","-",157.47)</f>
        <v>157.47</v>
      </c>
      <c r="C101" s="41">
        <f>IF(OR(327.199="",157.47=""),"-",157.47/327.199*100)</f>
        <v>48.126675203775072</v>
      </c>
      <c r="D101" s="41">
        <f>IF(327.199="","-",327.199/1365036.36807*100)</f>
        <v>2.3969984071751927E-2</v>
      </c>
      <c r="E101" s="41">
        <f>IF(157.47="","-",157.47/1365812.81697*100)</f>
        <v>1.1529398321897489E-2</v>
      </c>
      <c r="F101" s="41">
        <f>IF(OR(1326009.79931="",287.39877="",327.199=""),"-",(327.199-287.39877)/1326009.79931*100)</f>
        <v>3.0015034595302671E-3</v>
      </c>
      <c r="G101" s="41">
        <f>IF(OR(1365036.36807="",157.47="",327.199=""),"-",(157.47-327.199)/1365036.36807*100)</f>
        <v>-1.2434027691143257E-2</v>
      </c>
    </row>
    <row r="102" spans="1:7" x14ac:dyDescent="0.25">
      <c r="A102" s="40" t="s">
        <v>211</v>
      </c>
      <c r="B102" s="41">
        <f>IF(126.57023="","-",126.57023)</f>
        <v>126.57023</v>
      </c>
      <c r="C102" s="41" t="s">
        <v>220</v>
      </c>
      <c r="D102" s="41">
        <f>IF(38.05247="","-",38.05247/1365036.36807*100)</f>
        <v>2.7876524677362033E-3</v>
      </c>
      <c r="E102" s="41">
        <f>IF(126.57023="","-",126.57023/1365812.81697*100)</f>
        <v>9.2670260834710055E-3</v>
      </c>
      <c r="F102" s="41">
        <f>IF(OR(1326009.79931="",71.33112="",38.05247=""),"-",(38.05247-71.33112)/1326009.79931*100)</f>
        <v>-2.5096835647305787E-3</v>
      </c>
      <c r="G102" s="41">
        <f>IF(OR(1365036.36807="",126.57023="",38.05247=""),"-",(126.57023-38.05247)/1365036.36807*100)</f>
        <v>6.4846448102444058E-3</v>
      </c>
    </row>
    <row r="103" spans="1:7" x14ac:dyDescent="0.25">
      <c r="A103" s="40" t="s">
        <v>246</v>
      </c>
      <c r="B103" s="41">
        <f>IF(108.26423="","-",108.26423)</f>
        <v>108.26423</v>
      </c>
      <c r="C103" s="41" t="s">
        <v>251</v>
      </c>
      <c r="D103" s="41">
        <f>IF(1.79612="","-",1.79612/1365036.36807*100)</f>
        <v>1.3158037705174853E-4</v>
      </c>
      <c r="E103" s="41">
        <f>IF(108.26423="","-",108.26423/1365812.81697*100)</f>
        <v>7.9267252916969816E-3</v>
      </c>
      <c r="F103" s="41">
        <f>IF(OR(1326009.79931="",0.88448="",1.79612=""),"-",(1.79612-0.88448)/1326009.79931*100)</f>
        <v>6.8750623145800223E-5</v>
      </c>
      <c r="G103" s="41">
        <f>IF(OR(1365036.36807="",108.26423="",1.79612=""),"-",(108.26423-1.79612)/1365036.36807*100)</f>
        <v>7.7996537301444433E-3</v>
      </c>
    </row>
    <row r="104" spans="1:7" x14ac:dyDescent="0.25">
      <c r="A104" s="40" t="s">
        <v>210</v>
      </c>
      <c r="B104" s="41">
        <f>IF(90.77615="","-",90.77615)</f>
        <v>90.776150000000001</v>
      </c>
      <c r="C104" s="41" t="s">
        <v>252</v>
      </c>
      <c r="D104" s="41">
        <f>IF(2.976="","-",2.976/1365036.36807*100)</f>
        <v>2.1801616935728329E-4</v>
      </c>
      <c r="E104" s="41">
        <f>IF(90.77615="","-",90.77615/1365812.81697*100)</f>
        <v>6.6463097191739049E-3</v>
      </c>
      <c r="F104" s="41" t="str">
        <f>IF(OR(1326009.79931="",""="",2.976=""),"-",(2.976-"")/1326009.79931*100)</f>
        <v>-</v>
      </c>
      <c r="G104" s="41">
        <f>IF(OR(1365036.36807="",90.77615="",2.976=""),"-",(90.77615-2.976)/1365036.36807*100)</f>
        <v>6.4320740497294604E-3</v>
      </c>
    </row>
    <row r="105" spans="1:7" x14ac:dyDescent="0.25">
      <c r="A105" s="40" t="s">
        <v>188</v>
      </c>
      <c r="B105" s="41">
        <f>IF(77.70059="","-",77.70059)</f>
        <v>77.700590000000005</v>
      </c>
      <c r="C105" s="41">
        <f>IF(OR(326.70748="",77.70059=""),"-",77.70059/326.70748*100)</f>
        <v>23.782923488620465</v>
      </c>
      <c r="D105" s="41">
        <f>IF(326.70748="","-",326.70748/1365036.36807*100)</f>
        <v>2.3933976239909689E-2</v>
      </c>
      <c r="E105" s="41">
        <f>IF(77.70059="","-",77.70059/1365812.81697*100)</f>
        <v>5.6889633070200344E-3</v>
      </c>
      <c r="F105" s="41">
        <f>IF(OR(1326009.79931="",358.77035="",326.70748=""),"-",(326.70748-358.77035)/1326009.79931*100)</f>
        <v>-2.417996459504614E-3</v>
      </c>
      <c r="G105" s="41">
        <f>IF(OR(1365036.36807="",77.70059="",326.70748=""),"-",(77.70059-326.70748)/1365036.36807*100)</f>
        <v>-1.8241776982987366E-2</v>
      </c>
    </row>
    <row r="106" spans="1:7" x14ac:dyDescent="0.25">
      <c r="A106" s="40" t="s">
        <v>247</v>
      </c>
      <c r="B106" s="41">
        <f>IF(76.84242="","-",76.84242)</f>
        <v>76.842420000000004</v>
      </c>
      <c r="C106" s="41">
        <f>IF(OR(112.71224="",76.84242=""),"-",76.84242/112.71224*100)</f>
        <v>68.17575446996706</v>
      </c>
      <c r="D106" s="41">
        <f>IF(112.71224="","-",112.71224/1365036.36807*100)</f>
        <v>8.2570869638705496E-3</v>
      </c>
      <c r="E106" s="41">
        <f>IF(76.84242="","-",76.84242/1365812.81697*100)</f>
        <v>5.6261311246494066E-3</v>
      </c>
      <c r="F106" s="41">
        <f>IF(OR(1326009.79931="",74.87528="",112.71224=""),"-",(112.71224-74.87528)/1326009.79931*100)</f>
        <v>2.8534449760242169E-3</v>
      </c>
      <c r="G106" s="41">
        <f>IF(OR(1365036.36807="",76.84242="",112.71224=""),"-",(76.84242-112.71224)/1365036.36807*100)</f>
        <v>-2.6277556290105054E-3</v>
      </c>
    </row>
    <row r="107" spans="1:7" x14ac:dyDescent="0.25">
      <c r="A107" s="40" t="s">
        <v>159</v>
      </c>
      <c r="B107" s="41">
        <f>IF(75.38107="","-",75.38107)</f>
        <v>75.381069999999994</v>
      </c>
      <c r="C107" s="41" t="s">
        <v>215</v>
      </c>
      <c r="D107" s="41">
        <f>IF(3.89509="","-",3.89509/1365036.36807*100)</f>
        <v>2.8534697617670047E-4</v>
      </c>
      <c r="E107" s="41">
        <f>IF(75.38107="","-",75.38107/1365812.81697*100)</f>
        <v>5.5191362288743067E-3</v>
      </c>
      <c r="F107" s="41">
        <f>IF(OR(1326009.79931="",4.65247="",3.89509=""),"-",(3.89509-4.65247)/1326009.79931*100)</f>
        <v>-5.7117224955208387E-5</v>
      </c>
      <c r="G107" s="41">
        <f>IF(OR(1365036.36807="",75.38107="",3.89509=""),"-",(75.38107-3.89509)/1365036.36807*100)</f>
        <v>5.2369286029406463E-3</v>
      </c>
    </row>
    <row r="108" spans="1:7" x14ac:dyDescent="0.25">
      <c r="A108" s="42" t="s">
        <v>248</v>
      </c>
      <c r="B108" s="43">
        <f>IF(65.73616="","-",65.73616)</f>
        <v>65.736159999999998</v>
      </c>
      <c r="C108" s="43">
        <f>IF(OR(72.00565="",65.73616=""),"-",65.73616/72.00565*100)</f>
        <v>91.293058253067642</v>
      </c>
      <c r="D108" s="43">
        <f>IF(72.00565="","-",72.00565/1365036.36807*100)</f>
        <v>5.2749986509009628E-3</v>
      </c>
      <c r="E108" s="43">
        <f>IF(65.73616="","-",65.73616/1365812.81697*100)</f>
        <v>4.812969916758651E-3</v>
      </c>
      <c r="F108" s="43" t="str">
        <f>IF(OR(1326009.79931="",""="",72.00565=""),"-",(72.00565-"")/1326009.79931*100)</f>
        <v>-</v>
      </c>
      <c r="G108" s="43">
        <f>IF(OR(1365036.36807="",65.73616="",72.00565=""),"-",(65.73616-72.00565)/1365036.36807*100)</f>
        <v>-4.5929105968541494E-4</v>
      </c>
    </row>
    <row r="109" spans="1:7" x14ac:dyDescent="0.25">
      <c r="A109" s="44" t="s">
        <v>190</v>
      </c>
      <c r="B109" s="45">
        <f>IF(59.30321="","-",59.30321)</f>
        <v>59.30321</v>
      </c>
      <c r="C109" s="45">
        <f>IF(OR(63.79332="",59.30321=""),"-",59.30321/63.79332*100)</f>
        <v>92.961473082134617</v>
      </c>
      <c r="D109" s="45">
        <f>IF(63.79332="","-",63.79332/1365036.36807*100)</f>
        <v>4.6733787825884972E-3</v>
      </c>
      <c r="E109" s="45">
        <f>IF(59.30321="","-",59.30321/1365812.81697*100)</f>
        <v>4.341971993758395E-3</v>
      </c>
      <c r="F109" s="45">
        <f>IF(OR(1326009.79931="",57.61297="",63.79332=""),"-",(63.79332-57.61297)/1326009.79931*100)</f>
        <v>4.6608629915223851E-4</v>
      </c>
      <c r="G109" s="45">
        <f>IF(OR(1365036.36807="",59.30321="",63.79332=""),"-",(59.30321-63.79332)/1365036.36807*100)</f>
        <v>-3.2893702358630089E-4</v>
      </c>
    </row>
    <row r="110" spans="1:7" x14ac:dyDescent="0.25">
      <c r="A110" s="49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7"/>
  <sheetViews>
    <sheetView workbookViewId="0">
      <selection activeCell="G24" sqref="G24"/>
    </sheetView>
  </sheetViews>
  <sheetFormatPr defaultRowHeight="15.75" x14ac:dyDescent="0.25"/>
  <cols>
    <col min="1" max="1" width="43" customWidth="1"/>
    <col min="2" max="2" width="14.5" customWidth="1"/>
    <col min="3" max="3" width="14.75" customWidth="1"/>
    <col min="4" max="4" width="17.25" customWidth="1"/>
  </cols>
  <sheetData>
    <row r="1" spans="1:5" x14ac:dyDescent="0.25">
      <c r="A1" s="97" t="s">
        <v>260</v>
      </c>
      <c r="B1" s="97"/>
      <c r="C1" s="97"/>
      <c r="D1" s="97"/>
    </row>
    <row r="2" spans="1:5" x14ac:dyDescent="0.25">
      <c r="A2" s="4"/>
    </row>
    <row r="3" spans="1:5" ht="26.25" customHeight="1" x14ac:dyDescent="0.25">
      <c r="A3" s="98"/>
      <c r="B3" s="102" t="s">
        <v>231</v>
      </c>
      <c r="C3" s="103"/>
      <c r="D3" s="100" t="s">
        <v>232</v>
      </c>
      <c r="E3" s="1"/>
    </row>
    <row r="4" spans="1:5" ht="25.5" customHeight="1" x14ac:dyDescent="0.25">
      <c r="A4" s="99"/>
      <c r="B4" s="23">
        <v>2019</v>
      </c>
      <c r="C4" s="22">
        <v>2020</v>
      </c>
      <c r="D4" s="101"/>
      <c r="E4" s="1"/>
    </row>
    <row r="5" spans="1:5" ht="17.25" customHeight="1" x14ac:dyDescent="0.25">
      <c r="A5" s="60" t="s">
        <v>195</v>
      </c>
      <c r="B5" s="55">
        <v>-632140.39</v>
      </c>
      <c r="C5" s="55">
        <v>-690772.52</v>
      </c>
      <c r="D5" s="55">
        <v>109.3</v>
      </c>
    </row>
    <row r="6" spans="1:5" x14ac:dyDescent="0.25">
      <c r="A6" s="63" t="s">
        <v>225</v>
      </c>
      <c r="B6" s="78"/>
      <c r="C6" s="78"/>
      <c r="D6" s="78"/>
    </row>
    <row r="7" spans="1:5" x14ac:dyDescent="0.25">
      <c r="A7" s="38" t="s">
        <v>278</v>
      </c>
      <c r="B7" s="56">
        <f>IF(-179652.10672="","-",-179652.10672)</f>
        <v>-179652.10672000001</v>
      </c>
      <c r="C7" s="56">
        <f>IF(-200290.546="","-",-200290.546)</f>
        <v>-200290.546</v>
      </c>
      <c r="D7" s="56">
        <f>IF(-179652.10672="","-",-200290.546/-179652.10672*100)</f>
        <v>111.48800292788461</v>
      </c>
    </row>
    <row r="8" spans="1:5" x14ac:dyDescent="0.25">
      <c r="A8" s="40" t="s">
        <v>4</v>
      </c>
      <c r="B8" s="57">
        <f>IF(-50555.16732="","-",-50555.16732)</f>
        <v>-50555.16732</v>
      </c>
      <c r="C8" s="57">
        <f>IF(-51350.7821="","-",-51350.7821)</f>
        <v>-51350.782099999997</v>
      </c>
      <c r="D8" s="57">
        <f>IF(OR(-50555.16732="",-51350.7821="",-50555.16732=0),"-",-51350.7821/-50555.16732*100)</f>
        <v>101.57375560635371</v>
      </c>
    </row>
    <row r="9" spans="1:5" x14ac:dyDescent="0.25">
      <c r="A9" s="40" t="s">
        <v>178</v>
      </c>
      <c r="B9" s="57">
        <f>IF(-29552.72694="","-",-29552.72694)</f>
        <v>-29552.72694</v>
      </c>
      <c r="C9" s="57">
        <f>IF(-29741.69735="","-",-29741.69735)</f>
        <v>-29741.697349999999</v>
      </c>
      <c r="D9" s="57">
        <f>IF(OR(-29552.72694="",-29741.69735="",-29552.72694=0),"-",-29741.69735/-29552.72694*100)</f>
        <v>100.63943476479737</v>
      </c>
    </row>
    <row r="10" spans="1:5" x14ac:dyDescent="0.25">
      <c r="A10" s="40" t="s">
        <v>91</v>
      </c>
      <c r="B10" s="57">
        <f>IF(-27166.50721="","-",-27166.50721)</f>
        <v>-27166.50721</v>
      </c>
      <c r="C10" s="57">
        <f>IF(-27951.56968="","-",-27951.56968)</f>
        <v>-27951.569680000001</v>
      </c>
      <c r="D10" s="57">
        <f>IF(OR(-27166.50721="",-27951.56968="",-27166.50721=0),"-",-27951.56968/-27166.50721*100)</f>
        <v>102.88981746505499</v>
      </c>
    </row>
    <row r="11" spans="1:5" x14ac:dyDescent="0.25">
      <c r="A11" s="40" t="s">
        <v>5</v>
      </c>
      <c r="B11" s="57">
        <f>IF(-17441.79647="","-",-17441.79647)</f>
        <v>-17441.796470000001</v>
      </c>
      <c r="C11" s="57">
        <f>IF(-23746.68119="","-",-23746.68119)</f>
        <v>-23746.681189999999</v>
      </c>
      <c r="D11" s="57">
        <f>IF(OR(-17441.79647="",-23746.68119="",-17441.79647=0),"-",-23746.68119/-17441.79647*100)</f>
        <v>136.14813835744752</v>
      </c>
    </row>
    <row r="12" spans="1:5" x14ac:dyDescent="0.25">
      <c r="A12" s="40" t="s">
        <v>3</v>
      </c>
      <c r="B12" s="57">
        <f>IF(-2824.27022="","-",-2824.27022)</f>
        <v>-2824.2702199999999</v>
      </c>
      <c r="C12" s="57">
        <f>IF(-20381.09565="","-",-20381.09565)</f>
        <v>-20381.095649999999</v>
      </c>
      <c r="D12" s="57" t="s">
        <v>272</v>
      </c>
    </row>
    <row r="13" spans="1:5" x14ac:dyDescent="0.25">
      <c r="A13" s="40" t="s">
        <v>89</v>
      </c>
      <c r="B13" s="57">
        <f>IF(-8916.53498="","-",-8916.53498)</f>
        <v>-8916.5349800000004</v>
      </c>
      <c r="C13" s="57">
        <f>IF(-10941.56098="","-",-10941.56098)</f>
        <v>-10941.56098</v>
      </c>
      <c r="D13" s="57">
        <f>IF(OR(-8916.53498="",-10941.56098="",-8916.53498=0),"-",-10941.56098/-8916.53498*100)</f>
        <v>122.71090737088097</v>
      </c>
    </row>
    <row r="14" spans="1:5" x14ac:dyDescent="0.25">
      <c r="A14" s="40" t="s">
        <v>8</v>
      </c>
      <c r="B14" s="57">
        <f>IF(-13536.83522="","-",-13536.83522)</f>
        <v>-13536.835220000001</v>
      </c>
      <c r="C14" s="57">
        <f>IF(-10167.54178="","-",-10167.54178)</f>
        <v>-10167.54178</v>
      </c>
      <c r="D14" s="57">
        <f>IF(OR(-13536.83522="",-10167.54178="",-13536.83522=0),"-",-10167.54178/-13536.83522*100)</f>
        <v>75.110183545545141</v>
      </c>
    </row>
    <row r="15" spans="1:5" x14ac:dyDescent="0.25">
      <c r="A15" s="40" t="s">
        <v>101</v>
      </c>
      <c r="B15" s="57">
        <f>IF(-5583.25789="","-",-5583.25789)</f>
        <v>-5583.2578899999999</v>
      </c>
      <c r="C15" s="57">
        <f>IF(-6992.01281="","-",-6992.01281)</f>
        <v>-6992.0128100000002</v>
      </c>
      <c r="D15" s="57">
        <f>IF(OR(-5583.25789="",-6992.01281="",-5583.25789=0),"-",-6992.01281/-5583.25789*100)</f>
        <v>125.23177234071845</v>
      </c>
    </row>
    <row r="16" spans="1:5" x14ac:dyDescent="0.25">
      <c r="A16" s="40" t="s">
        <v>90</v>
      </c>
      <c r="B16" s="57">
        <f>IF(-4993.99549="","-",-4993.99549)</f>
        <v>-4993.9954900000002</v>
      </c>
      <c r="C16" s="57">
        <f>IF(-5985.68125="","-",-5985.68125)</f>
        <v>-5985.6812499999996</v>
      </c>
      <c r="D16" s="57">
        <f>IF(OR(-4993.99549="",-5985.68125="",-4993.99549=0),"-",-5985.68125/-4993.99549*100)</f>
        <v>119.85756218614445</v>
      </c>
    </row>
    <row r="17" spans="1:4" x14ac:dyDescent="0.25">
      <c r="A17" s="40" t="s">
        <v>99</v>
      </c>
      <c r="B17" s="57">
        <f>IF(-6463.37521="","-",-6463.37521)</f>
        <v>-6463.3752100000002</v>
      </c>
      <c r="C17" s="57">
        <f>IF(-5092.66205="","-",-5092.66205)</f>
        <v>-5092.6620499999999</v>
      </c>
      <c r="D17" s="57">
        <f>IF(OR(-6463.37521="",-5092.66205="",-6463.37521=0),"-",-5092.66205/-6463.37521*100)</f>
        <v>78.792610432405951</v>
      </c>
    </row>
    <row r="18" spans="1:4" x14ac:dyDescent="0.25">
      <c r="A18" s="40" t="s">
        <v>10</v>
      </c>
      <c r="B18" s="57">
        <f>IF(-2560.3524="","-",-2560.3524)</f>
        <v>-2560.3524000000002</v>
      </c>
      <c r="C18" s="57">
        <f>IF(-4923.96625="","-",-4923.96625)</f>
        <v>-4923.9662500000004</v>
      </c>
      <c r="D18" s="57" t="s">
        <v>157</v>
      </c>
    </row>
    <row r="19" spans="1:4" x14ac:dyDescent="0.25">
      <c r="A19" s="40" t="s">
        <v>93</v>
      </c>
      <c r="B19" s="57">
        <f>IF(-5996.9836="","-",-5996.9836)</f>
        <v>-5996.9835999999996</v>
      </c>
      <c r="C19" s="57">
        <f>IF(-3195.60895="","-",-3195.60895)</f>
        <v>-3195.6089499999998</v>
      </c>
      <c r="D19" s="57">
        <f>IF(OR(-5996.9836="",-3195.60895="",-5996.9836=0),"-",-3195.60895/-5996.9836*100)</f>
        <v>53.286938286774713</v>
      </c>
    </row>
    <row r="20" spans="1:4" x14ac:dyDescent="0.25">
      <c r="A20" s="40" t="s">
        <v>97</v>
      </c>
      <c r="B20" s="57">
        <f>IF(-3024.42341="","-",-3024.42341)</f>
        <v>-3024.4234099999999</v>
      </c>
      <c r="C20" s="57">
        <f>IF(-2636.89312="","-",-2636.89312)</f>
        <v>-2636.8931200000002</v>
      </c>
      <c r="D20" s="57">
        <f>IF(OR(-3024.42341="",-2636.89312="",-3024.42341=0),"-",-2636.89312/-3024.42341*100)</f>
        <v>87.186638989809978</v>
      </c>
    </row>
    <row r="21" spans="1:4" x14ac:dyDescent="0.25">
      <c r="A21" s="40" t="s">
        <v>98</v>
      </c>
      <c r="B21" s="57">
        <f>IF(-2860.91306="","-",-2860.91306)</f>
        <v>-2860.9130599999999</v>
      </c>
      <c r="C21" s="57">
        <f>IF(-2444.01405="","-",-2444.01405)</f>
        <v>-2444.0140500000002</v>
      </c>
      <c r="D21" s="57">
        <f>IF(OR(-2860.91306="",-2444.01405="",-2860.91306=0),"-",-2444.01405/-2860.91306*100)</f>
        <v>85.427763750360185</v>
      </c>
    </row>
    <row r="22" spans="1:4" x14ac:dyDescent="0.25">
      <c r="A22" s="40" t="s">
        <v>102</v>
      </c>
      <c r="B22" s="57">
        <f>IF(-1365.02259="","-",-1365.02259)</f>
        <v>-1365.02259</v>
      </c>
      <c r="C22" s="57">
        <f>IF(-2305.76841="","-",-2305.76841)</f>
        <v>-2305.7684100000001</v>
      </c>
      <c r="D22" s="57" t="s">
        <v>155</v>
      </c>
    </row>
    <row r="23" spans="1:4" x14ac:dyDescent="0.25">
      <c r="A23" s="40" t="s">
        <v>94</v>
      </c>
      <c r="B23" s="57">
        <f>IF(-772.91372="","-",-772.91372)</f>
        <v>-772.91372000000001</v>
      </c>
      <c r="C23" s="57">
        <f>IF(-1795.59385="","-",-1795.59385)</f>
        <v>-1795.59385</v>
      </c>
      <c r="D23" s="57" t="s">
        <v>162</v>
      </c>
    </row>
    <row r="24" spans="1:4" x14ac:dyDescent="0.25">
      <c r="A24" s="40" t="s">
        <v>92</v>
      </c>
      <c r="B24" s="57">
        <f>IF(-2023.22609="","-",-2023.22609)</f>
        <v>-2023.2260900000001</v>
      </c>
      <c r="C24" s="57">
        <f>IF(-1782.82213="","-",-1782.82213)</f>
        <v>-1782.82213</v>
      </c>
      <c r="D24" s="57">
        <f>IF(OR(-2023.22609="",-1782.82213="",-2023.22609=0),"-",-1782.82213/-2023.22609*100)</f>
        <v>88.117790632088969</v>
      </c>
    </row>
    <row r="25" spans="1:4" x14ac:dyDescent="0.25">
      <c r="A25" s="40" t="s">
        <v>6</v>
      </c>
      <c r="B25" s="57">
        <f>IF(1173.50033="","-",1173.50033)</f>
        <v>1173.5003300000001</v>
      </c>
      <c r="C25" s="57">
        <f>IF(-1366.03547="","-",-1366.03547)</f>
        <v>-1366.03547</v>
      </c>
      <c r="D25" s="57" t="s">
        <v>22</v>
      </c>
    </row>
    <row r="26" spans="1:4" x14ac:dyDescent="0.25">
      <c r="A26" s="40" t="s">
        <v>179</v>
      </c>
      <c r="B26" s="57">
        <f>IF(-747.33933="","-",-747.33933)</f>
        <v>-747.33933000000002</v>
      </c>
      <c r="C26" s="57">
        <f>IF(-1167.38452="","-",-1167.38452)</f>
        <v>-1167.3845200000001</v>
      </c>
      <c r="D26" s="57" t="s">
        <v>156</v>
      </c>
    </row>
    <row r="27" spans="1:4" x14ac:dyDescent="0.25">
      <c r="A27" s="40" t="s">
        <v>100</v>
      </c>
      <c r="B27" s="57">
        <f>IF(-4057.54788="","-",-4057.54788)</f>
        <v>-4057.5478800000001</v>
      </c>
      <c r="C27" s="57">
        <f>IF(-414.16073="","-",-414.16073)</f>
        <v>-414.16073</v>
      </c>
      <c r="D27" s="57">
        <f>IF(OR(-4057.54788="",-414.16073="",-4057.54788=0),"-",-414.16073/-4057.54788*100)</f>
        <v>10.207168029770729</v>
      </c>
    </row>
    <row r="28" spans="1:4" x14ac:dyDescent="0.25">
      <c r="A28" s="40" t="s">
        <v>103</v>
      </c>
      <c r="B28" s="57">
        <f>IF(-281.5631="","-",-281.5631)</f>
        <v>-281.56310000000002</v>
      </c>
      <c r="C28" s="57">
        <f>IF(-230.51236="","-",-230.51236)</f>
        <v>-230.51236</v>
      </c>
      <c r="D28" s="57">
        <f>IF(OR(-281.5631="",-230.51236="",-281.5631=0),"-",-230.51236/-281.5631*100)</f>
        <v>81.868810224067005</v>
      </c>
    </row>
    <row r="29" spans="1:4" x14ac:dyDescent="0.25">
      <c r="A29" s="40" t="s">
        <v>104</v>
      </c>
      <c r="B29" s="57">
        <f>IF(-45.9573="","-",-45.9573)</f>
        <v>-45.957299999999996</v>
      </c>
      <c r="C29" s="57">
        <f>IF(1.29576="","-",1.29576)</f>
        <v>1.29576</v>
      </c>
      <c r="D29" s="57" t="s">
        <v>22</v>
      </c>
    </row>
    <row r="30" spans="1:4" x14ac:dyDescent="0.25">
      <c r="A30" s="40" t="s">
        <v>7</v>
      </c>
      <c r="B30" s="57">
        <f>IF(-12818.2198="","-",-12818.2198)</f>
        <v>-12818.219800000001</v>
      </c>
      <c r="C30" s="57">
        <f>IF(426.2466="","-",426.2466)</f>
        <v>426.2466</v>
      </c>
      <c r="D30" s="57" t="s">
        <v>22</v>
      </c>
    </row>
    <row r="31" spans="1:4" x14ac:dyDescent="0.25">
      <c r="A31" s="40" t="s">
        <v>2</v>
      </c>
      <c r="B31" s="57">
        <f>IF(15354.74208="","-",15354.74208)</f>
        <v>15354.74208</v>
      </c>
      <c r="C31" s="57">
        <f>IF(651.55337="","-",651.55337)</f>
        <v>651.55336999999997</v>
      </c>
      <c r="D31" s="57">
        <f>IF(OR(15354.74208="",651.55337="",15354.74208=0),"-",651.55337/15354.74208*100)</f>
        <v>4.2433364663849824</v>
      </c>
    </row>
    <row r="32" spans="1:4" x14ac:dyDescent="0.25">
      <c r="A32" s="40" t="s">
        <v>95</v>
      </c>
      <c r="B32" s="57">
        <f>IF(-341.15034="","-",-341.15034)</f>
        <v>-341.15034000000003</v>
      </c>
      <c r="C32" s="57">
        <f>IF(903.47969="","-",903.47969)</f>
        <v>903.47969000000001</v>
      </c>
      <c r="D32" s="57" t="s">
        <v>22</v>
      </c>
    </row>
    <row r="33" spans="1:4" x14ac:dyDescent="0.25">
      <c r="A33" s="40" t="s">
        <v>9</v>
      </c>
      <c r="B33" s="57">
        <f>IF(3720.63221="","-",3720.63221)</f>
        <v>3720.6322100000002</v>
      </c>
      <c r="C33" s="57">
        <f>IF(5958.62017="","-",5958.62017)</f>
        <v>5958.6201700000001</v>
      </c>
      <c r="D33" s="57" t="s">
        <v>156</v>
      </c>
    </row>
    <row r="34" spans="1:4" x14ac:dyDescent="0.25">
      <c r="A34" s="40" t="s">
        <v>96</v>
      </c>
      <c r="B34" s="57">
        <f>IF(4029.09823="","-",4029.09823)</f>
        <v>4029.0982300000001</v>
      </c>
      <c r="C34" s="57">
        <f>IF(6382.30309="","-",6382.30309)</f>
        <v>6382.3030900000003</v>
      </c>
      <c r="D34" s="57" t="s">
        <v>156</v>
      </c>
    </row>
    <row r="35" spans="1:4" x14ac:dyDescent="0.25">
      <c r="A35" s="75" t="s">
        <v>279</v>
      </c>
      <c r="B35" s="56">
        <f>IF(-264922.95024="","-",-264922.95024)</f>
        <v>-264922.95023999998</v>
      </c>
      <c r="C35" s="56">
        <v>-246664.94</v>
      </c>
      <c r="D35" s="56">
        <v>93.1</v>
      </c>
    </row>
    <row r="36" spans="1:4" x14ac:dyDescent="0.25">
      <c r="A36" s="76" t="s">
        <v>180</v>
      </c>
      <c r="B36" s="57">
        <f>IF(-154999.02017="","-",-154999.02017)</f>
        <v>-154999.02017</v>
      </c>
      <c r="C36" s="57">
        <v>-134989.57999999999</v>
      </c>
      <c r="D36" s="57">
        <v>87.1</v>
      </c>
    </row>
    <row r="37" spans="1:4" x14ac:dyDescent="0.25">
      <c r="A37" s="76" t="s">
        <v>12</v>
      </c>
      <c r="B37" s="57">
        <f>IF(-103597.81341="","-",-103597.81341)</f>
        <v>-103597.81341</v>
      </c>
      <c r="C37" s="57">
        <v>-101454.68</v>
      </c>
      <c r="D37" s="57">
        <v>97.9</v>
      </c>
    </row>
    <row r="38" spans="1:4" x14ac:dyDescent="0.25">
      <c r="A38" s="76" t="s">
        <v>11</v>
      </c>
      <c r="B38" s="57">
        <f>IF(-3944.03661="","-",-3944.03661)</f>
        <v>-3944.0366100000001</v>
      </c>
      <c r="C38" s="57">
        <v>-6227.85</v>
      </c>
      <c r="D38" s="57" t="s">
        <v>156</v>
      </c>
    </row>
    <row r="39" spans="1:4" x14ac:dyDescent="0.25">
      <c r="A39" s="76" t="s">
        <v>14</v>
      </c>
      <c r="B39" s="57">
        <f>IF(1068.48685="","-",1068.48685)</f>
        <v>1068.48685</v>
      </c>
      <c r="C39" s="57">
        <v>-1974.29</v>
      </c>
      <c r="D39" s="57" t="s">
        <v>22</v>
      </c>
    </row>
    <row r="40" spans="1:4" x14ac:dyDescent="0.25">
      <c r="A40" s="76" t="s">
        <v>15</v>
      </c>
      <c r="B40" s="57">
        <f>IF(-1650.89776="","-",-1650.89776)</f>
        <v>-1650.8977600000001</v>
      </c>
      <c r="C40" s="57">
        <v>-1296.8699999999999</v>
      </c>
      <c r="D40" s="57">
        <v>78.599999999999994</v>
      </c>
    </row>
    <row r="41" spans="1:4" x14ac:dyDescent="0.25">
      <c r="A41" s="76" t="s">
        <v>16</v>
      </c>
      <c r="B41" s="57">
        <f>IF(-1847.10577="","-",-1847.10577)</f>
        <v>-1847.1057699999999</v>
      </c>
      <c r="C41" s="57">
        <v>-1260.74</v>
      </c>
      <c r="D41" s="57">
        <v>68.3</v>
      </c>
    </row>
    <row r="42" spans="1:4" x14ac:dyDescent="0.25">
      <c r="A42" s="76" t="s">
        <v>17</v>
      </c>
      <c r="B42" s="57">
        <f>IF(-120.99923="","-",-120.99923)</f>
        <v>-120.99923</v>
      </c>
      <c r="C42" s="57">
        <v>100.39</v>
      </c>
      <c r="D42" s="57" t="s">
        <v>22</v>
      </c>
    </row>
    <row r="43" spans="1:4" x14ac:dyDescent="0.25">
      <c r="A43" s="76" t="s">
        <v>18</v>
      </c>
      <c r="B43" s="57">
        <f>IF(73.88569="","-",73.88569)</f>
        <v>73.885689999999997</v>
      </c>
      <c r="C43" s="57">
        <v>110.84</v>
      </c>
      <c r="D43" s="57" t="s">
        <v>181</v>
      </c>
    </row>
    <row r="44" spans="1:4" x14ac:dyDescent="0.25">
      <c r="A44" s="76" t="s">
        <v>13</v>
      </c>
      <c r="B44" s="57">
        <f>IF(-8.49081="","-",-8.49081)</f>
        <v>-8.4908099999999997</v>
      </c>
      <c r="C44" s="57">
        <v>153.37</v>
      </c>
      <c r="D44" s="57" t="s">
        <v>22</v>
      </c>
    </row>
    <row r="45" spans="1:4" x14ac:dyDescent="0.25">
      <c r="A45" s="76" t="s">
        <v>182</v>
      </c>
      <c r="B45" s="57">
        <f>IF(103.04098="","-",103.04098)</f>
        <v>103.04098</v>
      </c>
      <c r="C45" s="57">
        <v>174.47</v>
      </c>
      <c r="D45" s="57" t="s">
        <v>155</v>
      </c>
    </row>
    <row r="46" spans="1:4" x14ac:dyDescent="0.25">
      <c r="A46" s="38" t="s">
        <v>280</v>
      </c>
      <c r="B46" s="56">
        <f>IF(-187565.33512="","-",-187565.33512)</f>
        <v>-187565.33512</v>
      </c>
      <c r="C46" s="56">
        <f>IF(-243817.03407="","-",-243817.03407)</f>
        <v>-243817.03406999999</v>
      </c>
      <c r="D46" s="56">
        <f>IF(-187565.33512="","-",-243817.03407/-187565.33512*100)</f>
        <v>129.99045581317648</v>
      </c>
    </row>
    <row r="47" spans="1:4" x14ac:dyDescent="0.25">
      <c r="A47" s="40" t="s">
        <v>108</v>
      </c>
      <c r="B47" s="57">
        <f>IF(-139997.74779="","-",-139997.74779)</f>
        <v>-139997.74778999999</v>
      </c>
      <c r="C47" s="57">
        <f>IF(-133909.30403="","-",-133909.30403)</f>
        <v>-133909.30403</v>
      </c>
      <c r="D47" s="57">
        <f>IF(OR(-139997.74779="",-133909.30403="",-139997.74779=0),"-",-133909.30403/-139997.74779*100)</f>
        <v>95.651041637374902</v>
      </c>
    </row>
    <row r="48" spans="1:4" x14ac:dyDescent="0.25">
      <c r="A48" s="40" t="s">
        <v>105</v>
      </c>
      <c r="B48" s="57">
        <f>IF(-12933.55641="","-",-12933.55641)</f>
        <v>-12933.556409999999</v>
      </c>
      <c r="C48" s="57">
        <f>IF(-53619.93583="","-",-53619.93583)</f>
        <v>-53619.935830000002</v>
      </c>
      <c r="D48" s="57" t="s">
        <v>273</v>
      </c>
    </row>
    <row r="49" spans="1:5" x14ac:dyDescent="0.25">
      <c r="A49" s="40" t="s">
        <v>125</v>
      </c>
      <c r="B49" s="57">
        <f>IF(-10005.58753="","-",-10005.58753)</f>
        <v>-10005.587530000001</v>
      </c>
      <c r="C49" s="57">
        <f>IF(-12346.23944="","-",-12346.23944)</f>
        <v>-12346.239439999999</v>
      </c>
      <c r="D49" s="57">
        <f>IF(OR(-10005.58753="",-12346.23944="",-10005.58753=0),"-",-12346.23944/-10005.58753*100)</f>
        <v>123.39344794078274</v>
      </c>
    </row>
    <row r="50" spans="1:5" x14ac:dyDescent="0.25">
      <c r="A50" s="40" t="s">
        <v>19</v>
      </c>
      <c r="B50" s="57">
        <f>IF(-13648.62681="","-",-13648.62681)</f>
        <v>-13648.62681</v>
      </c>
      <c r="C50" s="57">
        <f>IF(-11798.15063="","-",-11798.15063)</f>
        <v>-11798.15063</v>
      </c>
      <c r="D50" s="57">
        <f>IF(OR(-13648.62681="",-11798.15063="",-13648.62681=0),"-",-11798.15063/-13648.62681*100)</f>
        <v>86.442034017340092</v>
      </c>
    </row>
    <row r="51" spans="1:5" x14ac:dyDescent="0.25">
      <c r="A51" s="40" t="s">
        <v>118</v>
      </c>
      <c r="B51" s="57">
        <f>IF(-9291.9866="","-",-9291.9866)</f>
        <v>-9291.9866000000002</v>
      </c>
      <c r="C51" s="57">
        <f>IF(-9956.44185="","-",-9956.44185)</f>
        <v>-9956.4418499999992</v>
      </c>
      <c r="D51" s="57">
        <f>IF(OR(-9291.9866="",-9956.44185="",-9291.9866=0),"-",-9956.44185/-9291.9866*100)</f>
        <v>107.15084167254393</v>
      </c>
    </row>
    <row r="52" spans="1:5" x14ac:dyDescent="0.25">
      <c r="A52" s="40" t="s">
        <v>85</v>
      </c>
      <c r="B52" s="57">
        <f>IF(-6192.58237="","-",-6192.58237)</f>
        <v>-6192.5823700000001</v>
      </c>
      <c r="C52" s="57">
        <f>IF(-8319.25321="","-",-8319.25321)</f>
        <v>-8319.2532100000008</v>
      </c>
      <c r="D52" s="57">
        <f>IF(OR(-6192.58237="",-8319.25321="",-6192.58237=0),"-",-8319.25321/-6192.58237*100)</f>
        <v>134.34222934688231</v>
      </c>
    </row>
    <row r="53" spans="1:5" x14ac:dyDescent="0.25">
      <c r="A53" s="40" t="s">
        <v>121</v>
      </c>
      <c r="B53" s="57">
        <f>IF(-6994.71545="","-",-6994.71545)</f>
        <v>-6994.7154499999997</v>
      </c>
      <c r="C53" s="57">
        <f>IF(-6421.33958="","-",-6421.33958)</f>
        <v>-6421.3395799999998</v>
      </c>
      <c r="D53" s="57">
        <f>IF(OR(-6994.71545="",-6421.33958="",-6994.71545=0),"-",-6421.33958/-6994.71545*100)</f>
        <v>91.802727729260241</v>
      </c>
    </row>
    <row r="54" spans="1:5" x14ac:dyDescent="0.25">
      <c r="A54" s="40" t="s">
        <v>115</v>
      </c>
      <c r="B54" s="57">
        <f>IF(-1340.83103="","-",-1340.83103)</f>
        <v>-1340.8310300000001</v>
      </c>
      <c r="C54" s="57">
        <f>IF(-6100.59734="","-",-6100.59734)</f>
        <v>-6100.5973400000003</v>
      </c>
      <c r="D54" s="57" t="s">
        <v>274</v>
      </c>
    </row>
    <row r="55" spans="1:5" x14ac:dyDescent="0.25">
      <c r="A55" s="40" t="s">
        <v>129</v>
      </c>
      <c r="B55" s="57">
        <f>IF(-4890.98288="","-",-4890.98288)</f>
        <v>-4890.9828799999996</v>
      </c>
      <c r="C55" s="57">
        <f>IF(-5586.28384="","-",-5586.28384)</f>
        <v>-5586.2838400000001</v>
      </c>
      <c r="D55" s="57">
        <f>IF(OR(-4890.98288="",-5586.28384="",-4890.98288=0),"-",-5586.28384/-4890.98288*100)</f>
        <v>114.21597615569657</v>
      </c>
    </row>
    <row r="56" spans="1:5" x14ac:dyDescent="0.25">
      <c r="A56" s="40" t="s">
        <v>177</v>
      </c>
      <c r="B56" s="57">
        <f>IF(-2616.22264="","-",-2616.22264)</f>
        <v>-2616.22264</v>
      </c>
      <c r="C56" s="57">
        <f>IF(-4914.67191="","-",-4914.67191)</f>
        <v>-4914.67191</v>
      </c>
      <c r="D56" s="57" t="s">
        <v>157</v>
      </c>
    </row>
    <row r="57" spans="1:5" x14ac:dyDescent="0.25">
      <c r="A57" s="40" t="s">
        <v>119</v>
      </c>
      <c r="B57" s="57">
        <f>IF(-3626.62087="","-",-3626.62087)</f>
        <v>-3626.6208700000002</v>
      </c>
      <c r="C57" s="57">
        <f>IF(-3351.71225="","-",-3351.71225)</f>
        <v>-3351.71225</v>
      </c>
      <c r="D57" s="57">
        <f>IF(OR(-3626.62087="",-3351.71225="",-3626.62087=0),"-",-3351.71225/-3626.62087*100)</f>
        <v>92.419703358735703</v>
      </c>
    </row>
    <row r="58" spans="1:5" x14ac:dyDescent="0.25">
      <c r="A58" s="40" t="s">
        <v>120</v>
      </c>
      <c r="B58" s="57">
        <f>IF(-2450.86114="","-",-2450.86114)</f>
        <v>-2450.86114</v>
      </c>
      <c r="C58" s="57">
        <f>IF(-2609.92435="","-",-2609.92435)</f>
        <v>-2609.9243499999998</v>
      </c>
      <c r="D58" s="57">
        <f>IF(OR(-2450.86114="",-2609.92435="",-2450.86114=0),"-",-2609.92435/-2450.86114*100)</f>
        <v>106.49009474278088</v>
      </c>
    </row>
    <row r="59" spans="1:5" x14ac:dyDescent="0.25">
      <c r="A59" s="40" t="s">
        <v>112</v>
      </c>
      <c r="B59" s="57">
        <f>IF(-2003.07192="","-",-2003.07192)</f>
        <v>-2003.0719200000001</v>
      </c>
      <c r="C59" s="57">
        <f>IF(-2579.98985="","-",-2579.98985)</f>
        <v>-2579.9898499999999</v>
      </c>
      <c r="D59" s="57">
        <f>IF(OR(-2003.07192="",-2579.98985="",-2003.07192=0),"-",-2579.98985/-2003.07192*100)</f>
        <v>128.80165830490998</v>
      </c>
    </row>
    <row r="60" spans="1:5" x14ac:dyDescent="0.25">
      <c r="A60" s="40" t="s">
        <v>127</v>
      </c>
      <c r="B60" s="57">
        <f>IF(-2296.86766="","-",-2296.86766)</f>
        <v>-2296.8676599999999</v>
      </c>
      <c r="C60" s="57">
        <f>IF(-2445.58157="","-",-2445.58157)</f>
        <v>-2445.5815699999998</v>
      </c>
      <c r="D60" s="57">
        <f>IF(OR(-2296.86766="",-2445.58157="",-2296.86766=0),"-",-2445.58157/-2296.86766*100)</f>
        <v>106.47463990154313</v>
      </c>
    </row>
    <row r="61" spans="1:5" x14ac:dyDescent="0.25">
      <c r="A61" s="40" t="s">
        <v>123</v>
      </c>
      <c r="B61" s="57">
        <f>IF(-1388.2994="","-",-1388.2994)</f>
        <v>-1388.2994000000001</v>
      </c>
      <c r="C61" s="57">
        <f>IF(-2399.90198="","-",-2399.90198)</f>
        <v>-2399.9019800000001</v>
      </c>
      <c r="D61" s="57" t="s">
        <v>155</v>
      </c>
      <c r="E61" s="1"/>
    </row>
    <row r="62" spans="1:5" x14ac:dyDescent="0.25">
      <c r="A62" s="40" t="s">
        <v>133</v>
      </c>
      <c r="B62" s="57">
        <f>IF(-1057.87059="","-",-1057.87059)</f>
        <v>-1057.87059</v>
      </c>
      <c r="C62" s="57">
        <f>IF(-2142.32081="","-",-2142.32081)</f>
        <v>-2142.3208100000002</v>
      </c>
      <c r="D62" s="57" t="s">
        <v>20</v>
      </c>
    </row>
    <row r="63" spans="1:5" x14ac:dyDescent="0.25">
      <c r="A63" s="40" t="s">
        <v>132</v>
      </c>
      <c r="B63" s="57">
        <f>IF(-2252.57969="","-",-2252.57969)</f>
        <v>-2252.57969</v>
      </c>
      <c r="C63" s="57">
        <f>IF(-1776.65326="","-",-1776.65326)</f>
        <v>-1776.65326</v>
      </c>
      <c r="D63" s="57">
        <f>IF(OR(-2252.57969="",-1776.65326="",-2252.57969=0),"-",-1776.65326/-2252.57969*100)</f>
        <v>78.871938155493183</v>
      </c>
    </row>
    <row r="64" spans="1:5" x14ac:dyDescent="0.25">
      <c r="A64" s="40" t="s">
        <v>130</v>
      </c>
      <c r="B64" s="57">
        <f>IF(-1844.44473="","-",-1844.44473)</f>
        <v>-1844.4447299999999</v>
      </c>
      <c r="C64" s="57">
        <f>IF(-1722.07421="","-",-1722.07421)</f>
        <v>-1722.07421</v>
      </c>
      <c r="D64" s="57">
        <f>IF(OR(-1844.44473="",-1722.07421="",-1844.44473=0),"-",-1722.07421/-1844.44473*100)</f>
        <v>93.365454762095254</v>
      </c>
    </row>
    <row r="65" spans="1:5" x14ac:dyDescent="0.25">
      <c r="A65" s="40" t="s">
        <v>124</v>
      </c>
      <c r="B65" s="57">
        <f>IF(-548.32212="","-",-548.32212)</f>
        <v>-548.32212000000004</v>
      </c>
      <c r="C65" s="57">
        <f>IF(-1546.2834="","-",-1546.2834)</f>
        <v>-1546.2834</v>
      </c>
      <c r="D65" s="57" t="s">
        <v>275</v>
      </c>
    </row>
    <row r="66" spans="1:5" x14ac:dyDescent="0.25">
      <c r="A66" s="40" t="s">
        <v>134</v>
      </c>
      <c r="B66" s="57">
        <f>IF(-808.2968="","-",-808.2968)</f>
        <v>-808.29679999999996</v>
      </c>
      <c r="C66" s="57">
        <f>IF(-1466.95854="","-",-1466.95854)</f>
        <v>-1466.9585400000001</v>
      </c>
      <c r="D66" s="57" t="s">
        <v>154</v>
      </c>
    </row>
    <row r="67" spans="1:5" x14ac:dyDescent="0.25">
      <c r="A67" s="40" t="s">
        <v>111</v>
      </c>
      <c r="B67" s="57">
        <f>IF(-616.95411="","-",-616.95411)</f>
        <v>-616.95411000000001</v>
      </c>
      <c r="C67" s="57">
        <f>IF(-1437.87866="","-",-1437.87866)</f>
        <v>-1437.8786600000001</v>
      </c>
      <c r="D67" s="57" t="s">
        <v>162</v>
      </c>
    </row>
    <row r="68" spans="1:5" x14ac:dyDescent="0.25">
      <c r="A68" s="40" t="s">
        <v>136</v>
      </c>
      <c r="B68" s="57">
        <f>IF(-371.65636="","-",-371.65636)</f>
        <v>-371.65636000000001</v>
      </c>
      <c r="C68" s="57">
        <f>IF(-1119.49844="","-",-1119.49844)</f>
        <v>-1119.4984400000001</v>
      </c>
      <c r="D68" s="57" t="s">
        <v>187</v>
      </c>
      <c r="E68" s="1"/>
    </row>
    <row r="69" spans="1:5" x14ac:dyDescent="0.25">
      <c r="A69" s="40" t="s">
        <v>131</v>
      </c>
      <c r="B69" s="57">
        <f>IF(-696.20592="","-",-696.20592)</f>
        <v>-696.20591999999999</v>
      </c>
      <c r="C69" s="57">
        <f>IF(-1091.75041="","-",-1091.75041)</f>
        <v>-1091.7504100000001</v>
      </c>
      <c r="D69" s="57" t="s">
        <v>156</v>
      </c>
    </row>
    <row r="70" spans="1:5" x14ac:dyDescent="0.25">
      <c r="A70" s="40" t="s">
        <v>135</v>
      </c>
      <c r="B70" s="57">
        <f>IF(-1147.25959="","-",-1147.25959)</f>
        <v>-1147.2595899999999</v>
      </c>
      <c r="C70" s="57">
        <f>IF(-927.2044="","-",-927.2044)</f>
        <v>-927.20439999999996</v>
      </c>
      <c r="D70" s="57">
        <f>IF(OR(-1147.25959="",-927.2044="",-1147.25959=0),"-",-927.2044/-1147.25959*100)</f>
        <v>80.81905857069367</v>
      </c>
    </row>
    <row r="71" spans="1:5" x14ac:dyDescent="0.25">
      <c r="A71" s="40" t="s">
        <v>138</v>
      </c>
      <c r="B71" s="57">
        <f>IF(-700.58216="","-",-700.58216)</f>
        <v>-700.58216000000004</v>
      </c>
      <c r="C71" s="57">
        <f>IF(-750.4903="","-",-750.4903)</f>
        <v>-750.49030000000005</v>
      </c>
      <c r="D71" s="57">
        <f>IF(OR(-700.58216="",-750.4903="",-700.58216=0),"-",-750.4903/-700.58216*100)</f>
        <v>107.12380971847757</v>
      </c>
    </row>
    <row r="72" spans="1:5" x14ac:dyDescent="0.25">
      <c r="A72" s="40" t="s">
        <v>122</v>
      </c>
      <c r="B72" s="57">
        <f>IF(-541.30334="","-",-541.30334)</f>
        <v>-541.30334000000005</v>
      </c>
      <c r="C72" s="57">
        <f>IF(-629.15503="","-",-629.15503)</f>
        <v>-629.15503000000001</v>
      </c>
      <c r="D72" s="57">
        <f>IF(OR(-541.30334="",-629.15503="",-541.30334=0),"-",-629.15503/-541.30334*100)</f>
        <v>116.22965969506119</v>
      </c>
    </row>
    <row r="73" spans="1:5" x14ac:dyDescent="0.25">
      <c r="A73" s="40" t="s">
        <v>266</v>
      </c>
      <c r="B73" s="57">
        <f>IF(3="","-",3)</f>
        <v>3</v>
      </c>
      <c r="C73" s="57">
        <f>IF(-625.2805="","-",-625.2805)</f>
        <v>-625.28049999999996</v>
      </c>
      <c r="D73" s="57" t="s">
        <v>22</v>
      </c>
    </row>
    <row r="74" spans="1:5" x14ac:dyDescent="0.25">
      <c r="A74" s="40" t="s">
        <v>87</v>
      </c>
      <c r="B74" s="57">
        <f>IF(-255.02227="","-",-255.02227)</f>
        <v>-255.02226999999999</v>
      </c>
      <c r="C74" s="57">
        <f>IF(-563.29014="","-",-563.29014)</f>
        <v>-563.29013999999995</v>
      </c>
      <c r="D74" s="57" t="s">
        <v>149</v>
      </c>
    </row>
    <row r="75" spans="1:5" x14ac:dyDescent="0.25">
      <c r="A75" s="40" t="s">
        <v>209</v>
      </c>
      <c r="B75" s="57">
        <f>IF(-1004.21384="","-",-1004.21384)</f>
        <v>-1004.21384</v>
      </c>
      <c r="C75" s="57">
        <f>IF(-537.3987="","-",-537.3987)</f>
        <v>-537.39869999999996</v>
      </c>
      <c r="D75" s="57">
        <f>IF(OR(-1004.21384="",-537.3987="",-1004.21384=0),"-",-537.3987/-1004.21384*100)</f>
        <v>53.514369011285481</v>
      </c>
    </row>
    <row r="76" spans="1:5" x14ac:dyDescent="0.25">
      <c r="A76" s="40" t="s">
        <v>110</v>
      </c>
      <c r="B76" s="57">
        <f>IF(-567.82066="","-",-567.82066)</f>
        <v>-567.82065999999998</v>
      </c>
      <c r="C76" s="57">
        <f>IF(-536.46269="","-",-536.46269)</f>
        <v>-536.46268999999995</v>
      </c>
      <c r="D76" s="57">
        <f>IF(OR(-567.82066="",-536.46269="",-567.82066=0),"-",-536.46269/-567.82066*100)</f>
        <v>94.477486958646409</v>
      </c>
      <c r="E76" s="14"/>
    </row>
    <row r="77" spans="1:5" x14ac:dyDescent="0.25">
      <c r="A77" s="40" t="s">
        <v>141</v>
      </c>
      <c r="B77" s="57">
        <f>IF(451.06255="","-",451.06255)</f>
        <v>451.06254999999999</v>
      </c>
      <c r="C77" s="57">
        <f>IF(-483.19759="","-",-483.19759)</f>
        <v>-483.19758999999999</v>
      </c>
      <c r="D77" s="57" t="s">
        <v>22</v>
      </c>
    </row>
    <row r="78" spans="1:5" x14ac:dyDescent="0.25">
      <c r="A78" s="40" t="s">
        <v>88</v>
      </c>
      <c r="B78" s="57">
        <f>IF(165.11133="","-",165.11133)</f>
        <v>165.11133000000001</v>
      </c>
      <c r="C78" s="57">
        <f>IF(-415.80759="","-",-415.80759)</f>
        <v>-415.80759</v>
      </c>
      <c r="D78" s="57" t="s">
        <v>22</v>
      </c>
    </row>
    <row r="79" spans="1:5" x14ac:dyDescent="0.25">
      <c r="A79" s="40" t="s">
        <v>144</v>
      </c>
      <c r="B79" s="57">
        <f>IF(-120.06033="","-",-120.06033)</f>
        <v>-120.06032999999999</v>
      </c>
      <c r="C79" s="57">
        <f>IF(-365.77772="","-",-365.77772)</f>
        <v>-365.77771999999999</v>
      </c>
      <c r="D79" s="57" t="s">
        <v>187</v>
      </c>
    </row>
    <row r="80" spans="1:5" x14ac:dyDescent="0.25">
      <c r="A80" s="40" t="s">
        <v>207</v>
      </c>
      <c r="B80" s="57">
        <f>IF(37.86931="","-",37.86931)</f>
        <v>37.869309999999999</v>
      </c>
      <c r="C80" s="57">
        <f>IF(-361.96516="","-",-361.96516)</f>
        <v>-361.96516000000003</v>
      </c>
      <c r="D80" s="57" t="s">
        <v>22</v>
      </c>
    </row>
    <row r="81" spans="1:5" x14ac:dyDescent="0.25">
      <c r="A81" s="40" t="s">
        <v>139</v>
      </c>
      <c r="B81" s="57">
        <f>IF(-342.22837="","-",-342.22837)</f>
        <v>-342.22836999999998</v>
      </c>
      <c r="C81" s="57">
        <f>IF(-350.29264="","-",-350.29264)</f>
        <v>-350.29264000000001</v>
      </c>
      <c r="D81" s="57">
        <f>IF(OR(-342.22837="",-350.29264="",-342.22837=0),"-",-350.29264/-342.22837*100)</f>
        <v>102.35640020142107</v>
      </c>
    </row>
    <row r="82" spans="1:5" x14ac:dyDescent="0.25">
      <c r="A82" s="40" t="s">
        <v>205</v>
      </c>
      <c r="B82" s="57">
        <f>IF(-1154.42392="","-",-1154.42392)</f>
        <v>-1154.42392</v>
      </c>
      <c r="C82" s="57">
        <f>IF(-344.03072="","-",-344.03072)</f>
        <v>-344.03071999999997</v>
      </c>
      <c r="D82" s="57">
        <f>IF(OR(-1154.42392="",-344.03072="",-1154.42392=0),"-",-344.03072/-1154.42392*100)</f>
        <v>29.801073421971363</v>
      </c>
    </row>
    <row r="83" spans="1:5" x14ac:dyDescent="0.25">
      <c r="A83" s="40" t="s">
        <v>142</v>
      </c>
      <c r="B83" s="57">
        <f>IF(-205.37586="","-",-205.37586)</f>
        <v>-205.37585999999999</v>
      </c>
      <c r="C83" s="57">
        <f>IF(-326.12387="","-",-326.12387)</f>
        <v>-326.12387000000001</v>
      </c>
      <c r="D83" s="57" t="s">
        <v>156</v>
      </c>
    </row>
    <row r="84" spans="1:5" x14ac:dyDescent="0.25">
      <c r="A84" s="40" t="s">
        <v>147</v>
      </c>
      <c r="B84" s="57">
        <f>IF(-197.87194="","-",-197.87194)</f>
        <v>-197.87194</v>
      </c>
      <c r="C84" s="57">
        <f>IF(-294.16995="","-",-294.16995)</f>
        <v>-294.16994999999997</v>
      </c>
      <c r="D84" s="57">
        <f>IF(OR(-197.87194="",-294.16995="",-197.87194=0),"-",-294.16995/-197.87194*100)</f>
        <v>148.66683472148702</v>
      </c>
    </row>
    <row r="85" spans="1:5" x14ac:dyDescent="0.25">
      <c r="A85" s="40" t="s">
        <v>164</v>
      </c>
      <c r="B85" s="57">
        <f>IF(-31.1883="","-",-31.1883)</f>
        <v>-31.188300000000002</v>
      </c>
      <c r="C85" s="57">
        <f>IF(-255.61042="","-",-255.61042)</f>
        <v>-255.61042</v>
      </c>
      <c r="D85" s="57" t="s">
        <v>241</v>
      </c>
    </row>
    <row r="86" spans="1:5" x14ac:dyDescent="0.25">
      <c r="A86" s="40" t="s">
        <v>128</v>
      </c>
      <c r="B86" s="57">
        <f>IF(-348.26915="","-",-348.26915)</f>
        <v>-348.26915000000002</v>
      </c>
      <c r="C86" s="57">
        <f>IF(-253.36745="","-",-253.36745)</f>
        <v>-253.36744999999999</v>
      </c>
      <c r="D86" s="57">
        <f>IF(OR(-348.26915="",-253.36745="",-348.26915=0),"-",-253.36745/-348.26915*100)</f>
        <v>72.750471869242503</v>
      </c>
    </row>
    <row r="87" spans="1:5" x14ac:dyDescent="0.25">
      <c r="A87" s="40" t="s">
        <v>140</v>
      </c>
      <c r="B87" s="57">
        <f>IF(-169.22875="","-",-169.22875)</f>
        <v>-169.22874999999999</v>
      </c>
      <c r="C87" s="57">
        <f>IF(-154.58012="","-",-154.58012)</f>
        <v>-154.58011999999999</v>
      </c>
      <c r="D87" s="57">
        <f>IF(OR(-169.22875="",-154.58012="",-169.22875=0),"-",-154.58012/-169.22875*100)</f>
        <v>91.343888080482785</v>
      </c>
    </row>
    <row r="88" spans="1:5" x14ac:dyDescent="0.25">
      <c r="A88" s="40" t="s">
        <v>148</v>
      </c>
      <c r="B88" s="57">
        <f>IF(-296.49401="","-",-296.49401)</f>
        <v>-296.49401</v>
      </c>
      <c r="C88" s="57">
        <f>IF(-142.40797="","-",-142.40797)</f>
        <v>-142.40797000000001</v>
      </c>
      <c r="D88" s="57">
        <f>IF(OR(-296.49401="",-142.40797="",-296.49401=0),"-",-142.40797/-296.49401*100)</f>
        <v>48.03063980955298</v>
      </c>
    </row>
    <row r="89" spans="1:5" x14ac:dyDescent="0.25">
      <c r="A89" s="40" t="s">
        <v>211</v>
      </c>
      <c r="B89" s="57">
        <f>IF(-38.05247="","-",-38.05247)</f>
        <v>-38.05247</v>
      </c>
      <c r="C89" s="57">
        <f>IF(-126.57023="","-",-126.57023)</f>
        <v>-126.57023</v>
      </c>
      <c r="D89" s="57" t="s">
        <v>220</v>
      </c>
    </row>
    <row r="90" spans="1:5" x14ac:dyDescent="0.25">
      <c r="A90" s="40" t="s">
        <v>153</v>
      </c>
      <c r="B90" s="57">
        <f>IF(-91.22058="","-",-91.22058)</f>
        <v>-91.220579999999998</v>
      </c>
      <c r="C90" s="57">
        <f>IF(-122.76624="","-",-122.76624)</f>
        <v>-122.76624</v>
      </c>
      <c r="D90" s="57">
        <f>IF(OR(-91.22058="",-122.76624="",-91.22058=0),"-",-122.76624/-91.22058*100)</f>
        <v>134.58173583198001</v>
      </c>
    </row>
    <row r="91" spans="1:5" x14ac:dyDescent="0.25">
      <c r="A91" s="40" t="s">
        <v>246</v>
      </c>
      <c r="B91" s="57">
        <f>IF(-1.79612="","-",-1.79612)</f>
        <v>-1.7961199999999999</v>
      </c>
      <c r="C91" s="57">
        <f>IF(-108.26423="","-",-108.26423)</f>
        <v>-108.26423</v>
      </c>
      <c r="D91" s="57" t="s">
        <v>251</v>
      </c>
    </row>
    <row r="92" spans="1:5" x14ac:dyDescent="0.25">
      <c r="A92" s="40" t="s">
        <v>189</v>
      </c>
      <c r="B92" s="57">
        <f>IF(-116.19618="","-",-116.19618)</f>
        <v>-116.19618</v>
      </c>
      <c r="C92" s="57">
        <f>IF(-94.17903="","-",-94.17903)</f>
        <v>-94.179029999999997</v>
      </c>
      <c r="D92" s="57">
        <f>IF(OR(-116.19618="",-94.17903="",-116.19618=0),"-",-94.17903/-116.19618*100)</f>
        <v>81.051743697598326</v>
      </c>
    </row>
    <row r="93" spans="1:5" x14ac:dyDescent="0.25">
      <c r="A93" s="40" t="s">
        <v>210</v>
      </c>
      <c r="B93" s="57">
        <f>IF(-2.976="","-",-2.976)</f>
        <v>-2.976</v>
      </c>
      <c r="C93" s="57">
        <f>IF(-90.17827="","-",-90.17827)</f>
        <v>-90.178269999999998</v>
      </c>
      <c r="D93" s="57" t="s">
        <v>276</v>
      </c>
    </row>
    <row r="94" spans="1:5" x14ac:dyDescent="0.25">
      <c r="A94" s="40" t="s">
        <v>188</v>
      </c>
      <c r="B94" s="57">
        <f>IF(-326.70748="","-",-326.70748)</f>
        <v>-326.70747999999998</v>
      </c>
      <c r="C94" s="57">
        <f>IF(-77.70059="","-",-77.70059)</f>
        <v>-77.700590000000005</v>
      </c>
      <c r="D94" s="57">
        <f>IF(OR(-326.70748="",-77.70059="",-326.70748=0),"-",-77.70059/-326.70748*100)</f>
        <v>23.782923488620465</v>
      </c>
    </row>
    <row r="95" spans="1:5" x14ac:dyDescent="0.25">
      <c r="A95" s="40" t="s">
        <v>247</v>
      </c>
      <c r="B95" s="57">
        <f>IF(-112.71224="","-",-112.71224)</f>
        <v>-112.71223999999999</v>
      </c>
      <c r="C95" s="57">
        <f>IF(-76.84242="","-",-76.84242)</f>
        <v>-76.842420000000004</v>
      </c>
      <c r="D95" s="57">
        <f>IF(OR(-112.71224="",-76.84242="",-112.71224=0),"-",-76.84242/-112.71224*100)</f>
        <v>68.17575446996706</v>
      </c>
    </row>
    <row r="96" spans="1:5" x14ac:dyDescent="0.25">
      <c r="A96" s="40" t="s">
        <v>248</v>
      </c>
      <c r="B96" s="57">
        <f>IF(-25.62046="","-",-25.62046)</f>
        <v>-25.620460000000001</v>
      </c>
      <c r="C96" s="57">
        <f>IF(-65.34107="","-",-65.34107)</f>
        <v>-65.341070000000002</v>
      </c>
      <c r="D96" s="57" t="s">
        <v>214</v>
      </c>
      <c r="E96" s="14"/>
    </row>
    <row r="97" spans="1:5" x14ac:dyDescent="0.25">
      <c r="A97" s="40" t="s">
        <v>190</v>
      </c>
      <c r="B97" s="57">
        <f>IF(-63.79332="","-",-63.79332)</f>
        <v>-63.793320000000001</v>
      </c>
      <c r="C97" s="57">
        <f>IF(-59.30321="","-",-59.30321)</f>
        <v>-59.30321</v>
      </c>
      <c r="D97" s="57">
        <f>IF(OR(-63.79332="",-59.30321="",-63.79332=0),"-",-59.30321/-63.79332*100)</f>
        <v>92.961473082134617</v>
      </c>
    </row>
    <row r="98" spans="1:5" x14ac:dyDescent="0.25">
      <c r="A98" s="40" t="s">
        <v>267</v>
      </c>
      <c r="B98" s="57">
        <f>IF(-26.18755="","-",-26.18755)</f>
        <v>-26.187550000000002</v>
      </c>
      <c r="C98" s="57">
        <f>IF(-36.19329="","-",-36.19329)</f>
        <v>-36.193289999999998</v>
      </c>
      <c r="D98" s="57">
        <f>IF(OR(-26.18755="",-36.19329="",-26.18755=0),"-",-36.19329/-26.18755*100)</f>
        <v>138.20800342147317</v>
      </c>
      <c r="E98" s="13"/>
    </row>
    <row r="99" spans="1:5" x14ac:dyDescent="0.25">
      <c r="A99" s="40" t="s">
        <v>268</v>
      </c>
      <c r="B99" s="57">
        <f>IF(-110.91542="","-",-110.91542)</f>
        <v>-110.91542</v>
      </c>
      <c r="C99" s="57">
        <f>IF(-36.16308="","-",-36.16308)</f>
        <v>-36.163080000000001</v>
      </c>
      <c r="D99" s="57">
        <f>IF(OR(-110.91542="",-36.16308="",-110.91542=0),"-",-36.16308/-110.91542*100)</f>
        <v>32.60419516060076</v>
      </c>
    </row>
    <row r="100" spans="1:5" x14ac:dyDescent="0.25">
      <c r="A100" s="40" t="s">
        <v>269</v>
      </c>
      <c r="B100" s="57">
        <f>IF(-14.35554="","-",-14.35554)</f>
        <v>-14.35554</v>
      </c>
      <c r="C100" s="57">
        <f>IF(-34.01748="","-",-34.01748)</f>
        <v>-34.017479999999999</v>
      </c>
      <c r="D100" s="57" t="s">
        <v>277</v>
      </c>
      <c r="E100" s="13"/>
    </row>
    <row r="101" spans="1:5" x14ac:dyDescent="0.25">
      <c r="A101" s="40" t="s">
        <v>212</v>
      </c>
      <c r="B101" s="57">
        <f>IF(-10.12485="","-",-10.12485)</f>
        <v>-10.12485</v>
      </c>
      <c r="C101" s="57">
        <f>IF(-23.00899="","-",-23.00899)</f>
        <v>-23.008990000000001</v>
      </c>
      <c r="D101" s="57" t="s">
        <v>162</v>
      </c>
      <c r="E101" s="1"/>
    </row>
    <row r="102" spans="1:5" x14ac:dyDescent="0.25">
      <c r="A102" s="40" t="s">
        <v>270</v>
      </c>
      <c r="B102" s="57">
        <f>IF(20.7275="","-",20.7275)</f>
        <v>20.727499999999999</v>
      </c>
      <c r="C102" s="57">
        <f>IF(30.33013="","-",30.33013)</f>
        <v>30.33013</v>
      </c>
      <c r="D102" s="57">
        <f>IF(OR(20.7275="",30.33013="",20.7275=0),"-",30.33013/20.7275*100)</f>
        <v>146.32797008804729</v>
      </c>
    </row>
    <row r="103" spans="1:5" x14ac:dyDescent="0.25">
      <c r="A103" s="40" t="s">
        <v>206</v>
      </c>
      <c r="B103" s="57">
        <f>IF(-4.25848="","-",-4.25848)</f>
        <v>-4.2584799999999996</v>
      </c>
      <c r="C103" s="57">
        <f>IF(34.04462="","-",34.04462)</f>
        <v>34.044620000000002</v>
      </c>
      <c r="D103" s="57" t="s">
        <v>22</v>
      </c>
    </row>
    <row r="104" spans="1:5" x14ac:dyDescent="0.25">
      <c r="A104" s="40" t="s">
        <v>271</v>
      </c>
      <c r="B104" s="57">
        <f>IF(43.09867="","-",43.09867)</f>
        <v>43.098669999999998</v>
      </c>
      <c r="C104" s="57">
        <f>IF(45.00481="","-",45.00481)</f>
        <v>45.004809999999999</v>
      </c>
      <c r="D104" s="57">
        <f>IF(OR(43.09867="",45.00481="",43.09867=0),"-",45.00481/43.09867*100)</f>
        <v>104.42273508672078</v>
      </c>
    </row>
    <row r="105" spans="1:5" x14ac:dyDescent="0.25">
      <c r="A105" s="40" t="s">
        <v>235</v>
      </c>
      <c r="B105" s="57">
        <f>IF(0="","-",0)</f>
        <v>0</v>
      </c>
      <c r="C105" s="57">
        <f>IF(50.18097="","-",50.18097)</f>
        <v>50.180970000000002</v>
      </c>
      <c r="D105" s="57" t="str">
        <f>IF(OR(0="",50.18097="",0=0),"-",50.18097/0*100)</f>
        <v>-</v>
      </c>
      <c r="E105" s="14"/>
    </row>
    <row r="106" spans="1:5" x14ac:dyDescent="0.25">
      <c r="A106" s="40" t="s">
        <v>185</v>
      </c>
      <c r="B106" s="57">
        <f>IF(2430.76171="","-",2430.76171)</f>
        <v>2430.7617100000002</v>
      </c>
      <c r="C106" s="57">
        <f>IF(66.51032="","-",66.51032)</f>
        <v>66.510319999999993</v>
      </c>
      <c r="D106" s="57">
        <f>IF(OR(2430.76171="",66.51032="",2430.76171=0),"-",66.51032/2430.76171*100)</f>
        <v>2.7361925163779213</v>
      </c>
      <c r="E106" s="10"/>
    </row>
    <row r="107" spans="1:5" x14ac:dyDescent="0.25">
      <c r="A107" s="40" t="s">
        <v>152</v>
      </c>
      <c r="B107" s="57">
        <f>IF(-14.33487="","-",-14.33487)</f>
        <v>-14.33487</v>
      </c>
      <c r="C107" s="57">
        <f>IF(68.48415="","-",68.48415)</f>
        <v>68.48415</v>
      </c>
      <c r="D107" s="57" t="s">
        <v>22</v>
      </c>
    </row>
    <row r="108" spans="1:5" x14ac:dyDescent="0.25">
      <c r="A108" s="40" t="s">
        <v>192</v>
      </c>
      <c r="B108" s="57">
        <f>IF(132.85136="","-",132.85136)</f>
        <v>132.85136</v>
      </c>
      <c r="C108" s="57">
        <f>IF(86.19394="","-",86.19394)</f>
        <v>86.193939999999998</v>
      </c>
      <c r="D108" s="57">
        <f>IF(OR(132.85136="",86.19394="",132.85136=0),"-",86.19394/132.85136*100)</f>
        <v>64.879983163138107</v>
      </c>
      <c r="E108" s="14"/>
    </row>
    <row r="109" spans="1:5" x14ac:dyDescent="0.25">
      <c r="A109" s="40" t="s">
        <v>161</v>
      </c>
      <c r="B109" s="57">
        <f>IF(441.60553="","-",441.60553)</f>
        <v>441.60552999999999</v>
      </c>
      <c r="C109" s="57">
        <f>IF(117.54805="","-",117.54805)</f>
        <v>117.54805</v>
      </c>
      <c r="D109" s="57">
        <f>IF(OR(441.60553="",117.54805="",441.60553=0),"-",117.54805/441.60553*100)</f>
        <v>26.618337410765669</v>
      </c>
    </row>
    <row r="110" spans="1:5" x14ac:dyDescent="0.25">
      <c r="A110" s="40" t="s">
        <v>146</v>
      </c>
      <c r="B110" s="57">
        <f>IF(237.80074="","-",237.80074)</f>
        <v>237.80073999999999</v>
      </c>
      <c r="C110" s="57">
        <f>IF(144.76891="","-",144.76891)</f>
        <v>144.76891000000001</v>
      </c>
      <c r="D110" s="57">
        <f>IF(OR(237.80074="",144.76891="",237.80074=0),"-",144.76891/237.80074*100)</f>
        <v>60.878242010516878</v>
      </c>
    </row>
    <row r="111" spans="1:5" x14ac:dyDescent="0.25">
      <c r="A111" s="40" t="s">
        <v>143</v>
      </c>
      <c r="B111" s="57">
        <f>IF(-300.96348="","-",-300.96348)</f>
        <v>-300.96348</v>
      </c>
      <c r="C111" s="57">
        <f>IF(150.08101="","-",150.08101)</f>
        <v>150.08100999999999</v>
      </c>
      <c r="D111" s="57" t="s">
        <v>22</v>
      </c>
      <c r="E111" s="14"/>
    </row>
    <row r="112" spans="1:5" x14ac:dyDescent="0.25">
      <c r="A112" s="40" t="s">
        <v>137</v>
      </c>
      <c r="B112" s="57">
        <f>IF(-503.33739="","-",-503.33739)</f>
        <v>-503.33739000000003</v>
      </c>
      <c r="C112" s="57">
        <f>IF(169.1051="","-",169.1051)</f>
        <v>169.10509999999999</v>
      </c>
      <c r="D112" s="57" t="s">
        <v>22</v>
      </c>
    </row>
    <row r="113" spans="1:4" x14ac:dyDescent="0.25">
      <c r="A113" s="40" t="s">
        <v>184</v>
      </c>
      <c r="B113" s="57">
        <f>IF(4601.98521="","-",4601.98521)</f>
        <v>4601.9852099999998</v>
      </c>
      <c r="C113" s="57">
        <f>IF(176.90977="","-",176.90977)</f>
        <v>176.90977000000001</v>
      </c>
      <c r="D113" s="57">
        <f>IF(OR(4601.98521="",176.90977="",4601.98521=0),"-",176.90977/4601.98521*100)</f>
        <v>3.8442055314645396</v>
      </c>
    </row>
    <row r="114" spans="1:4" x14ac:dyDescent="0.25">
      <c r="A114" s="40" t="s">
        <v>191</v>
      </c>
      <c r="B114" s="57">
        <f>IF(89.39956="","-",89.39956)</f>
        <v>89.399559999999994</v>
      </c>
      <c r="C114" s="57">
        <f>IF(185.27809="","-",185.27809)</f>
        <v>185.27808999999999</v>
      </c>
      <c r="D114" s="57" t="s">
        <v>145</v>
      </c>
    </row>
    <row r="115" spans="1:4" x14ac:dyDescent="0.25">
      <c r="A115" s="40" t="s">
        <v>86</v>
      </c>
      <c r="B115" s="57">
        <f>IF(356.9767="","-",356.9767)</f>
        <v>356.97669999999999</v>
      </c>
      <c r="C115" s="57">
        <f>IF(202.01485="","-",202.01485)</f>
        <v>202.01485</v>
      </c>
      <c r="D115" s="57">
        <f>IF(OR(356.9767="",202.01485="",356.9767=0),"-",202.01485/356.9767*100)</f>
        <v>56.590486157780042</v>
      </c>
    </row>
    <row r="116" spans="1:4" x14ac:dyDescent="0.25">
      <c r="A116" s="40" t="s">
        <v>113</v>
      </c>
      <c r="B116" s="57">
        <f>IF(563.49774="","-",563.49774)</f>
        <v>563.49774000000002</v>
      </c>
      <c r="C116" s="57">
        <f>IF(217.68195="","-",217.68195)</f>
        <v>217.68195</v>
      </c>
      <c r="D116" s="57">
        <f>IF(OR(563.49774="",217.68195="",563.49774=0),"-",217.68195/563.49774*100)</f>
        <v>38.630492111645381</v>
      </c>
    </row>
    <row r="117" spans="1:4" x14ac:dyDescent="0.25">
      <c r="A117" s="40" t="s">
        <v>117</v>
      </c>
      <c r="B117" s="57">
        <f>IF(2086.3794="","-",2086.3794)</f>
        <v>2086.3793999999998</v>
      </c>
      <c r="C117" s="57">
        <f>IF(220.49864="","-",220.49864)</f>
        <v>220.49863999999999</v>
      </c>
      <c r="D117" s="57">
        <f>IF(OR(2086.3794="",220.49864="",2086.3794=0),"-",220.49864/2086.3794*100)</f>
        <v>10.568482415039183</v>
      </c>
    </row>
    <row r="118" spans="1:4" x14ac:dyDescent="0.25">
      <c r="A118" s="40" t="s">
        <v>204</v>
      </c>
      <c r="B118" s="57">
        <f>IF(-0.58173="","-",-0.58173)</f>
        <v>-0.58172999999999997</v>
      </c>
      <c r="C118" s="57">
        <f>IF(222.09554="","-",222.09554)</f>
        <v>222.09554</v>
      </c>
      <c r="D118" s="57" t="s">
        <v>22</v>
      </c>
    </row>
    <row r="119" spans="1:4" x14ac:dyDescent="0.25">
      <c r="A119" s="40" t="s">
        <v>203</v>
      </c>
      <c r="B119" s="57">
        <f>IF(-40.9297="","-",-40.9297)</f>
        <v>-40.929699999999997</v>
      </c>
      <c r="C119" s="57">
        <f>IF(272.39447="","-",272.39447)</f>
        <v>272.39447000000001</v>
      </c>
      <c r="D119" s="57" t="s">
        <v>22</v>
      </c>
    </row>
    <row r="120" spans="1:4" x14ac:dyDescent="0.25">
      <c r="A120" s="40" t="s">
        <v>126</v>
      </c>
      <c r="B120" s="57">
        <f>IF(265.02169="","-",265.02169)</f>
        <v>265.02168999999998</v>
      </c>
      <c r="C120" s="57">
        <f>IF(401.1316="","-",401.1316)</f>
        <v>401.13159999999999</v>
      </c>
      <c r="D120" s="57" t="s">
        <v>181</v>
      </c>
    </row>
    <row r="121" spans="1:4" x14ac:dyDescent="0.25">
      <c r="A121" s="40" t="s">
        <v>116</v>
      </c>
      <c r="B121" s="57">
        <f>IF(-594.32079="","-",-594.32079)</f>
        <v>-594.32078999999999</v>
      </c>
      <c r="C121" s="57">
        <f>IF(413.06555="","-",413.06555)</f>
        <v>413.06554999999997</v>
      </c>
      <c r="D121" s="57" t="s">
        <v>22</v>
      </c>
    </row>
    <row r="122" spans="1:4" x14ac:dyDescent="0.25">
      <c r="A122" s="40" t="s">
        <v>106</v>
      </c>
      <c r="B122" s="57">
        <f>IF(3310.99055="","-",3310.99055)</f>
        <v>3310.99055</v>
      </c>
      <c r="C122" s="57">
        <f>IF(2035.33996="","-",2035.33996)</f>
        <v>2035.33996</v>
      </c>
      <c r="D122" s="57">
        <f>IF(OR(3310.99055="",2035.33996="",3310.99055=0),"-",2035.33996/3310.99055*100)</f>
        <v>61.472237062108192</v>
      </c>
    </row>
    <row r="123" spans="1:4" x14ac:dyDescent="0.25">
      <c r="A123" s="40" t="s">
        <v>114</v>
      </c>
      <c r="B123" s="57">
        <f>IF(2970.52639="","-",2970.52639)</f>
        <v>2970.52639</v>
      </c>
      <c r="C123" s="57">
        <f>IF(2687.03758="","-",2687.03758)</f>
        <v>2687.0375800000002</v>
      </c>
      <c r="D123" s="57">
        <f>IF(OR(2970.52639="",2687.03758="",2970.52639=0),"-",2687.03758/2970.52639*100)</f>
        <v>90.456613650888997</v>
      </c>
    </row>
    <row r="124" spans="1:4" x14ac:dyDescent="0.25">
      <c r="A124" s="40" t="s">
        <v>107</v>
      </c>
      <c r="B124" s="57">
        <f>IF(3579.74753="","-",3579.74753)</f>
        <v>3579.7475300000001</v>
      </c>
      <c r="C124" s="57">
        <f>IF(3767.59261="","-",3767.59261)</f>
        <v>3767.5926100000001</v>
      </c>
      <c r="D124" s="57">
        <f>IF(OR(3579.74753="",3767.59261="",3579.74753=0),"-",3767.59261/3579.74753*100)</f>
        <v>105.24743933547738</v>
      </c>
    </row>
    <row r="125" spans="1:4" x14ac:dyDescent="0.25">
      <c r="A125" s="40" t="s">
        <v>109</v>
      </c>
      <c r="B125" s="57">
        <f>IF(2084.47418="","-",2084.47418)</f>
        <v>2084.4741800000002</v>
      </c>
      <c r="C125" s="57">
        <f>IF(3776.74103="","-",3776.74103)</f>
        <v>3776.7410300000001</v>
      </c>
      <c r="D125" s="57" t="s">
        <v>154</v>
      </c>
    </row>
    <row r="126" spans="1:4" x14ac:dyDescent="0.25">
      <c r="A126" s="44" t="s">
        <v>183</v>
      </c>
      <c r="B126" s="77">
        <f>IF(14560.80985="","-",14560.80985)</f>
        <v>14560.80985</v>
      </c>
      <c r="C126" s="77">
        <f>IF(20109.83893="","-",20109.83893)</f>
        <v>20109.838930000002</v>
      </c>
      <c r="D126" s="77">
        <f>IF(OR(14560.80985="",20109.83893="",14560.80985=0),"-",20109.83893/14560.80985*100)</f>
        <v>138.10934376016181</v>
      </c>
    </row>
    <row r="127" spans="1:4" x14ac:dyDescent="0.25">
      <c r="A127" s="49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H22" sqref="H22"/>
    </sheetView>
  </sheetViews>
  <sheetFormatPr defaultRowHeight="15.75" x14ac:dyDescent="0.25"/>
  <cols>
    <col min="1" max="1" width="29.5" customWidth="1"/>
    <col min="2" max="2" width="14.875" customWidth="1"/>
    <col min="3" max="3" width="14.5" customWidth="1"/>
    <col min="4" max="5" width="11.625" customWidth="1"/>
  </cols>
  <sheetData>
    <row r="1" spans="1:6" x14ac:dyDescent="0.25">
      <c r="A1" s="84" t="s">
        <v>261</v>
      </c>
      <c r="B1" s="84"/>
      <c r="C1" s="84"/>
      <c r="D1" s="84"/>
      <c r="E1" s="84"/>
    </row>
    <row r="2" spans="1:6" x14ac:dyDescent="0.25">
      <c r="A2" s="9"/>
      <c r="B2" s="9"/>
      <c r="C2" s="9"/>
      <c r="D2" s="9"/>
      <c r="E2" s="9"/>
    </row>
    <row r="3" spans="1:6" x14ac:dyDescent="0.25">
      <c r="A3" s="85"/>
      <c r="B3" s="88" t="s">
        <v>228</v>
      </c>
      <c r="C3" s="89"/>
      <c r="D3" s="88" t="s">
        <v>160</v>
      </c>
      <c r="E3" s="104"/>
      <c r="F3" s="1"/>
    </row>
    <row r="4" spans="1:6" ht="18" customHeight="1" x14ac:dyDescent="0.25">
      <c r="A4" s="86"/>
      <c r="B4" s="92" t="s">
        <v>176</v>
      </c>
      <c r="C4" s="94" t="s">
        <v>233</v>
      </c>
      <c r="D4" s="96" t="s">
        <v>230</v>
      </c>
      <c r="E4" s="88"/>
      <c r="F4" s="1"/>
    </row>
    <row r="5" spans="1:6" ht="22.5" customHeight="1" x14ac:dyDescent="0.25">
      <c r="A5" s="87"/>
      <c r="B5" s="93"/>
      <c r="C5" s="95"/>
      <c r="D5" s="25">
        <v>2019</v>
      </c>
      <c r="E5" s="24">
        <v>2020</v>
      </c>
      <c r="F5" s="1"/>
    </row>
    <row r="6" spans="1:6" ht="15.75" customHeight="1" x14ac:dyDescent="0.25">
      <c r="A6" s="60" t="s">
        <v>256</v>
      </c>
      <c r="B6" s="61">
        <f>IF(675040.29206="","-",675040.29206)</f>
        <v>675040.29206000001</v>
      </c>
      <c r="C6" s="37">
        <v>92.1</v>
      </c>
      <c r="D6" s="62">
        <v>100</v>
      </c>
      <c r="E6" s="62">
        <v>100</v>
      </c>
    </row>
    <row r="7" spans="1:6" ht="15.75" customHeight="1" x14ac:dyDescent="0.25">
      <c r="A7" s="63" t="s">
        <v>193</v>
      </c>
      <c r="B7" s="64"/>
      <c r="C7" s="65"/>
      <c r="D7" s="64"/>
      <c r="E7" s="64"/>
    </row>
    <row r="8" spans="1:6" x14ac:dyDescent="0.25">
      <c r="A8" s="66" t="s">
        <v>166</v>
      </c>
      <c r="B8" s="41">
        <f>IF(59789.83698="","-",59789.83698)</f>
        <v>59789.83698</v>
      </c>
      <c r="C8" s="67">
        <v>99.552700000000002</v>
      </c>
      <c r="D8" s="41">
        <f>IF(60058.49398="","-",60058.49398/732895.97599*100)</f>
        <v>8.1946819122417267</v>
      </c>
      <c r="E8" s="41">
        <f>IF(59789.83698="","-",59789.83698/675040.29206*100)</f>
        <v>8.857224921721512</v>
      </c>
    </row>
    <row r="9" spans="1:6" x14ac:dyDescent="0.25">
      <c r="A9" s="66" t="s">
        <v>167</v>
      </c>
      <c r="B9" s="41">
        <f>IF(37022.53577="","-",37022.53577)</f>
        <v>37022.535770000002</v>
      </c>
      <c r="C9" s="67">
        <v>93.237700000000004</v>
      </c>
      <c r="D9" s="41">
        <f>IF(39707.69475="","-",39707.69475/732895.97599*100)</f>
        <v>5.4179168737231267</v>
      </c>
      <c r="E9" s="41">
        <f>IF(37022.53577="","-",37022.53577/675040.29206*100)</f>
        <v>5.4844927340587999</v>
      </c>
    </row>
    <row r="10" spans="1:6" x14ac:dyDescent="0.25">
      <c r="A10" s="66" t="s">
        <v>168</v>
      </c>
      <c r="B10" s="41">
        <f>IF(569022.90681="","-",569022.90681)</f>
        <v>569022.90680999996</v>
      </c>
      <c r="C10" s="67">
        <v>91.491299999999995</v>
      </c>
      <c r="D10" s="41">
        <f>IF(621941.84121="","-",621941.84121/732895.97599*100)</f>
        <v>84.86086178463151</v>
      </c>
      <c r="E10" s="41">
        <f>IF(569022.90681="","-",569022.90681/675040.29206*100)</f>
        <v>84.294658186036571</v>
      </c>
    </row>
    <row r="11" spans="1:6" x14ac:dyDescent="0.25">
      <c r="A11" s="66" t="s">
        <v>169</v>
      </c>
      <c r="B11" s="41">
        <f>IF(8946.80292="","-",8946.80292)</f>
        <v>8946.8029200000001</v>
      </c>
      <c r="C11" s="67">
        <v>84.944500000000005</v>
      </c>
      <c r="D11" s="41">
        <f>IF(10532.52281="","-",10532.52281/732895.97599*100)</f>
        <v>1.4371101977702374</v>
      </c>
      <c r="E11" s="41">
        <f>IF(8946.80292="","-",8946.80292/675040.29206*100)</f>
        <v>1.3253731703477007</v>
      </c>
    </row>
    <row r="12" spans="1:6" x14ac:dyDescent="0.25">
      <c r="A12" s="66" t="s">
        <v>170</v>
      </c>
      <c r="B12" s="41">
        <f>IF(241.02467="","-",241.02467)</f>
        <v>241.02466999999999</v>
      </c>
      <c r="C12" s="67">
        <v>47.543199999999999</v>
      </c>
      <c r="D12" s="41">
        <f>IF(506.95252="","-",506.95252/732895.97599*100)</f>
        <v>6.9171142509713707E-2</v>
      </c>
      <c r="E12" s="41">
        <f>IF(241.02467="","-",241.02467/675040.29206*100)</f>
        <v>3.5705227204212112E-2</v>
      </c>
    </row>
    <row r="13" spans="1:6" x14ac:dyDescent="0.25">
      <c r="A13" s="66" t="s">
        <v>171</v>
      </c>
      <c r="B13" s="41">
        <f>IF(1.75058="","-",1.75058)</f>
        <v>1.75058</v>
      </c>
      <c r="C13" s="67">
        <v>94.085999999999999</v>
      </c>
      <c r="D13" s="41">
        <f>IF(1.86109="","-",1.86109/732895.97599*100)</f>
        <v>2.5393644677691528E-4</v>
      </c>
      <c r="E13" s="41">
        <f>IF(1.75058="","-",1.75058/675040.29206*100)</f>
        <v>2.5932970529178459E-4</v>
      </c>
    </row>
    <row r="14" spans="1:6" x14ac:dyDescent="0.25">
      <c r="A14" s="66" t="s">
        <v>172</v>
      </c>
      <c r="B14" s="41">
        <f>IF(15.43433="","-",15.43433)</f>
        <v>15.434329999999999</v>
      </c>
      <c r="C14" s="67">
        <v>10.5245</v>
      </c>
      <c r="D14" s="41">
        <f>IF(146.60963="","-",146.60963/732895.97599*100)</f>
        <v>2.0004152676914199E-2</v>
      </c>
      <c r="E14" s="41">
        <f>IF(15.43433="","-",15.43433/675040.29206*100)</f>
        <v>2.2864309259080702E-3</v>
      </c>
    </row>
    <row r="15" spans="1:6" x14ac:dyDescent="0.25">
      <c r="A15" s="38" t="s">
        <v>281</v>
      </c>
      <c r="B15" s="39">
        <f>IF(447437.58687="","-",447437.58687)</f>
        <v>447437.58687</v>
      </c>
      <c r="C15" s="39">
        <f>IF(458888.68047="","-",447437.58687/458888.68047*100)</f>
        <v>97.504603166878795</v>
      </c>
      <c r="D15" s="39">
        <f>IF(458888.68047="","-",458888.68047/732895.97599*100)</f>
        <v>62.613071363931368</v>
      </c>
      <c r="E15" s="39">
        <f>IF(447437.58687="","-",447437.58687/675040.29206*100)</f>
        <v>66.283093340186895</v>
      </c>
    </row>
    <row r="16" spans="1:6" x14ac:dyDescent="0.25">
      <c r="A16" s="63" t="s">
        <v>193</v>
      </c>
      <c r="B16" s="68"/>
      <c r="C16" s="68"/>
      <c r="D16" s="68"/>
      <c r="E16" s="68"/>
    </row>
    <row r="17" spans="1:11" x14ac:dyDescent="0.25">
      <c r="A17" s="66" t="s">
        <v>166</v>
      </c>
      <c r="B17" s="41">
        <f>IF(34925.486="","-",34925.486)</f>
        <v>34925.485999999997</v>
      </c>
      <c r="C17" s="67">
        <v>128.59639999999999</v>
      </c>
      <c r="D17" s="41">
        <f>IF(27158.99524="","-",27158.99524/732895.97599*100)</f>
        <v>3.7057094225839458</v>
      </c>
      <c r="E17" s="41">
        <f>IF(34925.486="","-",34925.486/675040.29206*100)</f>
        <v>5.1738372376882795</v>
      </c>
      <c r="K17" s="27"/>
    </row>
    <row r="18" spans="1:11" x14ac:dyDescent="0.25">
      <c r="A18" s="66" t="s">
        <v>167</v>
      </c>
      <c r="B18" s="41">
        <f>IF(8480.65153="","-",8480.65153)</f>
        <v>8480.6515299999992</v>
      </c>
      <c r="C18" s="67">
        <v>83.818399999999997</v>
      </c>
      <c r="D18" s="41">
        <f>IF(10117.88127="","-",10117.88127/732895.97599*100)</f>
        <v>1.3805344280042895</v>
      </c>
      <c r="E18" s="41">
        <f>IF(8480.65153="","-",8480.65153/675040.29206*100)</f>
        <v>1.2563178272099658</v>
      </c>
    </row>
    <row r="19" spans="1:11" x14ac:dyDescent="0.25">
      <c r="A19" s="66" t="s">
        <v>168</v>
      </c>
      <c r="B19" s="41">
        <f>IF(402797.56516="","-",402797.56516)</f>
        <v>402797.56516</v>
      </c>
      <c r="C19" s="67">
        <v>95.866699999999994</v>
      </c>
      <c r="D19" s="41">
        <f>IF(420164.16336="","-",420164.16336/732895.97599*100)</f>
        <v>57.329304174775956</v>
      </c>
      <c r="E19" s="41">
        <f>IF(402797.56516="","-",402797.56516/675040.29206*100)</f>
        <v>59.670151529887924</v>
      </c>
    </row>
    <row r="20" spans="1:11" x14ac:dyDescent="0.25">
      <c r="A20" s="66" t="s">
        <v>169</v>
      </c>
      <c r="B20" s="41">
        <f>IF(1134.17104="","-",1134.17104)</f>
        <v>1134.1710399999999</v>
      </c>
      <c r="C20" s="67">
        <v>89.183899999999994</v>
      </c>
      <c r="D20" s="41">
        <f>IF(1271.71654="","-",1271.71654/732895.97599*100)</f>
        <v>0.1735193781466951</v>
      </c>
      <c r="E20" s="41">
        <f>IF(1134.17104="","-",1134.17104/675040.29206*100)</f>
        <v>0.16801531009932527</v>
      </c>
    </row>
    <row r="21" spans="1:11" x14ac:dyDescent="0.25">
      <c r="A21" s="66" t="s">
        <v>170</v>
      </c>
      <c r="B21" s="41">
        <f>IF(99.71314="","-",99.71314)</f>
        <v>99.713139999999996</v>
      </c>
      <c r="C21" s="69">
        <v>70.218299999999999</v>
      </c>
      <c r="D21" s="41">
        <f>IF(141.9989="","-",141.9989/732895.97599*100)</f>
        <v>1.9375041568237168E-2</v>
      </c>
      <c r="E21" s="41">
        <f>IF(99.71314="","-",99.71314/675040.29206*100)</f>
        <v>1.4771435301396369E-2</v>
      </c>
    </row>
    <row r="22" spans="1:11" x14ac:dyDescent="0.25">
      <c r="A22" s="48" t="s">
        <v>172</v>
      </c>
      <c r="B22" s="43" t="s">
        <v>223</v>
      </c>
      <c r="C22" s="69" t="s">
        <v>22</v>
      </c>
      <c r="D22" s="41">
        <f>IF(33.92516="","-",33.92516/732895.97599*100)</f>
        <v>4.6289188522523547E-3</v>
      </c>
      <c r="E22" s="43" t="s">
        <v>223</v>
      </c>
    </row>
    <row r="23" spans="1:11" x14ac:dyDescent="0.25">
      <c r="A23" s="38" t="s">
        <v>282</v>
      </c>
      <c r="B23" s="39">
        <f>IF(94890.7183="","-",94890.7183)</f>
        <v>94890.718299999993</v>
      </c>
      <c r="C23" s="39">
        <f>IF(102132.10469="","-",94890.7183/102132.10469*100)</f>
        <v>92.90978442872624</v>
      </c>
      <c r="D23" s="39">
        <f>IF(102132.10469="","-",102132.10469/732895.97599*100)</f>
        <v>13.935416216747457</v>
      </c>
      <c r="E23" s="39">
        <f>IF(94890.7183="","-",94890.7183/675040.29206*100)</f>
        <v>14.057045100289475</v>
      </c>
    </row>
    <row r="24" spans="1:11" x14ac:dyDescent="0.25">
      <c r="A24" s="63" t="s">
        <v>193</v>
      </c>
      <c r="B24" s="68"/>
      <c r="C24" s="68"/>
      <c r="D24" s="68"/>
      <c r="E24" s="68"/>
    </row>
    <row r="25" spans="1:11" x14ac:dyDescent="0.25">
      <c r="A25" s="66" t="s">
        <v>166</v>
      </c>
      <c r="B25" s="41">
        <f>IF(1252.01706="","-",1252.01706)</f>
        <v>1252.0170599999999</v>
      </c>
      <c r="C25" s="67">
        <v>72.942800000000005</v>
      </c>
      <c r="D25" s="41">
        <f>IF(1716.43873="","-",1716.43873/732895.97599*100)</f>
        <v>0.23419950255306357</v>
      </c>
      <c r="E25" s="41">
        <f>IF(1252.01706="","-",1252.01706/675040.29206*100)</f>
        <v>0.18547293764928569</v>
      </c>
    </row>
    <row r="26" spans="1:11" x14ac:dyDescent="0.25">
      <c r="A26" s="66" t="s">
        <v>167</v>
      </c>
      <c r="B26" s="41">
        <f>IF(2238.73861="","-",2238.73861)</f>
        <v>2238.7386099999999</v>
      </c>
      <c r="C26" s="67">
        <v>58.878300000000003</v>
      </c>
      <c r="D26" s="41">
        <f>IF(3802.32131="","-",3802.32131/732895.97599*100)</f>
        <v>0.51880777553237389</v>
      </c>
      <c r="E26" s="41">
        <f>IF(2238.73861="","-",2238.73861/675040.29206*100)</f>
        <v>0.3316451827146657</v>
      </c>
      <c r="F26" s="1"/>
      <c r="G26" s="1"/>
    </row>
    <row r="27" spans="1:11" x14ac:dyDescent="0.25">
      <c r="A27" s="66" t="s">
        <v>168</v>
      </c>
      <c r="B27" s="41">
        <f>IF(88633.63064="","-",88633.63064)</f>
        <v>88633.630640000003</v>
      </c>
      <c r="C27" s="70">
        <v>93.703199999999995</v>
      </c>
      <c r="D27" s="41">
        <f>IF(94589.7403="","-",94589.7403/732895.97599*100)</f>
        <v>12.906298219502114</v>
      </c>
      <c r="E27" s="41">
        <f>IF(88633.63064="","-",88633.63064/675040.29206*100)</f>
        <v>13.130124480350563</v>
      </c>
      <c r="F27" s="14"/>
      <c r="G27" s="14"/>
    </row>
    <row r="28" spans="1:11" x14ac:dyDescent="0.25">
      <c r="A28" s="66" t="s">
        <v>169</v>
      </c>
      <c r="B28" s="41">
        <f>IF(2707.50369="","-",2707.50369)</f>
        <v>2707.50369</v>
      </c>
      <c r="C28" s="70" t="s">
        <v>257</v>
      </c>
      <c r="D28" s="41">
        <f>IF(1703.47716="","-",1703.47716/732895.97599*100)</f>
        <v>0.23243096098309635</v>
      </c>
      <c r="E28" s="41">
        <f>IF(2707.50369="","-",2707.50369/675040.29206*100)</f>
        <v>0.40108771607359806</v>
      </c>
    </row>
    <row r="29" spans="1:11" x14ac:dyDescent="0.25">
      <c r="A29" s="66" t="s">
        <v>170</v>
      </c>
      <c r="B29" s="41">
        <f>IF(41.64339="","-",41.64339)</f>
        <v>41.643389999999997</v>
      </c>
      <c r="C29" s="70">
        <v>13.0832</v>
      </c>
      <c r="D29" s="41">
        <f>IF(318.2661="","-",318.2661/732895.97599*100)</f>
        <v>4.3425821730032614E-2</v>
      </c>
      <c r="E29" s="41">
        <f>IF(41.64339="","-",41.64339/675040.29206*100)</f>
        <v>6.1690228701635156E-3</v>
      </c>
    </row>
    <row r="30" spans="1:11" x14ac:dyDescent="0.25">
      <c r="A30" s="66" t="s">
        <v>171</v>
      </c>
      <c r="B30" s="41">
        <f>IF(1.75058="","-",1.75058)</f>
        <v>1.75058</v>
      </c>
      <c r="C30" s="70">
        <v>94.085999999999999</v>
      </c>
      <c r="D30" s="41">
        <f>IF(1.86109="","-",1.86109/732895.97599*100)</f>
        <v>2.5393644677691528E-4</v>
      </c>
      <c r="E30" s="41">
        <f>IF(1.75058="","-",1.75058/675040.29206*100)</f>
        <v>2.5932970529178459E-4</v>
      </c>
    </row>
    <row r="31" spans="1:11" x14ac:dyDescent="0.25">
      <c r="A31" s="66" t="s">
        <v>172</v>
      </c>
      <c r="B31" s="41">
        <f>IF(15.43433="","-",15.43433)</f>
        <v>15.434329999999999</v>
      </c>
      <c r="C31" s="70" t="s">
        <v>22</v>
      </c>
      <c r="D31" s="70" t="s">
        <v>224</v>
      </c>
      <c r="E31" s="41">
        <f>IF(15.43433="","-",15.43433/675040.29206*100)</f>
        <v>2.2864309259080702E-3</v>
      </c>
    </row>
    <row r="32" spans="1:11" x14ac:dyDescent="0.25">
      <c r="A32" s="38" t="s">
        <v>283</v>
      </c>
      <c r="B32" s="39">
        <f>IF(132711.98689="","-",132711.98689)</f>
        <v>132711.98689</v>
      </c>
      <c r="C32" s="39">
        <f>IF(171875.19083="","-",132711.98689/171875.19083*100)</f>
        <v>77.214161188198517</v>
      </c>
      <c r="D32" s="39">
        <f>IF(171875.19083="","-",171875.19083/732895.97599*100)</f>
        <v>23.45151241932118</v>
      </c>
      <c r="E32" s="39">
        <f>IF(132711.98689="","-",132711.98689/675040.29206*100)</f>
        <v>19.659861559523634</v>
      </c>
    </row>
    <row r="33" spans="1:5" x14ac:dyDescent="0.25">
      <c r="A33" s="63" t="s">
        <v>193</v>
      </c>
      <c r="B33" s="68"/>
      <c r="C33" s="68"/>
      <c r="D33" s="68"/>
      <c r="E33" s="68"/>
    </row>
    <row r="34" spans="1:5" x14ac:dyDescent="0.25">
      <c r="A34" s="66" t="s">
        <v>166</v>
      </c>
      <c r="B34" s="41">
        <f>IF(23612.33392="","-",23612.33392)</f>
        <v>23612.333920000001</v>
      </c>
      <c r="C34" s="67">
        <v>75.721699999999998</v>
      </c>
      <c r="D34" s="43">
        <f>IF(31183.06001="","-",31183.06001/732895.97599*100)</f>
        <v>4.2547729871047189</v>
      </c>
      <c r="E34" s="41">
        <f>IF(23612.33392="","-",23612.33392/675040.29206*100)</f>
        <v>3.4979147463839464</v>
      </c>
    </row>
    <row r="35" spans="1:5" x14ac:dyDescent="0.25">
      <c r="A35" s="66" t="s">
        <v>167</v>
      </c>
      <c r="B35" s="41">
        <f>IF(26303.14563="","-",26303.14563)</f>
        <v>26303.145629999999</v>
      </c>
      <c r="C35" s="67">
        <v>101.9997</v>
      </c>
      <c r="D35" s="43">
        <f>IF(25787.49217="","-",25787.49217/732895.97599*100)</f>
        <v>3.5185746701864633</v>
      </c>
      <c r="E35" s="41">
        <f>IF(26303.14563="","-",26303.14563/675040.29206*100)</f>
        <v>3.8965297241341679</v>
      </c>
    </row>
    <row r="36" spans="1:5" x14ac:dyDescent="0.25">
      <c r="A36" s="66" t="s">
        <v>168</v>
      </c>
      <c r="B36" s="41">
        <f>IF(77591.71101="","-",77591.71101)</f>
        <v>77591.711009999999</v>
      </c>
      <c r="C36" s="67">
        <v>72.388499999999993</v>
      </c>
      <c r="D36" s="43">
        <f>IF(107187.93755="","-",107187.93755/732895.97599*100)</f>
        <v>14.625259390353445</v>
      </c>
      <c r="E36" s="41">
        <f>IF(77591.71101="","-",77591.71101/675040.29206*100)</f>
        <v>11.494382175798089</v>
      </c>
    </row>
    <row r="37" spans="1:5" x14ac:dyDescent="0.25">
      <c r="A37" s="66" t="s">
        <v>169</v>
      </c>
      <c r="B37" s="41">
        <f>IF(5105.12819="","-",5105.12819)</f>
        <v>5105.1281900000004</v>
      </c>
      <c r="C37" s="69">
        <v>67.552000000000007</v>
      </c>
      <c r="D37" s="43">
        <f>IF(7557.32911="","-",7557.32911/732895.97599*100)</f>
        <v>1.031159858640446</v>
      </c>
      <c r="E37" s="41">
        <f>IF(5105.12819="","-",5105.12819/675040.29206*100)</f>
        <v>0.75627014417477734</v>
      </c>
    </row>
    <row r="38" spans="1:5" x14ac:dyDescent="0.25">
      <c r="A38" s="48" t="s">
        <v>170</v>
      </c>
      <c r="B38" s="41">
        <f>IF(99.66814="","-",99.66814)</f>
        <v>99.668139999999994</v>
      </c>
      <c r="C38" s="69" t="s">
        <v>145</v>
      </c>
      <c r="D38" s="43">
        <f>IF(46.68752="","-",46.68752/732895.97599*100)</f>
        <v>6.3702792114439209E-3</v>
      </c>
      <c r="E38" s="41">
        <f>IF(99.66814="","-",99.66814/675040.29206*100)</f>
        <v>1.4764769032652223E-2</v>
      </c>
    </row>
    <row r="39" spans="1:5" x14ac:dyDescent="0.25">
      <c r="A39" s="71" t="s">
        <v>172</v>
      </c>
      <c r="B39" s="45" t="s">
        <v>223</v>
      </c>
      <c r="C39" s="72" t="s">
        <v>22</v>
      </c>
      <c r="D39" s="45">
        <f>IF(112.68447="","-",112.68447/732895.97599*100)</f>
        <v>1.5375233824661843E-2</v>
      </c>
      <c r="E39" s="45" t="s">
        <v>223</v>
      </c>
    </row>
    <row r="40" spans="1:5" x14ac:dyDescent="0.25">
      <c r="A40" s="29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H21" sqref="H21"/>
    </sheetView>
  </sheetViews>
  <sheetFormatPr defaultRowHeight="15.75" x14ac:dyDescent="0.25"/>
  <cols>
    <col min="1" max="1" width="30.125" customWidth="1"/>
    <col min="2" max="2" width="14.5" customWidth="1"/>
    <col min="3" max="3" width="14.375" customWidth="1"/>
    <col min="4" max="5" width="11.625" customWidth="1"/>
  </cols>
  <sheetData>
    <row r="1" spans="1:6" x14ac:dyDescent="0.25">
      <c r="A1" s="84" t="s">
        <v>262</v>
      </c>
      <c r="B1" s="84"/>
      <c r="C1" s="84"/>
      <c r="D1" s="84"/>
      <c r="E1" s="84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5"/>
      <c r="B3" s="88" t="s">
        <v>228</v>
      </c>
      <c r="C3" s="89"/>
      <c r="D3" s="88" t="s">
        <v>160</v>
      </c>
      <c r="E3" s="104"/>
      <c r="F3" s="1"/>
    </row>
    <row r="4" spans="1:6" ht="19.5" customHeight="1" x14ac:dyDescent="0.25">
      <c r="A4" s="86"/>
      <c r="B4" s="92" t="s">
        <v>176</v>
      </c>
      <c r="C4" s="94" t="s">
        <v>233</v>
      </c>
      <c r="D4" s="96" t="s">
        <v>230</v>
      </c>
      <c r="E4" s="88"/>
      <c r="F4" s="1"/>
    </row>
    <row r="5" spans="1:6" ht="20.25" customHeight="1" x14ac:dyDescent="0.25">
      <c r="A5" s="87"/>
      <c r="B5" s="93"/>
      <c r="C5" s="95"/>
      <c r="D5" s="35">
        <v>2019</v>
      </c>
      <c r="E5" s="34">
        <v>2020</v>
      </c>
      <c r="F5" s="1"/>
    </row>
    <row r="6" spans="1:6" ht="15.75" customHeight="1" x14ac:dyDescent="0.25">
      <c r="A6" s="60" t="s">
        <v>194</v>
      </c>
      <c r="B6" s="61">
        <f>IF(1365812.81697="","-",1365812.81697)</f>
        <v>1365812.81697</v>
      </c>
      <c r="C6" s="37">
        <f>IF(1365036.36807="","-",1365812.81697/1365036.36807*100)</f>
        <v>100.05688118779558</v>
      </c>
      <c r="D6" s="62">
        <v>100</v>
      </c>
      <c r="E6" s="62">
        <v>100</v>
      </c>
    </row>
    <row r="7" spans="1:6" ht="15.75" customHeight="1" x14ac:dyDescent="0.25">
      <c r="A7" s="63" t="s">
        <v>193</v>
      </c>
      <c r="B7" s="64"/>
      <c r="C7" s="65"/>
      <c r="D7" s="64"/>
      <c r="E7" s="64"/>
    </row>
    <row r="8" spans="1:6" x14ac:dyDescent="0.25">
      <c r="A8" s="66" t="s">
        <v>166</v>
      </c>
      <c r="B8" s="41">
        <f>IF(23898.97811="","-",23898.97811)</f>
        <v>23898.97811</v>
      </c>
      <c r="C8" s="67">
        <v>103.3993</v>
      </c>
      <c r="D8" s="41">
        <f>IF(23113.28957="","-",23113.28957/1365036.36807*100)</f>
        <v>1.6932361738229331</v>
      </c>
      <c r="E8" s="41">
        <f>IF(23898.97811="","-",23898.97811/1365812.81697*100)</f>
        <v>1.7497989338699358</v>
      </c>
    </row>
    <row r="9" spans="1:6" x14ac:dyDescent="0.25">
      <c r="A9" s="66" t="s">
        <v>167</v>
      </c>
      <c r="B9" s="41">
        <f>IF(61974.24781="","-",61974.24781)</f>
        <v>61974.247810000001</v>
      </c>
      <c r="C9" s="67">
        <v>114.248</v>
      </c>
      <c r="D9" s="41">
        <f>IF(54245.36834="","-",54245.36834/1365036.36807*100)</f>
        <v>3.9739137805314693</v>
      </c>
      <c r="E9" s="41">
        <f>IF(61974.24781="","-",61974.24781/1365812.81697*100)</f>
        <v>4.537535966860184</v>
      </c>
    </row>
    <row r="10" spans="1:6" x14ac:dyDescent="0.25">
      <c r="A10" s="66" t="s">
        <v>168</v>
      </c>
      <c r="B10" s="41">
        <f>IF(1154284.78185="","-",1154284.78185)</f>
        <v>1154284.7818499999</v>
      </c>
      <c r="C10" s="67">
        <v>103.75920000000001</v>
      </c>
      <c r="D10" s="41">
        <f>IF(1112464.48425="","-",1112464.48425/1365036.36807*100)</f>
        <v>81.497058266871903</v>
      </c>
      <c r="E10" s="41">
        <f>IF(1154284.78185="","-",1154284.78185/1365812.81697*100)</f>
        <v>84.512662899937752</v>
      </c>
    </row>
    <row r="11" spans="1:6" x14ac:dyDescent="0.25">
      <c r="A11" s="66" t="s">
        <v>169</v>
      </c>
      <c r="B11" s="41">
        <f>IF(29590.6605="","-",29590.6605)</f>
        <v>29590.660500000002</v>
      </c>
      <c r="C11" s="67">
        <v>83.430199999999999</v>
      </c>
      <c r="D11" s="41">
        <f>IF(35467.54594="","-",35467.54594/1365036.36807*100)</f>
        <v>2.5982857870773741</v>
      </c>
      <c r="E11" s="41">
        <f>IF(29590.6605="","-",29590.6605/1365812.81697*100)</f>
        <v>2.1665238554171484</v>
      </c>
    </row>
    <row r="12" spans="1:6" x14ac:dyDescent="0.25">
      <c r="A12" s="66" t="s">
        <v>170</v>
      </c>
      <c r="B12" s="41">
        <f>IF(2318.19131="","-",2318.19131)</f>
        <v>2318.1913100000002</v>
      </c>
      <c r="C12" s="67">
        <v>102.9186</v>
      </c>
      <c r="D12" s="41">
        <f>IF(2252.4478="","-",2252.4478/1365036.36807*100)</f>
        <v>0.16501009443321241</v>
      </c>
      <c r="E12" s="41">
        <f>IF(2318.19131="","-",2318.19131/1365812.81697*100)</f>
        <v>0.1697297961475287</v>
      </c>
    </row>
    <row r="13" spans="1:6" x14ac:dyDescent="0.25">
      <c r="A13" s="66" t="s">
        <v>171</v>
      </c>
      <c r="B13" s="41">
        <f>IF(87159.04336="","-",87159.04336)</f>
        <v>87159.043359999996</v>
      </c>
      <c r="C13" s="67">
        <v>68.4542</v>
      </c>
      <c r="D13" s="41">
        <f>IF(127324.64733="","-",127324.64733/1365036.36807*100)</f>
        <v>9.3275644743459836</v>
      </c>
      <c r="E13" s="41">
        <f>IF(87159.04336="","-",87159.04336/1365812.81697*100)</f>
        <v>6.3814779212102266</v>
      </c>
    </row>
    <row r="14" spans="1:6" x14ac:dyDescent="0.25">
      <c r="A14" s="66" t="s">
        <v>172</v>
      </c>
      <c r="B14" s="41">
        <f>IF(6586.91403="","-",6586.91403)</f>
        <v>6586.9140299999999</v>
      </c>
      <c r="C14" s="67">
        <v>64.777100000000004</v>
      </c>
      <c r="D14" s="41">
        <f>IF(10168.58484="","-",10168.58484/1365036.36807*100)</f>
        <v>0.744931422917118</v>
      </c>
      <c r="E14" s="41">
        <f>IF(6586.91403="","-",6586.91403/1365812.81697*100)</f>
        <v>0.48227062655721742</v>
      </c>
    </row>
    <row r="15" spans="1:6" x14ac:dyDescent="0.25">
      <c r="A15" s="38" t="s">
        <v>281</v>
      </c>
      <c r="B15" s="39">
        <f>IF(647728.13287="","-",647728.13287)</f>
        <v>647728.13286999997</v>
      </c>
      <c r="C15" s="39">
        <f>IF(638540.78719="","-",647728.13287/638540.78719*100)</f>
        <v>101.43880326273759</v>
      </c>
      <c r="D15" s="39">
        <f>IF(638540.78719="","-",638540.78719/1365036.36807*100)</f>
        <v>46.778298522025544</v>
      </c>
      <c r="E15" s="39">
        <f>IF(647728.13287="","-",647728.13287/1365812.81697*100)</f>
        <v>47.424370662076406</v>
      </c>
    </row>
    <row r="16" spans="1:6" x14ac:dyDescent="0.25">
      <c r="A16" s="63" t="s">
        <v>193</v>
      </c>
      <c r="B16" s="64"/>
      <c r="C16" s="73"/>
      <c r="D16" s="64"/>
      <c r="E16" s="64"/>
    </row>
    <row r="17" spans="1:7" x14ac:dyDescent="0.25">
      <c r="A17" s="66" t="s">
        <v>166</v>
      </c>
      <c r="B17" s="41">
        <f>IF(9172.98086="","-",9172.98086)</f>
        <v>9172.9808599999997</v>
      </c>
      <c r="C17" s="67">
        <v>56.526899999999998</v>
      </c>
      <c r="D17" s="41">
        <f>IF(16227.64846="","-",16227.64846/1365036.36807*100)</f>
        <v>1.1888070413057181</v>
      </c>
      <c r="E17" s="41">
        <f>IF(9172.98086="","-",9172.98086/1365812.81697*100)</f>
        <v>0.67161332402414287</v>
      </c>
    </row>
    <row r="18" spans="1:7" x14ac:dyDescent="0.25">
      <c r="A18" s="66" t="s">
        <v>167</v>
      </c>
      <c r="B18" s="41">
        <f>IF(6532.8188="","-",6532.8188)</f>
        <v>6532.8188</v>
      </c>
      <c r="C18" s="67">
        <v>113.5665</v>
      </c>
      <c r="D18" s="41">
        <f>IF(5752.42298="","-",5752.42298/1365036.36807*100)</f>
        <v>0.42141170115000276</v>
      </c>
      <c r="E18" s="41">
        <f>IF(6532.8188="","-",6532.8188/1365812.81697*100)</f>
        <v>0.47830996450105012</v>
      </c>
    </row>
    <row r="19" spans="1:7" x14ac:dyDescent="0.25">
      <c r="A19" s="66" t="s">
        <v>168</v>
      </c>
      <c r="B19" s="41">
        <f>IF(615674.5811="","-",615674.5811)</f>
        <v>615674.58109999995</v>
      </c>
      <c r="C19" s="67">
        <v>102.98820000000001</v>
      </c>
      <c r="D19" s="41">
        <f>IF(597810.79044="","-",597810.79044/1365036.36807*100)</f>
        <v>43.794495474522321</v>
      </c>
      <c r="E19" s="41">
        <f>IF(615674.5811="","-",615674.5811/1365812.81697*100)</f>
        <v>45.077522589504532</v>
      </c>
    </row>
    <row r="20" spans="1:7" x14ac:dyDescent="0.25">
      <c r="A20" s="66" t="s">
        <v>169</v>
      </c>
      <c r="B20" s="41">
        <f>IF(9404.24015="","-",9404.24015)</f>
        <v>9404.2401499999996</v>
      </c>
      <c r="C20" s="67">
        <v>97.306399999999996</v>
      </c>
      <c r="D20" s="41">
        <f>IF(9664.55813="","-",9664.55813/1365036.36807*100)</f>
        <v>0.70800737299509031</v>
      </c>
      <c r="E20" s="41">
        <f>IF(9404.24015="","-",9404.24015/1365812.81697*100)</f>
        <v>0.6885453140543023</v>
      </c>
    </row>
    <row r="21" spans="1:7" x14ac:dyDescent="0.25">
      <c r="A21" s="66" t="s">
        <v>170</v>
      </c>
      <c r="B21" s="41">
        <f>IF(1050.31618="","-",1050.31618)</f>
        <v>1050.31618</v>
      </c>
      <c r="C21" s="67">
        <v>90.866</v>
      </c>
      <c r="D21" s="41">
        <f>IF(1155.90264="","-",1155.90264/1365036.36807*100)</f>
        <v>8.4679255955232138E-2</v>
      </c>
      <c r="E21" s="41">
        <f>IF(1050.31618="","-",1050.31618/1365812.81697*100)</f>
        <v>7.6900448359394052E-2</v>
      </c>
    </row>
    <row r="22" spans="1:7" x14ac:dyDescent="0.25">
      <c r="A22" s="66" t="s">
        <v>172</v>
      </c>
      <c r="B22" s="41">
        <f>IF(5893.19578="","-",5893.19578)</f>
        <v>5893.19578</v>
      </c>
      <c r="C22" s="67">
        <v>74.320300000000003</v>
      </c>
      <c r="D22" s="41">
        <f>IF(7929.46454="","-",7929.46454/1365036.36807*100)</f>
        <v>0.58089767609718157</v>
      </c>
      <c r="E22" s="41">
        <f>IF(5893.19578="","-",5893.19578/1365812.81697*100)</f>
        <v>0.43147902163298002</v>
      </c>
    </row>
    <row r="23" spans="1:7" x14ac:dyDescent="0.25">
      <c r="A23" s="38" t="s">
        <v>282</v>
      </c>
      <c r="B23" s="39">
        <f>IF(341555.66314="","-",341555.66314)</f>
        <v>341555.66314000002</v>
      </c>
      <c r="C23" s="39">
        <f>IF(367055.05493="","-",341555.66314/367055.05493*100)</f>
        <v>93.052978988434617</v>
      </c>
      <c r="D23" s="39">
        <f>IF(367055.05493="","-",367055.05493/1365036.36807*100)</f>
        <v>26.889763783288235</v>
      </c>
      <c r="E23" s="39">
        <f>IF(341555.66314="","-",341555.66314/1365812.81697*100)</f>
        <v>25.007501679309712</v>
      </c>
    </row>
    <row r="24" spans="1:7" x14ac:dyDescent="0.25">
      <c r="A24" s="66" t="s">
        <v>193</v>
      </c>
      <c r="B24" s="64"/>
      <c r="C24" s="73"/>
      <c r="D24" s="64"/>
      <c r="E24" s="64"/>
    </row>
    <row r="25" spans="1:7" x14ac:dyDescent="0.25">
      <c r="A25" s="66" t="s">
        <v>166</v>
      </c>
      <c r="B25" s="41">
        <f>IF(10517.64011="","-",10517.64011)</f>
        <v>10517.64011</v>
      </c>
      <c r="C25" s="67" t="s">
        <v>145</v>
      </c>
      <c r="D25" s="41">
        <f>IF(4913.11259="","-",4913.11259/1365036.36807*100)</f>
        <v>0.35992539868711043</v>
      </c>
      <c r="E25" s="41">
        <f>IF(10517.64011="","-",10517.64011/1365812.81697*100)</f>
        <v>0.77006453441643308</v>
      </c>
    </row>
    <row r="26" spans="1:7" x14ac:dyDescent="0.25">
      <c r="A26" s="66" t="s">
        <v>167</v>
      </c>
      <c r="B26" s="41">
        <f>IF(55332.55578="","-",55332.55578)</f>
        <v>55332.555780000002</v>
      </c>
      <c r="C26" s="67">
        <v>114.7898</v>
      </c>
      <c r="D26" s="41">
        <f>IF(48203.38539="","-",48203.38539/1365036.36807*100)</f>
        <v>3.5312894599397291</v>
      </c>
      <c r="E26" s="41">
        <f>IF(55332.55578="","-",55332.55578/1365812.81697*100)</f>
        <v>4.0512546882341471</v>
      </c>
      <c r="F26" s="1"/>
      <c r="G26" s="1"/>
    </row>
    <row r="27" spans="1:7" x14ac:dyDescent="0.25">
      <c r="A27" s="66" t="s">
        <v>168</v>
      </c>
      <c r="B27" s="41">
        <f>IF(185990.10223="","-",185990.10223)</f>
        <v>185990.10222999999</v>
      </c>
      <c r="C27" s="67">
        <v>102.5759</v>
      </c>
      <c r="D27" s="41">
        <f>IF(181319.5218="","-",181319.5218/1365036.36807*100)</f>
        <v>13.28312754453307</v>
      </c>
      <c r="E27" s="41">
        <f>IF(185990.10223="","-",185990.10223/1365812.81697*100)</f>
        <v>13.617539674478341</v>
      </c>
      <c r="F27" s="1"/>
      <c r="G27" s="1"/>
    </row>
    <row r="28" spans="1:7" x14ac:dyDescent="0.25">
      <c r="A28" s="66" t="s">
        <v>169</v>
      </c>
      <c r="B28" s="41">
        <f>IF(2440.16511="","-",2440.16511)</f>
        <v>2440.1651099999999</v>
      </c>
      <c r="C28" s="67">
        <v>62.900199999999998</v>
      </c>
      <c r="D28" s="41">
        <f>IF(3879.43393="","-",3879.43393/1365036.36807*100)</f>
        <v>0.28420004189962067</v>
      </c>
      <c r="E28" s="41">
        <f>IF(2440.16511="","-",2440.16511/1365812.81697*100)</f>
        <v>0.17866028782870896</v>
      </c>
      <c r="F28" s="14"/>
      <c r="G28" s="14"/>
    </row>
    <row r="29" spans="1:7" x14ac:dyDescent="0.25">
      <c r="A29" s="66" t="s">
        <v>170</v>
      </c>
      <c r="B29" s="41">
        <f>IF(92.47988="","-",92.47988)</f>
        <v>92.479879999999994</v>
      </c>
      <c r="C29" s="67">
        <v>92.628200000000007</v>
      </c>
      <c r="D29" s="41">
        <f>IF(99.84486="","-",99.84486/1365036.36807*100)</f>
        <v>7.314446877424139E-3</v>
      </c>
      <c r="E29" s="41">
        <f>IF(92.47988="","-",92.47988/1365812.81697*100)</f>
        <v>6.771050824165117E-3</v>
      </c>
    </row>
    <row r="30" spans="1:7" x14ac:dyDescent="0.25">
      <c r="A30" s="66" t="s">
        <v>171</v>
      </c>
      <c r="B30" s="41">
        <f>IF(87159.04336="","-",87159.04336)</f>
        <v>87159.043359999996</v>
      </c>
      <c r="C30" s="67">
        <v>68.4542</v>
      </c>
      <c r="D30" s="41">
        <f>IF(127324.64733="","-",127324.64733/1365036.36807*100)</f>
        <v>9.3275644743459836</v>
      </c>
      <c r="E30" s="41">
        <f>IF(87159.04336="","-",87159.04336/1365812.81697*100)</f>
        <v>6.3814779212102266</v>
      </c>
    </row>
    <row r="31" spans="1:7" x14ac:dyDescent="0.25">
      <c r="A31" s="66" t="s">
        <v>172</v>
      </c>
      <c r="B31" s="41">
        <f>IF(23.67667="","-",23.67667)</f>
        <v>23.676670000000001</v>
      </c>
      <c r="C31" s="67">
        <v>1.8006</v>
      </c>
      <c r="D31" s="41">
        <f>IF(1315.10903="","-",1315.10903/1365036.36807*100)</f>
        <v>9.6342417005299913E-2</v>
      </c>
      <c r="E31" s="41">
        <f>IF(23.67667="","-",23.67667/1365812.81697*100)</f>
        <v>1.7335223176866744E-3</v>
      </c>
    </row>
    <row r="32" spans="1:7" x14ac:dyDescent="0.25">
      <c r="A32" s="38" t="s">
        <v>284</v>
      </c>
      <c r="B32" s="39">
        <f>IF(376529.02096="","-",376529.02096)</f>
        <v>376529.02095999999</v>
      </c>
      <c r="C32" s="39">
        <f>IF(359440.52595="","-",376529.02096/359440.52595*100)</f>
        <v>104.7541926344658</v>
      </c>
      <c r="D32" s="39">
        <f>IF(359440.52595="","-",359440.52595/1365036.36807*100)</f>
        <v>26.331937694686214</v>
      </c>
      <c r="E32" s="39">
        <f>IF(376529.02096="","-",376529.02096/1365812.81697*100)</f>
        <v>27.568127658613882</v>
      </c>
    </row>
    <row r="33" spans="1:5" x14ac:dyDescent="0.25">
      <c r="A33" s="66" t="s">
        <v>193</v>
      </c>
      <c r="B33" s="64"/>
      <c r="C33" s="73"/>
      <c r="D33" s="74"/>
      <c r="E33" s="64"/>
    </row>
    <row r="34" spans="1:5" x14ac:dyDescent="0.25">
      <c r="A34" s="66" t="s">
        <v>166</v>
      </c>
      <c r="B34" s="41">
        <f>IF(4208.35714="","-",4208.35714)</f>
        <v>4208.3571400000001</v>
      </c>
      <c r="C34" s="67" t="s">
        <v>145</v>
      </c>
      <c r="D34" s="41">
        <f>IF(1972.52852="","-",1972.52852/1365036.36807*100)</f>
        <v>0.14450373383010462</v>
      </c>
      <c r="E34" s="41">
        <f>IF(4208.35714="","-",4208.35714/1365812.81697*100)</f>
        <v>0.30812107542935996</v>
      </c>
    </row>
    <row r="35" spans="1:5" x14ac:dyDescent="0.25">
      <c r="A35" s="66" t="s">
        <v>167</v>
      </c>
      <c r="B35" s="41">
        <f>IF(108.87323="","-",108.87323)</f>
        <v>108.87323000000001</v>
      </c>
      <c r="C35" s="67">
        <v>37.598399999999998</v>
      </c>
      <c r="D35" s="41">
        <f>IF(289.55997="","-",289.55997/1365036.36807*100)</f>
        <v>2.1212619441737187E-2</v>
      </c>
      <c r="E35" s="41">
        <f>IF(108.87323="","-",108.87323/1365812.81697*100)</f>
        <v>7.9713141249860894E-3</v>
      </c>
    </row>
    <row r="36" spans="1:5" x14ac:dyDescent="0.25">
      <c r="A36" s="66" t="s">
        <v>168</v>
      </c>
      <c r="B36" s="41">
        <f>IF(352620.09852="","-",352620.09852)</f>
        <v>352620.09852</v>
      </c>
      <c r="C36" s="67">
        <v>105.78579999999999</v>
      </c>
      <c r="D36" s="41">
        <f>IF(333334.17201="","-",333334.17201/1365036.36807*100)</f>
        <v>24.419435247816516</v>
      </c>
      <c r="E36" s="41">
        <f>IF(352620.09852="","-",352620.09852/1365812.81697*100)</f>
        <v>25.817600635954879</v>
      </c>
    </row>
    <row r="37" spans="1:5" x14ac:dyDescent="0.25">
      <c r="A37" s="66" t="s">
        <v>169</v>
      </c>
      <c r="B37" s="41">
        <f>IF(17746.25524="","-",17746.25524)</f>
        <v>17746.255239999999</v>
      </c>
      <c r="C37" s="67">
        <v>80.946100000000001</v>
      </c>
      <c r="D37" s="41">
        <f>IF(21923.55388="","-",21923.55388/1365036.36807*100)</f>
        <v>1.6060783721826628</v>
      </c>
      <c r="E37" s="41">
        <f>IF(17746.25524="","-",17746.25524/1365812.81697*100)</f>
        <v>1.2993182535341365</v>
      </c>
    </row>
    <row r="38" spans="1:5" x14ac:dyDescent="0.25">
      <c r="A38" s="66" t="s">
        <v>170</v>
      </c>
      <c r="B38" s="41">
        <f>IF(1175.39525="","-",1175.39525)</f>
        <v>1175.39525</v>
      </c>
      <c r="C38" s="67">
        <v>117.92919999999999</v>
      </c>
      <c r="D38" s="41">
        <f>IF(996.7003="","-",996.7003/1365036.36807*100)</f>
        <v>7.3016391600556133E-2</v>
      </c>
      <c r="E38" s="41">
        <f>IF(1175.39525="","-",1175.39525/1365812.81697*100)</f>
        <v>8.6058296963969522E-2</v>
      </c>
    </row>
    <row r="39" spans="1:5" x14ac:dyDescent="0.25">
      <c r="A39" s="71" t="s">
        <v>172</v>
      </c>
      <c r="B39" s="45">
        <f>IF(670.04158="","-",670.04158)</f>
        <v>670.04157999999995</v>
      </c>
      <c r="C39" s="72">
        <v>72.514399999999995</v>
      </c>
      <c r="D39" s="45">
        <f>IF(924.01127="","-",924.01127/1365036.36807*100)</f>
        <v>6.7691329814636561E-2</v>
      </c>
      <c r="E39" s="45">
        <f>IF(670.04158="","-",670.04158/1365812.81697*100)</f>
        <v>4.9058082606550715E-2</v>
      </c>
    </row>
    <row r="40" spans="1:5" x14ac:dyDescent="0.25">
      <c r="A40" s="29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7"/>
  <sheetViews>
    <sheetView zoomScaleNormal="100" workbookViewId="0">
      <selection activeCell="K12" sqref="K12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7" t="s">
        <v>263</v>
      </c>
      <c r="B1" s="97"/>
      <c r="C1" s="97"/>
      <c r="D1" s="97"/>
      <c r="E1" s="97"/>
      <c r="F1" s="97"/>
      <c r="G1" s="97"/>
    </row>
    <row r="2" spans="1:9" x14ac:dyDescent="0.25">
      <c r="A2" s="97" t="s">
        <v>23</v>
      </c>
      <c r="B2" s="97"/>
      <c r="C2" s="97"/>
      <c r="D2" s="97"/>
      <c r="E2" s="97"/>
      <c r="F2" s="97"/>
      <c r="G2" s="97"/>
    </row>
    <row r="3" spans="1:9" x14ac:dyDescent="0.25">
      <c r="A3" s="6"/>
    </row>
    <row r="4" spans="1:9" ht="57" customHeight="1" x14ac:dyDescent="0.25">
      <c r="A4" s="105"/>
      <c r="B4" s="108" t="s">
        <v>228</v>
      </c>
      <c r="C4" s="103"/>
      <c r="D4" s="108" t="s">
        <v>0</v>
      </c>
      <c r="E4" s="103"/>
      <c r="F4" s="100" t="s">
        <v>158</v>
      </c>
      <c r="G4" s="109"/>
    </row>
    <row r="5" spans="1:9" ht="26.25" customHeight="1" x14ac:dyDescent="0.25">
      <c r="A5" s="106"/>
      <c r="B5" s="110" t="s">
        <v>163</v>
      </c>
      <c r="C5" s="98" t="s">
        <v>229</v>
      </c>
      <c r="D5" s="112" t="s">
        <v>230</v>
      </c>
      <c r="E5" s="112"/>
      <c r="F5" s="112" t="s">
        <v>230</v>
      </c>
      <c r="G5" s="108"/>
    </row>
    <row r="6" spans="1:9" ht="26.25" customHeight="1" x14ac:dyDescent="0.25">
      <c r="A6" s="107"/>
      <c r="B6" s="111"/>
      <c r="C6" s="99"/>
      <c r="D6" s="26">
        <v>2019</v>
      </c>
      <c r="E6" s="26">
        <v>2020</v>
      </c>
      <c r="F6" s="26" t="s">
        <v>175</v>
      </c>
      <c r="G6" s="22" t="s">
        <v>202</v>
      </c>
    </row>
    <row r="7" spans="1:9" ht="16.5" customHeight="1" x14ac:dyDescent="0.25">
      <c r="A7" s="36" t="s">
        <v>151</v>
      </c>
      <c r="B7" s="37">
        <f>IF(675040.29206="","-",675040.29206)</f>
        <v>675040.29206000001</v>
      </c>
      <c r="C7" s="37">
        <f>IF(732895.97599="","-",675040.29206/732895.97599*100)</f>
        <v>92.105880530746788</v>
      </c>
      <c r="D7" s="37">
        <v>100</v>
      </c>
      <c r="E7" s="37">
        <v>100</v>
      </c>
      <c r="F7" s="37">
        <f>IF(677915.43358="","-",(732895.97599-677915.43358)/677915.43358*100)</f>
        <v>8.1102361277797659</v>
      </c>
      <c r="G7" s="37">
        <f>IF(732895.97599="","-",(675040.29206-732895.97599)/732895.97599*100)</f>
        <v>-7.8941194692532139</v>
      </c>
    </row>
    <row r="8" spans="1:9" ht="13.5" customHeight="1" x14ac:dyDescent="0.25">
      <c r="A8" s="48" t="s">
        <v>193</v>
      </c>
      <c r="B8" s="46"/>
      <c r="C8" s="46"/>
      <c r="D8" s="46"/>
      <c r="E8" s="46"/>
      <c r="F8" s="46"/>
      <c r="G8" s="46"/>
    </row>
    <row r="9" spans="1:9" ht="13.5" customHeight="1" x14ac:dyDescent="0.25">
      <c r="A9" s="50" t="s">
        <v>24</v>
      </c>
      <c r="B9" s="39">
        <f>IF(196365.92807="","-",196365.92807)</f>
        <v>196365.92806999999</v>
      </c>
      <c r="C9" s="39">
        <f>IF(174240.52819="","-",196365.92807/174240.52819*100)</f>
        <v>112.69819376114</v>
      </c>
      <c r="D9" s="39">
        <f>IF(174240.52819="","-",174240.52819/732895.97599*100)</f>
        <v>23.774250903020029</v>
      </c>
      <c r="E9" s="39">
        <f>IF(196365.92807="","-",196365.92807/675040.29206*100)</f>
        <v>29.089512193524929</v>
      </c>
      <c r="F9" s="39">
        <f>IF(677915.43358="","-",(174240.52819-158842.31867)/677915.43358*100)</f>
        <v>2.2714056587683338</v>
      </c>
      <c r="G9" s="39">
        <f>IF(732895.97599="","-",(196365.92807-174240.52819)/732895.97599*100)</f>
        <v>3.0189004449250616</v>
      </c>
      <c r="I9" s="19"/>
    </row>
    <row r="10" spans="1:9" s="9" customFormat="1" ht="13.5" customHeight="1" x14ac:dyDescent="0.25">
      <c r="A10" s="40" t="s">
        <v>25</v>
      </c>
      <c r="B10" s="41">
        <f>IF(4372.55013="","-",4372.55013)</f>
        <v>4372.5501299999996</v>
      </c>
      <c r="C10" s="41" t="s">
        <v>214</v>
      </c>
      <c r="D10" s="41">
        <f>IF(1683.24035="","-",1683.24035/732895.97599*100)</f>
        <v>0.22966974920639585</v>
      </c>
      <c r="E10" s="41">
        <f>IF(4372.55013="","-",4372.55013/675040.29206*100)</f>
        <v>0.64774653919641167</v>
      </c>
      <c r="F10" s="41">
        <f>IF(OR(677915.43358="",2741.4327="",1683.24035=""),"-",(1683.24035-2741.4327)/677915.43358*100)</f>
        <v>-0.15609503746091125</v>
      </c>
      <c r="G10" s="41">
        <f>IF(OR(732895.97599="",4372.55013="",1683.24035=""),"-",(4372.55013-1683.24035)/732895.97599*100)</f>
        <v>0.366942904327898</v>
      </c>
      <c r="I10" s="19"/>
    </row>
    <row r="11" spans="1:9" s="9" customFormat="1" ht="14.25" customHeight="1" x14ac:dyDescent="0.25">
      <c r="A11" s="40" t="s">
        <v>26</v>
      </c>
      <c r="B11" s="41">
        <f>IF(846.06403="","-",846.06403)</f>
        <v>846.06403</v>
      </c>
      <c r="C11" s="41">
        <f>IF(OR(1653.3648="",846.06403=""),"-",846.06403/1653.3648*100)</f>
        <v>51.172253697429625</v>
      </c>
      <c r="D11" s="41">
        <f>IF(1653.3648="","-",1653.3648/732895.97599*100)</f>
        <v>0.22559337943786986</v>
      </c>
      <c r="E11" s="41">
        <f>IF(846.06403="","-",846.06403/675040.29206*100)</f>
        <v>0.12533533774970557</v>
      </c>
      <c r="F11" s="41">
        <f>IF(OR(677915.43358="",1497.68473="",1653.3648=""),"-",(1653.3648-1497.68473)/677915.43358*100)</f>
        <v>2.2964526589676543E-2</v>
      </c>
      <c r="G11" s="41">
        <f>IF(OR(732895.97599="",846.06403="",1653.3648=""),"-",(846.06403-1653.3648)/732895.97599*100)</f>
        <v>-0.11015216298731803</v>
      </c>
      <c r="I11" s="19"/>
    </row>
    <row r="12" spans="1:9" s="9" customFormat="1" x14ac:dyDescent="0.25">
      <c r="A12" s="40" t="s">
        <v>27</v>
      </c>
      <c r="B12" s="41">
        <f>IF(1727.17086="","-",1727.17086)</f>
        <v>1727.1708599999999</v>
      </c>
      <c r="C12" s="41">
        <f>IF(OR(3498.08691="",1727.17086=""),"-",1727.17086/3498.08691*100)</f>
        <v>49.374726941818601</v>
      </c>
      <c r="D12" s="41">
        <f>IF(3498.08691="","-",3498.08691/732895.97599*100)</f>
        <v>0.47729650927265155</v>
      </c>
      <c r="E12" s="41">
        <f>IF(1727.17086="","-",1727.17086/675040.29206*100)</f>
        <v>0.25586189155157613</v>
      </c>
      <c r="F12" s="41">
        <f>IF(OR(677915.43358="",4566.4718="",3498.08691=""),"-",(3498.08691-4566.4718)/677915.43358*100)</f>
        <v>-0.15759854947658769</v>
      </c>
      <c r="G12" s="41">
        <f>IF(OR(732895.97599="",1727.17086="",3498.08691=""),"-",(1727.17086-3498.08691)/732895.97599*100)</f>
        <v>-0.24163266111644791</v>
      </c>
      <c r="I12" s="19"/>
    </row>
    <row r="13" spans="1:9" s="9" customFormat="1" x14ac:dyDescent="0.25">
      <c r="A13" s="40" t="s">
        <v>28</v>
      </c>
      <c r="B13" s="41">
        <f>IF(2.63029="","-",2.63029)</f>
        <v>2.63029</v>
      </c>
      <c r="C13" s="41">
        <f>IF(OR(12.21815="",2.63029=""),"-",2.63029/12.21815*100)</f>
        <v>21.527727192741946</v>
      </c>
      <c r="D13" s="41">
        <f>IF(12.21815="","-",12.21815/732895.97599*100)</f>
        <v>1.6671056193882979E-3</v>
      </c>
      <c r="E13" s="41">
        <f>IF(2.63029="","-",2.63029/675040.29206*100)</f>
        <v>3.8964933366765763E-4</v>
      </c>
      <c r="F13" s="41">
        <f>IF(OR(677915.43358="",3.05287="",12.21815=""),"-",(12.21815-3.05287)/677915.43358*100)</f>
        <v>1.3519798408481603E-3</v>
      </c>
      <c r="G13" s="41">
        <f>IF(OR(732895.97599="",2.63029="",12.21815=""),"-",(2.63029-12.21815)/732895.97599*100)</f>
        <v>-1.3082156696315142E-3</v>
      </c>
      <c r="I13" s="19"/>
    </row>
    <row r="14" spans="1:9" s="9" customFormat="1" ht="15" customHeight="1" x14ac:dyDescent="0.25">
      <c r="A14" s="40" t="s">
        <v>29</v>
      </c>
      <c r="B14" s="41">
        <f>IF(76007.45924="","-",76007.45924)</f>
        <v>76007.459239999996</v>
      </c>
      <c r="C14" s="41">
        <f>IF(OR(72421.84877="",76007.45924=""),"-",76007.45924/72421.84877*100)</f>
        <v>104.95100654139237</v>
      </c>
      <c r="D14" s="41">
        <f>IF(72421.84877="","-",72421.84877/732895.97599*100)</f>
        <v>9.8816000008967375</v>
      </c>
      <c r="E14" s="41">
        <f>IF(76007.45924="","-",76007.45924/675040.29206*100)</f>
        <v>11.259692218971157</v>
      </c>
      <c r="F14" s="41">
        <f>IF(OR(677915.43358="",55949.47335="",72421.84877=""),"-",(72421.84877-55949.47335)/677915.43358*100)</f>
        <v>2.4298569709515414</v>
      </c>
      <c r="G14" s="41">
        <f>IF(OR(732895.97599="",76007.45924="",72421.84877=""),"-",(76007.45924-72421.84877)/732895.97599*100)</f>
        <v>0.4892386624386274</v>
      </c>
      <c r="I14" s="19"/>
    </row>
    <row r="15" spans="1:9" s="9" customFormat="1" ht="15.75" customHeight="1" x14ac:dyDescent="0.25">
      <c r="A15" s="40" t="s">
        <v>30</v>
      </c>
      <c r="B15" s="41">
        <f>IF(94325.02426="","-",94325.02426)</f>
        <v>94325.024260000006</v>
      </c>
      <c r="C15" s="41">
        <f>IF(OR(79438.75736="",94325.02426=""),"-",94325.02426/79438.75736*100)</f>
        <v>118.73929980115187</v>
      </c>
      <c r="D15" s="41">
        <f>IF(79438.75736="","-",79438.75736/732895.97599*100)</f>
        <v>10.839022175376757</v>
      </c>
      <c r="E15" s="41">
        <f>IF(94325.02426="","-",94325.02426/675040.29206*100)</f>
        <v>13.973243578120528</v>
      </c>
      <c r="F15" s="41">
        <f>IF(OR(677915.43358="",77752.72796="",79438.75736=""),"-",(79438.75736-77752.72796)/677915.43358*100)</f>
        <v>0.24870792380345375</v>
      </c>
      <c r="G15" s="41">
        <f>IF(OR(732895.97599="",94325.02426="",79438.75736=""),"-",(94325.02426-79438.75736)/732895.97599*100)</f>
        <v>2.0311568609571844</v>
      </c>
      <c r="I15" s="19"/>
    </row>
    <row r="16" spans="1:9" s="9" customFormat="1" ht="25.5" x14ac:dyDescent="0.25">
      <c r="A16" s="40" t="s">
        <v>31</v>
      </c>
      <c r="B16" s="41">
        <f>IF(6202.71232="","-",6202.71232)</f>
        <v>6202.7123199999996</v>
      </c>
      <c r="C16" s="41" t="s">
        <v>157</v>
      </c>
      <c r="D16" s="41">
        <f>IF(3244.46493="","-",3244.46493/732895.97599*100)</f>
        <v>0.44269105525069352</v>
      </c>
      <c r="E16" s="41">
        <f>IF(6202.71232="","-",6202.71232/675040.29206*100)</f>
        <v>0.91886549483903712</v>
      </c>
      <c r="F16" s="41">
        <f>IF(OR(677915.43358="",6006.2317="",3244.46493=""),"-",(3244.46493-6006.2317)/677915.43358*100)</f>
        <v>-0.40739104513602842</v>
      </c>
      <c r="G16" s="41">
        <f>IF(OR(732895.97599="",6202.71232="",3244.46493=""),"-",(6202.71232-3244.46493)/732895.97599*100)</f>
        <v>0.40363809966400516</v>
      </c>
      <c r="I16" s="19"/>
    </row>
    <row r="17" spans="1:9" s="9" customFormat="1" ht="25.5" x14ac:dyDescent="0.25">
      <c r="A17" s="40" t="s">
        <v>32</v>
      </c>
      <c r="B17" s="41">
        <f>IF(2712.73708="","-",2712.73708)</f>
        <v>2712.7370799999999</v>
      </c>
      <c r="C17" s="41">
        <f>IF(OR(2803.52807="",2712.73708=""),"-",2712.73708/2803.52807*100)</f>
        <v>96.761545176895623</v>
      </c>
      <c r="D17" s="41">
        <f>IF(2803.52807="","-",2803.52807/732895.97599*100)</f>
        <v>0.38252742024036612</v>
      </c>
      <c r="E17" s="41">
        <f>IF(2712.73708="","-",2712.73708/675040.29206*100)</f>
        <v>0.40186298683321886</v>
      </c>
      <c r="F17" s="41">
        <f>IF(OR(677915.43358="",2795.71333="",2803.52807=""),"-",(2803.52807-2795.71333)/677915.43358*100)</f>
        <v>1.1527603020823679E-3</v>
      </c>
      <c r="G17" s="41">
        <f>IF(OR(732895.97599="",2712.73708="",2803.52807=""),"-",(2712.73708-2803.52807)/732895.97599*100)</f>
        <v>-1.2387977690470875E-2</v>
      </c>
      <c r="I17" s="19"/>
    </row>
    <row r="18" spans="1:9" s="9" customFormat="1" ht="25.5" x14ac:dyDescent="0.25">
      <c r="A18" s="40" t="s">
        <v>33</v>
      </c>
      <c r="B18" s="41">
        <f>IF(9439.63342="","-",9439.63342)</f>
        <v>9439.6334200000001</v>
      </c>
      <c r="C18" s="41">
        <f>IF(OR(8859.99411="",9439.63342=""),"-",9439.63342/8859.99411*100)</f>
        <v>106.54220875097174</v>
      </c>
      <c r="D18" s="41">
        <f>IF(8859.99411="","-",8859.99411/732895.97599*100)</f>
        <v>1.2089019997731425</v>
      </c>
      <c r="E18" s="41">
        <f>IF(9439.63342="","-",9439.63342/675040.29206*100)</f>
        <v>1.398380738310206</v>
      </c>
      <c r="F18" s="41">
        <f>IF(OR(677915.43358="",7022.11527="",8859.99411=""),"-",(8859.99411-7022.11527)/677915.43358*100)</f>
        <v>0.27110739023809433</v>
      </c>
      <c r="G18" s="41">
        <f>IF(OR(732895.97599="",9439.63342="",8859.99411=""),"-",(9439.63342-8859.99411)/732895.97599*100)</f>
        <v>7.9088892419830858E-2</v>
      </c>
      <c r="I18" s="19"/>
    </row>
    <row r="19" spans="1:9" s="9" customFormat="1" x14ac:dyDescent="0.25">
      <c r="A19" s="40" t="s">
        <v>34</v>
      </c>
      <c r="B19" s="41">
        <f>IF(729.94644="","-",729.94644)</f>
        <v>729.94644000000005</v>
      </c>
      <c r="C19" s="41">
        <f>IF(OR(625.02474="",729.94644=""),"-",729.94644/625.02474*100)</f>
        <v>116.78680751101149</v>
      </c>
      <c r="D19" s="41">
        <f>IF(625.02474="","-",625.02474/732895.97599*100)</f>
        <v>8.5281507946023724E-2</v>
      </c>
      <c r="E19" s="41">
        <f>IF(729.94644="","-",729.94644/675040.29206*100)</f>
        <v>0.10813375861942176</v>
      </c>
      <c r="F19" s="41">
        <f>IF(OR(677915.43358="",507.41496="",625.02474=""),"-",(625.02474-507.41496)/677915.43358*100)</f>
        <v>1.7348739116163074E-2</v>
      </c>
      <c r="G19" s="41">
        <f>IF(OR(732895.97599="",729.94644="",625.02474=""),"-",(729.94644-625.02474)/732895.97599*100)</f>
        <v>1.4316042581386981E-2</v>
      </c>
    </row>
    <row r="20" spans="1:9" s="9" customFormat="1" x14ac:dyDescent="0.25">
      <c r="A20" s="50" t="s">
        <v>35</v>
      </c>
      <c r="B20" s="39">
        <f>IF(46803.95652="","-",46803.95652)</f>
        <v>46803.95652</v>
      </c>
      <c r="C20" s="39">
        <f>IF(49314.08197="","-",46803.95652/49314.08197*100)</f>
        <v>94.909921568595706</v>
      </c>
      <c r="D20" s="39">
        <f>IF(49314.08197="","-",49314.08197/732895.97599*100)</f>
        <v>6.7286604901038327</v>
      </c>
      <c r="E20" s="39">
        <f>IF(46803.95652="","-",46803.95652/675040.29206*100)</f>
        <v>6.933505610038444</v>
      </c>
      <c r="F20" s="39">
        <f>IF(677915.43358="","-",(49314.08197-53983.08032)/677915.43358*100)</f>
        <v>-0.68872872908992699</v>
      </c>
      <c r="G20" s="39">
        <f>IF(732895.97599="","-",(46803.95652-49314.08197)/732895.97599*100)</f>
        <v>-0.34249409632919708</v>
      </c>
    </row>
    <row r="21" spans="1:9" s="9" customFormat="1" x14ac:dyDescent="0.25">
      <c r="A21" s="40" t="s">
        <v>201</v>
      </c>
      <c r="B21" s="41">
        <f>IF(42838.79039="","-",42838.79039)</f>
        <v>42838.790390000002</v>
      </c>
      <c r="C21" s="41">
        <f>IF(OR(43398.50873="",42838.79039=""),"-",42838.79039/43398.50873*100)</f>
        <v>98.710282089455575</v>
      </c>
      <c r="D21" s="41">
        <f>IF(43398.50873="","-",43398.50873/732895.97599*100)</f>
        <v>5.9215100303118806</v>
      </c>
      <c r="E21" s="41">
        <f>IF(42838.79039="","-",42838.79039/675040.29206*100)</f>
        <v>6.3461086536434976</v>
      </c>
      <c r="F21" s="41">
        <f>IF(OR(677915.43358="",48761.55994="",43398.50873=""),"-",(43398.50873-48761.55994)/677915.43358*100)</f>
        <v>-0.79110917739079778</v>
      </c>
      <c r="G21" s="41">
        <f>IF(OR(732895.97599="",42838.79039="",43398.50873=""),"-",(42838.79039-43398.50873)/732895.97599*100)</f>
        <v>-7.6370775435617419E-2</v>
      </c>
    </row>
    <row r="22" spans="1:9" s="9" customFormat="1" x14ac:dyDescent="0.25">
      <c r="A22" s="40" t="s">
        <v>36</v>
      </c>
      <c r="B22" s="41">
        <f>IF(3965.16613="","-",3965.16613)</f>
        <v>3965.1661300000001</v>
      </c>
      <c r="C22" s="41">
        <f>IF(OR(5915.57324="",3965.16613=""),"-",3965.16613/5915.57324*100)</f>
        <v>67.029279651011478</v>
      </c>
      <c r="D22" s="41">
        <f>IF(5915.57324="","-",5915.57324/732895.97599*100)</f>
        <v>0.8071504597919521</v>
      </c>
      <c r="E22" s="41">
        <f>IF(3965.16613="","-",3965.16613/675040.29206*100)</f>
        <v>0.58739695639494682</v>
      </c>
      <c r="F22" s="41">
        <f>IF(OR(677915.43358="",5221.52038="",5915.57324=""),"-",(5915.57324-5221.52038)/677915.43358*100)</f>
        <v>0.10238044830087137</v>
      </c>
      <c r="G22" s="41">
        <f>IF(OR(732895.97599="",3965.16613="",5915.57324=""),"-",(3965.16613-5915.57324)/732895.97599*100)</f>
        <v>-0.2661233208935796</v>
      </c>
    </row>
    <row r="23" spans="1:9" s="9" customFormat="1" ht="25.5" x14ac:dyDescent="0.25">
      <c r="A23" s="50" t="s">
        <v>37</v>
      </c>
      <c r="B23" s="39">
        <f>IF(64999.02374="","-",64999.02374)</f>
        <v>64999.023739999997</v>
      </c>
      <c r="C23" s="39">
        <f>IF(93530.17845="","-",64999.02374/93530.17845*100)</f>
        <v>69.495241875057062</v>
      </c>
      <c r="D23" s="39">
        <f>IF(93530.17845="","-",93530.17845/732895.97599*100)</f>
        <v>12.761726290509227</v>
      </c>
      <c r="E23" s="39">
        <f>IF(64999.02374="","-",64999.02374/675040.29206*100)</f>
        <v>9.6289102301796596</v>
      </c>
      <c r="F23" s="39">
        <f>IF(677915.43358="","-",(93530.17845-83384.56019)/677915.43358*100)</f>
        <v>1.4965905417467873</v>
      </c>
      <c r="G23" s="39">
        <f>IF(732895.97599="","-",(64999.02374-93530.17845)/732895.97599*100)</f>
        <v>-3.8929337374870929</v>
      </c>
      <c r="H23" s="7"/>
    </row>
    <row r="24" spans="1:9" s="9" customFormat="1" x14ac:dyDescent="0.25">
      <c r="A24" s="40" t="s">
        <v>38</v>
      </c>
      <c r="B24" s="41">
        <f>IF(570.00194="","-",570.00194)</f>
        <v>570.00193999999999</v>
      </c>
      <c r="C24" s="41">
        <f>IF(OR(417.25646="",570.00194=""),"-",570.00194/417.25646*100)</f>
        <v>136.60709770676766</v>
      </c>
      <c r="D24" s="41">
        <f>IF(417.25646="","-",417.25646/732895.97599*100)</f>
        <v>5.6932562555875366E-2</v>
      </c>
      <c r="E24" s="41">
        <f>IF(570.00194="","-",570.00194/675040.29206*100)</f>
        <v>8.4439691482791693E-2</v>
      </c>
      <c r="F24" s="41">
        <f>IF(OR(677915.43358="",1008.02299="",417.25646=""),"-",(417.25646-1008.02299)/677915.43358*100)</f>
        <v>-8.7144575965799193E-2</v>
      </c>
      <c r="G24" s="41">
        <f>IF(OR(732895.97599="",570.00194="",417.25646=""),"-",(570.00194-417.25646)/732895.97599*100)</f>
        <v>2.0841358801795922E-2</v>
      </c>
      <c r="H24" s="8"/>
    </row>
    <row r="25" spans="1:9" s="9" customFormat="1" x14ac:dyDescent="0.25">
      <c r="A25" s="40" t="s">
        <v>39</v>
      </c>
      <c r="B25" s="41">
        <f>IF(57049.63684="","-",57049.63684)</f>
        <v>57049.636839999999</v>
      </c>
      <c r="C25" s="41">
        <f>IF(OR(84852.91975="",57049.63684=""),"-",57049.63684/84852.91975*100)</f>
        <v>67.233557793985042</v>
      </c>
      <c r="D25" s="41">
        <f>IF(84852.91975="","-",84852.91975/732895.97599*100)</f>
        <v>11.577757625886839</v>
      </c>
      <c r="E25" s="41">
        <f>IF(57049.63684="","-",57049.63684/675040.29206*100)</f>
        <v>8.4512935762550345</v>
      </c>
      <c r="F25" s="41">
        <f>IF(OR(677915.43358="",73915.71226="",84852.91975=""),"-",(84852.91975-73915.71226)/677915.43358*100)</f>
        <v>1.6133586798934139</v>
      </c>
      <c r="G25" s="41">
        <f>IF(OR(732895.97599="",57049.63684="",84852.91975=""),"-",(57049.63684-84852.91975)/732895.97599*100)</f>
        <v>-3.793619261238701</v>
      </c>
      <c r="H25" s="8"/>
    </row>
    <row r="26" spans="1:9" s="9" customFormat="1" ht="25.5" x14ac:dyDescent="0.25">
      <c r="A26" s="40" t="s">
        <v>40</v>
      </c>
      <c r="B26" s="41">
        <f>IF(0.11619="","-",0.11619)</f>
        <v>0.11619</v>
      </c>
      <c r="C26" s="41">
        <f>IF(OR(0.15724="",0.11619=""),"-",0.11619/0.15724*100)</f>
        <v>73.89341134571356</v>
      </c>
      <c r="D26" s="41">
        <f>IF(0.15724="","-",0.15724/732895.97599*100)</f>
        <v>2.1454613635666279E-5</v>
      </c>
      <c r="E26" s="41">
        <f>IF(0.11619="","-",0.11619/675040.29206*100)</f>
        <v>1.7212305897389694E-5</v>
      </c>
      <c r="F26" s="41">
        <f>IF(OR(677915.43358="",0.04748="",0.15724=""),"-",(0.15724-0.04748)/677915.43358*100)</f>
        <v>1.6190810027789015E-5</v>
      </c>
      <c r="G26" s="41">
        <f>IF(OR(732895.97599="",0.11619="",0.15724=""),"-",(0.11619-0.15724)/732895.97599*100)</f>
        <v>-5.6010677292298438E-6</v>
      </c>
      <c r="H26" s="8"/>
    </row>
    <row r="27" spans="1:9" s="9" customFormat="1" ht="14.25" customHeight="1" x14ac:dyDescent="0.25">
      <c r="A27" s="40" t="s">
        <v>41</v>
      </c>
      <c r="B27" s="41">
        <f>IF(423.40512="","-",423.40512)</f>
        <v>423.40512000000001</v>
      </c>
      <c r="C27" s="41" t="s">
        <v>165</v>
      </c>
      <c r="D27" s="41">
        <f>IF(131.42262="","-",131.42262/732895.97599*100)</f>
        <v>1.7931960920166547E-2</v>
      </c>
      <c r="E27" s="41">
        <f>IF(423.40512="","-",423.40512/675040.29206*100)</f>
        <v>6.2722940390403575E-2</v>
      </c>
      <c r="F27" s="41">
        <f>IF(OR(677915.43358="",138.59612="",131.42262=""),"-",(131.42262-138.59612)/677915.43358*100)</f>
        <v>-1.0581703328566398E-3</v>
      </c>
      <c r="G27" s="41">
        <f>IF(OR(732895.97599="",423.40512="",131.42262=""),"-",(423.40512-131.42262)/732895.97599*100)</f>
        <v>3.9839555621190091E-2</v>
      </c>
      <c r="H27" s="8"/>
    </row>
    <row r="28" spans="1:9" s="9" customFormat="1" x14ac:dyDescent="0.25">
      <c r="A28" s="40" t="s">
        <v>196</v>
      </c>
      <c r="B28" s="41">
        <f>IF(410.7934="","-",410.7934)</f>
        <v>410.79340000000002</v>
      </c>
      <c r="C28" s="41">
        <f>IF(OR(604.78153="",410.7934=""),"-",410.7934/604.78153*100)</f>
        <v>67.924263493959543</v>
      </c>
      <c r="D28" s="41">
        <f>IF(604.78153="","-",604.78153/732895.97599*100)</f>
        <v>8.2519422921248503E-2</v>
      </c>
      <c r="E28" s="41">
        <f>IF(410.7934="","-",410.7934/675040.29206*100)</f>
        <v>6.0854648949382598E-2</v>
      </c>
      <c r="F28" s="41">
        <f>IF(OR(677915.43358="",719.67759="",604.78153=""),"-",(604.78153-719.67759)/677915.43358*100)</f>
        <v>-1.6948435499284334E-2</v>
      </c>
      <c r="G28" s="41">
        <f>IF(OR(732895.97599="",410.7934="",604.78153=""),"-",(410.7934-604.78153)/732895.97599*100)</f>
        <v>-2.6468712662524815E-2</v>
      </c>
      <c r="H28" s="8"/>
    </row>
    <row r="29" spans="1:9" s="9" customFormat="1" ht="38.25" x14ac:dyDescent="0.25">
      <c r="A29" s="40" t="s">
        <v>197</v>
      </c>
      <c r="B29" s="41">
        <f>IF(12.29931="","-",12.29931)</f>
        <v>12.29931</v>
      </c>
      <c r="C29" s="41">
        <f>IF(OR(72.22715="",12.29931=""),"-",12.29931/72.22715*100)</f>
        <v>17.028651968131097</v>
      </c>
      <c r="D29" s="41">
        <f>IF(72.22715="","-",72.22715/732895.97599*100)</f>
        <v>9.8550343249511167E-3</v>
      </c>
      <c r="E29" s="41">
        <f>IF(12.29931="","-",12.29931/675040.29206*100)</f>
        <v>1.8220112406129964E-3</v>
      </c>
      <c r="F29" s="41">
        <f>IF(OR(677915.43358="",54.5927="",72.22715=""),"-",(72.22715-54.5927)/677915.43358*100)</f>
        <v>2.6012757825669085E-3</v>
      </c>
      <c r="G29" s="41">
        <f>IF(OR(732895.97599="",12.29931="",72.22715=""),"-",(12.29931-72.22715)/732895.97599*100)</f>
        <v>-8.1768548284153336E-3</v>
      </c>
      <c r="H29" s="8"/>
    </row>
    <row r="30" spans="1:9" s="9" customFormat="1" ht="38.25" x14ac:dyDescent="0.25">
      <c r="A30" s="40" t="s">
        <v>42</v>
      </c>
      <c r="B30" s="41">
        <f>IF(2171.24546="","-",2171.24546)</f>
        <v>2171.2454600000001</v>
      </c>
      <c r="C30" s="41">
        <f>IF(OR(2287.31558="",2171.24546=""),"-",2171.24546/2287.31558*100)</f>
        <v>94.925487282345188</v>
      </c>
      <c r="D30" s="41">
        <f>IF(2287.31558="","-",2287.31558/732895.97599*100)</f>
        <v>0.31209280101589881</v>
      </c>
      <c r="E30" s="41">
        <f>IF(2171.24546="","-",2171.24546/675040.29206*100)</f>
        <v>0.32164679435268617</v>
      </c>
      <c r="F30" s="41">
        <f>IF(OR(677915.43358="",2454.13398="",2287.31558=""),"-",(2287.31558-2454.13398)/677915.43358*100)</f>
        <v>-2.4607553057030981E-2</v>
      </c>
      <c r="G30" s="41">
        <f>IF(OR(732895.97599="",2171.24546="",2287.31558=""),"-",(2171.24546-2287.31558)/732895.97599*100)</f>
        <v>-1.5837188878436902E-2</v>
      </c>
      <c r="H30" s="8"/>
    </row>
    <row r="31" spans="1:9" s="9" customFormat="1" ht="25.5" x14ac:dyDescent="0.25">
      <c r="A31" s="40" t="s">
        <v>43</v>
      </c>
      <c r="B31" s="41">
        <f>IF(2766.18783="","-",2766.18783)</f>
        <v>2766.1878299999998</v>
      </c>
      <c r="C31" s="41">
        <f>IF(OR(3954.32632="",2766.18783=""),"-",2766.18783/3954.32632*100)</f>
        <v>69.953453664390537</v>
      </c>
      <c r="D31" s="41">
        <f>IF(3954.32632="","-",3954.32632/732895.97599*100)</f>
        <v>0.53954810089637539</v>
      </c>
      <c r="E31" s="41">
        <f>IF(2766.18783="","-",2766.18783/675040.29206*100)</f>
        <v>0.40978114381269132</v>
      </c>
      <c r="F31" s="41">
        <f>IF(OR(677915.43358="",3666.27813="",3954.32632=""),"-",(3954.32632-3666.27813)/677915.43358*100)</f>
        <v>4.2490283556290767E-2</v>
      </c>
      <c r="G31" s="41">
        <f>IF(OR(732895.97599="",2766.18783="",3954.32632=""),"-",(2766.18783-3954.32632)/732895.97599*100)</f>
        <v>-0.16211557013873029</v>
      </c>
    </row>
    <row r="32" spans="1:9" s="9" customFormat="1" ht="25.5" x14ac:dyDescent="0.25">
      <c r="A32" s="40" t="s">
        <v>44</v>
      </c>
      <c r="B32" s="41">
        <f>IF(1595.33765="","-",1595.33765)</f>
        <v>1595.3376499999999</v>
      </c>
      <c r="C32" s="41">
        <f>IF(OR(1209.7718="",1595.33765=""),"-",1595.33765/1209.7718*100)</f>
        <v>131.87095698544138</v>
      </c>
      <c r="D32" s="41">
        <f>IF(1209.7718="","-",1209.7718/732895.97599*100)</f>
        <v>0.16506732737423391</v>
      </c>
      <c r="E32" s="41">
        <f>IF(1595.33765="","-",1595.33765/675040.29206*100)</f>
        <v>0.23633221139016108</v>
      </c>
      <c r="F32" s="41">
        <f>IF(OR(677915.43358="",1427.49894="",1209.7718=""),"-",(1209.7718-1427.49894)/677915.43358*100)</f>
        <v>-3.2117153440541377E-2</v>
      </c>
      <c r="G32" s="41">
        <f>IF(OR(732895.97599="",1595.33765="",1209.7718=""),"-",(1595.33765-1209.7718)/732895.97599*100)</f>
        <v>5.2608536904459796E-2</v>
      </c>
    </row>
    <row r="33" spans="1:7" s="9" customFormat="1" ht="25.5" x14ac:dyDescent="0.25">
      <c r="A33" s="50" t="s">
        <v>45</v>
      </c>
      <c r="B33" s="39">
        <f>IF(1658.79922="","-",1658.79922)</f>
        <v>1658.7992200000001</v>
      </c>
      <c r="C33" s="39">
        <f>IF(4461.40887="","-",1658.79922/4461.40887*100)</f>
        <v>37.181062492485701</v>
      </c>
      <c r="D33" s="39">
        <f>IF(4461.40887="","-",4461.40887/732895.97599*100)</f>
        <v>0.60873698535095722</v>
      </c>
      <c r="E33" s="39">
        <f>IF(1658.79922="","-",1658.79922/675040.29206*100)</f>
        <v>0.24573336429117332</v>
      </c>
      <c r="F33" s="39">
        <f>IF(677915.43358="","-",(4461.40887-3536.63892)/677915.43358*100)</f>
        <v>0.1364137625715921</v>
      </c>
      <c r="G33" s="39">
        <f>IF(732895.97599="","-",(1658.79922-4461.40887)/732895.97599*100)</f>
        <v>-0.3824021064127443</v>
      </c>
    </row>
    <row r="34" spans="1:7" s="9" customFormat="1" ht="25.5" x14ac:dyDescent="0.25">
      <c r="A34" s="40" t="s">
        <v>47</v>
      </c>
      <c r="B34" s="41">
        <f>IF(1628.01818="","-",1628.01818)</f>
        <v>1628.01818</v>
      </c>
      <c r="C34" s="41">
        <f>IF(OR(4459.45047="",1628.01818=""),"-",1628.01818/4459.45047*100)</f>
        <v>36.507147931166507</v>
      </c>
      <c r="D34" s="41">
        <f>IF(4459.45047="","-",4459.45047/732895.97599*100)</f>
        <v>0.60846977144009418</v>
      </c>
      <c r="E34" s="41">
        <f>IF(1628.01818="","-",1628.01818/675040.29206*100)</f>
        <v>0.24117348240529857</v>
      </c>
      <c r="F34" s="41">
        <f>IF(OR(677915.43358="",3512.20273="",4459.45047=""),"-",(4459.45047-3512.20273)/677915.43358*100)</f>
        <v>0.13972948439861951</v>
      </c>
      <c r="G34" s="41">
        <f>IF(OR(732895.97599="",1628.01818="",4459.45047=""),"-",(1628.01818-4459.45047)/732895.97599*100)</f>
        <v>-0.38633481186402818</v>
      </c>
    </row>
    <row r="35" spans="1:7" s="9" customFormat="1" x14ac:dyDescent="0.25">
      <c r="A35" s="40" t="s">
        <v>49</v>
      </c>
      <c r="B35" s="41">
        <f>IF(1.75058="","-",1.75058)</f>
        <v>1.75058</v>
      </c>
      <c r="C35" s="41">
        <f>IF(OR(1.86109="",1.75058=""),"-",1.75058/1.86109*100)</f>
        <v>94.06208189824244</v>
      </c>
      <c r="D35" s="41">
        <f>IF(1.86109="","-",1.86109/732895.97599*100)</f>
        <v>2.5393644677691528E-4</v>
      </c>
      <c r="E35" s="41">
        <f>IF(1.75058="","-",1.75058/675040.29206*100)</f>
        <v>2.5932970529178459E-4</v>
      </c>
      <c r="F35" s="41">
        <f>IF(OR(677915.43358="",2.03686="",1.86109=""),"-",(1.86109-2.03686)/677915.43358*100)</f>
        <v>-2.5928012742205487E-5</v>
      </c>
      <c r="G35" s="41">
        <f>IF(OR(732895.97599="",1.75058="",1.86109=""),"-",(1.75058-1.86109)/732895.97599*100)</f>
        <v>-1.5078538240126419E-5</v>
      </c>
    </row>
    <row r="36" spans="1:7" s="9" customFormat="1" ht="25.5" x14ac:dyDescent="0.25">
      <c r="A36" s="50" t="s">
        <v>50</v>
      </c>
      <c r="B36" s="39">
        <f>IF(30451.45886="","-",30451.45886)</f>
        <v>30451.458859999999</v>
      </c>
      <c r="C36" s="39">
        <f>IF(25240.32196="","-",30451.45886/25240.32196*100)</f>
        <v>120.64607934977387</v>
      </c>
      <c r="D36" s="39">
        <f>IF(25240.32196="","-",25240.32196/732895.97599*100)</f>
        <v>3.4439160244951861</v>
      </c>
      <c r="E36" s="39">
        <f>IF(30451.45886="","-",30451.45886/675040.29206*100)</f>
        <v>4.5110579647138103</v>
      </c>
      <c r="F36" s="39">
        <f>IF(677915.43358="","-",(25240.32196-24506.84513)/677915.43358*100)</f>
        <v>0.10819591849776686</v>
      </c>
      <c r="G36" s="39">
        <f>IF(732895.97599="","-",(30451.45886-25240.32196)/732895.97599*100)</f>
        <v>0.71103363515685369</v>
      </c>
    </row>
    <row r="37" spans="1:7" s="9" customFormat="1" ht="25.5" x14ac:dyDescent="0.25">
      <c r="A37" s="40" t="s">
        <v>52</v>
      </c>
      <c r="B37" s="41">
        <f>IF(30435.96176="","-",30435.96176)</f>
        <v>30435.961759999998</v>
      </c>
      <c r="C37" s="41">
        <f>IF(OR(25240.32196="",30435.96176=""),"-",30435.96176/25240.32196*100)</f>
        <v>120.58468116307657</v>
      </c>
      <c r="D37" s="41">
        <f>IF(25240.32196="","-",25240.32196/732895.97599*100)</f>
        <v>3.4439160244951861</v>
      </c>
      <c r="E37" s="41">
        <f>IF(30435.96176="","-",30435.96176/675040.29206*100)</f>
        <v>4.5087622350837009</v>
      </c>
      <c r="F37" s="41">
        <f>IF(OR(677915.43358="",24489.35059="",25240.32196=""),"-",(25240.32196-24489.35059)/677915.43358*100)</f>
        <v>0.11077655601292366</v>
      </c>
      <c r="G37" s="41">
        <f>IF(OR(732895.97599="",30435.96176="",25240.32196=""),"-",(30435.96176-25240.32196)/732895.97599*100)</f>
        <v>0.70891913316643584</v>
      </c>
    </row>
    <row r="38" spans="1:7" s="9" customFormat="1" ht="25.5" x14ac:dyDescent="0.25">
      <c r="A38" s="50" t="s">
        <v>53</v>
      </c>
      <c r="B38" s="39">
        <f>IF(21296.61276="","-",21296.61276)</f>
        <v>21296.61276</v>
      </c>
      <c r="C38" s="39">
        <f>IF(27313.83058="","-",21296.61276/27313.83058*100)</f>
        <v>77.970069769686617</v>
      </c>
      <c r="D38" s="39">
        <f>IF(27313.83058="","-",27313.83058/732895.97599*100)</f>
        <v>3.7268359323578393</v>
      </c>
      <c r="E38" s="39">
        <f>IF(21296.61276="","-",21296.61276/675040.29206*100)</f>
        <v>3.1548654221823966</v>
      </c>
      <c r="F38" s="39">
        <f>IF(677915.43358="","-",(27313.83058-31972.2891)/677915.43358*100)</f>
        <v>-0.68717398797061924</v>
      </c>
      <c r="G38" s="39">
        <f>IF(732895.97599="","-",(21296.61276-27313.83058)/732895.97599*100)</f>
        <v>-0.82101935569668127</v>
      </c>
    </row>
    <row r="39" spans="1:7" s="9" customFormat="1" x14ac:dyDescent="0.25">
      <c r="A39" s="40" t="s">
        <v>54</v>
      </c>
      <c r="B39" s="41">
        <f>IF(7963.96529="","-",7963.96529)</f>
        <v>7963.9652900000001</v>
      </c>
      <c r="C39" s="41" t="s">
        <v>157</v>
      </c>
      <c r="D39" s="41">
        <f>IF(4130.45827="","-",4130.45827/732895.97599*100)</f>
        <v>0.56358042687034193</v>
      </c>
      <c r="E39" s="41">
        <f>IF(7963.96529="","-",7963.96529/675040.29206*100)</f>
        <v>1.1797762864934491</v>
      </c>
      <c r="F39" s="41">
        <f>IF(OR(677915.43358="",5573.98843="",4130.45827=""),"-",(4130.45827-5573.98843)/677915.43358*100)</f>
        <v>-0.21293661251771032</v>
      </c>
      <c r="G39" s="41">
        <f>IF(OR(732895.97599="",7963.96529="",4130.45827=""),"-",(7963.96529-4130.45827)/732895.97599*100)</f>
        <v>0.52306291009739514</v>
      </c>
    </row>
    <row r="40" spans="1:7" s="9" customFormat="1" x14ac:dyDescent="0.25">
      <c r="A40" s="40" t="s">
        <v>55</v>
      </c>
      <c r="B40" s="41">
        <f>IF(284.28203="","-",284.28203)</f>
        <v>284.28203000000002</v>
      </c>
      <c r="C40" s="41">
        <f>IF(OR(241.6246="",284.28203=""),"-",284.28203/241.6246*100)</f>
        <v>117.65442343205122</v>
      </c>
      <c r="D40" s="41">
        <f>IF(241.6246="","-",241.6246/732895.97599*100)</f>
        <v>3.2968471367797063E-2</v>
      </c>
      <c r="E40" s="41">
        <f>IF(284.28203="","-",284.28203/675040.29206*100)</f>
        <v>4.2113342469153235E-2</v>
      </c>
      <c r="F40" s="41">
        <f>IF(OR(677915.43358="",113.00566="",241.6246=""),"-",(241.6246-113.00566)/677915.43358*100)</f>
        <v>1.8972711584507952E-2</v>
      </c>
      <c r="G40" s="41">
        <f>IF(OR(732895.97599="",284.28203="",241.6246=""),"-",(284.28203-241.6246)/732895.97599*100)</f>
        <v>5.8203935343454629E-3</v>
      </c>
    </row>
    <row r="41" spans="1:7" s="9" customFormat="1" x14ac:dyDescent="0.25">
      <c r="A41" s="40" t="s">
        <v>56</v>
      </c>
      <c r="B41" s="41">
        <f>IF(216.34624="","-",216.34624)</f>
        <v>216.34623999999999</v>
      </c>
      <c r="C41" s="41">
        <f>IF(OR(206.76989="",216.34624=""),"-",216.34624/206.76989*100)</f>
        <v>104.63140450478548</v>
      </c>
      <c r="D41" s="41">
        <f>IF(206.76989="","-",206.76989/732895.97599*100)</f>
        <v>2.821272005494287E-2</v>
      </c>
      <c r="E41" s="41">
        <f>IF(216.34624="","-",216.34624/675040.29206*100)</f>
        <v>3.2049381725020108E-2</v>
      </c>
      <c r="F41" s="41">
        <f>IF(OR(677915.43358="",358.99621="",206.76989=""),"-",(206.76989-358.99621)/677915.43358*100)</f>
        <v>-2.2455060389480863E-2</v>
      </c>
      <c r="G41" s="41">
        <f>IF(OR(732895.97599="",216.34624="",206.76989=""),"-",(216.34624-206.76989)/732895.97599*100)</f>
        <v>1.3066451875471418E-3</v>
      </c>
    </row>
    <row r="42" spans="1:7" s="9" customFormat="1" x14ac:dyDescent="0.25">
      <c r="A42" s="40" t="s">
        <v>57</v>
      </c>
      <c r="B42" s="41">
        <f>IF(8037.17211="","-",8037.17211)</f>
        <v>8037.1721100000004</v>
      </c>
      <c r="C42" s="41">
        <f>IF(OR(17877.39862="",8037.17211=""),"-",8037.17211/17877.39862*100)</f>
        <v>44.957167879047944</v>
      </c>
      <c r="D42" s="41">
        <f>IF(17877.39862="","-",17877.39862/732895.97599*100)</f>
        <v>2.4392818634119404</v>
      </c>
      <c r="E42" s="41">
        <f>IF(8037.17211="","-",8037.17211/675040.29206*100)</f>
        <v>1.1906210939606592</v>
      </c>
      <c r="F42" s="41">
        <f>IF(OR(677915.43358="",17828.10453="",17877.39862=""),"-",(17877.39862-17828.10453)/677915.43358*100)</f>
        <v>7.2714217081152029E-3</v>
      </c>
      <c r="G42" s="41">
        <f>IF(OR(732895.97599="",8037.17211="",17877.39862=""),"-",(8037.17211-17877.39862)/732895.97599*100)</f>
        <v>-1.3426498210346658</v>
      </c>
    </row>
    <row r="43" spans="1:7" s="9" customFormat="1" ht="38.25" x14ac:dyDescent="0.25">
      <c r="A43" s="40" t="s">
        <v>58</v>
      </c>
      <c r="B43" s="41">
        <f>IF(3211.37036="","-",3211.37036)</f>
        <v>3211.3703599999999</v>
      </c>
      <c r="C43" s="41">
        <f>IF(OR(3475.83397="",3211.37036=""),"-",3211.37036/3475.83397*100)</f>
        <v>92.391362410213162</v>
      </c>
      <c r="D43" s="41">
        <f>IF(3475.83397="","-",3475.83397/732895.97599*100)</f>
        <v>0.47426020661456414</v>
      </c>
      <c r="E43" s="41">
        <f>IF(3211.37036="","-",3211.37036/675040.29206*100)</f>
        <v>0.47573017459446137</v>
      </c>
      <c r="F43" s="41">
        <f>IF(OR(677915.43358="",6291.17881="",3475.83397=""),"-",(3475.83397-6291.17881)/677915.43358*100)</f>
        <v>-0.41529440112204868</v>
      </c>
      <c r="G43" s="41">
        <f>IF(OR(732895.97599="",3211.37036="",3475.83397=""),"-",(3211.37036-3475.83397)/732895.97599*100)</f>
        <v>-3.608474035387646E-2</v>
      </c>
    </row>
    <row r="44" spans="1:7" s="9" customFormat="1" ht="14.25" customHeight="1" x14ac:dyDescent="0.25">
      <c r="A44" s="40" t="s">
        <v>60</v>
      </c>
      <c r="B44" s="41">
        <f>IF(529.7841="","-",529.7841)</f>
        <v>529.78409999999997</v>
      </c>
      <c r="C44" s="41">
        <f>IF(OR(355.42885="",529.7841=""),"-",529.7841/355.42885*100)</f>
        <v>149.05489523430637</v>
      </c>
      <c r="D44" s="41">
        <f>IF(355.42885="","-",355.42885/732895.97599*100)</f>
        <v>4.8496493587631549E-2</v>
      </c>
      <c r="E44" s="41">
        <f>IF(529.7841="","-",529.7841/675040.29206*100)</f>
        <v>7.8481848599477502E-2</v>
      </c>
      <c r="F44" s="41">
        <f>IF(OR(677915.43358="",692.06937="",355.42885=""),"-",(355.42885-692.06937)/677915.43358*100)</f>
        <v>-4.9658187927989331E-2</v>
      </c>
      <c r="G44" s="41">
        <f>IF(OR(732895.97599="",529.7841="",355.42885=""),"-",(529.7841-355.42885)/732895.97599*100)</f>
        <v>2.378990412172477E-2</v>
      </c>
    </row>
    <row r="45" spans="1:7" s="9" customFormat="1" x14ac:dyDescent="0.25">
      <c r="A45" s="40" t="s">
        <v>61</v>
      </c>
      <c r="B45" s="41">
        <f>IF(500.98201="","-",500.98201)</f>
        <v>500.98201</v>
      </c>
      <c r="C45" s="41">
        <f>IF(OR(518.77271="",500.98201=""),"-",500.98201/518.77271*100)</f>
        <v>96.570617602456394</v>
      </c>
      <c r="D45" s="41">
        <f>IF(518.77271="","-",518.77271/732895.97599*100)</f>
        <v>7.0783948472256095E-2</v>
      </c>
      <c r="E45" s="41">
        <f>IF(500.98201="","-",500.98201/675040.29206*100)</f>
        <v>7.4215126992074568E-2</v>
      </c>
      <c r="F45" s="41">
        <f>IF(OR(677915.43358="",423.98112="",518.77271=""),"-",(518.77271-423.98112)/677915.43358*100)</f>
        <v>1.3982804536461958E-2</v>
      </c>
      <c r="G45" s="41">
        <f>IF(OR(732895.97599="",500.98201="",518.77271=""),"-",(500.98201-518.77271)/732895.97599*100)</f>
        <v>-2.4274522691938895E-3</v>
      </c>
    </row>
    <row r="46" spans="1:7" s="9" customFormat="1" x14ac:dyDescent="0.25">
      <c r="A46" s="40" t="s">
        <v>62</v>
      </c>
      <c r="B46" s="41">
        <f>IF(552.71062="","-",552.71062)</f>
        <v>552.71061999999995</v>
      </c>
      <c r="C46" s="41">
        <f>IF(OR(487.36963="",552.71062=""),"-",552.71062/487.36963*100)</f>
        <v>113.40686533955757</v>
      </c>
      <c r="D46" s="41">
        <f>IF(487.36963="","-",487.36963/732895.97599*100)</f>
        <v>6.6499154855047246E-2</v>
      </c>
      <c r="E46" s="41">
        <f>IF(552.71062="","-",552.71062/675040.29206*100)</f>
        <v>8.1878167348101508E-2</v>
      </c>
      <c r="F46" s="41">
        <f>IF(OR(677915.43358="",690.96497="",487.36963=""),"-",(487.36963-690.96497)/677915.43358*100)</f>
        <v>-3.0032557147258693E-2</v>
      </c>
      <c r="G46" s="41">
        <f>IF(OR(732895.97599="",552.71062="",487.36963=""),"-",(552.71062-487.36963)/732895.97599*100)</f>
        <v>8.9154521433600468E-3</v>
      </c>
    </row>
    <row r="47" spans="1:7" s="9" customFormat="1" ht="15" customHeight="1" x14ac:dyDescent="0.25">
      <c r="A47" s="50" t="s">
        <v>63</v>
      </c>
      <c r="B47" s="39">
        <f>IF(41764.41616="","-",41764.41616)</f>
        <v>41764.416160000001</v>
      </c>
      <c r="C47" s="39">
        <f>IF(40350.51316="","-",41764.41616/40350.51316*100)</f>
        <v>103.50405209072191</v>
      </c>
      <c r="D47" s="39">
        <f>IF(40350.51316="","-",40350.51316/732895.97599*100)</f>
        <v>5.505626239180029</v>
      </c>
      <c r="E47" s="39">
        <f>IF(41764.41616="","-",41764.41616/675040.29206*100)</f>
        <v>6.1869516014442336</v>
      </c>
      <c r="F47" s="39">
        <f>IF(677915.43358="","-",(40350.51316-44899.6592)/677915.43358*100)</f>
        <v>-0.67104919207642744</v>
      </c>
      <c r="G47" s="39">
        <f>IF(732895.97599="","-",(41764.41616-40350.51316)/732895.97599*100)</f>
        <v>0.19292001134132172</v>
      </c>
    </row>
    <row r="48" spans="1:7" s="9" customFormat="1" x14ac:dyDescent="0.25">
      <c r="A48" s="40" t="s">
        <v>64</v>
      </c>
      <c r="B48" s="41">
        <f>IF(189.04695="","-",189.04695)</f>
        <v>189.04695000000001</v>
      </c>
      <c r="C48" s="41" t="s">
        <v>285</v>
      </c>
      <c r="D48" s="41">
        <f>IF(69.1275="","-",69.1275/732895.97599*100)</f>
        <v>9.4321025445148875E-3</v>
      </c>
      <c r="E48" s="41">
        <f>IF(189.04695="","-",189.04695/675040.29206*100)</f>
        <v>2.800528386581061E-2</v>
      </c>
      <c r="F48" s="41">
        <f>IF(OR(677915.43358="",293.39783="",69.1275=""),"-",(69.1275-293.39783)/677915.43358*100)</f>
        <v>-3.3082346099667925E-2</v>
      </c>
      <c r="G48" s="41">
        <f>IF(OR(732895.97599="",189.04695="",69.1275=""),"-",(189.04695-69.1275)/732895.97599*100)</f>
        <v>1.636241075522514E-2</v>
      </c>
    </row>
    <row r="49" spans="1:7" s="9" customFormat="1" x14ac:dyDescent="0.25">
      <c r="A49" s="40" t="s">
        <v>65</v>
      </c>
      <c r="B49" s="41">
        <f>IF(435.75078="","-",435.75078)</f>
        <v>435.75078000000002</v>
      </c>
      <c r="C49" s="41">
        <f>IF(OR(456.4971="",435.75078=""),"-",435.75078/456.4971*100)</f>
        <v>95.455322717274655</v>
      </c>
      <c r="D49" s="41">
        <f>IF(456.4971="","-",456.4971/732895.97599*100)</f>
        <v>6.2286752138782209E-2</v>
      </c>
      <c r="E49" s="41">
        <f>IF(435.75078="","-",435.75078/675040.29206*100)</f>
        <v>6.4551817887823049E-2</v>
      </c>
      <c r="F49" s="41">
        <f>IF(OR(677915.43358="",279.19415="",456.4971=""),"-",(456.4971-279.19415)/677915.43358*100)</f>
        <v>2.6154139766914854E-2</v>
      </c>
      <c r="G49" s="41">
        <f>IF(OR(732895.97599="",435.75078="",456.4971=""),"-",(435.75078-456.4971)/732895.97599*100)</f>
        <v>-2.8307318745986734E-3</v>
      </c>
    </row>
    <row r="50" spans="1:7" s="9" customFormat="1" x14ac:dyDescent="0.25">
      <c r="A50" s="40" t="s">
        <v>66</v>
      </c>
      <c r="B50" s="41">
        <f>IF(4450.2812="","-",4450.2812)</f>
        <v>4450.2812000000004</v>
      </c>
      <c r="C50" s="41">
        <f>IF(OR(5037.65914="",4450.2812=""),"-",4450.2812/5037.65914*100)</f>
        <v>88.340260353541908</v>
      </c>
      <c r="D50" s="41">
        <f>IF(5037.65914="","-",5037.65914/732895.97599*100)</f>
        <v>0.6873634601684232</v>
      </c>
      <c r="E50" s="41">
        <f>IF(4450.2812="","-",4450.2812/675040.29206*100)</f>
        <v>0.65926156591619323</v>
      </c>
      <c r="F50" s="41">
        <f>IF(OR(677915.43358="",3912.88053="",5037.65914=""),"-",(5037.65914-3912.88053)/677915.43358*100)</f>
        <v>0.16591724487819412</v>
      </c>
      <c r="G50" s="41">
        <f>IF(OR(732895.97599="",4450.2812="",5037.65914=""),"-",(4450.2812-5037.65914)/732895.97599*100)</f>
        <v>-8.0144789880523773E-2</v>
      </c>
    </row>
    <row r="51" spans="1:7" s="9" customFormat="1" ht="15.75" customHeight="1" x14ac:dyDescent="0.25">
      <c r="A51" s="40" t="s">
        <v>199</v>
      </c>
      <c r="B51" s="41">
        <f>IF(2200.93635="","-",2200.93635)</f>
        <v>2200.9363499999999</v>
      </c>
      <c r="C51" s="41">
        <f>IF(OR(2438.64797="",2200.93635=""),"-",2200.93635/2438.64797*100)</f>
        <v>90.252319198002169</v>
      </c>
      <c r="D51" s="41">
        <f>IF(2438.64797="","-",2438.64797/732895.97599*100)</f>
        <v>0.33274135073614786</v>
      </c>
      <c r="E51" s="41">
        <f>IF(2200.93635="","-",2200.93635/675040.29206*100)</f>
        <v>0.32604518217475126</v>
      </c>
      <c r="F51" s="41">
        <f>IF(OR(677915.43358="",2636.36078="",2438.64797=""),"-",(2438.64797-2636.36078)/677915.43358*100)</f>
        <v>-2.9164819121449925E-2</v>
      </c>
      <c r="G51" s="41">
        <f>IF(OR(732895.97599="",2200.93635="",2438.64797=""),"-",(2200.93635-2438.64797)/732895.97599*100)</f>
        <v>-3.2434564766015785E-2</v>
      </c>
    </row>
    <row r="52" spans="1:7" s="9" customFormat="1" ht="25.5" x14ac:dyDescent="0.25">
      <c r="A52" s="40" t="s">
        <v>216</v>
      </c>
      <c r="B52" s="41">
        <f>IF(15714.06167="","-",15714.06167)</f>
        <v>15714.061669999999</v>
      </c>
      <c r="C52" s="41">
        <f>IF(OR(15417.33237="",15714.06167=""),"-",15714.06167/15417.33237*100)</f>
        <v>101.92464748685961</v>
      </c>
      <c r="D52" s="41">
        <f>IF(15417.33237="","-",15417.33237/732895.97599*100)</f>
        <v>2.1036180952111496</v>
      </c>
      <c r="E52" s="41">
        <f>IF(15714.06167="","-",15714.06167/675040.29206*100)</f>
        <v>2.3278701812073872</v>
      </c>
      <c r="F52" s="41">
        <f>IF(OR(677915.43358="",20509.24528="",15417.33237=""),"-",(15417.33237-20509.24528)/677915.43358*100)</f>
        <v>-0.75111328902930319</v>
      </c>
      <c r="G52" s="41">
        <f>IF(OR(732895.97599="",15714.06167="",15417.33237=""),"-",(15714.06167-15417.33237)/732895.97599*100)</f>
        <v>4.0487232802605508E-2</v>
      </c>
    </row>
    <row r="53" spans="1:7" s="9" customFormat="1" x14ac:dyDescent="0.25">
      <c r="A53" s="40" t="s">
        <v>67</v>
      </c>
      <c r="B53" s="41">
        <f>IF(11764.76394="","-",11764.76394)</f>
        <v>11764.763940000001</v>
      </c>
      <c r="C53" s="41">
        <f>IF(OR(10911.89629="",11764.76394=""),"-",11764.76394/10911.89629*100)</f>
        <v>107.81594351095139</v>
      </c>
      <c r="D53" s="41">
        <f>IF(10911.89629="","-",10911.89629/732895.97599*100)</f>
        <v>1.4888738166777558</v>
      </c>
      <c r="E53" s="41">
        <f>IF(11764.76394="","-",11764.76394/675040.29206*100)</f>
        <v>1.7428239585666547</v>
      </c>
      <c r="F53" s="41">
        <f>IF(OR(677915.43358="",10188.58561="",10911.89629=""),"-",(10911.89629-10188.58561)/677915.43358*100)</f>
        <v>0.10669629929802203</v>
      </c>
      <c r="G53" s="41">
        <f>IF(OR(732895.97599="",11764.76394="",10911.89629=""),"-",(11764.76394-10911.89629)/732895.97599*100)</f>
        <v>0.1163695364608793</v>
      </c>
    </row>
    <row r="54" spans="1:7" s="9" customFormat="1" x14ac:dyDescent="0.25">
      <c r="A54" s="40" t="s">
        <v>68</v>
      </c>
      <c r="B54" s="41">
        <f>IF(464.52772="","-",464.52772)</f>
        <v>464.52771999999999</v>
      </c>
      <c r="C54" s="41">
        <f>IF(OR(467.51476="",464.52772=""),"-",464.52772/467.51476*100)</f>
        <v>99.361081134636251</v>
      </c>
      <c r="D54" s="41">
        <f>IF(467.51476="","-",467.51476/732895.97599*100)</f>
        <v>6.3790056886105631E-2</v>
      </c>
      <c r="E54" s="41">
        <f>IF(464.52772="","-",464.52772/675040.29206*100)</f>
        <v>6.8814813791694546E-2</v>
      </c>
      <c r="F54" s="41">
        <f>IF(OR(677915.43358="",330.00036="",467.51476=""),"-",(467.51476-330.00036)/677915.43358*100)</f>
        <v>2.0284890000777968E-2</v>
      </c>
      <c r="G54" s="41">
        <f>IF(OR(732895.97599="",464.52772="",467.51476=""),"-",(464.52772-467.51476)/732895.97599*100)</f>
        <v>-4.0756670767159363E-4</v>
      </c>
    </row>
    <row r="55" spans="1:7" s="9" customFormat="1" x14ac:dyDescent="0.25">
      <c r="A55" s="40" t="s">
        <v>69</v>
      </c>
      <c r="B55" s="41">
        <f>IF(514.56329="","-",514.56329)</f>
        <v>514.56329000000005</v>
      </c>
      <c r="C55" s="41" t="s">
        <v>253</v>
      </c>
      <c r="D55" s="41">
        <f>IF(111.03171="","-",111.03171/732895.97599*100)</f>
        <v>1.5149722967167033E-2</v>
      </c>
      <c r="E55" s="41">
        <f>IF(514.56329="","-",514.56329/675040.29206*100)</f>
        <v>7.6227048378063905E-2</v>
      </c>
      <c r="F55" s="41">
        <f>IF(OR(677915.43358="",685.6187="",111.03171=""),"-",(111.03171-685.6187)/677915.43358*100)</f>
        <v>-8.4757915447604831E-2</v>
      </c>
      <c r="G55" s="41">
        <f>IF(OR(732895.97599="",514.56329="",111.03171=""),"-",(514.56329-111.03171)/732895.97599*100)</f>
        <v>5.5059871144047069E-2</v>
      </c>
    </row>
    <row r="56" spans="1:7" s="9" customFormat="1" x14ac:dyDescent="0.25">
      <c r="A56" s="40" t="s">
        <v>70</v>
      </c>
      <c r="B56" s="41">
        <f>IF(6030.48426="","-",6030.48426)</f>
        <v>6030.4842600000002</v>
      </c>
      <c r="C56" s="41">
        <f>IF(OR(5440.80632="",6030.48426=""),"-",6030.48426/5440.80632*100)</f>
        <v>110.83806159084158</v>
      </c>
      <c r="D56" s="41">
        <f>IF(5440.80632="","-",5440.80632/732895.97599*100)</f>
        <v>0.74237088184998268</v>
      </c>
      <c r="E56" s="41">
        <f>IF(6030.48426="","-",6030.48426/675040.29206*100)</f>
        <v>0.8933517496558544</v>
      </c>
      <c r="F56" s="41">
        <f>IF(OR(677915.43358="",6064.37596="",5440.80632=""),"-",(5440.80632-6064.37596)/677915.43358*100)</f>
        <v>-9.1983396322310451E-2</v>
      </c>
      <c r="G56" s="41">
        <f>IF(OR(732895.97599="",6030.48426="",5440.80632=""),"-",(6030.48426-5440.80632)/732895.97599*100)</f>
        <v>8.0458613407374799E-2</v>
      </c>
    </row>
    <row r="57" spans="1:7" s="9" customFormat="1" ht="15" customHeight="1" x14ac:dyDescent="0.25">
      <c r="A57" s="50" t="s">
        <v>217</v>
      </c>
      <c r="B57" s="39">
        <f>IF(141946.39186="","-",141946.39186)</f>
        <v>141946.39186</v>
      </c>
      <c r="C57" s="39">
        <f>IF(181085.54231="","-",141946.39186/181085.54231*100)</f>
        <v>78.38637477585165</v>
      </c>
      <c r="D57" s="39">
        <f>IF(181085.54231="","-",181085.54231/732895.97599*100)</f>
        <v>24.708218934534145</v>
      </c>
      <c r="E57" s="39">
        <f>IF(141946.39186="","-",141946.39186/675040.29206*100)</f>
        <v>21.027839897797286</v>
      </c>
      <c r="F57" s="39">
        <f>IF(677915.43358="","-",(181085.54231-122506.92474)/677915.43358*100)</f>
        <v>8.640991880160108</v>
      </c>
      <c r="G57" s="39">
        <f>IF(732895.97599="","-",(141946.39186-181085.54231)/732895.97599*100)</f>
        <v>-5.34034184007227</v>
      </c>
    </row>
    <row r="58" spans="1:7" s="9" customFormat="1" ht="27" customHeight="1" x14ac:dyDescent="0.25">
      <c r="A58" s="40" t="s">
        <v>71</v>
      </c>
      <c r="B58" s="41">
        <f>IF(613.21099="","-",613.21099)</f>
        <v>613.21099000000004</v>
      </c>
      <c r="C58" s="41">
        <f>IF(OR(1154.55312="",613.21099=""),"-",613.21099/1154.55312*100)</f>
        <v>53.112410280438205</v>
      </c>
      <c r="D58" s="41">
        <f>IF(1154.55312="","-",1154.55312/732895.97599*100)</f>
        <v>0.15753301393699473</v>
      </c>
      <c r="E58" s="41">
        <f>IF(613.21099="","-",613.21099/675040.29206*100)</f>
        <v>9.084065013788771E-2</v>
      </c>
      <c r="F58" s="41">
        <f>IF(OR(677915.43358="",847.41283="",1154.55312=""),"-",(1154.55312-847.41283)/677915.43358*100)</f>
        <v>4.5306578783436829E-2</v>
      </c>
      <c r="G58" s="41">
        <f>IF(OR(732895.97599="",613.21099="",1154.55312=""),"-",(613.21099-1154.55312)/732895.97599*100)</f>
        <v>-7.3863433247638194E-2</v>
      </c>
    </row>
    <row r="59" spans="1:7" s="9" customFormat="1" ht="25.5" x14ac:dyDescent="0.25">
      <c r="A59" s="40" t="s">
        <v>218</v>
      </c>
      <c r="B59" s="41">
        <f>IF(1546.34254="","-",1546.34254)</f>
        <v>1546.3425400000001</v>
      </c>
      <c r="C59" s="41">
        <f>IF(OR(3342.69541="",1546.34254=""),"-",1546.34254/3342.69541*100)</f>
        <v>46.260348321715625</v>
      </c>
      <c r="D59" s="41">
        <f>IF(3342.69541="","-",3342.69541/732895.97599*100)</f>
        <v>0.45609411424106516</v>
      </c>
      <c r="E59" s="41">
        <f>IF(1546.34254="","-",1546.34254/675040.29206*100)</f>
        <v>0.22907410982551477</v>
      </c>
      <c r="F59" s="41">
        <f>IF(OR(677915.43358="",3202.39188="",3342.69541=""),"-",(3342.69541-3202.39188)/677915.43358*100)</f>
        <v>2.069631742399956E-2</v>
      </c>
      <c r="G59" s="41">
        <f>IF(OR(732895.97599="",1546.34254="",3342.69541=""),"-",(1546.34254-3342.69541)/732895.97599*100)</f>
        <v>-0.24510338831830483</v>
      </c>
    </row>
    <row r="60" spans="1:7" ht="25.5" x14ac:dyDescent="0.25">
      <c r="A60" s="40" t="s">
        <v>72</v>
      </c>
      <c r="B60" s="41">
        <f>IF(531.21268="","-",531.21268)</f>
        <v>531.21267999999998</v>
      </c>
      <c r="C60" s="41">
        <f>IF(OR(533.6363="",531.21268=""),"-",531.21268/533.6363*100)</f>
        <v>99.545829247373163</v>
      </c>
      <c r="D60" s="41">
        <f>IF(533.6363="","-",533.6363/732895.97599*100)</f>
        <v>7.2812011183328043E-2</v>
      </c>
      <c r="E60" s="41">
        <f>IF(531.21268="","-",531.21268/675040.29206*100)</f>
        <v>7.8693477448422269E-2</v>
      </c>
      <c r="F60" s="41">
        <f>IF(OR(677915.43358="",423.12144="",533.6363=""),"-",(533.6363-423.12144)/677915.43358*100)</f>
        <v>1.6302160199596384E-2</v>
      </c>
      <c r="G60" s="41">
        <f>IF(OR(732895.97599="",531.21268="",533.6363=""),"-",(531.21268-533.6363)/732895.97599*100)</f>
        <v>-3.3069085919406075E-4</v>
      </c>
    </row>
    <row r="61" spans="1:7" ht="38.25" x14ac:dyDescent="0.25">
      <c r="A61" s="40" t="s">
        <v>73</v>
      </c>
      <c r="B61" s="41">
        <f>IF(5498.29735="","-",5498.29735)</f>
        <v>5498.2973499999998</v>
      </c>
      <c r="C61" s="41">
        <f>IF(OR(4406.46799="",5498.29735=""),"-",5498.29735/4406.46799*100)</f>
        <v>124.7778802087701</v>
      </c>
      <c r="D61" s="41">
        <f>IF(4406.46799="","-",4406.46799/732895.97599*100)</f>
        <v>0.60124057633796102</v>
      </c>
      <c r="E61" s="41">
        <f>IF(5498.29735="","-",5498.29735/675040.29206*100)</f>
        <v>0.81451395045190744</v>
      </c>
      <c r="F61" s="41">
        <f>IF(OR(677915.43358="",4910.91521="",4406.46799=""),"-",(4406.46799-4910.91521)/677915.43358*100)</f>
        <v>-7.4411526130341576E-2</v>
      </c>
      <c r="G61" s="41">
        <f>IF(OR(732895.97599="",5498.29735="",4406.46799=""),"-",(5498.29735-4406.46799)/732895.97599*100)</f>
        <v>0.14897466977153892</v>
      </c>
    </row>
    <row r="62" spans="1:7" ht="25.5" x14ac:dyDescent="0.25">
      <c r="A62" s="40" t="s">
        <v>74</v>
      </c>
      <c r="B62" s="41">
        <f>IF(291.96952="","-",291.96952)</f>
        <v>291.96951999999999</v>
      </c>
      <c r="C62" s="41">
        <f>IF(OR(215.08494="",291.96952=""),"-",291.96952/215.08494*100)</f>
        <v>135.74614754524421</v>
      </c>
      <c r="D62" s="41">
        <f>IF(215.08494="","-",215.08494/732895.97599*100)</f>
        <v>2.9347267149265225E-2</v>
      </c>
      <c r="E62" s="41">
        <f>IF(291.96952="","-",291.96952/675040.29206*100)</f>
        <v>4.3252161898218767E-2</v>
      </c>
      <c r="F62" s="41">
        <f>IF(OR(677915.43358="",351.91228="",215.08494=""),"-",(215.08494-351.91228)/677915.43358*100)</f>
        <v>-2.0183541076418524E-2</v>
      </c>
      <c r="G62" s="41">
        <f>IF(OR(732895.97599="",291.96952="",215.08494=""),"-",(291.96952-215.08494)/732895.97599*100)</f>
        <v>1.0490517415673334E-2</v>
      </c>
    </row>
    <row r="63" spans="1:7" ht="38.25" x14ac:dyDescent="0.25">
      <c r="A63" s="40" t="s">
        <v>75</v>
      </c>
      <c r="B63" s="41">
        <f>IF(446.81349="","-",446.81349)</f>
        <v>446.81349</v>
      </c>
      <c r="C63" s="41">
        <f>IF(OR(1060.7533="",446.81349=""),"-",446.81349/1060.7533*100)</f>
        <v>42.122281401339968</v>
      </c>
      <c r="D63" s="41">
        <f>IF(1060.7533="","-",1060.7533/732895.97599*100)</f>
        <v>0.14473449640204786</v>
      </c>
      <c r="E63" s="41">
        <f>IF(446.81349="","-",446.81349/675040.29206*100)</f>
        <v>6.6190640063346851E-2</v>
      </c>
      <c r="F63" s="41">
        <f>IF(OR(677915.43358="",534.06432="",1060.7533=""),"-",(1060.7533-534.06432)/677915.43358*100)</f>
        <v>7.7692430930302203E-2</v>
      </c>
      <c r="G63" s="41">
        <f>IF(OR(732895.97599="",446.81349="",1060.7533=""),"-",(446.81349-1060.7533)/732895.97599*100)</f>
        <v>-8.3769024542764983E-2</v>
      </c>
    </row>
    <row r="64" spans="1:7" ht="41.25" customHeight="1" x14ac:dyDescent="0.25">
      <c r="A64" s="40" t="s">
        <v>219</v>
      </c>
      <c r="B64" s="41">
        <f>IF(125973.85367="","-",125973.85367)</f>
        <v>125973.85367</v>
      </c>
      <c r="C64" s="41">
        <f>IF(OR(160971.67552="",125973.85367=""),"-",125973.85367/160971.67552*100)</f>
        <v>78.258397487046309</v>
      </c>
      <c r="D64" s="41">
        <f>IF(160971.67552="","-",160971.67552/732895.97599*100)</f>
        <v>21.963782145557364</v>
      </c>
      <c r="E64" s="41">
        <f>IF(125973.85367="","-",125973.85367/675040.29206*100)</f>
        <v>18.661679184448296</v>
      </c>
      <c r="F64" s="41">
        <f>IF(OR(677915.43358="",107801.43947="",160971.67552=""),"-",(160971.67552-107801.43947)/677915.43358*100)</f>
        <v>7.8431959823091173</v>
      </c>
      <c r="G64" s="41">
        <f>IF(OR(732895.97599="",125973.85367="",160971.67552=""),"-",(125973.85367-160971.67552)/732895.97599*100)</f>
        <v>-4.7752782108981755</v>
      </c>
    </row>
    <row r="65" spans="1:7" ht="25.5" x14ac:dyDescent="0.25">
      <c r="A65" s="40" t="s">
        <v>76</v>
      </c>
      <c r="B65" s="41">
        <f>IF(6958.43761="","-",6958.43761)</f>
        <v>6958.4376099999999</v>
      </c>
      <c r="C65" s="41">
        <f>IF(OR(6923.79195="",6958.43761=""),"-",6958.43761/6923.79195*100)</f>
        <v>100.50038563044923</v>
      </c>
      <c r="D65" s="41">
        <f>IF(6923.79195="","-",6923.79195/732895.97599*100)</f>
        <v>0.9447168734481457</v>
      </c>
      <c r="E65" s="41">
        <f>IF(6958.43761="","-",6958.43761/675040.29206*100)</f>
        <v>1.0308181143921271</v>
      </c>
      <c r="F65" s="41">
        <f>IF(OR(677915.43358="",4376.47038="",6923.79195=""),"-",(6923.79195-4376.47038)/677915.43358*100)</f>
        <v>0.3757580140265967</v>
      </c>
      <c r="G65" s="41">
        <f>IF(OR(732895.97599="",6958.43761="",6923.79195=""),"-",(6958.43761-6923.79195)/732895.97599*100)</f>
        <v>4.7272274831637031E-3</v>
      </c>
    </row>
    <row r="66" spans="1:7" x14ac:dyDescent="0.25">
      <c r="A66" s="40" t="s">
        <v>77</v>
      </c>
      <c r="B66" s="41">
        <f>IF(86.25401="","-",86.25401)</f>
        <v>86.254009999999994</v>
      </c>
      <c r="C66" s="41">
        <f>IF(OR(2476.88378="",86.25401=""),"-",86.25401/2476.88378*100)</f>
        <v>3.4823599999512291</v>
      </c>
      <c r="D66" s="41">
        <f>IF(2476.88378="","-",2476.88378/732895.97599*100)</f>
        <v>0.33795843627797406</v>
      </c>
      <c r="E66" s="41">
        <f>IF(86.25401="","-",86.25401/675040.29206*100)</f>
        <v>1.2777609131564761E-2</v>
      </c>
      <c r="F66" s="41">
        <f>IF(OR(677915.43358="",59.19693="",2476.88378=""),"-",(2476.88378-59.19693)/677915.43358*100)</f>
        <v>0.35663546369381954</v>
      </c>
      <c r="G66" s="41">
        <f>IF(OR(732895.97599="",86.25401="",2476.88378=""),"-",(86.25401-2476.88378)/732895.97599*100)</f>
        <v>-0.32618950687656922</v>
      </c>
    </row>
    <row r="67" spans="1:7" x14ac:dyDescent="0.25">
      <c r="A67" s="50" t="s">
        <v>78</v>
      </c>
      <c r="B67" s="39">
        <f>IF(129566.49="","-",129566.49)</f>
        <v>129566.49</v>
      </c>
      <c r="C67" s="39">
        <f>IF(137208.47795="","-",129566.49/137208.47795*100)</f>
        <v>94.430382098703262</v>
      </c>
      <c r="D67" s="39">
        <f>IF(137208.47795="","-",137208.47795/732895.97599*100)</f>
        <v>18.721412375700115</v>
      </c>
      <c r="E67" s="39">
        <f>IF(129566.49="","-",129566.49/675040.29206*100)</f>
        <v>19.19388983502094</v>
      </c>
      <c r="F67" s="39">
        <f>IF(677915.43358="","-",(137208.47795-154029.41464)/677915.43358*100)</f>
        <v>-2.4812736009225231</v>
      </c>
      <c r="G67" s="39">
        <f>IF(732895.97599="","-",(129566.49-137208.47795)/732895.97599*100)</f>
        <v>-1.0427111350525775</v>
      </c>
    </row>
    <row r="68" spans="1:7" ht="38.25" x14ac:dyDescent="0.25">
      <c r="A68" s="40" t="s">
        <v>221</v>
      </c>
      <c r="B68" s="41">
        <f>IF(2086.48971="","-",2086.48971)</f>
        <v>2086.4897099999998</v>
      </c>
      <c r="C68" s="41">
        <f>IF(OR(2249.66098="",2086.48971=""),"-",2086.48971/2249.66098*100)</f>
        <v>92.746850683252717</v>
      </c>
      <c r="D68" s="41">
        <f>IF(2249.66098="","-",2249.66098/732895.97599*100)</f>
        <v>0.30695501867930786</v>
      </c>
      <c r="E68" s="41">
        <f>IF(2086.48971="","-",2086.48971/675040.29206*100)</f>
        <v>0.3090911364168682</v>
      </c>
      <c r="F68" s="41">
        <f>IF(OR(677915.43358="",1791.59783="",2249.66098=""),"-",(2249.66098-1791.59783)/677915.43358*100)</f>
        <v>6.7569364453176253E-2</v>
      </c>
      <c r="G68" s="41">
        <f>IF(OR(732895.97599="",2086.48971="",2249.66098=""),"-",(2086.48971-2249.66098)/732895.97599*100)</f>
        <v>-2.226390584005972E-2</v>
      </c>
    </row>
    <row r="69" spans="1:7" x14ac:dyDescent="0.25">
      <c r="A69" s="40" t="s">
        <v>79</v>
      </c>
      <c r="B69" s="41">
        <f>IF(34451.92935="","-",34451.92935)</f>
        <v>34451.929349999999</v>
      </c>
      <c r="C69" s="41">
        <f>IF(OR(36250.88392="",34451.92935=""),"-",34451.92935/36250.88392*100)</f>
        <v>95.037487709347971</v>
      </c>
      <c r="D69" s="41">
        <f>IF(36250.88392="","-",36250.88392/732895.97599*100)</f>
        <v>4.9462522796679442</v>
      </c>
      <c r="E69" s="41">
        <f>IF(34451.92935="","-",34451.92935/675040.29206*100)</f>
        <v>5.1036848844776497</v>
      </c>
      <c r="F69" s="41">
        <f>IF(OR(677915.43358="",39801.92445="",36250.88392=""),"-",(36250.88392-39801.92445)/677915.43358*100)</f>
        <v>-0.52381762593120607</v>
      </c>
      <c r="G69" s="41">
        <f>IF(OR(732895.97599="",34451.92935="",36250.88392=""),"-",(34451.92935-36250.88392)/732895.97599*100)</f>
        <v>-0.24545837730517811</v>
      </c>
    </row>
    <row r="70" spans="1:7" x14ac:dyDescent="0.25">
      <c r="A70" s="40" t="s">
        <v>80</v>
      </c>
      <c r="B70" s="41">
        <f>IF(3319.90567="","-",3319.90567)</f>
        <v>3319.9056700000001</v>
      </c>
      <c r="C70" s="41">
        <f>IF(OR(3226.44018="",3319.90567=""),"-",3319.90567/3226.44018*100)</f>
        <v>102.89686108483809</v>
      </c>
      <c r="D70" s="41">
        <f>IF(3226.44018="","-",3226.44018/732895.97599*100)</f>
        <v>0.4402316680265172</v>
      </c>
      <c r="E70" s="41">
        <f>IF(3319.90567="","-",3319.90567/675040.29206*100)</f>
        <v>0.49180852003200348</v>
      </c>
      <c r="F70" s="41">
        <f>IF(OR(677915.43358="",4436.7702="",3226.44018=""),"-",(3226.44018-4436.7702)/677915.43358*100)</f>
        <v>-0.17853702099808741</v>
      </c>
      <c r="G70" s="41">
        <f>IF(OR(732895.97599="",3319.90567="",3226.44018=""),"-",(3319.90567-3226.44018)/732895.97599*100)</f>
        <v>1.2752899874193788E-2</v>
      </c>
    </row>
    <row r="71" spans="1:7" x14ac:dyDescent="0.25">
      <c r="A71" s="40" t="s">
        <v>81</v>
      </c>
      <c r="B71" s="41">
        <f>IF(58761.24411="","-",58761.24411)</f>
        <v>58761.24411</v>
      </c>
      <c r="C71" s="41">
        <f>IF(OR(66637.822="",58761.24411=""),"-",58761.24411/66637.822*100)</f>
        <v>88.180019013826723</v>
      </c>
      <c r="D71" s="41">
        <f>IF(66637.822="","-",66637.822/732895.97599*100)</f>
        <v>9.0923984007396506</v>
      </c>
      <c r="E71" s="41">
        <f>IF(58761.24411="","-",58761.24411/675040.29206*100)</f>
        <v>8.704849888394083</v>
      </c>
      <c r="F71" s="41">
        <f>IF(OR(677915.43358="",78760.96957="",66637.822=""),"-",(66637.822-78760.96957)/677915.43358*100)</f>
        <v>-1.7882979158593479</v>
      </c>
      <c r="G71" s="41">
        <f>IF(OR(732895.97599="",58761.24411="",66637.822=""),"-",(58761.24411-66637.822)/732895.97599*100)</f>
        <v>-1.0747197621545508</v>
      </c>
    </row>
    <row r="72" spans="1:7" x14ac:dyDescent="0.25">
      <c r="A72" s="40" t="s">
        <v>82</v>
      </c>
      <c r="B72" s="41">
        <f>IF(9665.39729="","-",9665.39729)</f>
        <v>9665.3972900000008</v>
      </c>
      <c r="C72" s="41">
        <f>IF(OR(8336.22363="",9665.39729=""),"-",9665.39729/8336.22363*100)</f>
        <v>115.94455378112261</v>
      </c>
      <c r="D72" s="41">
        <f>IF(8336.22363="","-",8336.22363/732895.97599*100)</f>
        <v>1.137436130514891</v>
      </c>
      <c r="E72" s="41">
        <f>IF(9665.39729="","-",9665.39729/675040.29206*100)</f>
        <v>1.4318252412021808</v>
      </c>
      <c r="F72" s="41">
        <f>IF(OR(677915.43358="",9842.31654="",8336.22363=""),"-",(8336.22363-9842.31654)/677915.43358*100)</f>
        <v>-0.22216530785358896</v>
      </c>
      <c r="G72" s="41">
        <f>IF(OR(732895.97599="",9665.39729="",8336.22363=""),"-",(9665.39729-8336.22363)/732895.97599*100)</f>
        <v>0.18135911555586659</v>
      </c>
    </row>
    <row r="73" spans="1:7" ht="25.5" x14ac:dyDescent="0.25">
      <c r="A73" s="40" t="s">
        <v>222</v>
      </c>
      <c r="B73" s="41">
        <f>IF(4469.80666="","-",4469.80666)</f>
        <v>4469.8066600000002</v>
      </c>
      <c r="C73" s="41">
        <f>IF(OR(4219.07977="",4469.80666=""),"-",4469.80666/4219.07977*100)</f>
        <v>105.94269138457176</v>
      </c>
      <c r="D73" s="41">
        <f>IF(4219.07977="","-",4219.07977/732895.97599*100)</f>
        <v>0.57567238847243551</v>
      </c>
      <c r="E73" s="41">
        <f>IF(4469.80666="","-",4469.80666/675040.29206*100)</f>
        <v>0.66215405399870675</v>
      </c>
      <c r="F73" s="41">
        <f>IF(OR(677915.43358="",5521.71077="",4219.07977=""),"-",(4219.07977-5521.71077)/677915.43358*100)</f>
        <v>-0.19215243310230337</v>
      </c>
      <c r="G73" s="41">
        <f>IF(OR(732895.97599="",4469.80666="",4219.07977=""),"-",(4469.80666-4219.07977)/732895.97599*100)</f>
        <v>3.421043343310988E-2</v>
      </c>
    </row>
    <row r="74" spans="1:7" ht="25.5" x14ac:dyDescent="0.25">
      <c r="A74" s="40" t="s">
        <v>83</v>
      </c>
      <c r="B74" s="41">
        <f>IF(697.76723="","-",697.76723)</f>
        <v>697.76723000000004</v>
      </c>
      <c r="C74" s="41">
        <f>IF(OR(895.0314="",697.76723=""),"-",697.76723/895.0314*100)</f>
        <v>77.960083858510444</v>
      </c>
      <c r="D74" s="41">
        <f>IF(895.0314="","-",895.0314/732895.97599*100)</f>
        <v>0.12212256982186136</v>
      </c>
      <c r="E74" s="41">
        <f>IF(697.76723="","-",697.76723/675040.29206*100)</f>
        <v>0.10336675280088022</v>
      </c>
      <c r="F74" s="41">
        <f>IF(OR(677915.43358="",931.53162="",895.0314=""),"-",(895.0314-931.53162)/677915.43358*100)</f>
        <v>-5.3841848395818634E-3</v>
      </c>
      <c r="G74" s="41">
        <f>IF(OR(732895.97599="",697.76723="",895.0314=""),"-",(697.76723-895.0314)/732895.97599*100)</f>
        <v>-2.6915711978570275E-2</v>
      </c>
    </row>
    <row r="75" spans="1:7" x14ac:dyDescent="0.25">
      <c r="A75" s="40" t="s">
        <v>84</v>
      </c>
      <c r="B75" s="41">
        <f>IF(16113.94998="","-",16113.94998)</f>
        <v>16113.949979999999</v>
      </c>
      <c r="C75" s="41">
        <f>IF(OR(15393.33607="",16113.94998=""),"-",16113.94998/15393.33607*100)</f>
        <v>104.68133682473419</v>
      </c>
      <c r="D75" s="41">
        <f>IF(15393.33607="","-",15393.33607/732895.97599*100)</f>
        <v>2.1003439197775093</v>
      </c>
      <c r="E75" s="41">
        <f>IF(16113.94998="","-",16113.94998/675040.29206*100)</f>
        <v>2.3871093576985674</v>
      </c>
      <c r="F75" s="41">
        <f>IF(OR(677915.43358="",12942.59366="",15393.33607=""),"-",(15393.33607-12942.59366)/677915.43358*100)</f>
        <v>0.36151152320841651</v>
      </c>
      <c r="G75" s="41">
        <f>IF(OR(732895.97599="",16113.94998="",15393.33607=""),"-",(16113.94998-15393.33607)/732895.97599*100)</f>
        <v>9.8324173362609985E-2</v>
      </c>
    </row>
    <row r="76" spans="1:7" ht="25.5" x14ac:dyDescent="0.25">
      <c r="A76" s="51" t="s">
        <v>200</v>
      </c>
      <c r="B76" s="52">
        <f>IF(187.21487="","-",187.21487)</f>
        <v>187.21486999999999</v>
      </c>
      <c r="C76" s="52">
        <f>IF(151.09255="","-",187.21487/151.09255*100)</f>
        <v>123.90741303922664</v>
      </c>
      <c r="D76" s="52">
        <f>IF(151.09255="","-",151.09255/732895.97599*100)</f>
        <v>2.061582474864913E-2</v>
      </c>
      <c r="E76" s="52">
        <f>IF(187.21487="","-",187.21487/675040.29206*100)</f>
        <v>2.7733880807126646E-2</v>
      </c>
      <c r="F76" s="52">
        <f>IF(677915.43358="","-",(151.09255-253.70267)/677915.43358*100)</f>
        <v>-1.5136123905326478E-2</v>
      </c>
      <c r="G76" s="52">
        <f>IF(732895.97599="","-",(187.21487-151.09255)/732895.97599*100)</f>
        <v>4.928710374102651E-3</v>
      </c>
    </row>
    <row r="77" spans="1:7" x14ac:dyDescent="0.25">
      <c r="A77" s="29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K15" sqref="K15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7" t="s">
        <v>264</v>
      </c>
      <c r="B1" s="97"/>
      <c r="C1" s="97"/>
      <c r="D1" s="97"/>
      <c r="E1" s="97"/>
      <c r="F1" s="97"/>
      <c r="G1" s="97"/>
    </row>
    <row r="2" spans="1:7" x14ac:dyDescent="0.25">
      <c r="A2" s="97" t="s">
        <v>23</v>
      </c>
      <c r="B2" s="97"/>
      <c r="C2" s="97"/>
      <c r="D2" s="97"/>
      <c r="E2" s="97"/>
      <c r="F2" s="97"/>
      <c r="G2" s="97"/>
    </row>
    <row r="3" spans="1:7" x14ac:dyDescent="0.25">
      <c r="A3" s="5"/>
    </row>
    <row r="4" spans="1:7" ht="57" customHeight="1" x14ac:dyDescent="0.25">
      <c r="A4" s="105"/>
      <c r="B4" s="108" t="s">
        <v>228</v>
      </c>
      <c r="C4" s="103"/>
      <c r="D4" s="108" t="s">
        <v>0</v>
      </c>
      <c r="E4" s="103"/>
      <c r="F4" s="100" t="s">
        <v>173</v>
      </c>
      <c r="G4" s="109"/>
    </row>
    <row r="5" spans="1:7" ht="26.25" customHeight="1" x14ac:dyDescent="0.25">
      <c r="A5" s="106"/>
      <c r="B5" s="110" t="s">
        <v>163</v>
      </c>
      <c r="C5" s="98" t="s">
        <v>229</v>
      </c>
      <c r="D5" s="112" t="s">
        <v>230</v>
      </c>
      <c r="E5" s="112"/>
      <c r="F5" s="112" t="s">
        <v>230</v>
      </c>
      <c r="G5" s="108"/>
    </row>
    <row r="6" spans="1:7" ht="26.25" customHeight="1" x14ac:dyDescent="0.25">
      <c r="A6" s="107"/>
      <c r="B6" s="111"/>
      <c r="C6" s="99"/>
      <c r="D6" s="26">
        <v>2019</v>
      </c>
      <c r="E6" s="26">
        <v>2020</v>
      </c>
      <c r="F6" s="26" t="s">
        <v>175</v>
      </c>
      <c r="G6" s="22" t="s">
        <v>202</v>
      </c>
    </row>
    <row r="7" spans="1:7" x14ac:dyDescent="0.25">
      <c r="A7" s="79" t="s">
        <v>186</v>
      </c>
      <c r="B7" s="37">
        <f>IF(1365812.81697="","-",1365812.81697)</f>
        <v>1365812.81697</v>
      </c>
      <c r="C7" s="37">
        <f>IF(1365036.36807="","-",1365812.81697/1365036.36807*100)</f>
        <v>100.05688118779558</v>
      </c>
      <c r="D7" s="37">
        <v>100</v>
      </c>
      <c r="E7" s="37">
        <v>100</v>
      </c>
      <c r="F7" s="37">
        <f>IF(1326009.79931="","-",(1365036.36807-1326009.79931)/1326009.79931*100)</f>
        <v>2.943158397495099</v>
      </c>
      <c r="G7" s="37">
        <f>IF(1365036.36807="","-",(1365812.81697-1365036.36807)/1365036.36807*100)</f>
        <v>5.6881187795587172E-2</v>
      </c>
    </row>
    <row r="8" spans="1:7" ht="12" customHeight="1" x14ac:dyDescent="0.25">
      <c r="A8" s="80" t="s">
        <v>193</v>
      </c>
      <c r="B8" s="46"/>
      <c r="C8" s="46"/>
      <c r="D8" s="46"/>
      <c r="E8" s="46"/>
      <c r="F8" s="46"/>
      <c r="G8" s="46"/>
    </row>
    <row r="9" spans="1:7" x14ac:dyDescent="0.25">
      <c r="A9" s="81" t="s">
        <v>24</v>
      </c>
      <c r="B9" s="39">
        <f>IF(177095.45487="","-",177095.45487)</f>
        <v>177095.45486999999</v>
      </c>
      <c r="C9" s="39">
        <f>IF(156875.26269="","-",177095.45487/156875.26269*100)</f>
        <v>112.88934394963019</v>
      </c>
      <c r="D9" s="39">
        <f>IF(156875.26269="","-",156875.26269/1365036.36807*100)</f>
        <v>11.492387042537414</v>
      </c>
      <c r="E9" s="39">
        <f>IF(177095.45487="","-",177095.45487/1365812.81697*100)</f>
        <v>12.966304948205057</v>
      </c>
      <c r="F9" s="39">
        <f>IF(1326009.79931="","-",(156875.26269-149437.76696)/1326009.79931*100)</f>
        <v>0.56089296880537065</v>
      </c>
      <c r="G9" s="39">
        <f>IF(1365036.36807="","-",(177095.45487-156875.26269)/1365036.36807*100)</f>
        <v>1.48129329393538</v>
      </c>
    </row>
    <row r="10" spans="1:7" ht="14.25" customHeight="1" x14ac:dyDescent="0.25">
      <c r="A10" s="82" t="s">
        <v>25</v>
      </c>
      <c r="B10" s="41">
        <f>IF(1802.92988="","-",1802.92988)</f>
        <v>1802.9298799999999</v>
      </c>
      <c r="C10" s="41">
        <f>IF(OR(1407.70752="",1802.92988=""),"-",1802.92988/1407.70752*100)</f>
        <v>128.07560195458785</v>
      </c>
      <c r="D10" s="41">
        <f>IF(1407.70752="","-",1407.70752/1365036.36807*100)</f>
        <v>0.10312600842938213</v>
      </c>
      <c r="E10" s="41">
        <f>IF(1802.92988="","-",1802.92988/1365812.81697*100)</f>
        <v>0.13200417052753438</v>
      </c>
      <c r="F10" s="41">
        <f>IF(OR(1326009.79931="",1255.5525="",1407.70752=""),"-",(1407.70752-1255.5525)/1326009.79931*100)</f>
        <v>1.1474652757406095E-2</v>
      </c>
      <c r="G10" s="41">
        <f>IF(OR(1365036.36807="",1802.92988="",1407.70752=""),"-",(1802.92988-1407.70752)/1365036.36807*100)</f>
        <v>2.8953247638288031E-2</v>
      </c>
    </row>
    <row r="11" spans="1:7" s="9" customFormat="1" x14ac:dyDescent="0.25">
      <c r="A11" s="82" t="s">
        <v>26</v>
      </c>
      <c r="B11" s="41">
        <f>IF(8767.15941="","-",8767.15941)</f>
        <v>8767.1594100000002</v>
      </c>
      <c r="C11" s="41">
        <f>IF(OR(10104.13764="",8767.15941=""),"-",8767.15941/10104.13764*100)</f>
        <v>86.768012495126683</v>
      </c>
      <c r="D11" s="41">
        <f>IF(10104.13764="","-",10104.13764/1365036.36807*100)</f>
        <v>0.74021014211409297</v>
      </c>
      <c r="E11" s="41">
        <f>IF(8767.15941="","-",8767.15941/1365812.81697*100)</f>
        <v>0.64190050796635412</v>
      </c>
      <c r="F11" s="41">
        <f>IF(OR(1326009.79931="",7526.64746="",10104.13764=""),"-",(10104.13764-7526.64746)/1326009.79931*100)</f>
        <v>0.19437942173136419</v>
      </c>
      <c r="G11" s="41">
        <f>IF(OR(1365036.36807="",8767.15941="",10104.13764=""),"-",(8767.15941-10104.13764)/1365036.36807*100)</f>
        <v>-9.7944513514341733E-2</v>
      </c>
    </row>
    <row r="12" spans="1:7" s="9" customFormat="1" x14ac:dyDescent="0.25">
      <c r="A12" s="82" t="s">
        <v>27</v>
      </c>
      <c r="B12" s="41">
        <f>IF(21888.74896="","-",21888.74896)</f>
        <v>21888.748960000001</v>
      </c>
      <c r="C12" s="41">
        <f>IF(OR(15819.79753="",21888.74896=""),"-",21888.74896/15819.79753*100)</f>
        <v>138.36301582552554</v>
      </c>
      <c r="D12" s="41">
        <f>IF(15819.79753="","-",15819.79753/1365036.36807*100)</f>
        <v>1.1589286483529611</v>
      </c>
      <c r="E12" s="41">
        <f>IF(21888.74896="","-",21888.74896/1365812.81697*100)</f>
        <v>1.6026170415181267</v>
      </c>
      <c r="F12" s="41">
        <f>IF(OR(1326009.79931="",14166.03856="",15819.79753=""),"-",(15819.79753-14166.03856)/1326009.79931*100)</f>
        <v>0.12471694936647874</v>
      </c>
      <c r="G12" s="41">
        <f>IF(OR(1365036.36807="",21888.74896="",15819.79753=""),"-",(21888.74896-15819.79753)/1365036.36807*100)</f>
        <v>0.44459998077419582</v>
      </c>
    </row>
    <row r="13" spans="1:7" s="9" customFormat="1" x14ac:dyDescent="0.25">
      <c r="A13" s="82" t="s">
        <v>28</v>
      </c>
      <c r="B13" s="41">
        <f>IF(14968.85328="","-",14968.85328)</f>
        <v>14968.853279999999</v>
      </c>
      <c r="C13" s="41">
        <f>IF(OR(13034.60322="",14968.85328=""),"-",14968.85328/13034.60322*100)</f>
        <v>114.8393474458212</v>
      </c>
      <c r="D13" s="41">
        <f>IF(13034.60322="","-",13034.60322/1365036.36807*100)</f>
        <v>0.95489054540205309</v>
      </c>
      <c r="E13" s="41">
        <f>IF(14968.85328="","-",14968.85328/1365812.81697*100)</f>
        <v>1.0959666723005126</v>
      </c>
      <c r="F13" s="41">
        <f>IF(OR(1326009.79931="",12369.3782="",13034.60322=""),"-",(13034.60322-12369.3782)/1326009.79931*100)</f>
        <v>5.0167428652952407E-2</v>
      </c>
      <c r="G13" s="41">
        <f>IF(OR(1365036.36807="",14968.85328="",13034.60322=""),"-",(14968.85328-13034.60322)/1365036.36807*100)</f>
        <v>0.14169952575950773</v>
      </c>
    </row>
    <row r="14" spans="1:7" s="9" customFormat="1" x14ac:dyDescent="0.25">
      <c r="A14" s="82" t="s">
        <v>29</v>
      </c>
      <c r="B14" s="41">
        <f>IF(32921.11051="","-",32921.11051)</f>
        <v>32921.110509999999</v>
      </c>
      <c r="C14" s="41">
        <f>IF(OR(26927.50042="",32921.11051=""),"-",32921.11051/26927.50042*100)</f>
        <v>122.25832326251988</v>
      </c>
      <c r="D14" s="41">
        <f>IF(26927.50042="","-",26927.50042/1365036.36807*100)</f>
        <v>1.9726580954082786</v>
      </c>
      <c r="E14" s="41">
        <f>IF(32921.11051="","-",32921.11051/1365812.81697*100)</f>
        <v>2.410367665390206</v>
      </c>
      <c r="F14" s="41">
        <f>IF(OR(1326009.79931="",25887.00138="",26927.50042=""),"-",(26927.50042-25887.00138)/1326009.79931*100)</f>
        <v>7.846842764973766E-2</v>
      </c>
      <c r="G14" s="41">
        <f>IF(OR(1365036.36807="",32921.11051="",26927.50042=""),"-",(32921.11051-26927.50042)/1365036.36807*100)</f>
        <v>0.43908061574024243</v>
      </c>
    </row>
    <row r="15" spans="1:7" s="9" customFormat="1" x14ac:dyDescent="0.25">
      <c r="A15" s="82" t="s">
        <v>30</v>
      </c>
      <c r="B15" s="41">
        <f>IF(50585.4173799999="","-",50585.4173799999)</f>
        <v>50585.417379999897</v>
      </c>
      <c r="C15" s="41">
        <f>IF(OR(49117.55563="",50585.4173799999=""),"-",50585.4173799999/49117.55563*100)</f>
        <v>102.98846661071089</v>
      </c>
      <c r="D15" s="41">
        <f>IF(49117.55563="","-",49117.55563/1365036.36807*100)</f>
        <v>3.5982598543836906</v>
      </c>
      <c r="E15" s="41">
        <f>IF(50585.4173799999="","-",50585.4173799999/1365812.81697*100)</f>
        <v>3.7036859481390412</v>
      </c>
      <c r="F15" s="41">
        <f>IF(OR(1326009.79931="",45810.94321="",49117.55563=""),"-",(49117.55563-45810.94321)/1326009.79931*100)</f>
        <v>0.24936560964486293</v>
      </c>
      <c r="G15" s="41">
        <f>IF(OR(1365036.36807="",50585.4173799999="",49117.55563=""),"-",(50585.4173799999-49117.55563)/1365036.36807*100)</f>
        <v>0.1075327943148707</v>
      </c>
    </row>
    <row r="16" spans="1:7" s="9" customFormat="1" ht="14.25" customHeight="1" x14ac:dyDescent="0.25">
      <c r="A16" s="82" t="s">
        <v>31</v>
      </c>
      <c r="B16" s="41">
        <f>IF(5893.29666="","-",5893.29666)</f>
        <v>5893.29666</v>
      </c>
      <c r="C16" s="41">
        <f>IF(OR(4741.70008="",5893.29666=""),"-",5893.29666/4741.70008*100)</f>
        <v>124.28657571273467</v>
      </c>
      <c r="D16" s="41">
        <f>IF(4741.70008="","-",4741.70008/1365036.36807*100)</f>
        <v>0.34736804021596895</v>
      </c>
      <c r="E16" s="41">
        <f>IF(5893.29666="","-",5893.29666/1365812.81697*100)</f>
        <v>0.43148640771098035</v>
      </c>
      <c r="F16" s="41">
        <f>IF(OR(1326009.79931="",5221.55287="",4741.70008=""),"-",(4741.70008-5221.55287)/1326009.79931*100)</f>
        <v>-3.6187725780736778E-2</v>
      </c>
      <c r="G16" s="41">
        <f>IF(OR(1365036.36807="",5893.29666="",4741.70008=""),"-",(5893.29666-4741.70008)/1365036.36807*100)</f>
        <v>8.4363802088893922E-2</v>
      </c>
    </row>
    <row r="17" spans="1:7" s="9" customFormat="1" ht="25.5" x14ac:dyDescent="0.25">
      <c r="A17" s="82" t="s">
        <v>32</v>
      </c>
      <c r="B17" s="41">
        <f>IF(12527.88928="","-",12527.88928)</f>
        <v>12527.889279999999</v>
      </c>
      <c r="C17" s="41">
        <f>IF(OR(11846.23424="",12527.88928=""),"-",12527.88928/11846.23424*100)</f>
        <v>105.75419180635753</v>
      </c>
      <c r="D17" s="41">
        <f>IF(11846.23424="","-",11846.23424/1365036.36807*100)</f>
        <v>0.86783286636891388</v>
      </c>
      <c r="E17" s="41">
        <f>IF(12527.88928="","-",12527.88928/1365812.81697*100)</f>
        <v>0.9172478925620724</v>
      </c>
      <c r="F17" s="41">
        <f>IF(OR(1326009.79931="",12004.50981="",11846.23424=""),"-",(11846.23424-12004.50981)/1326009.79931*100)</f>
        <v>-1.1936229285964536E-2</v>
      </c>
      <c r="G17" s="41">
        <f>IF(OR(1365036.36807="",12527.88928="",11846.23424=""),"-",(12527.88928-11846.23424)/1365036.36807*100)</f>
        <v>4.9936767689477704E-2</v>
      </c>
    </row>
    <row r="18" spans="1:7" s="9" customFormat="1" ht="25.5" x14ac:dyDescent="0.25">
      <c r="A18" s="82" t="s">
        <v>33</v>
      </c>
      <c r="B18" s="41">
        <f>IF(8429.56335="","-",8429.56335)</f>
        <v>8429.5633500000004</v>
      </c>
      <c r="C18" s="41">
        <f>IF(OR(7475.10217="",8429.56335=""),"-",8429.56335/7475.10217*100)</f>
        <v>112.76853691486066</v>
      </c>
      <c r="D18" s="41">
        <f>IF(7475.10217="","-",7475.10217/1365036.36807*100)</f>
        <v>0.54761194242530764</v>
      </c>
      <c r="E18" s="41">
        <f>IF(8429.56335="","-",8429.56335/1365812.81697*100)</f>
        <v>0.6171829144714458</v>
      </c>
      <c r="F18" s="41">
        <f>IF(OR(1326009.79931="",8597.12363="",7475.10217=""),"-",(7475.10217-8597.12363)/1326009.79931*100)</f>
        <v>-8.4616377690711869E-2</v>
      </c>
      <c r="G18" s="41">
        <f>IF(OR(1365036.36807="",8429.56335="",7475.10217=""),"-",(8429.56335-7475.10217)/1365036.36807*100)</f>
        <v>6.9922033018760918E-2</v>
      </c>
    </row>
    <row r="19" spans="1:7" s="9" customFormat="1" x14ac:dyDescent="0.25">
      <c r="A19" s="82" t="s">
        <v>34</v>
      </c>
      <c r="B19" s="41">
        <f>IF(19310.48616="","-",19310.48616)</f>
        <v>19310.48616</v>
      </c>
      <c r="C19" s="41">
        <f>IF(OR(16400.92424="",19310.48616=""),"-",19310.48616/16400.92424*100)</f>
        <v>117.74023144929788</v>
      </c>
      <c r="D19" s="41">
        <f>IF(16400.92424="","-",16400.92424/1365036.36807*100)</f>
        <v>1.2015008994367649</v>
      </c>
      <c r="E19" s="41">
        <f>IF(19310.48616="","-",19310.48616/1365812.81697*100)</f>
        <v>1.4138457276187761</v>
      </c>
      <c r="F19" s="41">
        <f>IF(OR(1326009.79931="",16599.01934="",16400.92424=""),"-",(16400.92424-16599.01934)/1326009.79931*100)</f>
        <v>-1.493918824001746E-2</v>
      </c>
      <c r="G19" s="41">
        <f>IF(OR(1365036.36807="",19310.48616="",16400.92424=""),"-",(19310.48616-16400.92424)/1365036.36807*100)</f>
        <v>0.21314904042547791</v>
      </c>
    </row>
    <row r="20" spans="1:7" s="9" customFormat="1" x14ac:dyDescent="0.25">
      <c r="A20" s="81" t="s">
        <v>35</v>
      </c>
      <c r="B20" s="39">
        <f>IF(26058.06608="","-",26058.06608)</f>
        <v>26058.066080000001</v>
      </c>
      <c r="C20" s="39">
        <f>IF(20535.6333="","-",26058.06608/20535.6333*100)</f>
        <v>126.89195263337703</v>
      </c>
      <c r="D20" s="39">
        <f>IF(20535.6333="","-",20535.6333/1365036.36807*100)</f>
        <v>1.5044019178064065</v>
      </c>
      <c r="E20" s="39">
        <f>IF(26058.06608="","-",26058.06608/1365812.81697*100)</f>
        <v>1.9078797442982527</v>
      </c>
      <c r="F20" s="39">
        <f>IF(1326009.79931="","-",(20535.6333-16647.81129)/1326009.79931*100)</f>
        <v>0.29319707984232546</v>
      </c>
      <c r="G20" s="39">
        <f>IF(1365036.36807="","-",(26058.06608-20535.6333)/1365036.36807*100)</f>
        <v>0.40456305115211438</v>
      </c>
    </row>
    <row r="21" spans="1:7" s="9" customFormat="1" x14ac:dyDescent="0.25">
      <c r="A21" s="82" t="s">
        <v>201</v>
      </c>
      <c r="B21" s="41">
        <f>IF(12925.55752="","-",12925.55752)</f>
        <v>12925.55752</v>
      </c>
      <c r="C21" s="41">
        <f>IF(OR(10665.28313="",12925.55752=""),"-",12925.55752/10665.28313*100)</f>
        <v>121.19282125424458</v>
      </c>
      <c r="D21" s="41">
        <f>IF(10665.28313="","-",10665.28313/1365036.36807*100)</f>
        <v>0.78131860655694085</v>
      </c>
      <c r="E21" s="41">
        <f>IF(12925.55752="","-",12925.55752/1365812.81697*100)</f>
        <v>0.94636375932353767</v>
      </c>
      <c r="F21" s="41">
        <f>IF(OR(1326009.79931="",10801.28897="",10665.28313=""),"-",(10665.28313-10801.28897)/1326009.79931*100)</f>
        <v>-1.0256774879851684E-2</v>
      </c>
      <c r="G21" s="41">
        <f>IF(OR(1365036.36807="",12925.55752="",10665.28313=""),"-",(12925.55752-10665.28313)/1365036.36807*100)</f>
        <v>0.16558345571376687</v>
      </c>
    </row>
    <row r="22" spans="1:7" s="9" customFormat="1" x14ac:dyDescent="0.25">
      <c r="A22" s="82" t="s">
        <v>36</v>
      </c>
      <c r="B22" s="41">
        <f>IF(13132.50856="","-",13132.50856)</f>
        <v>13132.50856</v>
      </c>
      <c r="C22" s="41">
        <f>IF(OR(9870.35017="",13132.50856=""),"-",13132.50856/9870.35017*100)</f>
        <v>133.05007759415693</v>
      </c>
      <c r="D22" s="41">
        <f>IF(9870.35017="","-",9870.35017/1365036.36807*100)</f>
        <v>0.72308331124946557</v>
      </c>
      <c r="E22" s="41">
        <f>IF(13132.50856="","-",13132.50856/1365812.81697*100)</f>
        <v>0.96151598497471524</v>
      </c>
      <c r="F22" s="41">
        <f>IF(OR(1326009.79931="",5846.52232="",9870.35017=""),"-",(9870.35017-5846.52232)/1326009.79931*100)</f>
        <v>0.30345385472217712</v>
      </c>
      <c r="G22" s="41">
        <f>IF(OR(1365036.36807="",13132.50856="",9870.35017=""),"-",(13132.50856-9870.35017)/1365036.36807*100)</f>
        <v>0.23897959543834765</v>
      </c>
    </row>
    <row r="23" spans="1:7" s="9" customFormat="1" ht="25.5" x14ac:dyDescent="0.25">
      <c r="A23" s="81" t="s">
        <v>37</v>
      </c>
      <c r="B23" s="39">
        <f>IF(50902.15219="","-",50902.15219)</f>
        <v>50902.152190000001</v>
      </c>
      <c r="C23" s="39">
        <f>IF(47178.0549="","-",50902.15219/47178.0549*100)</f>
        <v>107.89370671998604</v>
      </c>
      <c r="D23" s="39">
        <f>IF(47178.0549="","-",47178.0549/1365036.36807*100)</f>
        <v>3.4561756744037666</v>
      </c>
      <c r="E23" s="39">
        <f>IF(50902.15219="","-",50902.15219/1365812.81697*100)</f>
        <v>3.7268761544443798</v>
      </c>
      <c r="F23" s="39">
        <f>IF(1326009.79931="","-",(47178.0549-48441.30638)/1326009.79931*100)</f>
        <v>-9.5267130051176263E-2</v>
      </c>
      <c r="G23" s="39">
        <f>IF(1365036.36807="","-",(50902.15219-47178.0549)/1365036.36807*100)</f>
        <v>0.27282037146493254</v>
      </c>
    </row>
    <row r="24" spans="1:7" s="9" customFormat="1" x14ac:dyDescent="0.25">
      <c r="A24" s="82" t="s">
        <v>39</v>
      </c>
      <c r="B24" s="41">
        <f>IF(24319.16024="","-",24319.16024)</f>
        <v>24319.160240000001</v>
      </c>
      <c r="C24" s="41">
        <f>IF(OR(21302.88911="",24319.16024=""),"-",24319.16024/21302.88911*100)</f>
        <v>114.15897681495278</v>
      </c>
      <c r="D24" s="41">
        <f>IF(21302.88911="","-",21302.88911/1365036.36807*100)</f>
        <v>1.5606096370985165</v>
      </c>
      <c r="E24" s="41">
        <f>IF(24319.16024="","-",24319.16024/1365812.81697*100)</f>
        <v>1.7805631882962605</v>
      </c>
      <c r="F24" s="41">
        <f>IF(OR(1326009.79931="",25206.32676="",21302.88911=""),"-",(21302.88911-25206.32676)/1326009.79931*100)</f>
        <v>-0.2943747212148195</v>
      </c>
      <c r="G24" s="41">
        <f>IF(OR(1365036.36807="",24319.16024="",21302.88911=""),"-",(24319.16024-21302.88911)/1365036.36807*100)</f>
        <v>0.22096635668869771</v>
      </c>
    </row>
    <row r="25" spans="1:7" s="9" customFormat="1" ht="25.5" x14ac:dyDescent="0.25">
      <c r="A25" s="82" t="s">
        <v>40</v>
      </c>
      <c r="B25" s="41">
        <f>IF(338.97655="","-",338.97655)</f>
        <v>338.97654999999997</v>
      </c>
      <c r="C25" s="41">
        <f>IF(OR(272.72914="",338.97655=""),"-",338.97655/272.72914*100)</f>
        <v>124.29055069069628</v>
      </c>
      <c r="D25" s="41">
        <f>IF(272.72914="","-",272.72914/1365036.36807*100)</f>
        <v>1.9979624453933538E-2</v>
      </c>
      <c r="E25" s="41">
        <f>IF(338.97655="","-",338.97655/1365812.81697*100)</f>
        <v>2.4818668106512988E-2</v>
      </c>
      <c r="F25" s="41">
        <f>IF(OR(1326009.79931="",191.64982="",272.72914=""),"-",(272.72914-191.64982)/1326009.79931*100)</f>
        <v>6.1145339983301981E-3</v>
      </c>
      <c r="G25" s="41">
        <f>IF(OR(1365036.36807="",338.97655="",272.72914=""),"-",(338.97655-272.72914)/1365036.36807*100)</f>
        <v>4.8531608057934749E-3</v>
      </c>
    </row>
    <row r="26" spans="1:7" s="9" customFormat="1" x14ac:dyDescent="0.25">
      <c r="A26" s="82" t="s">
        <v>41</v>
      </c>
      <c r="B26" s="41">
        <f>IF(6853.75549="","-",6853.75549)</f>
        <v>6853.7554899999996</v>
      </c>
      <c r="C26" s="41">
        <f>IF(OR(6925.68816="",6853.75549=""),"-",6853.75549/6925.68816*100)</f>
        <v>98.961364295674542</v>
      </c>
      <c r="D26" s="41">
        <f>IF(6925.68816="","-",6925.68816/1365036.36807*100)</f>
        <v>0.50736290416878072</v>
      </c>
      <c r="E26" s="41">
        <f>IF(6853.75549="","-",6853.75549/1365812.81697*100)</f>
        <v>0.50180781764845173</v>
      </c>
      <c r="F26" s="41">
        <f>IF(OR(1326009.79931="",5554.92247="",6925.68816=""),"-",(6925.68816-5554.92247)/1326009.79931*100)</f>
        <v>0.10337523076475667</v>
      </c>
      <c r="G26" s="41">
        <f>IF(OR(1365036.36807="",6853.75549="",6925.68816=""),"-",(6853.75549-6925.68816)/1365036.36807*100)</f>
        <v>-5.2696522731994627E-3</v>
      </c>
    </row>
    <row r="27" spans="1:7" s="9" customFormat="1" x14ac:dyDescent="0.25">
      <c r="A27" s="82" t="s">
        <v>196</v>
      </c>
      <c r="B27" s="41">
        <f>IF(85.5725="","-",85.5725)</f>
        <v>85.572500000000005</v>
      </c>
      <c r="C27" s="41">
        <f>IF(OR(82.08981="",85.5725=""),"-",85.5725/82.08981*100)</f>
        <v>104.24253631479961</v>
      </c>
      <c r="D27" s="41">
        <f>IF(82.08981="","-",82.08981/1365036.36807*100)</f>
        <v>6.0137452686381734E-3</v>
      </c>
      <c r="E27" s="41">
        <f>IF(85.5725="","-",85.5725/1365812.81697*100)</f>
        <v>6.2653168089196222E-3</v>
      </c>
      <c r="F27" s="41">
        <f>IF(OR(1326009.79931="",123.71114="",82.08981=""),"-",(82.08981-123.71114)/1326009.79931*100)</f>
        <v>-3.1388403028135988E-3</v>
      </c>
      <c r="G27" s="41">
        <f>IF(OR(1365036.36807="",85.5725="",82.08981=""),"-",(85.5725-82.08981)/1365036.36807*100)</f>
        <v>2.5513532690151815E-4</v>
      </c>
    </row>
    <row r="28" spans="1:7" s="9" customFormat="1" ht="38.25" x14ac:dyDescent="0.25">
      <c r="A28" s="82" t="s">
        <v>197</v>
      </c>
      <c r="B28" s="41">
        <f>IF(1920.49854="","-",1920.49854)</f>
        <v>1920.49854</v>
      </c>
      <c r="C28" s="41">
        <f>IF(OR(1945.26478="",1920.49854=""),"-",1920.49854/1945.26478*100)</f>
        <v>98.726844784595343</v>
      </c>
      <c r="D28" s="41">
        <f>IF(1945.26478="","-",1945.26478/1365036.36807*100)</f>
        <v>0.14250644345471719</v>
      </c>
      <c r="E28" s="41">
        <f>IF(1920.49854="","-",1920.49854/1365812.81697*100)</f>
        <v>0.14061213338593115</v>
      </c>
      <c r="F28" s="41">
        <f>IF(OR(1326009.79931="",2430.14847="",1945.26478=""),"-",(1945.26478-2430.14847)/1326009.79931*100)</f>
        <v>-3.6567127200139347E-2</v>
      </c>
      <c r="G28" s="41">
        <f>IF(OR(1365036.36807="",1920.49854="",1945.26478=""),"-",(1920.49854-1945.26478)/1365036.36807*100)</f>
        <v>-1.8143282171314203E-3</v>
      </c>
    </row>
    <row r="29" spans="1:7" s="9" customFormat="1" ht="38.25" x14ac:dyDescent="0.25">
      <c r="A29" s="82" t="s">
        <v>42</v>
      </c>
      <c r="B29" s="41">
        <f>IF(3407.77764="","-",3407.77764)</f>
        <v>3407.7776399999998</v>
      </c>
      <c r="C29" s="41">
        <f>IF(OR(5866.13893="",3407.77764=""),"-",3407.77764/5866.13893*100)</f>
        <v>58.092344567093292</v>
      </c>
      <c r="D29" s="41">
        <f>IF(5866.13893="","-",5866.13893/1365036.36807*100)</f>
        <v>0.42974231802292756</v>
      </c>
      <c r="E29" s="41">
        <f>IF(3407.77764="","-",3407.77764/1365812.81697*100)</f>
        <v>0.24950546646355359</v>
      </c>
      <c r="F29" s="41">
        <f>IF(OR(1326009.79931="",2411.32281="",5866.13893=""),"-",(5866.13893-2411.32281)/1326009.79931*100)</f>
        <v>0.26054227667078644</v>
      </c>
      <c r="G29" s="41">
        <f>IF(OR(1365036.36807="",3407.77764="",5866.13893=""),"-",(3407.77764-5866.13893)/1365036.36807*100)</f>
        <v>-0.18009492988643463</v>
      </c>
    </row>
    <row r="30" spans="1:7" s="9" customFormat="1" ht="17.25" customHeight="1" x14ac:dyDescent="0.25">
      <c r="A30" s="82" t="s">
        <v>43</v>
      </c>
      <c r="B30" s="41">
        <f>IF(438.9795="","-",438.9795)</f>
        <v>438.97949999999997</v>
      </c>
      <c r="C30" s="41">
        <f>IF(OR(351.54558="",438.9795=""),"-",438.9795/351.54558*100)</f>
        <v>124.87128980543577</v>
      </c>
      <c r="D30" s="41">
        <f>IF(351.54558="","-",351.54558/1365036.36807*100)</f>
        <v>2.5753568785646632E-2</v>
      </c>
      <c r="E30" s="41">
        <f>IF(438.9795="","-",438.9795/1365812.81697*100)</f>
        <v>3.2140531597430612E-2</v>
      </c>
      <c r="F30" s="41">
        <f>IF(OR(1326009.79931="",202.06858="",351.54558=""),"-",(351.54558-202.06858)/1326009.79931*100)</f>
        <v>1.1272691957312952E-2</v>
      </c>
      <c r="G30" s="41">
        <f>IF(OR(1365036.36807="",438.9795="",351.54558=""),"-",(438.9795-351.54558)/1365036.36807*100)</f>
        <v>6.4052447279204158E-3</v>
      </c>
    </row>
    <row r="31" spans="1:7" s="9" customFormat="1" ht="25.5" x14ac:dyDescent="0.25">
      <c r="A31" s="82" t="s">
        <v>44</v>
      </c>
      <c r="B31" s="41">
        <f>IF(13537.43173="","-",13537.43173)</f>
        <v>13537.43173</v>
      </c>
      <c r="C31" s="41">
        <f>IF(OR(10431.70939="",13537.43173=""),"-",13537.43173/10431.70939*100)</f>
        <v>129.77194076147475</v>
      </c>
      <c r="D31" s="41">
        <f>IF(10431.70939="","-",10431.70939/1365036.36807*100)</f>
        <v>0.76420743315060558</v>
      </c>
      <c r="E31" s="41">
        <f>IF(13537.43173="","-",13537.43173/1365812.81697*100)</f>
        <v>0.99116303213732015</v>
      </c>
      <c r="F31" s="41">
        <f>IF(OR(1326009.79931="",12281.58335="",10431.70939=""),"-",(10431.70939-12281.58335)/1326009.79931*100)</f>
        <v>-0.13950680914745864</v>
      </c>
      <c r="G31" s="41">
        <f>IF(OR(1365036.36807="",13537.43173="",10431.70939=""),"-",(13537.43173-10431.70939)/1365036.36807*100)</f>
        <v>0.22751938429238514</v>
      </c>
    </row>
    <row r="32" spans="1:7" s="9" customFormat="1" ht="25.5" x14ac:dyDescent="0.25">
      <c r="A32" s="81" t="s">
        <v>45</v>
      </c>
      <c r="B32" s="39">
        <f>IF(207974.93687="","-",207974.93687)</f>
        <v>207974.93687000001</v>
      </c>
      <c r="C32" s="39">
        <f>IF(244071.73681="","-",207974.93687/244071.73681*100)</f>
        <v>85.210577672047336</v>
      </c>
      <c r="D32" s="39">
        <f>IF(244071.73681="","-",244071.73681/1365036.36807*100)</f>
        <v>17.880236931349202</v>
      </c>
      <c r="E32" s="39">
        <f>IF(207974.93687="","-",207974.93687/1365812.81697*100)</f>
        <v>15.227191770786272</v>
      </c>
      <c r="F32" s="39">
        <f>IF(1326009.79931="","-",(244071.73681-226095.00282)/1326009.79931*100)</f>
        <v>1.3557014434851349</v>
      </c>
      <c r="G32" s="39">
        <f>IF(1365036.36807="","-",(207974.93687-244071.73681)/1365036.36807*100)</f>
        <v>-2.6443837530157972</v>
      </c>
    </row>
    <row r="33" spans="1:7" s="9" customFormat="1" x14ac:dyDescent="0.25">
      <c r="A33" s="82" t="s">
        <v>46</v>
      </c>
      <c r="B33" s="41">
        <f>IF(2711.99305="","-",2711.99305)</f>
        <v>2711.99305</v>
      </c>
      <c r="C33" s="41">
        <f>IF(OR(3654.94064="",2711.99305=""),"-",2711.99305/3654.94064*100)</f>
        <v>74.200741328592414</v>
      </c>
      <c r="D33" s="41">
        <f>IF(3654.94064="","-",3654.94064/1365036.36807*100)</f>
        <v>0.26775408520196819</v>
      </c>
      <c r="E33" s="41">
        <f>IF(2711.99305="","-",2711.99305/1365812.81697*100)</f>
        <v>0.19856257140831685</v>
      </c>
      <c r="F33" s="41">
        <f>IF(OR(1326009.79931="",1648.78424="",3654.94064=""),"-",(3654.94064-1648.78424)/1326009.79931*100)</f>
        <v>0.15129272808118913</v>
      </c>
      <c r="G33" s="41">
        <f>IF(OR(1365036.36807="",2711.99305="",3654.94064=""),"-",(2711.99305-3654.94064)/1365036.36807*100)</f>
        <v>-6.9078569044516827E-2</v>
      </c>
    </row>
    <row r="34" spans="1:7" s="9" customFormat="1" ht="25.5" x14ac:dyDescent="0.25">
      <c r="A34" s="82" t="s">
        <v>47</v>
      </c>
      <c r="B34" s="41">
        <f>IF(112043.86178="","-",112043.86178)</f>
        <v>112043.86178000001</v>
      </c>
      <c r="C34" s="41">
        <f>IF(OR(107290.32483="",112043.86178=""),"-",112043.86178/107290.32483*100)</f>
        <v>104.43053645100984</v>
      </c>
      <c r="D34" s="41">
        <f>IF(107290.32483="","-",107290.32483/1365036.36807*100)</f>
        <v>7.8598876439970473</v>
      </c>
      <c r="E34" s="41">
        <f>IF(112043.86178="","-",112043.86178/1365812.81697*100)</f>
        <v>8.2034566075141058</v>
      </c>
      <c r="F34" s="41">
        <f>IF(OR(1326009.79931="",110610.72011="",107290.32483=""),"-",(107290.32483-110610.72011)/1326009.79931*100)</f>
        <v>-0.25040503333593706</v>
      </c>
      <c r="G34" s="41">
        <f>IF(OR(1365036.36807="",112043.86178="",107290.32483=""),"-",(112043.86178-107290.32483)/1365036.36807*100)</f>
        <v>0.34823518707570755</v>
      </c>
    </row>
    <row r="35" spans="1:7" s="9" customFormat="1" ht="25.5" x14ac:dyDescent="0.25">
      <c r="A35" s="82" t="s">
        <v>48</v>
      </c>
      <c r="B35" s="41">
        <f>IF(85109.59408="","-",85109.59408)</f>
        <v>85109.594079999995</v>
      </c>
      <c r="C35" s="41">
        <f>IF(OR(119826.60788="",85109.59408=""),"-",85109.59408/119826.60788*100)</f>
        <v>71.027291505433212</v>
      </c>
      <c r="D35" s="41">
        <f>IF(119826.60788="","-",119826.60788/1365036.36807*100)</f>
        <v>8.7782721898773026</v>
      </c>
      <c r="E35" s="41">
        <f>IF(85109.59408="","-",85109.59408/1365812.81697*100)</f>
        <v>6.231424469189867</v>
      </c>
      <c r="F35" s="41">
        <f>IF(OR(1326009.79931="",105705.3027="",119826.60788=""),"-",(119826.60788-105705.3027)/1326009.79931*100)</f>
        <v>1.0649472716829191</v>
      </c>
      <c r="G35" s="41">
        <f>IF(OR(1365036.36807="",85109.59408="",119826.60788=""),"-",(85109.59408-119826.60788)/1365036.36807*100)</f>
        <v>-2.5433032124327757</v>
      </c>
    </row>
    <row r="36" spans="1:7" s="9" customFormat="1" x14ac:dyDescent="0.25">
      <c r="A36" s="82" t="s">
        <v>49</v>
      </c>
      <c r="B36" s="41">
        <f>IF(8109.48796="","-",8109.48796)</f>
        <v>8109.4879600000004</v>
      </c>
      <c r="C36" s="41">
        <f>IF(OR(13299.86346="",8109.48796=""),"-",8109.48796/13299.86346*100)</f>
        <v>60.974219655635473</v>
      </c>
      <c r="D36" s="41">
        <f>IF(13299.86346="","-",13299.86346/1365036.36807*100)</f>
        <v>0.97432301227288431</v>
      </c>
      <c r="E36" s="41">
        <f>IF(8109.48796="","-",8109.48796/1365812.81697*100)</f>
        <v>0.59374812267398169</v>
      </c>
      <c r="F36" s="41">
        <f>IF(OR(1326009.79931="",8130.19577="",13299.86346=""),"-",(13299.86346-8130.19577)/1326009.79931*100)</f>
        <v>0.38986647705696287</v>
      </c>
      <c r="G36" s="41">
        <f>IF(OR(1365036.36807="",8109.48796="",13299.86346=""),"-",(8109.48796-13299.86346)/1365036.36807*100)</f>
        <v>-0.38023715861421165</v>
      </c>
    </row>
    <row r="37" spans="1:7" s="9" customFormat="1" ht="25.5" x14ac:dyDescent="0.25">
      <c r="A37" s="81" t="s">
        <v>50</v>
      </c>
      <c r="B37" s="39">
        <f>IF(2436.12526="","-",2436.12526)</f>
        <v>2436.1252599999998</v>
      </c>
      <c r="C37" s="39">
        <f>IF(2661.17909="","-",2436.12526/2661.17909*100)</f>
        <v>91.54307837282758</v>
      </c>
      <c r="D37" s="39">
        <f>IF(2661.17909="","-",2661.17909/1365036.36807*100)</f>
        <v>0.19495298090574628</v>
      </c>
      <c r="E37" s="39">
        <f>IF(2436.12526="","-",2436.12526/1365812.81697*100)</f>
        <v>0.17836450425208664</v>
      </c>
      <c r="F37" s="39">
        <f>IF(1326009.79931="","-",(2661.17909-2833.4352)/1326009.79931*100)</f>
        <v>-1.2990560860834865E-2</v>
      </c>
      <c r="G37" s="39">
        <f>IF(1365036.36807="","-",(2436.12526-2661.17909)/1365036.36807*100)</f>
        <v>-1.6487020805035384E-2</v>
      </c>
    </row>
    <row r="38" spans="1:7" s="9" customFormat="1" x14ac:dyDescent="0.25">
      <c r="A38" s="82" t="s">
        <v>51</v>
      </c>
      <c r="B38" s="41">
        <f>IF(330.57056="","-",330.57056)</f>
        <v>330.57056</v>
      </c>
      <c r="C38" s="41">
        <f>IF(OR(305.8436="",330.57056=""),"-",330.57056/305.8436*100)</f>
        <v>108.08483813295425</v>
      </c>
      <c r="D38" s="41">
        <f>IF(305.8436="","-",305.8436/1365036.36807*100)</f>
        <v>2.2405527585497714E-2</v>
      </c>
      <c r="E38" s="41">
        <f>IF(330.57056="","-",330.57056/1365812.81697*100)</f>
        <v>2.4203211149633027E-2</v>
      </c>
      <c r="F38" s="41">
        <f>IF(OR(1326009.79931="",361.75012="",305.8436=""),"-",(305.8436-361.75012)/1326009.79931*100)</f>
        <v>-4.2161468210183232E-3</v>
      </c>
      <c r="G38" s="41">
        <f>IF(OR(1365036.36807="",330.57056="",305.8436=""),"-",(330.57056-305.8436)/1365036.36807*100)</f>
        <v>1.8114506381218995E-3</v>
      </c>
    </row>
    <row r="39" spans="1:7" s="9" customFormat="1" ht="25.5" x14ac:dyDescent="0.25">
      <c r="A39" s="82" t="s">
        <v>52</v>
      </c>
      <c r="B39" s="41">
        <f>IF(1595.60706="","-",1595.60706)</f>
        <v>1595.60706</v>
      </c>
      <c r="C39" s="41">
        <f>IF(OR(1610.24423="",1595.60706=""),"-",1595.60706/1610.24423*100)</f>
        <v>99.090996898029559</v>
      </c>
      <c r="D39" s="41">
        <f>IF(1610.24423="","-",1610.24423/1365036.36807*100)</f>
        <v>0.11796346732334281</v>
      </c>
      <c r="E39" s="41">
        <f>IF(1595.60706="","-",1595.60706/1365812.81697*100)</f>
        <v>0.11682472445527267</v>
      </c>
      <c r="F39" s="41">
        <f>IF(OR(1326009.79931="",1779.25483="",1610.24423=""),"-",(1610.24423-1779.25483)/1326009.79931*100)</f>
        <v>-1.2745803242777401E-2</v>
      </c>
      <c r="G39" s="41">
        <f>IF(OR(1365036.36807="",1595.60706="",1610.24423=""),"-",(1595.60706-1610.24423)/1365036.36807*100)</f>
        <v>-1.0722915771610685E-3</v>
      </c>
    </row>
    <row r="40" spans="1:7" s="9" customFormat="1" ht="63.75" x14ac:dyDescent="0.25">
      <c r="A40" s="82" t="s">
        <v>198</v>
      </c>
      <c r="B40" s="41">
        <f>IF(509.94764="","-",509.94764)</f>
        <v>509.94763999999998</v>
      </c>
      <c r="C40" s="41">
        <f>IF(OR(745.09126="",509.94764=""),"-",509.94764/745.09126*100)</f>
        <v>68.440963862601194</v>
      </c>
      <c r="D40" s="41">
        <f>IF(745.09126="","-",745.09126/1365036.36807*100)</f>
        <v>5.4583985996905775E-2</v>
      </c>
      <c r="E40" s="41">
        <f>IF(509.94764="","-",509.94764/1365812.81697*100)</f>
        <v>3.7336568647180955E-2</v>
      </c>
      <c r="F40" s="41">
        <f>IF(OR(1326009.79931="",692.43025="",745.09126=""),"-",(745.09126-692.43025)/1326009.79931*100)</f>
        <v>3.9713892029608396E-3</v>
      </c>
      <c r="G40" s="41">
        <f>IF(OR(1365036.36807="",509.94764="",745.09126=""),"-",(509.94764-745.09126)/1365036.36807*100)</f>
        <v>-1.7226179865996196E-2</v>
      </c>
    </row>
    <row r="41" spans="1:7" s="9" customFormat="1" ht="25.5" x14ac:dyDescent="0.25">
      <c r="A41" s="81" t="s">
        <v>53</v>
      </c>
      <c r="B41" s="39">
        <f>IF(221928.42319="","-",221928.42319)</f>
        <v>221928.42319</v>
      </c>
      <c r="C41" s="39">
        <f>IF(208750.4292="","-",221928.42319/208750.4292*100)</f>
        <v>106.3127985127994</v>
      </c>
      <c r="D41" s="39">
        <f>IF(208750.4292="","-",208750.4292/1365036.36807*100)</f>
        <v>15.292664289607789</v>
      </c>
      <c r="E41" s="39">
        <f>IF(221928.42319="","-",221928.42319/1365812.81697*100)</f>
        <v>16.248816853420596</v>
      </c>
      <c r="F41" s="39">
        <f>IF(1326009.79931="","-",(208750.4292-196719.19844)/1326009.79931*100)</f>
        <v>0.90732593124579886</v>
      </c>
      <c r="G41" s="39">
        <f>IF(1365036.36807="","-",(221928.42319-208750.4292)/1365036.36807*100)</f>
        <v>0.96539508384176698</v>
      </c>
    </row>
    <row r="42" spans="1:7" s="9" customFormat="1" x14ac:dyDescent="0.25">
      <c r="A42" s="82" t="s">
        <v>54</v>
      </c>
      <c r="B42" s="41">
        <f>IF(2751.22113="","-",2751.22113)</f>
        <v>2751.2211299999999</v>
      </c>
      <c r="C42" s="41">
        <f>IF(OR(4795.46217="",2751.22113=""),"-",2751.22113/4795.46217*100)</f>
        <v>57.371344668536928</v>
      </c>
      <c r="D42" s="41">
        <f>IF(4795.46217="","-",4795.46217/1365036.36807*100)</f>
        <v>0.35130654993318722</v>
      </c>
      <c r="E42" s="41">
        <f>IF(2751.22113="","-",2751.22113/1365812.81697*100)</f>
        <v>0.20143471314784345</v>
      </c>
      <c r="F42" s="41">
        <f>IF(OR(1326009.79931="",5403.22984="",4795.46217=""),"-",(4795.46217-5403.22984)/1326009.79931*100)</f>
        <v>-4.5834327190964738E-2</v>
      </c>
      <c r="G42" s="41">
        <f>IF(OR(1365036.36807="",2751.22113="",4795.46217=""),"-",(2751.22113-4795.46217)/1365036.36807*100)</f>
        <v>-0.14975725832787259</v>
      </c>
    </row>
    <row r="43" spans="1:7" s="9" customFormat="1" x14ac:dyDescent="0.25">
      <c r="A43" s="82" t="s">
        <v>55</v>
      </c>
      <c r="B43" s="41">
        <f>IF(4292.9238="","-",4292.9238)</f>
        <v>4292.9237999999996</v>
      </c>
      <c r="C43" s="41">
        <f>IF(OR(3343.24376="",4292.9238=""),"-",4292.9238/3343.24376*100)</f>
        <v>128.40594668454565</v>
      </c>
      <c r="D43" s="41">
        <f>IF(3343.24376="","-",3343.24376/1365036.36807*100)</f>
        <v>0.24491975731950286</v>
      </c>
      <c r="E43" s="41">
        <f>IF(4292.9238="","-",4292.9238/1365812.81697*100)</f>
        <v>0.31431274817904226</v>
      </c>
      <c r="F43" s="41">
        <f>IF(OR(1326009.79931="",2715.1893="",3343.24376=""),"-",(3343.24376-2715.1893)/1326009.79931*100)</f>
        <v>4.7364239715785898E-2</v>
      </c>
      <c r="G43" s="41">
        <f>IF(OR(1365036.36807="",4292.9238="",3343.24376=""),"-",(4292.9238-3343.24376)/1365036.36807*100)</f>
        <v>6.9571775684096615E-2</v>
      </c>
    </row>
    <row r="44" spans="1:7" s="9" customFormat="1" x14ac:dyDescent="0.25">
      <c r="A44" s="82" t="s">
        <v>56</v>
      </c>
      <c r="B44" s="41">
        <f>IF(7454.40249="","-",7454.40249)</f>
        <v>7454.4024900000004</v>
      </c>
      <c r="C44" s="41">
        <f>IF(OR(6492.30627="",7454.40249=""),"-",7454.40249/6492.30627*100)</f>
        <v>114.81902085312437</v>
      </c>
      <c r="D44" s="41">
        <f>IF(6492.30627="","-",6492.30627/1365036.36807*100)</f>
        <v>0.47561416104827686</v>
      </c>
      <c r="E44" s="41">
        <f>IF(7454.40249="","-",7454.40249/1365812.81697*100)</f>
        <v>0.54578507372168961</v>
      </c>
      <c r="F44" s="41">
        <f>IF(OR(1326009.79931="",5847.81816="",6492.30627=""),"-",(6492.30627-5847.81816)/1326009.79931*100)</f>
        <v>4.8603570677634884E-2</v>
      </c>
      <c r="G44" s="41">
        <f>IF(OR(1365036.36807="",7454.40249="",6492.30627=""),"-",(7454.40249-6492.30627)/1365036.36807*100)</f>
        <v>7.0481361706156639E-2</v>
      </c>
    </row>
    <row r="45" spans="1:7" s="9" customFormat="1" x14ac:dyDescent="0.25">
      <c r="A45" s="82" t="s">
        <v>57</v>
      </c>
      <c r="B45" s="41">
        <f>IF(57429.36842="","-",57429.36842)</f>
        <v>57429.368419999999</v>
      </c>
      <c r="C45" s="41">
        <f>IF(OR(62462.18939="",57429.36842=""),"-",57429.36842/62462.18939*100)</f>
        <v>91.942611971898415</v>
      </c>
      <c r="D45" s="41">
        <f>IF(62462.18939="","-",62462.18939/1365036.36807*100)</f>
        <v>4.5758626547301553</v>
      </c>
      <c r="E45" s="41">
        <f>IF(57429.36842="","-",57429.36842/1365812.81697*100)</f>
        <v>4.2047759185189593</v>
      </c>
      <c r="F45" s="41">
        <f>IF(OR(1326009.79931="",53645.06494="",62462.18939=""),"-",(62462.18939-53645.06494)/1326009.79931*100)</f>
        <v>0.66493659809965699</v>
      </c>
      <c r="G45" s="41">
        <f>IF(OR(1365036.36807="",57429.36842="",62462.18939=""),"-",(57429.36842-62462.18939)/1365036.36807*100)</f>
        <v>-0.36869500972459907</v>
      </c>
    </row>
    <row r="46" spans="1:7" s="9" customFormat="1" ht="38.25" x14ac:dyDescent="0.25">
      <c r="A46" s="82" t="s">
        <v>58</v>
      </c>
      <c r="B46" s="41">
        <f>IF(28409.99188="","-",28409.99188)</f>
        <v>28409.991880000001</v>
      </c>
      <c r="C46" s="41">
        <f>IF(OR(26100.93011="",28409.99188=""),"-",28409.99188/26100.93011*100)</f>
        <v>108.84666469841753</v>
      </c>
      <c r="D46" s="41">
        <f>IF(26100.93011="","-",26100.93011/1365036.36807*100)</f>
        <v>1.9121051072729753</v>
      </c>
      <c r="E46" s="41">
        <f>IF(28409.99188="","-",28409.99188/1365812.81697*100)</f>
        <v>2.0800794608902855</v>
      </c>
      <c r="F46" s="41">
        <f>IF(OR(1326009.79931="",26172.33303="",26100.93011=""),"-",(26100.93011-26172.33303)/1326009.79931*100)</f>
        <v>-5.3847958014454755E-3</v>
      </c>
      <c r="G46" s="41">
        <f>IF(OR(1365036.36807="",28409.99188="",26100.93011=""),"-",(28409.99188-26100.93011)/1365036.36807*100)</f>
        <v>0.16915752752175683</v>
      </c>
    </row>
    <row r="47" spans="1:7" s="9" customFormat="1" x14ac:dyDescent="0.25">
      <c r="A47" s="82" t="s">
        <v>59</v>
      </c>
      <c r="B47" s="41">
        <f>IF(34563.52125="","-",34563.52125)</f>
        <v>34563.521249999998</v>
      </c>
      <c r="C47" s="41">
        <f>IF(OR(27269.92681="",34563.52125=""),"-",34563.52125/27269.92681*100)</f>
        <v>126.74592598219003</v>
      </c>
      <c r="D47" s="41">
        <f>IF(27269.92681="","-",27269.92681/1365036.36807*100)</f>
        <v>1.9977436094656182</v>
      </c>
      <c r="E47" s="41">
        <f>IF(34563.52125="","-",34563.52125/1365812.81697*100)</f>
        <v>2.5306191903131907</v>
      </c>
      <c r="F47" s="41">
        <f>IF(OR(1326009.79931="",29129.06373="",27269.92681=""),"-",(27269.92681-29129.06373)/1326009.79931*100)</f>
        <v>-0.1402053680875826</v>
      </c>
      <c r="G47" s="41">
        <f>IF(OR(1365036.36807="",34563.52125="",27269.92681=""),"-",(34563.52125-27269.92681)/1365036.36807*100)</f>
        <v>0.53431502710160583</v>
      </c>
    </row>
    <row r="48" spans="1:7" s="9" customFormat="1" x14ac:dyDescent="0.25">
      <c r="A48" s="82" t="s">
        <v>60</v>
      </c>
      <c r="B48" s="41">
        <f>IF(11188.16257="","-",11188.16257)</f>
        <v>11188.16257</v>
      </c>
      <c r="C48" s="41">
        <f>IF(OR(10697.50227="",11188.16257=""),"-",11188.16257/10697.50227*100)</f>
        <v>104.58668096174193</v>
      </c>
      <c r="D48" s="41">
        <f>IF(10697.50227="","-",10697.50227/1365036.36807*100)</f>
        <v>0.78367892022723207</v>
      </c>
      <c r="E48" s="41">
        <f>IF(11188.16257="","-",11188.16257/1365812.81697*100)</f>
        <v>0.81915782536149295</v>
      </c>
      <c r="F48" s="41">
        <f>IF(OR(1326009.79931="",11541.14914="",10697.50227=""),"-",(10697.50227-11541.14914)/1326009.79931*100)</f>
        <v>-6.3622974011127015E-2</v>
      </c>
      <c r="G48" s="41">
        <f>IF(OR(1365036.36807="",11188.16257="",10697.50227=""),"-",(11188.16257-10697.50227)/1365036.36807*100)</f>
        <v>3.594485183524708E-2</v>
      </c>
    </row>
    <row r="49" spans="1:7" s="9" customFormat="1" x14ac:dyDescent="0.25">
      <c r="A49" s="82" t="s">
        <v>61</v>
      </c>
      <c r="B49" s="41">
        <f>IF(24951.1891="","-",24951.1891)</f>
        <v>24951.1891</v>
      </c>
      <c r="C49" s="41">
        <f>IF(OR(24188.84229="",24951.1891=""),"-",24951.1891/24188.84229*100)</f>
        <v>103.15164653545723</v>
      </c>
      <c r="D49" s="41">
        <f>IF(24188.84229="","-",24188.84229/1365036.36807*100)</f>
        <v>1.7720291455824113</v>
      </c>
      <c r="E49" s="41">
        <f>IF(24951.1891="","-",24951.1891/1365812.81697*100)</f>
        <v>1.8268381135383687</v>
      </c>
      <c r="F49" s="41">
        <f>IF(OR(1326009.79931="",22259.25857="",24188.84229=""),"-",(24188.84229-22259.25857)/1326009.79931*100)</f>
        <v>0.14551805884119962</v>
      </c>
      <c r="G49" s="41">
        <f>IF(OR(1365036.36807="",24951.1891="",24188.84229=""),"-",(24951.1891-24188.84229)/1365036.36807*100)</f>
        <v>5.5848095174040477E-2</v>
      </c>
    </row>
    <row r="50" spans="1:7" s="9" customFormat="1" x14ac:dyDescent="0.25">
      <c r="A50" s="82" t="s">
        <v>62</v>
      </c>
      <c r="B50" s="41">
        <f>IF(50887.64255="","-",50887.64255)</f>
        <v>50887.642549999997</v>
      </c>
      <c r="C50" s="41">
        <f>IF(OR(43400.02613="",50887.64255=""),"-",50887.64255/43400.02613*100)</f>
        <v>117.25256200899896</v>
      </c>
      <c r="D50" s="41">
        <f>IF(43400.02613="","-",43400.02613/1365036.36807*100)</f>
        <v>3.1794043840284272</v>
      </c>
      <c r="E50" s="41">
        <f>IF(50887.64255="","-",50887.64255/1365812.81697*100)</f>
        <v>3.7258138097497251</v>
      </c>
      <c r="F50" s="41">
        <f>IF(OR(1326009.79931="",40006.09173="",43400.02613=""),"-",(43400.02613-40006.09173)/1326009.79931*100)</f>
        <v>0.25595092900264083</v>
      </c>
      <c r="G50" s="41">
        <f>IF(OR(1365036.36807="",50887.64255="",43400.02613=""),"-",(50887.64255-43400.02613)/1365036.36807*100)</f>
        <v>0.54852871287133564</v>
      </c>
    </row>
    <row r="51" spans="1:7" s="9" customFormat="1" ht="25.5" x14ac:dyDescent="0.25">
      <c r="A51" s="81" t="s">
        <v>63</v>
      </c>
      <c r="B51" s="39">
        <f>IF(244405.13977="","-",244405.13977)</f>
        <v>244405.13977000001</v>
      </c>
      <c r="C51" s="39">
        <f>IF(231225.26025="","-",244405.13977/231225.26025*100)</f>
        <v>105.70001716324158</v>
      </c>
      <c r="D51" s="39">
        <f>IF(231225.26025="","-",231225.26025/1365036.36807*100)</f>
        <v>16.939128191648486</v>
      </c>
      <c r="E51" s="39">
        <f>IF(244405.13977="","-",244405.13977/1365812.81697*100)</f>
        <v>17.894482811502886</v>
      </c>
      <c r="F51" s="39">
        <f>IF(1326009.79931="","-",(231225.26025-255231.49522)/1326009.79931*100)</f>
        <v>-1.8104115808564809</v>
      </c>
      <c r="G51" s="39">
        <f>IF(1365036.36807="","-",(244405.13977-231225.26025)/1365036.36807*100)</f>
        <v>0.9655332142274573</v>
      </c>
    </row>
    <row r="52" spans="1:7" s="9" customFormat="1" x14ac:dyDescent="0.25">
      <c r="A52" s="82" t="s">
        <v>64</v>
      </c>
      <c r="B52" s="41">
        <f>IF(13301.45428="","-",13301.45428)</f>
        <v>13301.45428</v>
      </c>
      <c r="C52" s="41">
        <f>IF(OR(11901.05665="",13301.45428=""),"-",13301.45428/11901.05665*100)</f>
        <v>111.76700247032265</v>
      </c>
      <c r="D52" s="41">
        <f>IF(11901.05665="","-",11901.05665/1365036.36807*100)</f>
        <v>0.87184905313744032</v>
      </c>
      <c r="E52" s="41">
        <f>IF(13301.45428="","-",13301.45428/1365812.81697*100)</f>
        <v>0.97388559506336547</v>
      </c>
      <c r="F52" s="41">
        <f>IF(OR(1326009.79931="",16249.16423="",11901.05665=""),"-",(11901.05665-16249.16423)/1326009.79931*100)</f>
        <v>-0.32790915891138761</v>
      </c>
      <c r="G52" s="41">
        <f>IF(OR(1365036.36807="",13301.45428="",11901.05665=""),"-",(13301.45428-11901.05665)/1365036.36807*100)</f>
        <v>0.10259049962016735</v>
      </c>
    </row>
    <row r="53" spans="1:7" s="9" customFormat="1" x14ac:dyDescent="0.25">
      <c r="A53" s="82" t="s">
        <v>65</v>
      </c>
      <c r="B53" s="41">
        <f>IF(14989.4703399999="","-",14989.4703399999)</f>
        <v>14989.4703399999</v>
      </c>
      <c r="C53" s="41">
        <f>IF(OR(15077.56358="",14989.4703399999=""),"-",14989.4703399999/15077.56358*100)</f>
        <v>99.415732923076817</v>
      </c>
      <c r="D53" s="41">
        <f>IF(15077.56358="","-",15077.56358/1365036.36807*100)</f>
        <v>1.1045539835189806</v>
      </c>
      <c r="E53" s="41">
        <f>IF(14989.4703399999="","-",14989.4703399999/1365812.81697*100)</f>
        <v>1.0974761807590463</v>
      </c>
      <c r="F53" s="41">
        <f>IF(OR(1326009.79931="",14603.34294="",15077.56358=""),"-",(15077.56358-14603.34294)/1326009.79931*100)</f>
        <v>3.576298155916828E-2</v>
      </c>
      <c r="G53" s="41">
        <f>IF(OR(1365036.36807="",14989.4703399999="",15077.56358=""),"-",(14989.4703399999-15077.56358)/1365036.36807*100)</f>
        <v>-6.4535452725449083E-3</v>
      </c>
    </row>
    <row r="54" spans="1:7" s="9" customFormat="1" x14ac:dyDescent="0.25">
      <c r="A54" s="82" t="s">
        <v>66</v>
      </c>
      <c r="B54" s="41">
        <f>IF(17300.45831="","-",17300.45831)</f>
        <v>17300.458310000002</v>
      </c>
      <c r="C54" s="41">
        <f>IF(OR(17239.46151="",17300.45831=""),"-",17300.45831/17239.46151*100)</f>
        <v>100.35382079634343</v>
      </c>
      <c r="D54" s="41">
        <f>IF(17239.46151="","-",17239.46151/1365036.36807*100)</f>
        <v>1.2629305645808222</v>
      </c>
      <c r="E54" s="41">
        <f>IF(17300.45831="","-",17300.45831/1365812.81697*100)</f>
        <v>1.2666785737433892</v>
      </c>
      <c r="F54" s="41">
        <f>IF(OR(1326009.79931="",16169.01623="",17239.46151=""),"-",(17239.46151-16169.01623)/1326009.79931*100)</f>
        <v>8.0726800100347426E-2</v>
      </c>
      <c r="G54" s="41">
        <f>IF(OR(1365036.36807="",17300.45831="",17239.46151=""),"-",(17300.45831-17239.46151)/1365036.36807*100)</f>
        <v>4.4685109808644185E-3</v>
      </c>
    </row>
    <row r="55" spans="1:7" s="9" customFormat="1" ht="25.5" x14ac:dyDescent="0.25">
      <c r="A55" s="82" t="s">
        <v>199</v>
      </c>
      <c r="B55" s="41">
        <f>IF(23097.2926="","-",23097.2926)</f>
        <v>23097.292600000001</v>
      </c>
      <c r="C55" s="41">
        <f>IF(OR(24816.65425="",23097.2926=""),"-",23097.2926/24816.65425*100)</f>
        <v>93.071742739051942</v>
      </c>
      <c r="D55" s="41">
        <f>IF(24816.65425="","-",24816.65425/1365036.36807*100)</f>
        <v>1.8180214703794166</v>
      </c>
      <c r="E55" s="41">
        <f>IF(23097.2926="","-",23097.2926/1365812.81697*100)</f>
        <v>1.6911023467505892</v>
      </c>
      <c r="F55" s="41">
        <f>IF(OR(1326009.79931="",23407.88359="",24816.65425=""),"-",(24816.65425-23407.88359)/1326009.79931*100)</f>
        <v>0.1062413460845511</v>
      </c>
      <c r="G55" s="41">
        <f>IF(OR(1365036.36807="",23097.2926="",24816.65425=""),"-",(23097.2926-24816.65425)/1365036.36807*100)</f>
        <v>-0.12595720452715653</v>
      </c>
    </row>
    <row r="56" spans="1:7" s="9" customFormat="1" ht="25.5" x14ac:dyDescent="0.25">
      <c r="A56" s="82" t="s">
        <v>216</v>
      </c>
      <c r="B56" s="41">
        <f>IF(66082.2433="","-",66082.2433)</f>
        <v>66082.243300000002</v>
      </c>
      <c r="C56" s="41">
        <f>IF(OR(63704.9839="",66082.2433=""),"-",66082.2433/63704.9839*100)</f>
        <v>103.73166941495766</v>
      </c>
      <c r="D56" s="41">
        <f>IF(63704.9839="","-",63704.9839/1365036.36807*100)</f>
        <v>4.6669074458485902</v>
      </c>
      <c r="E56" s="41">
        <f>IF(66082.2433="","-",66082.2433/1365812.81697*100)</f>
        <v>4.8383089160490353</v>
      </c>
      <c r="F56" s="41">
        <f>IF(OR(1326009.79931="",77965.06225="",63704.9839=""),"-",(63704.9839-77965.06225)/1326009.79931*100)</f>
        <v>-1.075412742607208</v>
      </c>
      <c r="G56" s="41">
        <f>IF(OR(1365036.36807="",66082.2433="",63704.9839=""),"-",(66082.2433-63704.9839)/1365036.36807*100)</f>
        <v>0.17415355778111363</v>
      </c>
    </row>
    <row r="57" spans="1:7" s="9" customFormat="1" x14ac:dyDescent="0.25">
      <c r="A57" s="82" t="s">
        <v>67</v>
      </c>
      <c r="B57" s="41">
        <f>IF(28863.59213="","-",28863.59213)</f>
        <v>28863.592130000001</v>
      </c>
      <c r="C57" s="41">
        <f>IF(OR(24697.42972="",28863.59213=""),"-",28863.59213/24697.42972*100)</f>
        <v>116.86880965846514</v>
      </c>
      <c r="D57" s="41">
        <f>IF(24697.42972="","-",24697.42972/1365036.36807*100)</f>
        <v>1.8092873052839791</v>
      </c>
      <c r="E57" s="41">
        <f>IF(28863.59213="","-",28863.59213/1365812.81697*100)</f>
        <v>2.1132904722649113</v>
      </c>
      <c r="F57" s="41">
        <f>IF(OR(1326009.79931="",23490.70767="",24697.42972=""),"-",(24697.42972-23490.70767)/1326009.79931*100)</f>
        <v>9.100400695590094E-2</v>
      </c>
      <c r="G57" s="41">
        <f>IF(OR(1365036.36807="",28863.59213="",24697.42972=""),"-",(28863.59213-24697.42972)/1365036.36807*100)</f>
        <v>0.30520523170312752</v>
      </c>
    </row>
    <row r="58" spans="1:7" s="9" customFormat="1" x14ac:dyDescent="0.25">
      <c r="A58" s="82" t="s">
        <v>68</v>
      </c>
      <c r="B58" s="41">
        <f>IF(28313.91243="","-",28313.91243)</f>
        <v>28313.91243</v>
      </c>
      <c r="C58" s="41">
        <f>IF(OR(22049.96683="",28313.91243=""),"-",28313.91243/22049.96683*100)</f>
        <v>128.40795928761949</v>
      </c>
      <c r="D58" s="41">
        <f>IF(22049.96683="","-",22049.96683/1365036.36807*100)</f>
        <v>1.6153391474233063</v>
      </c>
      <c r="E58" s="41">
        <f>IF(28313.91243="","-",28313.91243/1365812.81697*100)</f>
        <v>2.0730448622391213</v>
      </c>
      <c r="F58" s="41">
        <f>IF(OR(1326009.79931="",24582.5593="",22049.96683=""),"-",(22049.96683-24582.5593)/1326009.79931*100)</f>
        <v>-0.19099349577339889</v>
      </c>
      <c r="G58" s="41">
        <f>IF(OR(1365036.36807="",28313.91243="",22049.96683=""),"-",(28313.91243-22049.96683)/1365036.36807*100)</f>
        <v>0.45888488735699234</v>
      </c>
    </row>
    <row r="59" spans="1:7" s="9" customFormat="1" x14ac:dyDescent="0.25">
      <c r="A59" s="82" t="s">
        <v>69</v>
      </c>
      <c r="B59" s="41">
        <f>IF(18084.97294="","-",18084.97294)</f>
        <v>18084.97294</v>
      </c>
      <c r="C59" s="41">
        <f>IF(OR(21590.86458="",18084.97294=""),"-",18084.97294/21590.86458*100)</f>
        <v>83.762152613158563</v>
      </c>
      <c r="D59" s="41">
        <f>IF(21590.86458="","-",21590.86458/1365036.36807*100)</f>
        <v>1.5817061790468581</v>
      </c>
      <c r="E59" s="41">
        <f>IF(18084.97294="","-",18084.97294/1365812.81697*100)</f>
        <v>1.3241179695560898</v>
      </c>
      <c r="F59" s="41">
        <f>IF(OR(1326009.79931="",24684.11138="",21590.86458=""),"-",(21590.86458-24684.11138)/1326009.79931*100)</f>
        <v>-0.23327480698932945</v>
      </c>
      <c r="G59" s="41">
        <f>IF(OR(1365036.36807="",18084.97294="",21590.86458=""),"-",(18084.97294-21590.86458)/1365036.36807*100)</f>
        <v>-0.25683503546186959</v>
      </c>
    </row>
    <row r="60" spans="1:7" s="9" customFormat="1" x14ac:dyDescent="0.25">
      <c r="A60" s="82" t="s">
        <v>70</v>
      </c>
      <c r="B60" s="41">
        <f>IF(34371.74344="","-",34371.74344)</f>
        <v>34371.743439999998</v>
      </c>
      <c r="C60" s="41">
        <f>IF(OR(30147.27923="",34371.74344=""),"-",34371.74344/30147.27923*100)</f>
        <v>114.01275444384437</v>
      </c>
      <c r="D60" s="41">
        <f>IF(30147.27923="","-",30147.27923/1365036.36807*100)</f>
        <v>2.2085330424290959</v>
      </c>
      <c r="E60" s="41">
        <f>IF(34371.74344="","-",34371.74344/1365812.81697*100)</f>
        <v>2.516577895077329</v>
      </c>
      <c r="F60" s="41">
        <f>IF(OR(1326009.79931="",34079.64763="",30147.27923=""),"-",(30147.27923-34079.64763)/1326009.79931*100)</f>
        <v>-0.29655651127512328</v>
      </c>
      <c r="G60" s="41">
        <f>IF(OR(1365036.36807="",34371.74344="",30147.27923=""),"-",(34371.74344-30147.27923)/1365036.36807*100)</f>
        <v>0.30947631204675452</v>
      </c>
    </row>
    <row r="61" spans="1:7" s="9" customFormat="1" ht="16.5" customHeight="1" x14ac:dyDescent="0.25">
      <c r="A61" s="81" t="s">
        <v>217</v>
      </c>
      <c r="B61" s="39">
        <f>IF(297563.73241="","-",297563.73241)</f>
        <v>297563.73241</v>
      </c>
      <c r="C61" s="39">
        <f>IF(312446.05104="","-",297563.73241/312446.05104*100)</f>
        <v>95.236835741574239</v>
      </c>
      <c r="D61" s="39">
        <f>IF(312446.05104="","-",312446.05104/1365036.36807*100)</f>
        <v>22.889210745480852</v>
      </c>
      <c r="E61" s="39">
        <f>IF(297563.73241="","-",297563.73241/1365812.81697*100)</f>
        <v>21.786567581795943</v>
      </c>
      <c r="F61" s="39">
        <f>IF(1326009.79931="","-",(312446.05104-298147.50169)/1326009.79931*100)</f>
        <v>1.0783140032178009</v>
      </c>
      <c r="G61" s="39">
        <f>IF(1365036.36807="","-",(297563.73241-312446.05104)/1365036.36807*100)</f>
        <v>-1.090250705264493</v>
      </c>
    </row>
    <row r="62" spans="1:7" s="9" customFormat="1" ht="25.5" x14ac:dyDescent="0.25">
      <c r="A62" s="82" t="s">
        <v>71</v>
      </c>
      <c r="B62" s="41">
        <f>IF(4214.59815="","-",4214.59815)</f>
        <v>4214.5981499999998</v>
      </c>
      <c r="C62" s="41">
        <f>IF(OR(3538.55981="",4214.59815=""),"-",4214.59815/3538.55981*100)</f>
        <v>119.10490075904636</v>
      </c>
      <c r="D62" s="41">
        <f>IF(3538.55981="","-",3538.55981/1365036.36807*100)</f>
        <v>0.25922824422642343</v>
      </c>
      <c r="E62" s="41">
        <f>IF(4214.59815="","-",4214.59815/1365812.81697*100)</f>
        <v>0.30857802018214425</v>
      </c>
      <c r="F62" s="41">
        <f>IF(OR(1326009.79931="",5086.58763="",3538.55981=""),"-",(3538.55981-5086.58763)/1326009.79931*100)</f>
        <v>-0.1167433167391017</v>
      </c>
      <c r="G62" s="41">
        <f>IF(OR(1365036.36807="",4214.59815="",3538.55981=""),"-",(4214.59815-3538.55981)/1365036.36807*100)</f>
        <v>4.952529879887653E-2</v>
      </c>
    </row>
    <row r="63" spans="1:7" s="9" customFormat="1" ht="25.5" x14ac:dyDescent="0.25">
      <c r="A63" s="82" t="s">
        <v>218</v>
      </c>
      <c r="B63" s="41">
        <f>IF(38378.13538="","-",38378.13538)</f>
        <v>38378.13538</v>
      </c>
      <c r="C63" s="41">
        <f>IF(OR(46078.95312="",38378.13538=""),"-",38378.13538/46078.95312*100)</f>
        <v>83.287776265347588</v>
      </c>
      <c r="D63" s="41">
        <f>IF(46078.95312="","-",46078.95312/1365036.36807*100)</f>
        <v>3.3756575427473914</v>
      </c>
      <c r="E63" s="41">
        <f>IF(38378.13538="","-",38378.13538/1365812.81697*100)</f>
        <v>2.8099117904853408</v>
      </c>
      <c r="F63" s="41">
        <f>IF(OR(1326009.79931="",45614.27747="",46078.95312=""),"-",(46078.95312-45614.27747)/1326009.79931*100)</f>
        <v>3.5043153545456091E-2</v>
      </c>
      <c r="G63" s="41">
        <f>IF(OR(1365036.36807="",38378.13538="",46078.95312=""),"-",(38378.13538-46078.95312)/1365036.36807*100)</f>
        <v>-0.5641474410596139</v>
      </c>
    </row>
    <row r="64" spans="1:7" s="9" customFormat="1" ht="25.5" x14ac:dyDescent="0.25">
      <c r="A64" s="82" t="s">
        <v>72</v>
      </c>
      <c r="B64" s="41">
        <f>IF(3575.2282="","-",3575.2282)</f>
        <v>3575.2282</v>
      </c>
      <c r="C64" s="41" t="s">
        <v>20</v>
      </c>
      <c r="D64" s="41">
        <f>IF(1748.43378="","-",1748.43378/1365036.36807*100)</f>
        <v>0.12808697415674564</v>
      </c>
      <c r="E64" s="41">
        <f>IF(3575.2282="","-",3575.2282/1365812.81697*100)</f>
        <v>0.2617656062074083</v>
      </c>
      <c r="F64" s="41">
        <f>IF(OR(1326009.79931="",2585.0239="",1748.43378=""),"-",(1748.43378-2585.0239)/1326009.79931*100)</f>
        <v>-6.3090794686082002E-2</v>
      </c>
      <c r="G64" s="41">
        <f>IF(OR(1365036.36807="",3575.2282="",1748.43378=""),"-",(3575.2282-1748.43378)/1365036.36807*100)</f>
        <v>0.13382752743671372</v>
      </c>
    </row>
    <row r="65" spans="1:7" s="9" customFormat="1" ht="38.25" x14ac:dyDescent="0.25">
      <c r="A65" s="82" t="s">
        <v>73</v>
      </c>
      <c r="B65" s="41">
        <f>IF(44109.75263="","-",44109.75263)</f>
        <v>44109.752630000003</v>
      </c>
      <c r="C65" s="41">
        <f>IF(OR(39698.69885="",44109.75263=""),"-",44109.75263/39698.69885*100)</f>
        <v>111.1113308692232</v>
      </c>
      <c r="D65" s="41">
        <f>IF(39698.69885="","-",39698.69885/1365036.36807*100)</f>
        <v>2.9082521007208961</v>
      </c>
      <c r="E65" s="41">
        <f>IF(44109.75263="","-",44109.75263/1365812.81697*100)</f>
        <v>3.2295606017122966</v>
      </c>
      <c r="F65" s="41">
        <f>IF(OR(1326009.79931="",34019.61163="",39698.69885=""),"-",(39698.69885-34019.61163)/1326009.79931*100)</f>
        <v>0.42828395559031024</v>
      </c>
      <c r="G65" s="41">
        <f>IF(OR(1365036.36807="",44109.75263="",39698.69885=""),"-",(44109.75263-39698.69885)/1365036.36807*100)</f>
        <v>0.32314551342223286</v>
      </c>
    </row>
    <row r="66" spans="1:7" s="9" customFormat="1" ht="25.5" x14ac:dyDescent="0.25">
      <c r="A66" s="82" t="s">
        <v>74</v>
      </c>
      <c r="B66" s="41">
        <f>IF(9933.40435="","-",9933.40435)</f>
        <v>9933.4043500000007</v>
      </c>
      <c r="C66" s="41">
        <f>IF(OR(11659.53829="",9933.40435=""),"-",9933.40435/11659.53829*100)</f>
        <v>85.195520636692379</v>
      </c>
      <c r="D66" s="41">
        <f>IF(11659.53829="","-",11659.53829/1365036.36807*100)</f>
        <v>0.85415587179447883</v>
      </c>
      <c r="E66" s="41">
        <f>IF(9933.40435="","-",9933.40435/1365812.81697*100)</f>
        <v>0.72728885148675448</v>
      </c>
      <c r="F66" s="41">
        <f>IF(OR(1326009.79931="",14219.84571="",11659.53829=""),"-",(11659.53829-14219.84571)/1326009.79931*100)</f>
        <v>-0.19308359722019219</v>
      </c>
      <c r="G66" s="41">
        <f>IF(OR(1365036.36807="",9933.40435="",11659.53829=""),"-",(9933.40435-11659.53829)/1365036.36807*100)</f>
        <v>-0.12645332977029386</v>
      </c>
    </row>
    <row r="67" spans="1:7" s="9" customFormat="1" ht="38.25" x14ac:dyDescent="0.25">
      <c r="A67" s="82" t="s">
        <v>75</v>
      </c>
      <c r="B67" s="41">
        <f>IF(33098.91399="","-",33098.91399)</f>
        <v>33098.913990000001</v>
      </c>
      <c r="C67" s="41">
        <f>IF(OR(33811.3289="",33098.91399=""),"-",33098.91399/33811.3289*100)</f>
        <v>97.892969802792933</v>
      </c>
      <c r="D67" s="41">
        <f>IF(33811.3289="","-",33811.3289/1365036.36807*100)</f>
        <v>2.4769544380568571</v>
      </c>
      <c r="E67" s="41">
        <f>IF(33098.91399="","-",33098.91399/1365812.81697*100)</f>
        <v>2.4233858094426579</v>
      </c>
      <c r="F67" s="41">
        <f>IF(OR(1326009.79931="",31846.88255="",33811.3289=""),"-",(33811.3289-31846.88255)/1326009.79931*100)</f>
        <v>0.14814719702842452</v>
      </c>
      <c r="G67" s="41">
        <f>IF(OR(1365036.36807="",33098.91399="",33811.3289=""),"-",(33098.91399-33811.3289)/1365036.36807*100)</f>
        <v>-5.2190177980918552E-2</v>
      </c>
    </row>
    <row r="68" spans="1:7" s="9" customFormat="1" ht="39.75" customHeight="1" x14ac:dyDescent="0.25">
      <c r="A68" s="82" t="s">
        <v>219</v>
      </c>
      <c r="B68" s="41">
        <f>IF(93902.83297="","-",93902.83297)</f>
        <v>93902.832970000003</v>
      </c>
      <c r="C68" s="41">
        <f>IF(OR(96936.14083="",93902.83297=""),"-",93902.83297/96936.14083*100)</f>
        <v>96.870818423316834</v>
      </c>
      <c r="D68" s="41">
        <f>IF(96936.14083="","-",96936.14083/1365036.36807*100)</f>
        <v>7.1013595752804912</v>
      </c>
      <c r="E68" s="41">
        <f>IF(93902.83297="","-",93902.83297/1365812.81697*100)</f>
        <v>6.875234424752259</v>
      </c>
      <c r="F68" s="41">
        <f>IF(OR(1326009.79931="",96504.06053="",96936.14083=""),"-",(96936.14083-96504.06053)/1326009.79931*100)</f>
        <v>3.2585000519968856E-2</v>
      </c>
      <c r="G68" s="41">
        <f>IF(OR(1365036.36807="",93902.83297="",96936.14083=""),"-",(93902.83297-96936.14083)/1365036.36807*100)</f>
        <v>-0.22221443552370251</v>
      </c>
    </row>
    <row r="69" spans="1:7" s="9" customFormat="1" ht="25.5" x14ac:dyDescent="0.25">
      <c r="A69" s="82" t="s">
        <v>76</v>
      </c>
      <c r="B69" s="41">
        <f>IF(67062.31258="","-",67062.31258)</f>
        <v>67062.312579999998</v>
      </c>
      <c r="C69" s="41">
        <f>IF(OR(77296.31299="",67062.31258=""),"-",67062.31258/77296.31299*100)</f>
        <v>86.760040661546171</v>
      </c>
      <c r="D69" s="41">
        <f>IF(77296.31299="","-",77296.31299/1365036.36807*100)</f>
        <v>5.6625826826348851</v>
      </c>
      <c r="E69" s="41">
        <f>IF(67062.31258="","-",67062.31258/1365812.81697*100)</f>
        <v>4.9100661340091243</v>
      </c>
      <c r="F69" s="41">
        <f>IF(OR(1326009.79931="",68001.48234="",77296.31299=""),"-",(77296.31299-68001.48234)/1326009.79931*100)</f>
        <v>0.70096244046134837</v>
      </c>
      <c r="G69" s="41">
        <f>IF(OR(1365036.36807="",67062.31258="",77296.31299=""),"-",(67062.31258-77296.31299)/1365036.36807*100)</f>
        <v>-0.74972364468718689</v>
      </c>
    </row>
    <row r="70" spans="1:7" s="9" customFormat="1" x14ac:dyDescent="0.25">
      <c r="A70" s="82" t="s">
        <v>77</v>
      </c>
      <c r="B70" s="41">
        <f>IF(3288.55416="","-",3288.55416)</f>
        <v>3288.5541600000001</v>
      </c>
      <c r="C70" s="41" t="s">
        <v>20</v>
      </c>
      <c r="D70" s="41">
        <f>IF(1678.08447="","-",1678.08447/1365036.36807*100)</f>
        <v>0.12293331586268377</v>
      </c>
      <c r="E70" s="41">
        <f>IF(3288.55416="","-",3288.55416/1365812.81697*100)</f>
        <v>0.24077634351795901</v>
      </c>
      <c r="F70" s="41">
        <f>IF(OR(1326009.79931="",269.72993="",1678.08447=""),"-",(1678.08447-269.72993)/1326009.79931*100)</f>
        <v>0.10620996471767018</v>
      </c>
      <c r="G70" s="41">
        <f>IF(OR(1365036.36807="",3288.55416="",1678.08447=""),"-",(3288.55416-1678.08447)/1365036.36807*100)</f>
        <v>0.11797998409939904</v>
      </c>
    </row>
    <row r="71" spans="1:7" s="9" customFormat="1" x14ac:dyDescent="0.25">
      <c r="A71" s="81" t="s">
        <v>78</v>
      </c>
      <c r="B71" s="39">
        <f>IF(137369.45341="","-",137369.45341)</f>
        <v>137369.45340999999</v>
      </c>
      <c r="C71" s="39">
        <f>IF(141166.0778="","-",137369.45341/141166.0778*100)</f>
        <v>97.310526403248971</v>
      </c>
      <c r="D71" s="39">
        <f>IF(141166.0778="","-",141166.0778/1365036.36807*100)</f>
        <v>10.341561668396581</v>
      </c>
      <c r="E71" s="39">
        <f>IF(137369.45341="","-",137369.45341/1365812.81697*100)</f>
        <v>10.057707154538827</v>
      </c>
      <c r="F71" s="39">
        <f>IF(1326009.79931="","-",(141166.0778-132226.52514)/1326009.79931*100)</f>
        <v>0.67416942654961953</v>
      </c>
      <c r="G71" s="39">
        <f>IF(1365036.36807="","-",(137369.45341-141166.0778)/1365036.36807*100)</f>
        <v>-0.27813357056325094</v>
      </c>
    </row>
    <row r="72" spans="1:7" s="9" customFormat="1" ht="38.25" x14ac:dyDescent="0.25">
      <c r="A72" s="82" t="s">
        <v>221</v>
      </c>
      <c r="B72" s="41">
        <f>IF(9544.63372="","-",9544.63372)</f>
        <v>9544.6337199999998</v>
      </c>
      <c r="C72" s="41">
        <f>IF(OR(8213.77272="",9544.63372=""),"-",9544.63372/8213.77272*100)</f>
        <v>116.20279797564206</v>
      </c>
      <c r="D72" s="41">
        <f>IF(8213.77272="","-",8213.77272/1365036.36807*100)</f>
        <v>0.60172555926940641</v>
      </c>
      <c r="E72" s="41">
        <f>IF(9544.63372="","-",9544.63372/1365812.81697*100)</f>
        <v>0.69882443636561997</v>
      </c>
      <c r="F72" s="41">
        <f>IF(OR(1326009.79931="",8479.03009="",8213.77272=""),"-",(8213.77272-8479.03009)/1326009.79931*100)</f>
        <v>-2.0004178712557646E-2</v>
      </c>
      <c r="G72" s="41">
        <f>IF(OR(1365036.36807="",9544.63372="",8213.77272=""),"-",(9544.63372-8213.77272)/1365036.36807*100)</f>
        <v>9.7496376736224175E-2</v>
      </c>
    </row>
    <row r="73" spans="1:7" s="9" customFormat="1" x14ac:dyDescent="0.25">
      <c r="A73" s="82" t="s">
        <v>79</v>
      </c>
      <c r="B73" s="41">
        <f>IF(11438.65806="","-",11438.65806)</f>
        <v>11438.65806</v>
      </c>
      <c r="C73" s="41">
        <f>IF(OR(11549.47475="",11438.65806=""),"-",11438.65806/11549.47475*100)</f>
        <v>99.040504504328226</v>
      </c>
      <c r="D73" s="41">
        <f>IF(11549.47475="","-",11549.47475/1365036.36807*100)</f>
        <v>0.84609282361682359</v>
      </c>
      <c r="E73" s="41">
        <f>IF(11438.65806="","-",11438.65806/1365812.81697*100)</f>
        <v>0.8374982221484929</v>
      </c>
      <c r="F73" s="41">
        <f>IF(OR(1326009.79931="",12025.59819="",11549.47475=""),"-",(11549.47475-12025.59819)/1326009.79931*100)</f>
        <v>-3.5906479744550607E-2</v>
      </c>
      <c r="G73" s="41">
        <f>IF(OR(1365036.36807="",11438.65806="",11549.47475=""),"-",(11438.65806-11549.47475)/1365036.36807*100)</f>
        <v>-8.1182225318056061E-3</v>
      </c>
    </row>
    <row r="74" spans="1:7" s="9" customFormat="1" x14ac:dyDescent="0.25">
      <c r="A74" s="82" t="s">
        <v>80</v>
      </c>
      <c r="B74" s="41">
        <f>IF(2506.48749="","-",2506.48749)</f>
        <v>2506.48749</v>
      </c>
      <c r="C74" s="41">
        <f>IF(OR(2301.64201="",2506.48749=""),"-",2506.48749/2301.64201*100)</f>
        <v>108.89997137304597</v>
      </c>
      <c r="D74" s="41">
        <f>IF(2301.64201="","-",2301.64201/1365036.36807*100)</f>
        <v>0.16861396984274121</v>
      </c>
      <c r="E74" s="41">
        <f>IF(2506.48749="","-",2506.48749/1365812.81697*100)</f>
        <v>0.18351617870745568</v>
      </c>
      <c r="F74" s="41">
        <f>IF(OR(1326009.79931="",2033.15404="",2301.64201=""),"-",(2301.64201-2033.15404)/1326009.79931*100)</f>
        <v>2.0247811904535701E-2</v>
      </c>
      <c r="G74" s="41">
        <f>IF(OR(1365036.36807="",2506.48749="",2301.64201=""),"-",(2506.48749-2301.64201)/1365036.36807*100)</f>
        <v>1.5006595046960339E-2</v>
      </c>
    </row>
    <row r="75" spans="1:7" s="9" customFormat="1" x14ac:dyDescent="0.25">
      <c r="A75" s="82" t="s">
        <v>81</v>
      </c>
      <c r="B75" s="41">
        <f>IF(32302.76812="","-",32302.76812)</f>
        <v>32302.768120000001</v>
      </c>
      <c r="C75" s="41">
        <f>IF(OR(32569.66488="",32302.76812=""),"-",32302.76812/32569.66488*100)</f>
        <v>99.180535750111773</v>
      </c>
      <c r="D75" s="41">
        <f>IF(32569.66488="","-",32569.66488/1365036.36807*100)</f>
        <v>2.3859924645121109</v>
      </c>
      <c r="E75" s="41">
        <f>IF(32302.76812="","-",32302.76812/1365812.81697*100)</f>
        <v>2.3650948152370082</v>
      </c>
      <c r="F75" s="41">
        <f>IF(OR(1326009.79931="",34142.20007="",32569.66488=""),"-",(32569.66488-34142.20007)/1326009.79931*100)</f>
        <v>-0.1185915210293529</v>
      </c>
      <c r="G75" s="41">
        <f>IF(OR(1365036.36807="",32302.76812="",32569.66488=""),"-",(32302.76812-32569.66488)/1365036.36807*100)</f>
        <v>-1.9552355251703665E-2</v>
      </c>
    </row>
    <row r="76" spans="1:7" s="9" customFormat="1" x14ac:dyDescent="0.25">
      <c r="A76" s="82" t="s">
        <v>82</v>
      </c>
      <c r="B76" s="41">
        <f>IF(11990.67334="","-",11990.67334)</f>
        <v>11990.673339999999</v>
      </c>
      <c r="C76" s="41">
        <f>IF(OR(13711.29342="",11990.67334=""),"-",11990.67334/13711.29342*100)</f>
        <v>87.451073890007962</v>
      </c>
      <c r="D76" s="41">
        <f>IF(13711.29342="","-",13711.29342/1365036.36807*100)</f>
        <v>1.004463598239961</v>
      </c>
      <c r="E76" s="41">
        <f>IF(11990.67334="","-",11990.67334/1365812.81697*100)</f>
        <v>0.87791483510901736</v>
      </c>
      <c r="F76" s="41">
        <f>IF(OR(1326009.79931="",11642.90427="",13711.29342=""),"-",(13711.29342-11642.90427)/1326009.79931*100)</f>
        <v>0.15598596262835332</v>
      </c>
      <c r="G76" s="41">
        <f>IF(OR(1365036.36807="",11990.67334="",13711.29342=""),"-",(11990.67334-13711.29342)/1365036.36807*100)</f>
        <v>-0.12604939474490001</v>
      </c>
    </row>
    <row r="77" spans="1:7" ht="25.5" x14ac:dyDescent="0.25">
      <c r="A77" s="82" t="s">
        <v>222</v>
      </c>
      <c r="B77" s="41">
        <f>IF(13862.77366="","-",13862.77366)</f>
        <v>13862.773660000001</v>
      </c>
      <c r="C77" s="41">
        <f>IF(OR(13254.15205="",13862.77366=""),"-",13862.77366/13254.15205*100)</f>
        <v>104.59193170339402</v>
      </c>
      <c r="D77" s="41">
        <f>IF(13254.15205="","-",13254.15205/1365036.36807*100)</f>
        <v>0.97097428024865029</v>
      </c>
      <c r="E77" s="41">
        <f>IF(13862.77366="","-",13862.77366/1365812.81697*100)</f>
        <v>1.0149834214291529</v>
      </c>
      <c r="F77" s="41">
        <f>IF(OR(1326009.79931="",13564.19633="",13254.15205=""),"-",(13254.15205-13564.19633)/1326009.79931*100)</f>
        <v>-2.3381748774506352E-2</v>
      </c>
      <c r="G77" s="41">
        <f>IF(OR(1365036.36807="",13862.77366="",13254.15205=""),"-",(13862.77366-13254.15205)/1365036.36807*100)</f>
        <v>4.4586475806539794E-2</v>
      </c>
    </row>
    <row r="78" spans="1:7" ht="25.5" x14ac:dyDescent="0.25">
      <c r="A78" s="82" t="s">
        <v>83</v>
      </c>
      <c r="B78" s="41">
        <f>IF(3024.91="","-",3024.91)</f>
        <v>3024.91</v>
      </c>
      <c r="C78" s="41">
        <f>IF(OR(2860.29066="",3024.91=""),"-",3024.91/2860.29066*100)</f>
        <v>105.75533606783864</v>
      </c>
      <c r="D78" s="41">
        <f>IF(2860.29066="","-",2860.29066/1365036.36807*100)</f>
        <v>0.20953952047769339</v>
      </c>
      <c r="E78" s="41">
        <f>IF(3024.91="","-",3024.91/1365812.81697*100)</f>
        <v>0.2214732474623162</v>
      </c>
      <c r="F78" s="41">
        <f>IF(OR(1326009.79931="",3275.21237="",2860.29066=""),"-",(2860.29066-3275.21237)/1326009.79931*100)</f>
        <v>-3.1290998770590384E-2</v>
      </c>
      <c r="G78" s="41">
        <f>IF(OR(1365036.36807="",3024.91="",2860.29066=""),"-",(3024.91-2860.29066)/1365036.36807*100)</f>
        <v>1.205970359842881E-2</v>
      </c>
    </row>
    <row r="79" spans="1:7" x14ac:dyDescent="0.25">
      <c r="A79" s="82" t="s">
        <v>84</v>
      </c>
      <c r="B79" s="41">
        <f>IF(52698.54902="","-",52698.54902)</f>
        <v>52698.549019999999</v>
      </c>
      <c r="C79" s="41">
        <f>IF(OR(56705.78731="",52698.54902=""),"-",52698.54902/56705.78731*100)</f>
        <v>92.93328162768789</v>
      </c>
      <c r="D79" s="41">
        <f>IF(56705.78731="","-",56705.78731/1365036.36807*100)</f>
        <v>4.1541594521891945</v>
      </c>
      <c r="E79" s="41">
        <f>IF(52698.54902="","-",52698.54902/1365812.81697*100)</f>
        <v>3.8584019980797644</v>
      </c>
      <c r="F79" s="41">
        <f>IF(OR(1326009.79931="",47064.22978="",56705.78731=""),"-",(56705.78731-47064.22978)/1326009.79931*100)</f>
        <v>0.72711057904828924</v>
      </c>
      <c r="G79" s="41">
        <f>IF(OR(1365036.36807="",52698.54902="",56705.78731=""),"-",(52698.54902-56705.78731)/1365036.36807*100)</f>
        <v>-0.29356274922299408</v>
      </c>
    </row>
    <row r="80" spans="1:7" ht="25.5" x14ac:dyDescent="0.25">
      <c r="A80" s="83" t="s">
        <v>200</v>
      </c>
      <c r="B80" s="52">
        <f>IF(79.33292="","-",79.33292)</f>
        <v>79.332920000000001</v>
      </c>
      <c r="C80" s="52">
        <f>IF(126.68299="","-",79.33292/126.68299*100)</f>
        <v>62.623182480931341</v>
      </c>
      <c r="D80" s="52">
        <f>IF(126.68299="","-",126.68299/1365036.36807*100)</f>
        <v>9.2805578637523596E-3</v>
      </c>
      <c r="E80" s="52">
        <f>IF(79.33292="","-",79.33292/1365812.81697*100)</f>
        <v>5.8084767556945945E-3</v>
      </c>
      <c r="F80" s="52">
        <f>IF(1326009.79931="","-",(126.68299-229.75617)/1326009.79931*100)</f>
        <v>-7.773183882474697E-3</v>
      </c>
      <c r="G80" s="52">
        <f>IF(1365036.36807="","-",(79.33292-126.68299)/1365036.36807*100)</f>
        <v>-3.4687771774862966E-3</v>
      </c>
    </row>
    <row r="81" spans="1:1" x14ac:dyDescent="0.25">
      <c r="A81" s="29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2"/>
  <sheetViews>
    <sheetView zoomScaleNormal="100" workbookViewId="0">
      <selection activeCell="F25" sqref="F25"/>
    </sheetView>
  </sheetViews>
  <sheetFormatPr defaultRowHeight="15.75" x14ac:dyDescent="0.25"/>
  <cols>
    <col min="1" max="1" width="42.125" customWidth="1"/>
    <col min="2" max="2" width="13.125" customWidth="1"/>
    <col min="3" max="3" width="13.25" customWidth="1"/>
    <col min="4" max="4" width="17.625" customWidth="1"/>
    <col min="6" max="6" width="12.125" bestFit="1" customWidth="1"/>
  </cols>
  <sheetData>
    <row r="1" spans="1:6" x14ac:dyDescent="0.25">
      <c r="A1" s="97" t="s">
        <v>265</v>
      </c>
      <c r="B1" s="97"/>
      <c r="C1" s="97"/>
      <c r="D1" s="97"/>
    </row>
    <row r="2" spans="1:6" x14ac:dyDescent="0.25">
      <c r="A2" s="97" t="s">
        <v>23</v>
      </c>
      <c r="B2" s="97"/>
      <c r="C2" s="97"/>
      <c r="D2" s="97"/>
    </row>
    <row r="3" spans="1:6" x14ac:dyDescent="0.25">
      <c r="A3" s="5"/>
    </row>
    <row r="4" spans="1:6" ht="25.5" customHeight="1" x14ac:dyDescent="0.25">
      <c r="A4" s="98"/>
      <c r="B4" s="102" t="s">
        <v>231</v>
      </c>
      <c r="C4" s="103"/>
      <c r="D4" s="100" t="s">
        <v>234</v>
      </c>
      <c r="E4" s="1"/>
    </row>
    <row r="5" spans="1:6" ht="27" customHeight="1" x14ac:dyDescent="0.25">
      <c r="A5" s="99"/>
      <c r="B5" s="23">
        <v>2019</v>
      </c>
      <c r="C5" s="22">
        <v>2020</v>
      </c>
      <c r="D5" s="101"/>
      <c r="E5" s="1"/>
    </row>
    <row r="6" spans="1:6" ht="14.25" customHeight="1" x14ac:dyDescent="0.25">
      <c r="A6" s="53" t="s">
        <v>195</v>
      </c>
      <c r="B6" s="37">
        <f>IF(-632140.39208="","-",-632140.39208)</f>
        <v>-632140.39208000002</v>
      </c>
      <c r="C6" s="37">
        <f>IF(-690772.52491="","-",-690772.52491)</f>
        <v>-690772.52491000004</v>
      </c>
      <c r="D6" s="55">
        <f>IF(-632140.39208="","-",-690772.52491/-632140.39208*100)</f>
        <v>109.27517582559094</v>
      </c>
      <c r="F6" s="20"/>
    </row>
    <row r="7" spans="1:6" x14ac:dyDescent="0.25">
      <c r="A7" s="54" t="s">
        <v>193</v>
      </c>
      <c r="B7" s="30"/>
      <c r="C7" s="30"/>
      <c r="D7" s="31"/>
    </row>
    <row r="8" spans="1:6" x14ac:dyDescent="0.25">
      <c r="A8" s="50" t="s">
        <v>24</v>
      </c>
      <c r="B8" s="39">
        <f>IF(17365.2655="","-",17365.2655)</f>
        <v>17365.265500000001</v>
      </c>
      <c r="C8" s="39">
        <f>IF(19270.4732="","-",19270.4732)</f>
        <v>19270.4732</v>
      </c>
      <c r="D8" s="56">
        <f>IF(17365.2655="","-",19270.4732/17365.2655*100)</f>
        <v>110.9713709819179</v>
      </c>
    </row>
    <row r="9" spans="1:6" x14ac:dyDescent="0.25">
      <c r="A9" s="40" t="s">
        <v>25</v>
      </c>
      <c r="B9" s="41">
        <f>IF(OR(275.53283="",275.53283=0),"-",275.53283)</f>
        <v>275.53282999999999</v>
      </c>
      <c r="C9" s="41">
        <f>IF(OR(2569.62025="",2569.62025=0),"-",2569.62025)</f>
        <v>2569.6202499999999</v>
      </c>
      <c r="D9" s="57" t="s">
        <v>254</v>
      </c>
    </row>
    <row r="10" spans="1:6" x14ac:dyDescent="0.25">
      <c r="A10" s="40" t="s">
        <v>26</v>
      </c>
      <c r="B10" s="41">
        <f>IF(OR(-8450.77284="",-8450.77284=0),"-",-8450.77284)</f>
        <v>-8450.7728399999996</v>
      </c>
      <c r="C10" s="41">
        <f>IF(OR(-7921.09538="",-7921.09538=0),"-",-7921.09538)</f>
        <v>-7921.0953799999997</v>
      </c>
      <c r="D10" s="57">
        <f>IF(OR(-8450.77284="",-7921.09538="",-8450.77284=0,-7921.09538=0),"-",-7921.09538/-8450.77284*100)</f>
        <v>93.732200947434293</v>
      </c>
    </row>
    <row r="11" spans="1:6" x14ac:dyDescent="0.25">
      <c r="A11" s="40" t="s">
        <v>27</v>
      </c>
      <c r="B11" s="41">
        <f>IF(OR(-12321.71062="",-12321.71062=0),"-",-12321.71062)</f>
        <v>-12321.71062</v>
      </c>
      <c r="C11" s="41">
        <f>IF(OR(-20161.5781="",-20161.5781=0),"-",-20161.5781)</f>
        <v>-20161.578099999999</v>
      </c>
      <c r="D11" s="57" t="s">
        <v>156</v>
      </c>
    </row>
    <row r="12" spans="1:6" x14ac:dyDescent="0.25">
      <c r="A12" s="40" t="s">
        <v>28</v>
      </c>
      <c r="B12" s="41">
        <f>IF(OR(-13022.38507="",-13022.38507=0),"-",-13022.38507)</f>
        <v>-13022.38507</v>
      </c>
      <c r="C12" s="41">
        <f>IF(OR(-14966.22299="",-14966.22299=0),"-",-14966.22299)</f>
        <v>-14966.22299</v>
      </c>
      <c r="D12" s="57">
        <f>IF(OR(-13022.38507="",-14966.22299="",-13022.38507=0,-14966.22299=0),"-",-14966.22299/-13022.38507*100)</f>
        <v>114.92689633697033</v>
      </c>
    </row>
    <row r="13" spans="1:6" x14ac:dyDescent="0.25">
      <c r="A13" s="40" t="s">
        <v>29</v>
      </c>
      <c r="B13" s="41">
        <f>IF(OR(45494.34835="",45494.34835=0),"-",45494.34835)</f>
        <v>45494.34835</v>
      </c>
      <c r="C13" s="41">
        <f>IF(OR(43086.34873="",43086.34873=0),"-",43086.34873)</f>
        <v>43086.348729999998</v>
      </c>
      <c r="D13" s="57">
        <f>IF(OR(45494.34835="",43086.34873="",45494.34835=0,43086.34873=0),"-",43086.34873/45494.34835*100)</f>
        <v>94.707035692709283</v>
      </c>
    </row>
    <row r="14" spans="1:6" x14ac:dyDescent="0.25">
      <c r="A14" s="40" t="s">
        <v>30</v>
      </c>
      <c r="B14" s="41">
        <f>IF(OR(30321.20173="",30321.20173=0),"-",30321.20173)</f>
        <v>30321.201730000001</v>
      </c>
      <c r="C14" s="41">
        <f>IF(OR(43739.60688="",43739.60688=0),"-",43739.60688)</f>
        <v>43739.606879999999</v>
      </c>
      <c r="D14" s="57">
        <f>IF(OR(30321.20173="",43739.60688="",30321.20173=0,43739.60688=0),"-",43739.60688/30321.20173*100)</f>
        <v>144.25419965041735</v>
      </c>
    </row>
    <row r="15" spans="1:6" x14ac:dyDescent="0.25">
      <c r="A15" s="40" t="s">
        <v>31</v>
      </c>
      <c r="B15" s="41">
        <f>IF(OR(-1497.23515="",-1497.23515=0),"-",-1497.23515)</f>
        <v>-1497.23515</v>
      </c>
      <c r="C15" s="41">
        <f>IF(OR(309.41566="",309.41566=0),"-",309.41566)</f>
        <v>309.41566</v>
      </c>
      <c r="D15" s="57" t="s">
        <v>22</v>
      </c>
    </row>
    <row r="16" spans="1:6" x14ac:dyDescent="0.25">
      <c r="A16" s="40" t="s">
        <v>32</v>
      </c>
      <c r="B16" s="41">
        <f>IF(OR(-9042.70617="",-9042.70617=0),"-",-9042.70617)</f>
        <v>-9042.7061699999995</v>
      </c>
      <c r="C16" s="41">
        <f>IF(OR(-9815.1522="",-9815.1522=0),"-",-9815.1522)</f>
        <v>-9815.1522000000004</v>
      </c>
      <c r="D16" s="57">
        <f>IF(OR(-9042.70617="",-9815.1522="",-9042.70617=0,-9815.1522=0),"-",-9815.1522/-9042.70617*100)</f>
        <v>108.54219981804407</v>
      </c>
    </row>
    <row r="17" spans="1:4" x14ac:dyDescent="0.25">
      <c r="A17" s="40" t="s">
        <v>33</v>
      </c>
      <c r="B17" s="41">
        <f>IF(OR(1384.89194="",1384.89194=0),"-",1384.89194)</f>
        <v>1384.89194</v>
      </c>
      <c r="C17" s="41">
        <f>IF(OR(1010.07007="",1010.07007=0),"-",1010.07007)</f>
        <v>1010.07007</v>
      </c>
      <c r="D17" s="57">
        <f>IF(OR(1384.89194="",1010.07007="",1384.89194=0,1010.07007=0),"-",1010.07007/1384.89194*100)</f>
        <v>72.934937436346118</v>
      </c>
    </row>
    <row r="18" spans="1:4" x14ac:dyDescent="0.25">
      <c r="A18" s="40" t="s">
        <v>34</v>
      </c>
      <c r="B18" s="41">
        <f>IF(OR(-15775.8995="",-15775.8995=0),"-",-15775.8995)</f>
        <v>-15775.8995</v>
      </c>
      <c r="C18" s="41">
        <f>IF(OR(-18580.53972="",-18580.53972=0),"-",-18580.53972)</f>
        <v>-18580.539720000001</v>
      </c>
      <c r="D18" s="57">
        <f>IF(OR(-15775.8995="",-18580.53972="",-15775.8995=0,-18580.53972=0),"-",-18580.53972/-15775.8995*100)</f>
        <v>117.77800511470045</v>
      </c>
    </row>
    <row r="19" spans="1:4" x14ac:dyDescent="0.25">
      <c r="A19" s="50" t="s">
        <v>35</v>
      </c>
      <c r="B19" s="39">
        <f>IF(28778.44867="","-",28778.44867)</f>
        <v>28778.448670000002</v>
      </c>
      <c r="C19" s="39">
        <f>IF(20745.89044="","-",20745.89044)</f>
        <v>20745.890439999999</v>
      </c>
      <c r="D19" s="56">
        <f>IF(28778.44867="","-",20745.89044/28778.44867*100)</f>
        <v>72.088286196005015</v>
      </c>
    </row>
    <row r="20" spans="1:4" x14ac:dyDescent="0.25">
      <c r="A20" s="40" t="s">
        <v>201</v>
      </c>
      <c r="B20" s="41">
        <f>IF(OR(32733.2256="",32733.2256=0),"-",32733.2256)</f>
        <v>32733.225600000002</v>
      </c>
      <c r="C20" s="41">
        <f>IF(OR(29913.23287="",29913.23287=0),"-",29913.23287)</f>
        <v>29913.23287</v>
      </c>
      <c r="D20" s="57">
        <f>IF(OR(32733.2256="",29913.23287="",32733.2256=0,29913.23287=0),"-",29913.23287/32733.2256*100)</f>
        <v>91.384922572372446</v>
      </c>
    </row>
    <row r="21" spans="1:4" x14ac:dyDescent="0.25">
      <c r="A21" s="40" t="s">
        <v>36</v>
      </c>
      <c r="B21" s="41">
        <f>IF(OR(-3954.77693="",-3954.77693=0),"-",-3954.77693)</f>
        <v>-3954.77693</v>
      </c>
      <c r="C21" s="41">
        <f>IF(OR(-9167.34243="",-9167.34243=0),"-",-9167.34243)</f>
        <v>-9167.3424300000006</v>
      </c>
      <c r="D21" s="57" t="s">
        <v>162</v>
      </c>
    </row>
    <row r="22" spans="1:4" x14ac:dyDescent="0.25">
      <c r="A22" s="50" t="s">
        <v>37</v>
      </c>
      <c r="B22" s="39">
        <f>IF(46352.12355="","-",46352.12355)</f>
        <v>46352.123549999997</v>
      </c>
      <c r="C22" s="39">
        <f>IF(14096.87155="","-",14096.87155)</f>
        <v>14096.87155</v>
      </c>
      <c r="D22" s="56">
        <f>IF(46352.12355="","-",14096.87155/46352.12355*100)</f>
        <v>30.412568983584361</v>
      </c>
    </row>
    <row r="23" spans="1:4" x14ac:dyDescent="0.25">
      <c r="A23" s="40" t="s">
        <v>38</v>
      </c>
      <c r="B23" s="41">
        <f>IF(OR(417.25646="",417.25646=0),"-",417.25646)</f>
        <v>417.25646</v>
      </c>
      <c r="C23" s="41">
        <f>IF(OR(570.00194="",570.00194=0),"-",570.00194)</f>
        <v>570.00193999999999</v>
      </c>
      <c r="D23" s="57">
        <f>IF(OR(417.25646="",570.00194="",417.25646=0,570.00194=0),"-",570.00194/417.25646*100)</f>
        <v>136.60709770676766</v>
      </c>
    </row>
    <row r="24" spans="1:4" x14ac:dyDescent="0.25">
      <c r="A24" s="40" t="s">
        <v>39</v>
      </c>
      <c r="B24" s="41">
        <f>IF(OR(63550.03064="",63550.03064=0),"-",63550.03064)</f>
        <v>63550.030639999997</v>
      </c>
      <c r="C24" s="41">
        <f>IF(OR(32730.4766="",32730.4766=0),"-",32730.4766)</f>
        <v>32730.476600000002</v>
      </c>
      <c r="D24" s="57">
        <f>IF(OR(63550.03064="",32730.4766="",63550.03064=0,32730.4766=0),"-",32730.4766/63550.03064*100)</f>
        <v>51.503478865985961</v>
      </c>
    </row>
    <row r="25" spans="1:4" x14ac:dyDescent="0.25">
      <c r="A25" s="40" t="s">
        <v>40</v>
      </c>
      <c r="B25" s="41">
        <f>IF(OR(-272.5719="",-272.5719=0),"-",-272.5719)</f>
        <v>-272.57190000000003</v>
      </c>
      <c r="C25" s="41">
        <f>IF(OR(-338.86036="",-338.86036=0),"-",-338.86036)</f>
        <v>-338.86036000000001</v>
      </c>
      <c r="D25" s="57">
        <f>IF(OR(-272.5719="",-338.86036="",-272.5719=0,-338.86036=0),"-",-338.86036/-272.5719*100)</f>
        <v>124.31962355620662</v>
      </c>
    </row>
    <row r="26" spans="1:4" x14ac:dyDescent="0.25">
      <c r="A26" s="40" t="s">
        <v>41</v>
      </c>
      <c r="B26" s="41">
        <f>IF(OR(-6794.26554="",-6794.26554=0),"-",-6794.26554)</f>
        <v>-6794.2655400000003</v>
      </c>
      <c r="C26" s="41">
        <f>IF(OR(-6430.35037="",-6430.35037=0),"-",-6430.35037)</f>
        <v>-6430.3503700000001</v>
      </c>
      <c r="D26" s="57">
        <f>IF(OR(-6794.26554="",-6430.35037="",-6794.26554=0,-6430.35037=0),"-",-6430.35037/-6794.26554*100)</f>
        <v>94.643789415389847</v>
      </c>
    </row>
    <row r="27" spans="1:4" x14ac:dyDescent="0.25">
      <c r="A27" s="40" t="s">
        <v>196</v>
      </c>
      <c r="B27" s="41">
        <f>IF(OR(522.69172="",522.69172=0),"-",522.69172)</f>
        <v>522.69172000000003</v>
      </c>
      <c r="C27" s="41">
        <f>IF(OR(325.2209="",325.2209=0),"-",325.2209)</f>
        <v>325.22089999999997</v>
      </c>
      <c r="D27" s="57">
        <f>IF(OR(522.69172="",325.2209="",522.69172=0,325.2209=0),"-",325.2209/522.69172*100)</f>
        <v>62.22040402706206</v>
      </c>
    </row>
    <row r="28" spans="1:4" ht="25.5" x14ac:dyDescent="0.25">
      <c r="A28" s="40" t="s">
        <v>197</v>
      </c>
      <c r="B28" s="41">
        <f>IF(OR(-1873.03763="",-1873.03763=0),"-",-1873.03763)</f>
        <v>-1873.03763</v>
      </c>
      <c r="C28" s="41">
        <f>IF(OR(-1908.19923="",-1908.19923=0),"-",-1908.19923)</f>
        <v>-1908.1992299999999</v>
      </c>
      <c r="D28" s="57">
        <f>IF(OR(-1873.03763="",-1908.19923="",-1873.03763=0,-1908.19923=0),"-",-1908.19923/-1873.03763*100)</f>
        <v>101.87725005823829</v>
      </c>
    </row>
    <row r="29" spans="1:4" ht="25.5" x14ac:dyDescent="0.25">
      <c r="A29" s="40" t="s">
        <v>42</v>
      </c>
      <c r="B29" s="41">
        <f>IF(OR(-3578.82335="",-3578.82335=0),"-",-3578.82335)</f>
        <v>-3578.8233500000001</v>
      </c>
      <c r="C29" s="41">
        <f>IF(OR(-1236.53218="",-1236.53218=0),"-",-1236.53218)</f>
        <v>-1236.5321799999999</v>
      </c>
      <c r="D29" s="57">
        <f>IF(OR(-3578.82335="",-1236.53218="",-3578.82335=0,-1236.53218=0),"-",-1236.53218/-3578.82335*100)</f>
        <v>34.551361133820699</v>
      </c>
    </row>
    <row r="30" spans="1:4" x14ac:dyDescent="0.25">
      <c r="A30" s="40" t="s">
        <v>43</v>
      </c>
      <c r="B30" s="41">
        <f>IF(OR(3602.78074="",3602.78074=0),"-",3602.78074)</f>
        <v>3602.7807400000002</v>
      </c>
      <c r="C30" s="41">
        <f>IF(OR(2327.20833="",2327.20833=0),"-",2327.20833)</f>
        <v>2327.2083299999999</v>
      </c>
      <c r="D30" s="57">
        <f>IF(OR(3602.78074="",2327.20833="",3602.78074=0,2327.20833=0),"-",2327.20833/3602.78074*100)</f>
        <v>64.59478103016616</v>
      </c>
    </row>
    <row r="31" spans="1:4" x14ac:dyDescent="0.25">
      <c r="A31" s="40" t="s">
        <v>44</v>
      </c>
      <c r="B31" s="41">
        <f>IF(OR(-9221.93759="",-9221.93759=0),"-",-9221.93759)</f>
        <v>-9221.9375899999995</v>
      </c>
      <c r="C31" s="41">
        <f>IF(OR(-11942.09408="",-11942.09408=0),"-",-11942.09408)</f>
        <v>-11942.094080000001</v>
      </c>
      <c r="D31" s="57">
        <f>IF(OR(-9221.93759="",-11942.09408="",-9221.93759=0,-11942.09408=0),"-",-11942.09408/-9221.93759*100)</f>
        <v>129.49658315785675</v>
      </c>
    </row>
    <row r="32" spans="1:4" x14ac:dyDescent="0.25">
      <c r="A32" s="50" t="s">
        <v>45</v>
      </c>
      <c r="B32" s="39">
        <f>IF(-239610.32794="","-",-239610.32794)</f>
        <v>-239610.32793999999</v>
      </c>
      <c r="C32" s="39">
        <f>IF(-206316.13765="","-",-206316.13765)</f>
        <v>-206316.13764999999</v>
      </c>
      <c r="D32" s="56">
        <f>IF(-239610.32794="","-",-206316.13765/-239610.32794*100)</f>
        <v>86.10486009670791</v>
      </c>
    </row>
    <row r="33" spans="1:4" x14ac:dyDescent="0.25">
      <c r="A33" s="40" t="s">
        <v>46</v>
      </c>
      <c r="B33" s="41">
        <f>IF(OR(-3654.84333="",-3654.84333=0),"-",-3654.84333)</f>
        <v>-3654.8433300000002</v>
      </c>
      <c r="C33" s="41">
        <f>IF(OR(-2682.96259="",-2682.96259=0),"-",-2682.96259)</f>
        <v>-2682.9625900000001</v>
      </c>
      <c r="D33" s="57">
        <f>IF(OR(-3654.84333="",-2682.96259="",-3654.84333=0,-2682.96259=0),"-",-2682.96259/-3654.84333*100)</f>
        <v>73.40841584035833</v>
      </c>
    </row>
    <row r="34" spans="1:4" x14ac:dyDescent="0.25">
      <c r="A34" s="40" t="s">
        <v>47</v>
      </c>
      <c r="B34" s="41">
        <f>IF(OR(-102830.87436="",-102830.87436=0),"-",-102830.87436)</f>
        <v>-102830.87436</v>
      </c>
      <c r="C34" s="41">
        <f>IF(OR(-110415.8436="",-110415.8436=0),"-",-110415.8436)</f>
        <v>-110415.84359999999</v>
      </c>
      <c r="D34" s="57">
        <f>IF(OR(-102830.87436="",-110415.8436="",-102830.87436=0,-110415.8436=0),"-",-110415.8436/-102830.87436*100)</f>
        <v>107.37615943383486</v>
      </c>
    </row>
    <row r="35" spans="1:4" x14ac:dyDescent="0.25">
      <c r="A35" s="40" t="s">
        <v>48</v>
      </c>
      <c r="B35" s="41">
        <f>IF(OR(-119826.60788="",-119826.60788=0),"-",-119826.60788)</f>
        <v>-119826.60788</v>
      </c>
      <c r="C35" s="41">
        <f>IF(OR(-85109.59408="",-85109.59408=0),"-",-85109.59408)</f>
        <v>-85109.594079999995</v>
      </c>
      <c r="D35" s="57">
        <f>IF(OR(-119826.60788="",-85109.59408="",-119826.60788=0,-85109.59408=0),"-",-85109.59408/-119826.60788*100)</f>
        <v>71.027291505433212</v>
      </c>
    </row>
    <row r="36" spans="1:4" x14ac:dyDescent="0.25">
      <c r="A36" s="40" t="s">
        <v>49</v>
      </c>
      <c r="B36" s="41">
        <f>IF(OR(-13298.00237="",-13298.00237=0),"-",-13298.00237)</f>
        <v>-13298.00237</v>
      </c>
      <c r="C36" s="41">
        <f>IF(OR(-8107.73738="",-8107.73738=0),"-",-8107.73738)</f>
        <v>-8107.7373799999996</v>
      </c>
      <c r="D36" s="57">
        <f>IF(OR(-13298.00237="",-8107.73738="",-13298.00237=0,-8107.73738=0),"-",-8107.73738/-13298.00237*100)</f>
        <v>60.969588923302318</v>
      </c>
    </row>
    <row r="37" spans="1:4" x14ac:dyDescent="0.25">
      <c r="A37" s="50" t="s">
        <v>50</v>
      </c>
      <c r="B37" s="39">
        <f>IF(22579.14287="","-",22579.14287)</f>
        <v>22579.14287</v>
      </c>
      <c r="C37" s="39">
        <f>IF(28015.3336="","-",28015.3336)</f>
        <v>28015.333600000002</v>
      </c>
      <c r="D37" s="56">
        <f>IF(22579.14287="","-",28015.3336/22579.14287*100)</f>
        <v>124.07616073514842</v>
      </c>
    </row>
    <row r="38" spans="1:4" x14ac:dyDescent="0.25">
      <c r="A38" s="40" t="s">
        <v>51</v>
      </c>
      <c r="B38" s="41">
        <f>IF(OR(-305.8436="",-305.8436=0),"-",-305.8436)</f>
        <v>-305.84359999999998</v>
      </c>
      <c r="C38" s="41">
        <f>IF(OR(-330.57056="",-330.57056=0),"-",-330.57056)</f>
        <v>-330.57056</v>
      </c>
      <c r="D38" s="57">
        <f>IF(OR(-305.8436="",-330.57056="",-305.8436=0,-330.57056=0),"-",-330.57056/-305.8436*100)</f>
        <v>108.08483813295425</v>
      </c>
    </row>
    <row r="39" spans="1:4" ht="14.25" customHeight="1" x14ac:dyDescent="0.25">
      <c r="A39" s="40" t="s">
        <v>52</v>
      </c>
      <c r="B39" s="41">
        <f>IF(OR(23630.07773="",23630.07773=0),"-",23630.07773)</f>
        <v>23630.077730000001</v>
      </c>
      <c r="C39" s="41">
        <f>IF(OR(28840.3547="",28840.3547=0),"-",28840.3547)</f>
        <v>28840.3547</v>
      </c>
      <c r="D39" s="57">
        <f>IF(OR(23630.07773="",28840.3547="",23630.07773=0,28840.3547=0),"-",28840.3547/23630.07773*100)</f>
        <v>122.0493433391681</v>
      </c>
    </row>
    <row r="40" spans="1:4" ht="38.25" x14ac:dyDescent="0.25">
      <c r="A40" s="40" t="s">
        <v>198</v>
      </c>
      <c r="B40" s="41">
        <f>IF(OR(-745.09126="",-745.09126=0),"-",-745.09126)</f>
        <v>-745.09126000000003</v>
      </c>
      <c r="C40" s="41">
        <f>IF(OR(-494.45054="",-494.45054=0),"-",-494.45054)</f>
        <v>-494.45053999999999</v>
      </c>
      <c r="D40" s="57">
        <f>IF(OR(-745.09126="",-494.45054="",-745.09126=0,-494.45054=0),"-",-494.45054/-745.09126*100)</f>
        <v>66.361070991491701</v>
      </c>
    </row>
    <row r="41" spans="1:4" ht="15" customHeight="1" x14ac:dyDescent="0.25">
      <c r="A41" s="50" t="s">
        <v>53</v>
      </c>
      <c r="B41" s="39">
        <f>IF(-181436.59862="","-",-181436.59862)</f>
        <v>-181436.59862</v>
      </c>
      <c r="C41" s="39">
        <f>IF(-200631.81043="","-",-200631.81043)</f>
        <v>-200631.81043000001</v>
      </c>
      <c r="D41" s="56">
        <f>IF(-181436.59862="","-",-200631.81043/-181436.59862*100)</f>
        <v>110.57956991918833</v>
      </c>
    </row>
    <row r="42" spans="1:4" x14ac:dyDescent="0.25">
      <c r="A42" s="40" t="s">
        <v>54</v>
      </c>
      <c r="B42" s="41">
        <f>IF(OR(-665.0039="",-665.0039=0),"-",-665.0039)</f>
        <v>-665.00390000000004</v>
      </c>
      <c r="C42" s="41">
        <f>IF(OR(5212.74416="",5212.74416=0),"-",5212.74416)</f>
        <v>5212.7441600000002</v>
      </c>
      <c r="D42" s="57" t="s">
        <v>22</v>
      </c>
    </row>
    <row r="43" spans="1:4" x14ac:dyDescent="0.25">
      <c r="A43" s="40" t="s">
        <v>55</v>
      </c>
      <c r="B43" s="41">
        <f>IF(OR(-3101.61916="",-3101.61916=0),"-",-3101.61916)</f>
        <v>-3101.6191600000002</v>
      </c>
      <c r="C43" s="41">
        <f>IF(OR(-4008.64177="",-4008.64177=0),"-",-4008.64177)</f>
        <v>-4008.6417700000002</v>
      </c>
      <c r="D43" s="57">
        <f>IF(OR(-3101.61916="",-4008.64177="",-3101.61916=0,-4008.64177=0),"-",-4008.64177/-3101.61916*100)</f>
        <v>129.24351969762787</v>
      </c>
    </row>
    <row r="44" spans="1:4" x14ac:dyDescent="0.25">
      <c r="A44" s="40" t="s">
        <v>56</v>
      </c>
      <c r="B44" s="41">
        <f>IF(OR(-6285.53638="",-6285.53638=0),"-",-6285.53638)</f>
        <v>-6285.5363799999996</v>
      </c>
      <c r="C44" s="41">
        <f>IF(OR(-7238.05625="",-7238.05625=0),"-",-7238.05625)</f>
        <v>-7238.0562499999996</v>
      </c>
      <c r="D44" s="57">
        <f>IF(OR(-6285.53638="",-7238.05625="",-6285.53638=0,-7238.05625=0),"-",-7238.05625/-6285.53638*100)</f>
        <v>115.15415411532469</v>
      </c>
    </row>
    <row r="45" spans="1:4" x14ac:dyDescent="0.25">
      <c r="A45" s="40" t="s">
        <v>57</v>
      </c>
      <c r="B45" s="41">
        <f>IF(OR(-44584.79077="",-44584.79077=0),"-",-44584.79077)</f>
        <v>-44584.79077</v>
      </c>
      <c r="C45" s="41">
        <f>IF(OR(-49392.19631="",-49392.19631=0),"-",-49392.19631)</f>
        <v>-49392.196309999999</v>
      </c>
      <c r="D45" s="57">
        <f>IF(OR(-44584.79077="",-49392.19631="",-44584.79077=0,-49392.19631=0),"-",-49392.19631/-44584.79077*100)</f>
        <v>110.78261321175647</v>
      </c>
    </row>
    <row r="46" spans="1:4" ht="25.5" x14ac:dyDescent="0.25">
      <c r="A46" s="40" t="s">
        <v>58</v>
      </c>
      <c r="B46" s="41">
        <f>IF(OR(-22625.09614="",-22625.09614=0),"-",-22625.09614)</f>
        <v>-22625.096140000001</v>
      </c>
      <c r="C46" s="41">
        <f>IF(OR(-25198.62152="",-25198.62152=0),"-",-25198.62152)</f>
        <v>-25198.621520000001</v>
      </c>
      <c r="D46" s="57">
        <f>IF(OR(-22625.09614="",-25198.62152="",-22625.09614=0,-25198.62152=0),"-",-25198.62152/-22625.09614*100)</f>
        <v>111.37464947806406</v>
      </c>
    </row>
    <row r="47" spans="1:4" x14ac:dyDescent="0.25">
      <c r="A47" s="40" t="s">
        <v>59</v>
      </c>
      <c r="B47" s="41">
        <f>IF(OR(-27249.75277="",-27249.75277=0),"-",-27249.75277)</f>
        <v>-27249.752769999999</v>
      </c>
      <c r="C47" s="41">
        <f>IF(OR(-34563.52125="",-34563.52125=0),"-",-34563.52125)</f>
        <v>-34563.521249999998</v>
      </c>
      <c r="D47" s="57">
        <f>IF(OR(-27249.75277="",-34563.52125="",-27249.75277=0,-34563.52125=0),"-",-34563.52125/-27249.75277*100)</f>
        <v>126.83976086583775</v>
      </c>
    </row>
    <row r="48" spans="1:4" x14ac:dyDescent="0.25">
      <c r="A48" s="40" t="s">
        <v>60</v>
      </c>
      <c r="B48" s="41">
        <f>IF(OR(-10342.07342="",-10342.07342=0),"-",-10342.07342)</f>
        <v>-10342.073420000001</v>
      </c>
      <c r="C48" s="41">
        <f>IF(OR(-10658.37847="",-10658.37847=0),"-",-10658.37847)</f>
        <v>-10658.37847</v>
      </c>
      <c r="D48" s="57">
        <f>IF(OR(-10342.07342="",-10658.37847="",-10342.07342=0,-10658.37847=0),"-",-10658.37847/-10342.07342*100)</f>
        <v>103.05842974763951</v>
      </c>
    </row>
    <row r="49" spans="1:4" x14ac:dyDescent="0.25">
      <c r="A49" s="40" t="s">
        <v>61</v>
      </c>
      <c r="B49" s="41">
        <f>IF(OR(-23670.06958="",-23670.06958=0),"-",-23670.06958)</f>
        <v>-23670.069579999999</v>
      </c>
      <c r="C49" s="41">
        <f>IF(OR(-24450.20709="",-24450.20709=0),"-",-24450.20709)</f>
        <v>-24450.20709</v>
      </c>
      <c r="D49" s="57">
        <f>IF(OR(-23670.06958="",-24450.20709="",-23670.06958=0,-24450.20709=0),"-",-24450.20709/-23670.06958*100)</f>
        <v>103.29588177746287</v>
      </c>
    </row>
    <row r="50" spans="1:4" x14ac:dyDescent="0.25">
      <c r="A50" s="40" t="s">
        <v>62</v>
      </c>
      <c r="B50" s="41">
        <f>IF(OR(-42912.6565="",-42912.6565=0),"-",-42912.6565)</f>
        <v>-42912.656499999997</v>
      </c>
      <c r="C50" s="41">
        <f>IF(OR(-50334.93193="",-50334.93193=0),"-",-50334.93193)</f>
        <v>-50334.931929999999</v>
      </c>
      <c r="D50" s="57">
        <f>IF(OR(-42912.6565="",-50334.93193="",-42912.6565=0,-50334.93193=0),"-",-50334.93193/-42912.6565*100)</f>
        <v>117.29623853512774</v>
      </c>
    </row>
    <row r="51" spans="1:4" ht="25.5" x14ac:dyDescent="0.25">
      <c r="A51" s="50" t="s">
        <v>63</v>
      </c>
      <c r="B51" s="39">
        <f>IF(-190874.74709="","-",-190874.74709)</f>
        <v>-190874.74708999999</v>
      </c>
      <c r="C51" s="39">
        <f>IF(-202640.72361="","-",-202640.72361)</f>
        <v>-202640.72360999999</v>
      </c>
      <c r="D51" s="56">
        <f>IF(-190874.74709="","-",-202640.72361/-190874.74709*100)</f>
        <v>106.16423948132447</v>
      </c>
    </row>
    <row r="52" spans="1:4" x14ac:dyDescent="0.25">
      <c r="A52" s="40" t="s">
        <v>64</v>
      </c>
      <c r="B52" s="41">
        <f>IF(OR(-11831.92915="",-11831.92915=0),"-",-11831.92915)</f>
        <v>-11831.92915</v>
      </c>
      <c r="C52" s="41">
        <f>IF(OR(-13112.40733="",-13112.40733=0),"-",-13112.40733)</f>
        <v>-13112.40733</v>
      </c>
      <c r="D52" s="57">
        <f>IF(OR(-11831.92915="",-13112.40733="",-11831.92915=0,-13112.40733=0),"-",-13112.40733/-11831.92915*100)</f>
        <v>110.82222656818395</v>
      </c>
    </row>
    <row r="53" spans="1:4" x14ac:dyDescent="0.25">
      <c r="A53" s="40" t="s">
        <v>65</v>
      </c>
      <c r="B53" s="41">
        <f>IF(OR(-14621.06648="",-14621.06648=0),"-",-14621.06648)</f>
        <v>-14621.06648</v>
      </c>
      <c r="C53" s="41">
        <f>IF(OR(-14553.71956="",-14553.71956=0),"-",-14553.71956)</f>
        <v>-14553.71956</v>
      </c>
      <c r="D53" s="57">
        <f>IF(OR(-14621.06648="",-14553.71956="",-14621.06648=0,-14553.71956=0),"-",-14553.71956/-14621.06648*100)</f>
        <v>99.539384352761658</v>
      </c>
    </row>
    <row r="54" spans="1:4" x14ac:dyDescent="0.25">
      <c r="A54" s="40" t="s">
        <v>66</v>
      </c>
      <c r="B54" s="41">
        <f>IF(OR(-12201.80237="",-12201.80237=0),"-",-12201.80237)</f>
        <v>-12201.802369999999</v>
      </c>
      <c r="C54" s="41">
        <f>IF(OR(-12850.17711="",-12850.17711=0),"-",-12850.17711)</f>
        <v>-12850.177110000001</v>
      </c>
      <c r="D54" s="57">
        <f>IF(OR(-12201.80237="",-12850.17711="",-12201.80237=0,-12850.17711=0),"-",-12850.17711/-12201.80237*100)</f>
        <v>105.31376201924176</v>
      </c>
    </row>
    <row r="55" spans="1:4" ht="25.5" x14ac:dyDescent="0.25">
      <c r="A55" s="40" t="s">
        <v>199</v>
      </c>
      <c r="B55" s="41">
        <f>IF(OR(-22378.00628="",-22378.00628=0),"-",-22378.00628)</f>
        <v>-22378.006280000001</v>
      </c>
      <c r="C55" s="41">
        <f>IF(OR(-20896.35625="",-20896.35625=0),"-",-20896.35625)</f>
        <v>-20896.356250000001</v>
      </c>
      <c r="D55" s="57">
        <f>IF(OR(-22378.00628="",-20896.35625="",-22378.00628=0,-20896.35625=0),"-",-20896.35625/-22378.00628*100)</f>
        <v>93.378990016084657</v>
      </c>
    </row>
    <row r="56" spans="1:4" ht="25.5" x14ac:dyDescent="0.25">
      <c r="A56" s="40" t="s">
        <v>216</v>
      </c>
      <c r="B56" s="41">
        <f>IF(OR(-48287.65153="",-48287.65153=0),"-",-48287.65153)</f>
        <v>-48287.651530000003</v>
      </c>
      <c r="C56" s="41">
        <f>IF(OR(-50368.18163="",-50368.18163=0),"-",-50368.18163)</f>
        <v>-50368.181629999999</v>
      </c>
      <c r="D56" s="57">
        <f>IF(OR(-48287.65153="",-50368.18163="",-48287.65153=0,-50368.18163=0),"-",-50368.18163/-48287.65153*100)</f>
        <v>104.30861728429144</v>
      </c>
    </row>
    <row r="57" spans="1:4" x14ac:dyDescent="0.25">
      <c r="A57" s="40" t="s">
        <v>67</v>
      </c>
      <c r="B57" s="41">
        <f>IF(OR(-13785.53343="",-13785.53343=0),"-",-13785.53343)</f>
        <v>-13785.533429999999</v>
      </c>
      <c r="C57" s="41">
        <f>IF(OR(-17098.82819="",-17098.82819=0),"-",-17098.82819)</f>
        <v>-17098.82819</v>
      </c>
      <c r="D57" s="57">
        <f>IF(OR(-13785.53343="",-17098.82819="",-13785.53343=0,-17098.82819=0),"-",-17098.82819/-13785.53343*100)</f>
        <v>124.03457781901734</v>
      </c>
    </row>
    <row r="58" spans="1:4" x14ac:dyDescent="0.25">
      <c r="A58" s="40" t="s">
        <v>68</v>
      </c>
      <c r="B58" s="41">
        <f>IF(OR(-21582.45207="",-21582.45207=0),"-",-21582.45207)</f>
        <v>-21582.452069999999</v>
      </c>
      <c r="C58" s="41">
        <f>IF(OR(-27849.38471="",-27849.38471=0),"-",-27849.38471)</f>
        <v>-27849.384709999998</v>
      </c>
      <c r="D58" s="57">
        <f>IF(OR(-21582.45207="",-27849.38471="",-21582.45207=0,-27849.38471=0),"-",-27849.38471/-21582.45207*100)</f>
        <v>129.03716695245743</v>
      </c>
    </row>
    <row r="59" spans="1:4" x14ac:dyDescent="0.25">
      <c r="A59" s="40" t="s">
        <v>69</v>
      </c>
      <c r="B59" s="41">
        <f>IF(OR(-21479.83287="",-21479.83287=0),"-",-21479.83287)</f>
        <v>-21479.832869999998</v>
      </c>
      <c r="C59" s="41">
        <f>IF(OR(-17570.40965="",-17570.40965=0),"-",-17570.40965)</f>
        <v>-17570.409650000001</v>
      </c>
      <c r="D59" s="57">
        <f>IF(OR(-21479.83287="",-17570.40965="",-21479.83287=0,-17570.40965=0),"-",-17570.40965/-21479.83287*100)</f>
        <v>81.799564067092305</v>
      </c>
    </row>
    <row r="60" spans="1:4" x14ac:dyDescent="0.25">
      <c r="A60" s="40" t="s">
        <v>70</v>
      </c>
      <c r="B60" s="41">
        <f>IF(OR(-24706.47291="",-24706.47291=0),"-",-24706.47291)</f>
        <v>-24706.47291</v>
      </c>
      <c r="C60" s="41">
        <f>IF(OR(-28341.25918="",-28341.25918=0),"-",-28341.25918)</f>
        <v>-28341.259180000001</v>
      </c>
      <c r="D60" s="57">
        <f>IF(OR(-24706.47291="",-28341.25918="",-24706.47291=0,-28341.25918=0),"-",-28341.25918/-24706.47291*100)</f>
        <v>114.71187847508905</v>
      </c>
    </row>
    <row r="61" spans="1:4" x14ac:dyDescent="0.25">
      <c r="A61" s="50" t="s">
        <v>217</v>
      </c>
      <c r="B61" s="39">
        <f>IF(-131360.50873="","-",-131360.50873)</f>
        <v>-131360.50873</v>
      </c>
      <c r="C61" s="39">
        <f>IF(-155617.34055="","-",-155617.34055)</f>
        <v>-155617.34054999999</v>
      </c>
      <c r="D61" s="56">
        <f>IF(-131360.50873="","-",-155617.34055/-131360.50873*100)</f>
        <v>118.46584795880912</v>
      </c>
    </row>
    <row r="62" spans="1:4" x14ac:dyDescent="0.25">
      <c r="A62" s="40" t="s">
        <v>71</v>
      </c>
      <c r="B62" s="41">
        <f>IF(OR(-2384.00669="",-2384.00669=0),"-",-2384.00669)</f>
        <v>-2384.0066900000002</v>
      </c>
      <c r="C62" s="41">
        <f>IF(OR(-3601.38716="",-3601.38716=0),"-",-3601.38716)</f>
        <v>-3601.3871600000002</v>
      </c>
      <c r="D62" s="57" t="s">
        <v>181</v>
      </c>
    </row>
    <row r="63" spans="1:4" x14ac:dyDescent="0.25">
      <c r="A63" s="40" t="s">
        <v>218</v>
      </c>
      <c r="B63" s="41">
        <f>IF(OR(-42736.25771="",-42736.25771=0),"-",-42736.25771)</f>
        <v>-42736.257709999998</v>
      </c>
      <c r="C63" s="41">
        <f>IF(OR(-36831.79284="",-36831.79284=0),"-",-36831.79284)</f>
        <v>-36831.792840000002</v>
      </c>
      <c r="D63" s="57">
        <f>IF(OR(-42736.25771="",-36831.79284="",-42736.25771=0,-36831.79284=0),"-",-36831.79284/-42736.25771*100)</f>
        <v>86.183945000363494</v>
      </c>
    </row>
    <row r="64" spans="1:4" x14ac:dyDescent="0.25">
      <c r="A64" s="40" t="s">
        <v>72</v>
      </c>
      <c r="B64" s="41">
        <f>IF(OR(-1214.79748="",-1214.79748=0),"-",-1214.79748)</f>
        <v>-1214.79748</v>
      </c>
      <c r="C64" s="41">
        <f>IF(OR(-3044.01552="",-3044.01552=0),"-",-3044.01552)</f>
        <v>-3044.0155199999999</v>
      </c>
      <c r="D64" s="57" t="s">
        <v>208</v>
      </c>
    </row>
    <row r="65" spans="1:4" ht="25.5" x14ac:dyDescent="0.25">
      <c r="A65" s="40" t="s">
        <v>73</v>
      </c>
      <c r="B65" s="41">
        <f>IF(OR(-35292.23086="",-35292.23086=0),"-",-35292.23086)</f>
        <v>-35292.230860000003</v>
      </c>
      <c r="C65" s="41">
        <f>IF(OR(-38611.45528="",-38611.45528=0),"-",-38611.45528)</f>
        <v>-38611.455280000002</v>
      </c>
      <c r="D65" s="57">
        <f>IF(OR(-35292.23086="",-38611.45528="",-35292.23086=0,-38611.45528=0),"-",-38611.45528/-35292.23086*100)</f>
        <v>109.40497197008305</v>
      </c>
    </row>
    <row r="66" spans="1:4" ht="25.5" x14ac:dyDescent="0.25">
      <c r="A66" s="40" t="s">
        <v>74</v>
      </c>
      <c r="B66" s="41">
        <f>IF(OR(-11444.45335="",-11444.45335=0),"-",-11444.45335)</f>
        <v>-11444.45335</v>
      </c>
      <c r="C66" s="41">
        <f>IF(OR(-9641.43483="",-9641.43483=0),"-",-9641.43483)</f>
        <v>-9641.4348300000001</v>
      </c>
      <c r="D66" s="57">
        <f>IF(OR(-11444.45335="",-9641.43483="",-11444.45335=0,-9641.43483=0),"-",-9641.43483/-11444.45335*100)</f>
        <v>84.245481502181136</v>
      </c>
    </row>
    <row r="67" spans="1:4" ht="25.5" x14ac:dyDescent="0.25">
      <c r="A67" s="40" t="s">
        <v>75</v>
      </c>
      <c r="B67" s="41">
        <f>IF(OR(-32750.5756="",-32750.5756=0),"-",-32750.5756)</f>
        <v>-32750.5756</v>
      </c>
      <c r="C67" s="41">
        <f>IF(OR(-32652.1005="",-32652.1005=0),"-",-32652.1005)</f>
        <v>-32652.1005</v>
      </c>
      <c r="D67" s="57">
        <f>IF(OR(-32750.5756="",-32652.1005="",-32750.5756=0,-32652.1005=0),"-",-32652.1005/-32750.5756*100)</f>
        <v>99.699317956414788</v>
      </c>
    </row>
    <row r="68" spans="1:4" ht="26.25" customHeight="1" x14ac:dyDescent="0.25">
      <c r="A68" s="40" t="s">
        <v>219</v>
      </c>
      <c r="B68" s="41">
        <f>IF(OR(64035.53469="",64035.53469=0),"-",64035.53469)</f>
        <v>64035.53469</v>
      </c>
      <c r="C68" s="41">
        <f>IF(OR(32071.0207="",32071.0207=0),"-",32071.0207)</f>
        <v>32071.020700000001</v>
      </c>
      <c r="D68" s="57">
        <f>IF(OR(64035.53469="",32071.0207="",64035.53469=0,32071.0207=0),"-",32071.0207/64035.53469*100)</f>
        <v>50.083162193082018</v>
      </c>
    </row>
    <row r="69" spans="1:4" x14ac:dyDescent="0.25">
      <c r="A69" s="40" t="s">
        <v>76</v>
      </c>
      <c r="B69" s="41">
        <f>IF(OR(-70372.52104="",-70372.52104=0),"-",-70372.52104)</f>
        <v>-70372.521040000007</v>
      </c>
      <c r="C69" s="41">
        <f>IF(OR(-60103.87497="",-60103.87497=0),"-",-60103.87497)</f>
        <v>-60103.874969999997</v>
      </c>
      <c r="D69" s="57">
        <f>IF(OR(-70372.52104="",-60103.87497="",-70372.52104=0,-60103.87497=0),"-",-60103.87497/-70372.52104*100)</f>
        <v>85.408159437455325</v>
      </c>
    </row>
    <row r="70" spans="1:4" x14ac:dyDescent="0.25">
      <c r="A70" s="40" t="s">
        <v>77</v>
      </c>
      <c r="B70" s="41">
        <f>IF(OR(798.79931="",798.79931=0),"-",798.79931)</f>
        <v>798.79930999999999</v>
      </c>
      <c r="C70" s="41">
        <f>IF(OR(-3202.30015="",-3202.30015=0),"-",-3202.30015)</f>
        <v>-3202.30015</v>
      </c>
      <c r="D70" s="57" t="s">
        <v>22</v>
      </c>
    </row>
    <row r="71" spans="1:4" x14ac:dyDescent="0.25">
      <c r="A71" s="50" t="s">
        <v>78</v>
      </c>
      <c r="B71" s="39">
        <f>IF(-3957.59985="","-",-3957.59985)</f>
        <v>-3957.5998500000001</v>
      </c>
      <c r="C71" s="39">
        <f>IF(-7802.96341="","-",-7802.96341)</f>
        <v>-7802.9634100000003</v>
      </c>
      <c r="D71" s="56" t="s">
        <v>20</v>
      </c>
    </row>
    <row r="72" spans="1:4" ht="25.5" x14ac:dyDescent="0.25">
      <c r="A72" s="40" t="s">
        <v>221</v>
      </c>
      <c r="B72" s="41">
        <f>IF(OR(-5964.11174="",-5964.11174=0),"-",-5964.11174)</f>
        <v>-5964.1117400000003</v>
      </c>
      <c r="C72" s="41">
        <f>IF(OR(-7458.14401="",-7458.14401=0),"-",-7458.14401)</f>
        <v>-7458.14401</v>
      </c>
      <c r="D72" s="57">
        <f>IF(OR(-5964.11174="",-7458.14401="",-5964.11174=0,-7458.14401=0),"-",-7458.14401/-5964.11174*100)</f>
        <v>125.0503735531957</v>
      </c>
    </row>
    <row r="73" spans="1:4" x14ac:dyDescent="0.25">
      <c r="A73" s="40" t="s">
        <v>79</v>
      </c>
      <c r="B73" s="41">
        <f>IF(OR(24701.40917="",24701.40917=0),"-",24701.40917)</f>
        <v>24701.409169999999</v>
      </c>
      <c r="C73" s="41">
        <f>IF(OR(23013.27129="",23013.27129=0),"-",23013.27129)</f>
        <v>23013.271290000001</v>
      </c>
      <c r="D73" s="57">
        <f>IF(OR(24701.40917="",23013.27129="",24701.40917=0,23013.27129=0),"-",23013.27129/24701.40917*100)</f>
        <v>93.165823583659133</v>
      </c>
    </row>
    <row r="74" spans="1:4" x14ac:dyDescent="0.25">
      <c r="A74" s="40" t="s">
        <v>80</v>
      </c>
      <c r="B74" s="41">
        <f>IF(OR(924.79817="",924.79817=0),"-",924.79817)</f>
        <v>924.79817000000003</v>
      </c>
      <c r="C74" s="41">
        <f>IF(OR(813.41818="",813.41818=0),"-",813.41818)</f>
        <v>813.41818000000001</v>
      </c>
      <c r="D74" s="57">
        <f>IF(OR(924.79817="",813.41818="",924.79817=0,813.41818=0),"-",813.41818/924.79817*100)</f>
        <v>87.956292128043458</v>
      </c>
    </row>
    <row r="75" spans="1:4" x14ac:dyDescent="0.25">
      <c r="A75" s="40" t="s">
        <v>81</v>
      </c>
      <c r="B75" s="41">
        <f>IF(OR(34068.15712="",34068.15712=0),"-",34068.15712)</f>
        <v>34068.157120000003</v>
      </c>
      <c r="C75" s="41">
        <f>IF(OR(26458.47599="",26458.47599=0),"-",26458.47599)</f>
        <v>26458.475989999999</v>
      </c>
      <c r="D75" s="57">
        <f>IF(OR(34068.15712="",26458.47599="",34068.15712=0,26458.47599=0),"-",26458.47599/34068.15712*100)</f>
        <v>77.663361410492399</v>
      </c>
    </row>
    <row r="76" spans="1:4" x14ac:dyDescent="0.25">
      <c r="A76" s="40" t="s">
        <v>82</v>
      </c>
      <c r="B76" s="41">
        <f>IF(OR(-5375.06979="",-5375.06979=0),"-",-5375.06979)</f>
        <v>-5375.0697899999996</v>
      </c>
      <c r="C76" s="41">
        <f>IF(OR(-2325.27605="",-2325.27605=0),"-",-2325.27605)</f>
        <v>-2325.2760499999999</v>
      </c>
      <c r="D76" s="57">
        <f>IF(OR(-5375.06979="",-2325.27605="",-5375.06979=0,-2325.27605=0),"-",-2325.27605/-5375.06979*100)</f>
        <v>43.260388066514764</v>
      </c>
    </row>
    <row r="77" spans="1:4" x14ac:dyDescent="0.25">
      <c r="A77" s="40" t="s">
        <v>222</v>
      </c>
      <c r="B77" s="41">
        <f>IF(OR(-9035.07228="",-9035.07228=0),"-",-9035.07228)</f>
        <v>-9035.0722800000003</v>
      </c>
      <c r="C77" s="41">
        <f>IF(OR(-9392.967="",-9392.967=0),"-",-9392.967)</f>
        <v>-9392.9670000000006</v>
      </c>
      <c r="D77" s="57">
        <f>IF(OR(-9035.07228="",-9392.967="",-9035.07228=0,-9392.967=0),"-",-9392.967/-9035.07228*100)</f>
        <v>103.96117163104755</v>
      </c>
    </row>
    <row r="78" spans="1:4" ht="25.5" x14ac:dyDescent="0.25">
      <c r="A78" s="40" t="s">
        <v>83</v>
      </c>
      <c r="B78" s="43">
        <f>IF(OR(-1965.25926="",-1965.25926=0),"-",-1965.25926)</f>
        <v>-1965.25926</v>
      </c>
      <c r="C78" s="43">
        <f>IF(OR(-2327.14277="",-2327.14277=0),"-",-2327.14277)</f>
        <v>-2327.1427699999999</v>
      </c>
      <c r="D78" s="58">
        <f>IF(OR(-1965.25926="",-2327.14277="",-1965.25926=0,-2327.14277=0),"-",-2327.14277/-1965.25926*100)</f>
        <v>118.41403408525346</v>
      </c>
    </row>
    <row r="79" spans="1:4" x14ac:dyDescent="0.25">
      <c r="A79" s="40" t="s">
        <v>84</v>
      </c>
      <c r="B79" s="43">
        <f>IF(OR(-41312.45124="",-41312.45124=0),"-",-41312.45124)</f>
        <v>-41312.451240000002</v>
      </c>
      <c r="C79" s="43">
        <f>IF(OR(-36584.59904="",-36584.59904=0),"-",-36584.59904)</f>
        <v>-36584.599040000001</v>
      </c>
      <c r="D79" s="58">
        <f>IF(OR(-41312.45124="",-36584.59904="",-41312.45124=0,-36584.59904=0),"-",-36584.59904/-41312.45124*100)</f>
        <v>88.555866190233829</v>
      </c>
    </row>
    <row r="80" spans="1:4" x14ac:dyDescent="0.25">
      <c r="A80" s="51" t="s">
        <v>200</v>
      </c>
      <c r="B80" s="52">
        <f>IF(24.40956="","-",24.40956)</f>
        <v>24.409559999999999</v>
      </c>
      <c r="C80" s="52">
        <f>IF(107.88195="","-",107.88195)</f>
        <v>107.88195</v>
      </c>
      <c r="D80" s="59" t="s">
        <v>255</v>
      </c>
    </row>
    <row r="81" spans="1:4" x14ac:dyDescent="0.25">
      <c r="A81" s="29" t="s">
        <v>21</v>
      </c>
      <c r="B81" s="11"/>
      <c r="C81" s="11"/>
      <c r="D81" s="12"/>
    </row>
    <row r="82" spans="1:4" x14ac:dyDescent="0.25">
      <c r="C82" s="11"/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2020-05-14T05:52:31Z</cp:lastPrinted>
  <dcterms:created xsi:type="dcterms:W3CDTF">2016-09-01T07:59:47Z</dcterms:created>
  <dcterms:modified xsi:type="dcterms:W3CDTF">2020-05-14T05:53:01Z</dcterms:modified>
</cp:coreProperties>
</file>