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inaVudvud\Desktop\Nota informativa\"/>
    </mc:Choice>
  </mc:AlternateContent>
  <bookViews>
    <workbookView xWindow="0" yWindow="0" windowWidth="24000" windowHeight="10875"/>
  </bookViews>
  <sheets>
    <sheet name="Export_Tari" sheetId="1" r:id="rId1"/>
    <sheet name="Import_Tari" sheetId="2" r:id="rId2"/>
    <sheet name="Balanta Comerciala_Tari" sheetId="3" r:id="rId3"/>
    <sheet name="Export_Moduri_Transport" sheetId="7" r:id="rId4"/>
    <sheet name="Import_Moduri_Transport" sheetId="8" r:id="rId5"/>
    <sheet name="Export_Grupe_Marfuri_CSCI" sheetId="5" r:id="rId6"/>
    <sheet name="Import_Grupe_Marfuri_CSCI" sheetId="6" r:id="rId7"/>
    <sheet name="Balanta_Comerciala_Gr_Marf_CSCI" sheetId="4" r:id="rId8"/>
  </sheets>
  <definedNames>
    <definedName name="_xlnm.Print_Titles" localSheetId="2">'Balanta Comerciala_Tari'!$3:$4</definedName>
    <definedName name="_xlnm.Print_Titles" localSheetId="7">Balanta_Comerciala_Gr_Marf_CSCI!$4:$5</definedName>
    <definedName name="_xlnm.Print_Titles" localSheetId="5">Export_Grupe_Marfuri_CSCI!$4:$6</definedName>
    <definedName name="_xlnm.Print_Titles" localSheetId="0">Export_Tari!$3:$5</definedName>
    <definedName name="_xlnm.Print_Titles" localSheetId="6">Import_Grupe_Marfuri_CSCI!$4:$6</definedName>
    <definedName name="_xlnm.Print_Titles" localSheetId="1">Import_Tari!$3:$5</definedName>
  </definedNames>
  <calcPr calcId="162913" iterate="1"/>
</workbook>
</file>

<file path=xl/calcChain.xml><?xml version="1.0" encoding="utf-8"?>
<calcChain xmlns="http://schemas.openxmlformats.org/spreadsheetml/2006/main">
  <c r="D142" i="3" l="1"/>
  <c r="C142" i="3"/>
  <c r="B142" i="3"/>
  <c r="D141" i="3"/>
  <c r="C141" i="3"/>
  <c r="B141" i="3"/>
  <c r="D140" i="3"/>
  <c r="C140" i="3"/>
  <c r="B140" i="3"/>
  <c r="D139" i="3"/>
  <c r="C139" i="3"/>
  <c r="B139" i="3"/>
  <c r="D138" i="3"/>
  <c r="C138" i="3"/>
  <c r="B138" i="3"/>
  <c r="C137" i="3"/>
  <c r="B137" i="3"/>
  <c r="C136" i="3"/>
  <c r="B136" i="3"/>
  <c r="C135" i="3"/>
  <c r="B135" i="3"/>
  <c r="D134" i="3"/>
  <c r="C134" i="3"/>
  <c r="B134" i="3"/>
  <c r="D133" i="3"/>
  <c r="C133" i="3"/>
  <c r="B133" i="3"/>
  <c r="C132" i="3"/>
  <c r="B132" i="3"/>
  <c r="C131" i="3"/>
  <c r="B131" i="3"/>
  <c r="D130" i="3"/>
  <c r="C130" i="3"/>
  <c r="B130" i="3"/>
  <c r="C129" i="3"/>
  <c r="B129" i="3"/>
  <c r="D128" i="3"/>
  <c r="C128" i="3"/>
  <c r="B128" i="3"/>
  <c r="D127" i="3"/>
  <c r="C127" i="3"/>
  <c r="B127" i="3"/>
  <c r="D126" i="3"/>
  <c r="C126" i="3"/>
  <c r="B126" i="3"/>
  <c r="C125" i="3"/>
  <c r="B125" i="3"/>
  <c r="C124" i="3"/>
  <c r="B124" i="3"/>
  <c r="D123" i="3"/>
  <c r="C123" i="3"/>
  <c r="B123" i="3"/>
  <c r="D122" i="3"/>
  <c r="C122" i="3"/>
  <c r="B122" i="3"/>
  <c r="D121" i="3"/>
  <c r="C121" i="3"/>
  <c r="B121" i="3"/>
  <c r="C120" i="3"/>
  <c r="B120" i="3"/>
  <c r="D119" i="3"/>
  <c r="C119" i="3"/>
  <c r="B119" i="3"/>
  <c r="C118" i="3"/>
  <c r="B118" i="3"/>
  <c r="D117" i="3"/>
  <c r="C117" i="3"/>
  <c r="B117" i="3"/>
  <c r="D116" i="3"/>
  <c r="C116" i="3"/>
  <c r="B116" i="3"/>
  <c r="C115" i="3"/>
  <c r="B115" i="3"/>
  <c r="D114" i="3"/>
  <c r="C114" i="3"/>
  <c r="B114" i="3"/>
  <c r="D113" i="3"/>
  <c r="C113" i="3"/>
  <c r="B113" i="3"/>
  <c r="D112" i="3"/>
  <c r="C112" i="3"/>
  <c r="B112" i="3"/>
  <c r="C111" i="3"/>
  <c r="B111" i="3"/>
  <c r="D110" i="3"/>
  <c r="C110" i="3"/>
  <c r="B110" i="3"/>
  <c r="D109" i="3"/>
  <c r="C109" i="3"/>
  <c r="B109" i="3"/>
  <c r="D108" i="3"/>
  <c r="C108" i="3"/>
  <c r="B108" i="3"/>
  <c r="D107" i="3"/>
  <c r="C107" i="3"/>
  <c r="B107" i="3"/>
  <c r="D106" i="3"/>
  <c r="C106" i="3"/>
  <c r="B106" i="3"/>
  <c r="C105" i="3"/>
  <c r="B105" i="3"/>
  <c r="D104" i="3"/>
  <c r="C104" i="3"/>
  <c r="B104" i="3"/>
  <c r="C103" i="3"/>
  <c r="B103" i="3"/>
  <c r="D102" i="3"/>
  <c r="C102" i="3"/>
  <c r="B102" i="3"/>
  <c r="D101" i="3"/>
  <c r="C101" i="3"/>
  <c r="B101" i="3"/>
  <c r="C100" i="3"/>
  <c r="B100" i="3"/>
  <c r="C99" i="3"/>
  <c r="B99" i="3"/>
  <c r="C98" i="3"/>
  <c r="B98" i="3"/>
  <c r="C97" i="3"/>
  <c r="B97" i="3"/>
  <c r="D96" i="3"/>
  <c r="C96" i="3"/>
  <c r="B96" i="3"/>
  <c r="D95" i="3"/>
  <c r="C95" i="3"/>
  <c r="B95" i="3"/>
  <c r="C94" i="3"/>
  <c r="B94" i="3"/>
  <c r="D93" i="3"/>
  <c r="C93" i="3"/>
  <c r="B93" i="3"/>
  <c r="D92" i="3"/>
  <c r="C92" i="3"/>
  <c r="B92" i="3"/>
  <c r="D91" i="3"/>
  <c r="C91" i="3"/>
  <c r="B91" i="3"/>
  <c r="D90" i="3"/>
  <c r="C90" i="3"/>
  <c r="B90" i="3"/>
  <c r="C89" i="3"/>
  <c r="B89" i="3"/>
  <c r="C88" i="3"/>
  <c r="B88" i="3"/>
  <c r="D87" i="3"/>
  <c r="C87" i="3"/>
  <c r="B87" i="3"/>
  <c r="C86" i="3"/>
  <c r="B86" i="3"/>
  <c r="C85" i="3"/>
  <c r="B85" i="3"/>
  <c r="C84" i="3"/>
  <c r="B84" i="3"/>
  <c r="D83" i="3"/>
  <c r="C83" i="3"/>
  <c r="B83" i="3"/>
  <c r="D82" i="3"/>
  <c r="C82" i="3"/>
  <c r="B82" i="3"/>
  <c r="C81" i="3"/>
  <c r="B81" i="3"/>
  <c r="C80" i="3"/>
  <c r="B80" i="3"/>
  <c r="D79" i="3"/>
  <c r="C79" i="3"/>
  <c r="B79" i="3"/>
  <c r="D78" i="3"/>
  <c r="C78" i="3"/>
  <c r="B78" i="3"/>
  <c r="D77" i="3"/>
  <c r="C77" i="3"/>
  <c r="B77" i="3"/>
  <c r="D76" i="3"/>
  <c r="C76" i="3"/>
  <c r="B76" i="3"/>
  <c r="C75" i="3"/>
  <c r="B75" i="3"/>
  <c r="D74" i="3"/>
  <c r="C74" i="3"/>
  <c r="B74" i="3"/>
  <c r="D73" i="3"/>
  <c r="C73" i="3"/>
  <c r="B73" i="3"/>
  <c r="D72" i="3"/>
  <c r="C72" i="3"/>
  <c r="B72" i="3"/>
  <c r="D71" i="3"/>
  <c r="C71" i="3"/>
  <c r="B71" i="3"/>
  <c r="D70" i="3"/>
  <c r="C70" i="3"/>
  <c r="B70" i="3"/>
  <c r="D69" i="3"/>
  <c r="C69" i="3"/>
  <c r="B69" i="3"/>
  <c r="C68" i="3"/>
  <c r="B68" i="3"/>
  <c r="D67" i="3"/>
  <c r="C67" i="3"/>
  <c r="B67" i="3"/>
  <c r="D66" i="3"/>
  <c r="C66" i="3"/>
  <c r="B66" i="3"/>
  <c r="D65" i="3"/>
  <c r="C65" i="3"/>
  <c r="B65" i="3"/>
  <c r="D64" i="3"/>
  <c r="C64" i="3"/>
  <c r="B64" i="3"/>
  <c r="D63" i="3"/>
  <c r="C63" i="3"/>
  <c r="B63" i="3"/>
  <c r="D62" i="3"/>
  <c r="C62" i="3"/>
  <c r="B62" i="3"/>
  <c r="C61" i="3"/>
  <c r="B61" i="3"/>
  <c r="C60" i="3"/>
  <c r="B60" i="3"/>
  <c r="D59" i="3"/>
  <c r="C59" i="3"/>
  <c r="B59" i="3"/>
  <c r="D58" i="3"/>
  <c r="C58" i="3"/>
  <c r="B58" i="3"/>
  <c r="D57" i="3"/>
  <c r="C57" i="3"/>
  <c r="B57" i="3"/>
  <c r="D56" i="3"/>
  <c r="C56" i="3"/>
  <c r="B56" i="3"/>
  <c r="D55" i="3"/>
  <c r="C55" i="3"/>
  <c r="B55" i="3"/>
  <c r="C54" i="3"/>
  <c r="B54" i="3"/>
  <c r="D53" i="3"/>
  <c r="C53" i="3"/>
  <c r="B53" i="3"/>
  <c r="D52" i="3"/>
  <c r="C52" i="3"/>
  <c r="B52" i="3"/>
  <c r="D51" i="3"/>
  <c r="C51" i="3"/>
  <c r="B51" i="3"/>
  <c r="D50" i="3"/>
  <c r="C50" i="3"/>
  <c r="B50" i="3"/>
  <c r="D49" i="3"/>
  <c r="C49" i="3"/>
  <c r="B49" i="3"/>
  <c r="D48" i="3"/>
  <c r="C48" i="3"/>
  <c r="B48" i="3"/>
  <c r="D47" i="3"/>
  <c r="C47" i="3"/>
  <c r="B47" i="3"/>
  <c r="D46" i="3"/>
  <c r="C46" i="3"/>
  <c r="B46" i="3"/>
  <c r="D45" i="3"/>
  <c r="C45" i="3"/>
  <c r="B45" i="3"/>
  <c r="D44" i="3"/>
  <c r="C44" i="3"/>
  <c r="B44" i="3"/>
  <c r="D43" i="3"/>
  <c r="C43" i="3"/>
  <c r="B43" i="3"/>
  <c r="D42" i="3"/>
  <c r="C42" i="3"/>
  <c r="B42" i="3"/>
  <c r="D41" i="3"/>
  <c r="C41" i="3"/>
  <c r="B41" i="3"/>
  <c r="C40" i="3"/>
  <c r="B40" i="3"/>
  <c r="D39" i="3"/>
  <c r="C39" i="3"/>
  <c r="B39" i="3"/>
  <c r="C38" i="3"/>
  <c r="B38" i="3"/>
  <c r="D37" i="3"/>
  <c r="C37" i="3"/>
  <c r="B37" i="3"/>
  <c r="D36" i="3"/>
  <c r="C36" i="3"/>
  <c r="B36" i="3"/>
  <c r="D35" i="3"/>
  <c r="C35" i="3"/>
  <c r="B35" i="3"/>
  <c r="C34" i="3"/>
  <c r="B34" i="3"/>
  <c r="D33" i="3"/>
  <c r="C33" i="3"/>
  <c r="B33" i="3"/>
  <c r="D32" i="3"/>
  <c r="C32" i="3"/>
  <c r="B32" i="3"/>
  <c r="C31" i="3"/>
  <c r="B31" i="3"/>
  <c r="C30" i="3"/>
  <c r="B30" i="3"/>
  <c r="C29" i="3"/>
  <c r="B29" i="3"/>
  <c r="D28" i="3"/>
  <c r="C28" i="3"/>
  <c r="B28" i="3"/>
  <c r="D27" i="3"/>
  <c r="C27" i="3"/>
  <c r="B27" i="3"/>
  <c r="D26" i="3"/>
  <c r="C26" i="3"/>
  <c r="B26" i="3"/>
  <c r="D25" i="3"/>
  <c r="C25" i="3"/>
  <c r="B25" i="3"/>
  <c r="D24" i="3"/>
  <c r="C24" i="3"/>
  <c r="B24" i="3"/>
  <c r="D23" i="3"/>
  <c r="C23" i="3"/>
  <c r="B23" i="3"/>
  <c r="D22" i="3"/>
  <c r="C22" i="3"/>
  <c r="B22" i="3"/>
  <c r="D21" i="3"/>
  <c r="C21" i="3"/>
  <c r="B21" i="3"/>
  <c r="D20" i="3"/>
  <c r="C20" i="3"/>
  <c r="B20" i="3"/>
  <c r="D19" i="3"/>
  <c r="C19" i="3"/>
  <c r="B19" i="3"/>
  <c r="D18" i="3"/>
  <c r="C18" i="3"/>
  <c r="B18" i="3"/>
  <c r="C17" i="3"/>
  <c r="B17" i="3"/>
  <c r="D16" i="3"/>
  <c r="C16" i="3"/>
  <c r="B16" i="3"/>
  <c r="D15" i="3"/>
  <c r="C15" i="3"/>
  <c r="B15" i="3"/>
  <c r="D14" i="3"/>
  <c r="C14" i="3"/>
  <c r="B14" i="3"/>
  <c r="D13" i="3"/>
  <c r="C13" i="3"/>
  <c r="B13" i="3"/>
  <c r="D12" i="3"/>
  <c r="C12" i="3"/>
  <c r="B12" i="3"/>
  <c r="D11" i="3"/>
  <c r="C11" i="3"/>
  <c r="B11" i="3"/>
  <c r="D10" i="3"/>
  <c r="C10" i="3"/>
  <c r="B10" i="3"/>
  <c r="D9" i="3"/>
  <c r="C9" i="3"/>
  <c r="B9" i="3"/>
  <c r="D8" i="3"/>
  <c r="C8" i="3"/>
  <c r="B8" i="3"/>
  <c r="D7" i="3"/>
  <c r="C7" i="3"/>
  <c r="B7" i="3"/>
  <c r="D5" i="3"/>
  <c r="C5" i="3"/>
  <c r="B5" i="3"/>
  <c r="D39" i="7" l="1"/>
  <c r="E38" i="7"/>
  <c r="D38" i="7"/>
  <c r="B38" i="7"/>
  <c r="E37" i="7"/>
  <c r="D37" i="7"/>
  <c r="B37" i="7"/>
  <c r="E36" i="7"/>
  <c r="D36" i="7"/>
  <c r="B36" i="7"/>
  <c r="E35" i="7"/>
  <c r="D35" i="7"/>
  <c r="B35" i="7"/>
  <c r="E34" i="7"/>
  <c r="D34" i="7"/>
  <c r="B34" i="7"/>
  <c r="E32" i="7"/>
  <c r="D32" i="7"/>
  <c r="B32" i="7"/>
  <c r="E31" i="7"/>
  <c r="D31" i="7"/>
  <c r="B31" i="7"/>
  <c r="E30" i="7"/>
  <c r="D30" i="7"/>
  <c r="B30" i="7"/>
  <c r="E29" i="7"/>
  <c r="D29" i="7"/>
  <c r="B29" i="7"/>
  <c r="E28" i="7"/>
  <c r="D28" i="7"/>
  <c r="B28" i="7"/>
  <c r="E27" i="7"/>
  <c r="D27" i="7"/>
  <c r="B27" i="7"/>
  <c r="E26" i="7"/>
  <c r="D26" i="7"/>
  <c r="B26" i="7"/>
  <c r="E25" i="7"/>
  <c r="D25" i="7"/>
  <c r="B25" i="7"/>
  <c r="E23" i="7"/>
  <c r="D23" i="7"/>
  <c r="B23" i="7"/>
  <c r="E22" i="7"/>
  <c r="D22" i="7"/>
  <c r="B22" i="7"/>
  <c r="E21" i="7"/>
  <c r="D21" i="7"/>
  <c r="B21" i="7"/>
  <c r="E20" i="7"/>
  <c r="D20" i="7"/>
  <c r="B20" i="7"/>
  <c r="E19" i="7"/>
  <c r="D19" i="7"/>
  <c r="B19" i="7"/>
  <c r="E18" i="7"/>
  <c r="D18" i="7"/>
  <c r="B18" i="7"/>
  <c r="E17" i="7"/>
  <c r="D17" i="7"/>
  <c r="B17" i="7"/>
  <c r="E15" i="7"/>
  <c r="D15" i="7"/>
  <c r="B15" i="7"/>
  <c r="E14" i="7"/>
  <c r="D14" i="7"/>
  <c r="B14" i="7"/>
  <c r="E13" i="7"/>
  <c r="D13" i="7"/>
  <c r="B13" i="7"/>
  <c r="E12" i="7"/>
  <c r="D12" i="7"/>
  <c r="B12" i="7"/>
  <c r="E11" i="7"/>
  <c r="D11" i="7"/>
  <c r="B11" i="7"/>
  <c r="E10" i="7"/>
  <c r="D10" i="7"/>
  <c r="B10" i="7"/>
  <c r="E9" i="7"/>
  <c r="D9" i="7"/>
  <c r="B9" i="7"/>
  <c r="E8" i="7"/>
  <c r="D8" i="7"/>
  <c r="B8" i="7"/>
  <c r="B6" i="7"/>
  <c r="E40" i="8"/>
  <c r="D40" i="8"/>
  <c r="B40" i="8"/>
  <c r="E39" i="8"/>
  <c r="D39" i="8"/>
  <c r="B39" i="8"/>
  <c r="E38" i="8"/>
  <c r="D38" i="8"/>
  <c r="B38" i="8"/>
  <c r="E37" i="8"/>
  <c r="D37" i="8"/>
  <c r="B37" i="8"/>
  <c r="E36" i="8"/>
  <c r="D36" i="8"/>
  <c r="B36" i="8"/>
  <c r="E35" i="8"/>
  <c r="D35" i="8"/>
  <c r="B35" i="8"/>
  <c r="E33" i="8"/>
  <c r="D33" i="8"/>
  <c r="B33" i="8"/>
  <c r="E32" i="8"/>
  <c r="D32" i="8"/>
  <c r="B32" i="8"/>
  <c r="E31" i="8"/>
  <c r="D31" i="8"/>
  <c r="B31" i="8"/>
  <c r="E30" i="8"/>
  <c r="D30" i="8"/>
  <c r="B30" i="8"/>
  <c r="E29" i="8"/>
  <c r="D29" i="8"/>
  <c r="B29" i="8"/>
  <c r="E28" i="8"/>
  <c r="D28" i="8"/>
  <c r="B28" i="8"/>
  <c r="E27" i="8"/>
  <c r="D27" i="8"/>
  <c r="B27" i="8"/>
  <c r="E26" i="8"/>
  <c r="D26" i="8"/>
  <c r="B26" i="8"/>
  <c r="E24" i="8"/>
  <c r="D24" i="8"/>
  <c r="B24" i="8"/>
  <c r="E23" i="8"/>
  <c r="D23" i="8"/>
  <c r="B23" i="8"/>
  <c r="E22" i="8"/>
  <c r="B22" i="8"/>
  <c r="E21" i="8"/>
  <c r="D21" i="8"/>
  <c r="B21" i="8"/>
  <c r="E20" i="8"/>
  <c r="D20" i="8"/>
  <c r="B20" i="8"/>
  <c r="E19" i="8"/>
  <c r="D19" i="8"/>
  <c r="B19" i="8"/>
  <c r="E18" i="8"/>
  <c r="D18" i="8"/>
  <c r="B18" i="8"/>
  <c r="E17" i="8"/>
  <c r="D17" i="8"/>
  <c r="B17" i="8"/>
  <c r="E15" i="8"/>
  <c r="D15" i="8"/>
  <c r="B15" i="8"/>
  <c r="E14" i="8"/>
  <c r="D14" i="8"/>
  <c r="B14" i="8"/>
  <c r="E13" i="8"/>
  <c r="D13" i="8"/>
  <c r="B13" i="8"/>
  <c r="E12" i="8"/>
  <c r="D12" i="8"/>
  <c r="B12" i="8"/>
  <c r="E11" i="8"/>
  <c r="D11" i="8"/>
  <c r="B11" i="8"/>
  <c r="E10" i="8"/>
  <c r="D10" i="8"/>
  <c r="B10" i="8"/>
  <c r="E9" i="8"/>
  <c r="D9" i="8"/>
  <c r="B9" i="8"/>
  <c r="E8" i="8"/>
  <c r="D8" i="8"/>
  <c r="B8" i="8"/>
  <c r="B6" i="8"/>
  <c r="D80" i="4" l="1"/>
  <c r="C80" i="4"/>
  <c r="B80" i="4"/>
  <c r="D79" i="4"/>
  <c r="C79" i="4"/>
  <c r="B79" i="4"/>
  <c r="D78" i="4"/>
  <c r="C78" i="4"/>
  <c r="B78" i="4"/>
  <c r="D77" i="4"/>
  <c r="C77" i="4"/>
  <c r="B77" i="4"/>
  <c r="D76" i="4"/>
  <c r="C76" i="4"/>
  <c r="B76" i="4"/>
  <c r="D75" i="4"/>
  <c r="C75" i="4"/>
  <c r="B75" i="4"/>
  <c r="D74" i="4"/>
  <c r="C74" i="4"/>
  <c r="B74" i="4"/>
  <c r="D73" i="4"/>
  <c r="C73" i="4"/>
  <c r="B73" i="4"/>
  <c r="D72" i="4"/>
  <c r="C72" i="4"/>
  <c r="B72" i="4"/>
  <c r="D71" i="4"/>
  <c r="C71" i="4"/>
  <c r="B71" i="4"/>
  <c r="C70" i="4"/>
  <c r="B70" i="4"/>
  <c r="D69" i="4"/>
  <c r="C69" i="4"/>
  <c r="B69" i="4"/>
  <c r="D68" i="4"/>
  <c r="C68" i="4"/>
  <c r="B68" i="4"/>
  <c r="D67" i="4"/>
  <c r="C67" i="4"/>
  <c r="B67" i="4"/>
  <c r="D66" i="4"/>
  <c r="C66" i="4"/>
  <c r="B66" i="4"/>
  <c r="D65" i="4"/>
  <c r="C65" i="4"/>
  <c r="B65" i="4"/>
  <c r="D64" i="4"/>
  <c r="C64" i="4"/>
  <c r="B64" i="4"/>
  <c r="D63" i="4"/>
  <c r="C63" i="4"/>
  <c r="B63" i="4"/>
  <c r="D62" i="4"/>
  <c r="C62" i="4"/>
  <c r="B62" i="4"/>
  <c r="D61" i="4"/>
  <c r="C61" i="4"/>
  <c r="B61" i="4"/>
  <c r="D60" i="4"/>
  <c r="C60" i="4"/>
  <c r="B60" i="4"/>
  <c r="D59" i="4"/>
  <c r="C59" i="4"/>
  <c r="B59" i="4"/>
  <c r="D58" i="4"/>
  <c r="C58" i="4"/>
  <c r="B58" i="4"/>
  <c r="D57" i="4"/>
  <c r="C57" i="4"/>
  <c r="B57" i="4"/>
  <c r="D56" i="4"/>
  <c r="C56" i="4"/>
  <c r="B56" i="4"/>
  <c r="D55" i="4"/>
  <c r="C55" i="4"/>
  <c r="B55" i="4"/>
  <c r="D54" i="4"/>
  <c r="C54" i="4"/>
  <c r="B54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C44" i="4"/>
  <c r="B44" i="4"/>
  <c r="D43" i="4"/>
  <c r="C43" i="4"/>
  <c r="B43" i="4"/>
  <c r="C42" i="4"/>
  <c r="B42" i="4"/>
  <c r="D41" i="4"/>
  <c r="C41" i="4"/>
  <c r="B41" i="4"/>
  <c r="D40" i="4"/>
  <c r="C40" i="4"/>
  <c r="B40" i="4"/>
  <c r="C39" i="4"/>
  <c r="B39" i="4"/>
  <c r="D38" i="4"/>
  <c r="C38" i="4"/>
  <c r="B38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D32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C8" i="4"/>
  <c r="B8" i="4"/>
  <c r="D6" i="4"/>
  <c r="C6" i="4"/>
  <c r="B6" i="4"/>
  <c r="G80" i="6" l="1"/>
  <c r="F80" i="6"/>
  <c r="E80" i="6"/>
  <c r="D80" i="6"/>
  <c r="C80" i="6"/>
  <c r="B80" i="6"/>
  <c r="G79" i="6"/>
  <c r="F79" i="6"/>
  <c r="E79" i="6"/>
  <c r="D79" i="6"/>
  <c r="C79" i="6"/>
  <c r="B79" i="6"/>
  <c r="G78" i="6"/>
  <c r="F78" i="6"/>
  <c r="E78" i="6"/>
  <c r="D78" i="6"/>
  <c r="C78" i="6"/>
  <c r="B78" i="6"/>
  <c r="G77" i="6"/>
  <c r="F77" i="6"/>
  <c r="E77" i="6"/>
  <c r="D77" i="6"/>
  <c r="C77" i="6"/>
  <c r="B77" i="6"/>
  <c r="G76" i="6"/>
  <c r="F76" i="6"/>
  <c r="E76" i="6"/>
  <c r="D76" i="6"/>
  <c r="C76" i="6"/>
  <c r="B76" i="6"/>
  <c r="G75" i="6"/>
  <c r="F75" i="6"/>
  <c r="E75" i="6"/>
  <c r="D75" i="6"/>
  <c r="C75" i="6"/>
  <c r="B75" i="6"/>
  <c r="G74" i="6"/>
  <c r="F74" i="6"/>
  <c r="E74" i="6"/>
  <c r="D74" i="6"/>
  <c r="C74" i="6"/>
  <c r="B74" i="6"/>
  <c r="G73" i="6"/>
  <c r="F73" i="6"/>
  <c r="E73" i="6"/>
  <c r="D73" i="6"/>
  <c r="C73" i="6"/>
  <c r="B73" i="6"/>
  <c r="G72" i="6"/>
  <c r="F72" i="6"/>
  <c r="E72" i="6"/>
  <c r="D72" i="6"/>
  <c r="C72" i="6"/>
  <c r="B72" i="6"/>
  <c r="G71" i="6"/>
  <c r="F71" i="6"/>
  <c r="E71" i="6"/>
  <c r="D71" i="6"/>
  <c r="C71" i="6"/>
  <c r="B71" i="6"/>
  <c r="G70" i="6"/>
  <c r="F70" i="6"/>
  <c r="E70" i="6"/>
  <c r="D70" i="6"/>
  <c r="B70" i="6"/>
  <c r="G69" i="6"/>
  <c r="F69" i="6"/>
  <c r="E69" i="6"/>
  <c r="D69" i="6"/>
  <c r="C69" i="6"/>
  <c r="B69" i="6"/>
  <c r="G68" i="6"/>
  <c r="F68" i="6"/>
  <c r="E68" i="6"/>
  <c r="D68" i="6"/>
  <c r="C68" i="6"/>
  <c r="B68" i="6"/>
  <c r="G67" i="6"/>
  <c r="F67" i="6"/>
  <c r="E67" i="6"/>
  <c r="D67" i="6"/>
  <c r="C67" i="6"/>
  <c r="B67" i="6"/>
  <c r="G66" i="6"/>
  <c r="F66" i="6"/>
  <c r="E66" i="6"/>
  <c r="D66" i="6"/>
  <c r="C66" i="6"/>
  <c r="B66" i="6"/>
  <c r="G65" i="6"/>
  <c r="F65" i="6"/>
  <c r="E65" i="6"/>
  <c r="D65" i="6"/>
  <c r="C65" i="6"/>
  <c r="B65" i="6"/>
  <c r="G64" i="6"/>
  <c r="F64" i="6"/>
  <c r="E64" i="6"/>
  <c r="D64" i="6"/>
  <c r="C64" i="6"/>
  <c r="B64" i="6"/>
  <c r="G63" i="6"/>
  <c r="F63" i="6"/>
  <c r="E63" i="6"/>
  <c r="D63" i="6"/>
  <c r="C63" i="6"/>
  <c r="B63" i="6"/>
  <c r="G62" i="6"/>
  <c r="F62" i="6"/>
  <c r="E62" i="6"/>
  <c r="D62" i="6"/>
  <c r="C62" i="6"/>
  <c r="B62" i="6"/>
  <c r="G61" i="6"/>
  <c r="F61" i="6"/>
  <c r="E61" i="6"/>
  <c r="D61" i="6"/>
  <c r="C61" i="6"/>
  <c r="B61" i="6"/>
  <c r="G60" i="6"/>
  <c r="F60" i="6"/>
  <c r="E60" i="6"/>
  <c r="D60" i="6"/>
  <c r="C60" i="6"/>
  <c r="B60" i="6"/>
  <c r="G59" i="6"/>
  <c r="F59" i="6"/>
  <c r="E59" i="6"/>
  <c r="D59" i="6"/>
  <c r="C59" i="6"/>
  <c r="B59" i="6"/>
  <c r="G58" i="6"/>
  <c r="F58" i="6"/>
  <c r="E58" i="6"/>
  <c r="D58" i="6"/>
  <c r="C58" i="6"/>
  <c r="B58" i="6"/>
  <c r="G57" i="6"/>
  <c r="F57" i="6"/>
  <c r="E57" i="6"/>
  <c r="D57" i="6"/>
  <c r="C57" i="6"/>
  <c r="B57" i="6"/>
  <c r="G56" i="6"/>
  <c r="F56" i="6"/>
  <c r="E56" i="6"/>
  <c r="D56" i="6"/>
  <c r="C56" i="6"/>
  <c r="B56" i="6"/>
  <c r="G55" i="6"/>
  <c r="F55" i="6"/>
  <c r="E55" i="6"/>
  <c r="D55" i="6"/>
  <c r="C55" i="6"/>
  <c r="B55" i="6"/>
  <c r="G54" i="6"/>
  <c r="F54" i="6"/>
  <c r="E54" i="6"/>
  <c r="D54" i="6"/>
  <c r="C54" i="6"/>
  <c r="B54" i="6"/>
  <c r="G53" i="6"/>
  <c r="F53" i="6"/>
  <c r="E53" i="6"/>
  <c r="D53" i="6"/>
  <c r="C53" i="6"/>
  <c r="B53" i="6"/>
  <c r="G52" i="6"/>
  <c r="F52" i="6"/>
  <c r="E52" i="6"/>
  <c r="D52" i="6"/>
  <c r="C52" i="6"/>
  <c r="B52" i="6"/>
  <c r="G51" i="6"/>
  <c r="F51" i="6"/>
  <c r="E51" i="6"/>
  <c r="D51" i="6"/>
  <c r="C51" i="6"/>
  <c r="B51" i="6"/>
  <c r="G50" i="6"/>
  <c r="F50" i="6"/>
  <c r="E50" i="6"/>
  <c r="D50" i="6"/>
  <c r="C50" i="6"/>
  <c r="B50" i="6"/>
  <c r="G49" i="6"/>
  <c r="F49" i="6"/>
  <c r="E49" i="6"/>
  <c r="D49" i="6"/>
  <c r="C49" i="6"/>
  <c r="B49" i="6"/>
  <c r="G48" i="6"/>
  <c r="F48" i="6"/>
  <c r="E48" i="6"/>
  <c r="D48" i="6"/>
  <c r="C48" i="6"/>
  <c r="B48" i="6"/>
  <c r="G47" i="6"/>
  <c r="F47" i="6"/>
  <c r="E47" i="6"/>
  <c r="D47" i="6"/>
  <c r="C47" i="6"/>
  <c r="B47" i="6"/>
  <c r="G46" i="6"/>
  <c r="F46" i="6"/>
  <c r="E46" i="6"/>
  <c r="D46" i="6"/>
  <c r="C46" i="6"/>
  <c r="B46" i="6"/>
  <c r="G45" i="6"/>
  <c r="F45" i="6"/>
  <c r="E45" i="6"/>
  <c r="D45" i="6"/>
  <c r="C45" i="6"/>
  <c r="B45" i="6"/>
  <c r="G44" i="6"/>
  <c r="F44" i="6"/>
  <c r="E44" i="6"/>
  <c r="D44" i="6"/>
  <c r="C44" i="6"/>
  <c r="B44" i="6"/>
  <c r="G43" i="6"/>
  <c r="F43" i="6"/>
  <c r="E43" i="6"/>
  <c r="D43" i="6"/>
  <c r="C43" i="6"/>
  <c r="B43" i="6"/>
  <c r="G42" i="6"/>
  <c r="F42" i="6"/>
  <c r="E42" i="6"/>
  <c r="D42" i="6"/>
  <c r="C42" i="6"/>
  <c r="B42" i="6"/>
  <c r="G41" i="6"/>
  <c r="F41" i="6"/>
  <c r="E41" i="6"/>
  <c r="D41" i="6"/>
  <c r="C41" i="6"/>
  <c r="B41" i="6"/>
  <c r="G40" i="6"/>
  <c r="F40" i="6"/>
  <c r="E40" i="6"/>
  <c r="D40" i="6"/>
  <c r="C40" i="6"/>
  <c r="B40" i="6"/>
  <c r="G39" i="6"/>
  <c r="F39" i="6"/>
  <c r="E39" i="6"/>
  <c r="D39" i="6"/>
  <c r="C39" i="6"/>
  <c r="B39" i="6"/>
  <c r="G38" i="6"/>
  <c r="F38" i="6"/>
  <c r="E38" i="6"/>
  <c r="D38" i="6"/>
  <c r="C38" i="6"/>
  <c r="B38" i="6"/>
  <c r="G37" i="6"/>
  <c r="F37" i="6"/>
  <c r="E37" i="6"/>
  <c r="D37" i="6"/>
  <c r="C37" i="6"/>
  <c r="B37" i="6"/>
  <c r="G36" i="6"/>
  <c r="F36" i="6"/>
  <c r="E36" i="6"/>
  <c r="D36" i="6"/>
  <c r="C36" i="6"/>
  <c r="B36" i="6"/>
  <c r="G35" i="6"/>
  <c r="F35" i="6"/>
  <c r="E35" i="6"/>
  <c r="D35" i="6"/>
  <c r="C35" i="6"/>
  <c r="B35" i="6"/>
  <c r="G34" i="6"/>
  <c r="F34" i="6"/>
  <c r="E34" i="6"/>
  <c r="D34" i="6"/>
  <c r="C34" i="6"/>
  <c r="B34" i="6"/>
  <c r="G33" i="6"/>
  <c r="F33" i="6"/>
  <c r="E33" i="6"/>
  <c r="D33" i="6"/>
  <c r="C33" i="6"/>
  <c r="B33" i="6"/>
  <c r="G32" i="6"/>
  <c r="F32" i="6"/>
  <c r="E32" i="6"/>
  <c r="D32" i="6"/>
  <c r="C32" i="6"/>
  <c r="B32" i="6"/>
  <c r="G31" i="6"/>
  <c r="F31" i="6"/>
  <c r="E31" i="6"/>
  <c r="D31" i="6"/>
  <c r="C31" i="6"/>
  <c r="B31" i="6"/>
  <c r="G30" i="6"/>
  <c r="F30" i="6"/>
  <c r="E30" i="6"/>
  <c r="D30" i="6"/>
  <c r="C30" i="6"/>
  <c r="B30" i="6"/>
  <c r="G29" i="6"/>
  <c r="F29" i="6"/>
  <c r="E29" i="6"/>
  <c r="D29" i="6"/>
  <c r="C29" i="6"/>
  <c r="B29" i="6"/>
  <c r="G28" i="6"/>
  <c r="F28" i="6"/>
  <c r="E28" i="6"/>
  <c r="D28" i="6"/>
  <c r="C28" i="6"/>
  <c r="B28" i="6"/>
  <c r="G27" i="6"/>
  <c r="F27" i="6"/>
  <c r="E27" i="6"/>
  <c r="D27" i="6"/>
  <c r="C27" i="6"/>
  <c r="B27" i="6"/>
  <c r="G26" i="6"/>
  <c r="F26" i="6"/>
  <c r="E26" i="6"/>
  <c r="D26" i="6"/>
  <c r="C26" i="6"/>
  <c r="B26" i="6"/>
  <c r="G25" i="6"/>
  <c r="F25" i="6"/>
  <c r="E25" i="6"/>
  <c r="D25" i="6"/>
  <c r="C25" i="6"/>
  <c r="B25" i="6"/>
  <c r="G24" i="6"/>
  <c r="F24" i="6"/>
  <c r="E24" i="6"/>
  <c r="D24" i="6"/>
  <c r="C24" i="6"/>
  <c r="B24" i="6"/>
  <c r="G23" i="6"/>
  <c r="F23" i="6"/>
  <c r="E23" i="6"/>
  <c r="D23" i="6"/>
  <c r="C23" i="6"/>
  <c r="B23" i="6"/>
  <c r="G22" i="6"/>
  <c r="F22" i="6"/>
  <c r="E22" i="6"/>
  <c r="D22" i="6"/>
  <c r="C22" i="6"/>
  <c r="B22" i="6"/>
  <c r="G21" i="6"/>
  <c r="F21" i="6"/>
  <c r="E21" i="6"/>
  <c r="D21" i="6"/>
  <c r="C21" i="6"/>
  <c r="B21" i="6"/>
  <c r="G20" i="6"/>
  <c r="F20" i="6"/>
  <c r="E20" i="6"/>
  <c r="D20" i="6"/>
  <c r="C20" i="6"/>
  <c r="B20" i="6"/>
  <c r="G19" i="6"/>
  <c r="F19" i="6"/>
  <c r="E19" i="6"/>
  <c r="D19" i="6"/>
  <c r="C19" i="6"/>
  <c r="B19" i="6"/>
  <c r="G18" i="6"/>
  <c r="F18" i="6"/>
  <c r="E18" i="6"/>
  <c r="D18" i="6"/>
  <c r="C18" i="6"/>
  <c r="B18" i="6"/>
  <c r="G17" i="6"/>
  <c r="F17" i="6"/>
  <c r="E17" i="6"/>
  <c r="D17" i="6"/>
  <c r="C17" i="6"/>
  <c r="B17" i="6"/>
  <c r="G16" i="6"/>
  <c r="F16" i="6"/>
  <c r="E16" i="6"/>
  <c r="D16" i="6"/>
  <c r="C16" i="6"/>
  <c r="B16" i="6"/>
  <c r="G15" i="6"/>
  <c r="F15" i="6"/>
  <c r="E15" i="6"/>
  <c r="D15" i="6"/>
  <c r="C15" i="6"/>
  <c r="B15" i="6"/>
  <c r="G14" i="6"/>
  <c r="F14" i="6"/>
  <c r="E14" i="6"/>
  <c r="D14" i="6"/>
  <c r="C14" i="6"/>
  <c r="B14" i="6"/>
  <c r="G13" i="6"/>
  <c r="F13" i="6"/>
  <c r="E13" i="6"/>
  <c r="D13" i="6"/>
  <c r="C13" i="6"/>
  <c r="B13" i="6"/>
  <c r="G12" i="6"/>
  <c r="F12" i="6"/>
  <c r="E12" i="6"/>
  <c r="D12" i="6"/>
  <c r="C12" i="6"/>
  <c r="B12" i="6"/>
  <c r="G11" i="6"/>
  <c r="F11" i="6"/>
  <c r="E11" i="6"/>
  <c r="D11" i="6"/>
  <c r="C11" i="6"/>
  <c r="B11" i="6"/>
  <c r="G10" i="6"/>
  <c r="F10" i="6"/>
  <c r="E10" i="6"/>
  <c r="D10" i="6"/>
  <c r="C10" i="6"/>
  <c r="B10" i="6"/>
  <c r="G9" i="6"/>
  <c r="F9" i="6"/>
  <c r="E9" i="6"/>
  <c r="D9" i="6"/>
  <c r="C9" i="6"/>
  <c r="B9" i="6"/>
  <c r="G7" i="6"/>
  <c r="F7" i="6"/>
  <c r="C7" i="6"/>
  <c r="B7" i="6"/>
  <c r="G81" i="5" l="1"/>
  <c r="F81" i="5"/>
  <c r="E81" i="5"/>
  <c r="D81" i="5"/>
  <c r="C81" i="5"/>
  <c r="B81" i="5"/>
  <c r="G80" i="5"/>
  <c r="F80" i="5"/>
  <c r="E80" i="5"/>
  <c r="D80" i="5"/>
  <c r="C80" i="5"/>
  <c r="B80" i="5"/>
  <c r="G79" i="5"/>
  <c r="F79" i="5"/>
  <c r="E79" i="5"/>
  <c r="D79" i="5"/>
  <c r="C79" i="5"/>
  <c r="B79" i="5"/>
  <c r="G78" i="5"/>
  <c r="F78" i="5"/>
  <c r="E78" i="5"/>
  <c r="D78" i="5"/>
  <c r="C78" i="5"/>
  <c r="B78" i="5"/>
  <c r="G77" i="5"/>
  <c r="F77" i="5"/>
  <c r="E77" i="5"/>
  <c r="D77" i="5"/>
  <c r="C77" i="5"/>
  <c r="B77" i="5"/>
  <c r="G76" i="5"/>
  <c r="F76" i="5"/>
  <c r="E76" i="5"/>
  <c r="D76" i="5"/>
  <c r="C76" i="5"/>
  <c r="B76" i="5"/>
  <c r="G75" i="5"/>
  <c r="F75" i="5"/>
  <c r="E75" i="5"/>
  <c r="D75" i="5"/>
  <c r="C75" i="5"/>
  <c r="B75" i="5"/>
  <c r="G74" i="5"/>
  <c r="F74" i="5"/>
  <c r="E74" i="5"/>
  <c r="D74" i="5"/>
  <c r="C74" i="5"/>
  <c r="B74" i="5"/>
  <c r="G73" i="5"/>
  <c r="F73" i="5"/>
  <c r="E73" i="5"/>
  <c r="D73" i="5"/>
  <c r="C73" i="5"/>
  <c r="B73" i="5"/>
  <c r="G72" i="5"/>
  <c r="F72" i="5"/>
  <c r="E72" i="5"/>
  <c r="D72" i="5"/>
  <c r="C72" i="5"/>
  <c r="B72" i="5"/>
  <c r="G71" i="5"/>
  <c r="F71" i="5"/>
  <c r="E71" i="5"/>
  <c r="D71" i="5"/>
  <c r="B71" i="5"/>
  <c r="G70" i="5"/>
  <c r="F70" i="5"/>
  <c r="E70" i="5"/>
  <c r="D70" i="5"/>
  <c r="C70" i="5"/>
  <c r="B70" i="5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B67" i="5"/>
  <c r="G66" i="5"/>
  <c r="F66" i="5"/>
  <c r="E66" i="5"/>
  <c r="D66" i="5"/>
  <c r="C66" i="5"/>
  <c r="B66" i="5"/>
  <c r="G65" i="5"/>
  <c r="F65" i="5"/>
  <c r="E65" i="5"/>
  <c r="D65" i="5"/>
  <c r="C65" i="5"/>
  <c r="B65" i="5"/>
  <c r="G64" i="5"/>
  <c r="F64" i="5"/>
  <c r="E64" i="5"/>
  <c r="D64" i="5"/>
  <c r="C64" i="5"/>
  <c r="B64" i="5"/>
  <c r="G63" i="5"/>
  <c r="F63" i="5"/>
  <c r="E63" i="5"/>
  <c r="D63" i="5"/>
  <c r="C63" i="5"/>
  <c r="B63" i="5"/>
  <c r="G62" i="5"/>
  <c r="F62" i="5"/>
  <c r="E62" i="5"/>
  <c r="D62" i="5"/>
  <c r="C62" i="5"/>
  <c r="B62" i="5"/>
  <c r="G61" i="5"/>
  <c r="F61" i="5"/>
  <c r="E61" i="5"/>
  <c r="D61" i="5"/>
  <c r="C61" i="5"/>
  <c r="B61" i="5"/>
  <c r="G60" i="5"/>
  <c r="F60" i="5"/>
  <c r="E60" i="5"/>
  <c r="D60" i="5"/>
  <c r="C60" i="5"/>
  <c r="B60" i="5"/>
  <c r="G59" i="5"/>
  <c r="F59" i="5"/>
  <c r="E59" i="5"/>
  <c r="D59" i="5"/>
  <c r="C59" i="5"/>
  <c r="B59" i="5"/>
  <c r="G58" i="5"/>
  <c r="F58" i="5"/>
  <c r="E58" i="5"/>
  <c r="D58" i="5"/>
  <c r="C58" i="5"/>
  <c r="B58" i="5"/>
  <c r="G57" i="5"/>
  <c r="F57" i="5"/>
  <c r="E57" i="5"/>
  <c r="D57" i="5"/>
  <c r="C57" i="5"/>
  <c r="B57" i="5"/>
  <c r="G56" i="5"/>
  <c r="F56" i="5"/>
  <c r="E56" i="5"/>
  <c r="D56" i="5"/>
  <c r="C56" i="5"/>
  <c r="B56" i="5"/>
  <c r="G55" i="5"/>
  <c r="F55" i="5"/>
  <c r="E55" i="5"/>
  <c r="D55" i="5"/>
  <c r="C55" i="5"/>
  <c r="B55" i="5"/>
  <c r="G54" i="5"/>
  <c r="F54" i="5"/>
  <c r="E54" i="5"/>
  <c r="D54" i="5"/>
  <c r="C54" i="5"/>
  <c r="B54" i="5"/>
  <c r="G53" i="5"/>
  <c r="F53" i="5"/>
  <c r="E53" i="5"/>
  <c r="D53" i="5"/>
  <c r="C53" i="5"/>
  <c r="B53" i="5"/>
  <c r="G52" i="5"/>
  <c r="F52" i="5"/>
  <c r="E52" i="5"/>
  <c r="D52" i="5"/>
  <c r="C52" i="5"/>
  <c r="B52" i="5"/>
  <c r="G51" i="5"/>
  <c r="F51" i="5"/>
  <c r="E51" i="5"/>
  <c r="D51" i="5"/>
  <c r="C51" i="5"/>
  <c r="B51" i="5"/>
  <c r="G50" i="5"/>
  <c r="F50" i="5"/>
  <c r="E50" i="5"/>
  <c r="D50" i="5"/>
  <c r="C50" i="5"/>
  <c r="B50" i="5"/>
  <c r="G49" i="5"/>
  <c r="F49" i="5"/>
  <c r="E49" i="5"/>
  <c r="D49" i="5"/>
  <c r="C49" i="5"/>
  <c r="B49" i="5"/>
  <c r="G48" i="5"/>
  <c r="F48" i="5"/>
  <c r="E48" i="5"/>
  <c r="D48" i="5"/>
  <c r="C48" i="5"/>
  <c r="B48" i="5"/>
  <c r="G47" i="5"/>
  <c r="F47" i="5"/>
  <c r="E47" i="5"/>
  <c r="D47" i="5"/>
  <c r="C47" i="5"/>
  <c r="B47" i="5"/>
  <c r="G46" i="5"/>
  <c r="F46" i="5"/>
  <c r="E46" i="5"/>
  <c r="D46" i="5"/>
  <c r="C46" i="5"/>
  <c r="B46" i="5"/>
  <c r="G45" i="5"/>
  <c r="F45" i="5"/>
  <c r="E45" i="5"/>
  <c r="D45" i="5"/>
  <c r="C45" i="5"/>
  <c r="B45" i="5"/>
  <c r="G44" i="5"/>
  <c r="F44" i="5"/>
  <c r="E44" i="5"/>
  <c r="D44" i="5"/>
  <c r="C44" i="5"/>
  <c r="B44" i="5"/>
  <c r="G43" i="5"/>
  <c r="F43" i="5"/>
  <c r="E43" i="5"/>
  <c r="D43" i="5"/>
  <c r="B43" i="5"/>
  <c r="G42" i="5"/>
  <c r="F42" i="5"/>
  <c r="E42" i="5"/>
  <c r="D42" i="5"/>
  <c r="C42" i="5"/>
  <c r="B42" i="5"/>
  <c r="G41" i="5"/>
  <c r="F41" i="5"/>
  <c r="E41" i="5"/>
  <c r="D41" i="5"/>
  <c r="C41" i="5"/>
  <c r="B41" i="5"/>
  <c r="G40" i="5"/>
  <c r="F40" i="5"/>
  <c r="E40" i="5"/>
  <c r="D40" i="5"/>
  <c r="B40" i="5"/>
  <c r="G39" i="5"/>
  <c r="F39" i="5"/>
  <c r="E39" i="5"/>
  <c r="D39" i="5"/>
  <c r="C39" i="5"/>
  <c r="B39" i="5"/>
  <c r="G38" i="5"/>
  <c r="F38" i="5"/>
  <c r="E38" i="5"/>
  <c r="D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G35" i="5"/>
  <c r="F35" i="5"/>
  <c r="E35" i="5"/>
  <c r="D35" i="5"/>
  <c r="C35" i="5"/>
  <c r="B35" i="5"/>
  <c r="G34" i="5"/>
  <c r="F34" i="5"/>
  <c r="E34" i="5"/>
  <c r="D34" i="5"/>
  <c r="B34" i="5"/>
  <c r="G33" i="5"/>
  <c r="F33" i="5"/>
  <c r="E33" i="5"/>
  <c r="D33" i="5"/>
  <c r="C33" i="5"/>
  <c r="B33" i="5"/>
  <c r="G32" i="5"/>
  <c r="F32" i="5"/>
  <c r="E32" i="5"/>
  <c r="D32" i="5"/>
  <c r="C32" i="5"/>
  <c r="B32" i="5"/>
  <c r="G31" i="5"/>
  <c r="F31" i="5"/>
  <c r="E31" i="5"/>
  <c r="D31" i="5"/>
  <c r="C31" i="5"/>
  <c r="B31" i="5"/>
  <c r="G30" i="5"/>
  <c r="F30" i="5"/>
  <c r="E30" i="5"/>
  <c r="D30" i="5"/>
  <c r="C30" i="5"/>
  <c r="B30" i="5"/>
  <c r="G29" i="5"/>
  <c r="F29" i="5"/>
  <c r="E29" i="5"/>
  <c r="D29" i="5"/>
  <c r="C29" i="5"/>
  <c r="B29" i="5"/>
  <c r="G28" i="5"/>
  <c r="F28" i="5"/>
  <c r="E28" i="5"/>
  <c r="D28" i="5"/>
  <c r="C28" i="5"/>
  <c r="B28" i="5"/>
  <c r="G27" i="5"/>
  <c r="F27" i="5"/>
  <c r="E27" i="5"/>
  <c r="D27" i="5"/>
  <c r="B27" i="5"/>
  <c r="G26" i="5"/>
  <c r="F26" i="5"/>
  <c r="E26" i="5"/>
  <c r="D26" i="5"/>
  <c r="C26" i="5"/>
  <c r="B26" i="5"/>
  <c r="G25" i="5"/>
  <c r="F25" i="5"/>
  <c r="E25" i="5"/>
  <c r="D25" i="5"/>
  <c r="C25" i="5"/>
  <c r="B25" i="5"/>
  <c r="G24" i="5"/>
  <c r="F24" i="5"/>
  <c r="E24" i="5"/>
  <c r="D24" i="5"/>
  <c r="C24" i="5"/>
  <c r="B24" i="5"/>
  <c r="G23" i="5"/>
  <c r="F23" i="5"/>
  <c r="E23" i="5"/>
  <c r="D23" i="5"/>
  <c r="C23" i="5"/>
  <c r="B23" i="5"/>
  <c r="G22" i="5"/>
  <c r="F22" i="5"/>
  <c r="E22" i="5"/>
  <c r="D22" i="5"/>
  <c r="C22" i="5"/>
  <c r="B22" i="5"/>
  <c r="G21" i="5"/>
  <c r="F21" i="5"/>
  <c r="E21" i="5"/>
  <c r="D21" i="5"/>
  <c r="C21" i="5"/>
  <c r="B21" i="5"/>
  <c r="G20" i="5"/>
  <c r="F20" i="5"/>
  <c r="E20" i="5"/>
  <c r="D20" i="5"/>
  <c r="C20" i="5"/>
  <c r="B20" i="5"/>
  <c r="G19" i="5"/>
  <c r="F19" i="5"/>
  <c r="E19" i="5"/>
  <c r="D19" i="5"/>
  <c r="C19" i="5"/>
  <c r="B19" i="5"/>
  <c r="G18" i="5"/>
  <c r="F18" i="5"/>
  <c r="E18" i="5"/>
  <c r="D18" i="5"/>
  <c r="C18" i="5"/>
  <c r="B18" i="5"/>
  <c r="G17" i="5"/>
  <c r="F17" i="5"/>
  <c r="E17" i="5"/>
  <c r="D17" i="5"/>
  <c r="C17" i="5"/>
  <c r="B17" i="5"/>
  <c r="G16" i="5"/>
  <c r="F16" i="5"/>
  <c r="E16" i="5"/>
  <c r="D16" i="5"/>
  <c r="C16" i="5"/>
  <c r="B16" i="5"/>
  <c r="G15" i="5"/>
  <c r="F15" i="5"/>
  <c r="E15" i="5"/>
  <c r="D15" i="5"/>
  <c r="C15" i="5"/>
  <c r="B15" i="5"/>
  <c r="G14" i="5"/>
  <c r="F14" i="5"/>
  <c r="E14" i="5"/>
  <c r="D14" i="5"/>
  <c r="C14" i="5"/>
  <c r="B14" i="5"/>
  <c r="G13" i="5"/>
  <c r="F13" i="5"/>
  <c r="E13" i="5"/>
  <c r="D13" i="5"/>
  <c r="C13" i="5"/>
  <c r="B13" i="5"/>
  <c r="G12" i="5"/>
  <c r="F12" i="5"/>
  <c r="E12" i="5"/>
  <c r="D12" i="5"/>
  <c r="C12" i="5"/>
  <c r="B12" i="5"/>
  <c r="G11" i="5"/>
  <c r="F11" i="5"/>
  <c r="E11" i="5"/>
  <c r="D11" i="5"/>
  <c r="C11" i="5"/>
  <c r="B11" i="5"/>
  <c r="G10" i="5"/>
  <c r="F10" i="5"/>
  <c r="E10" i="5"/>
  <c r="D10" i="5"/>
  <c r="C10" i="5"/>
  <c r="B10" i="5"/>
  <c r="G9" i="5"/>
  <c r="F9" i="5"/>
  <c r="E9" i="5"/>
  <c r="D9" i="5"/>
  <c r="C9" i="5"/>
  <c r="B9" i="5"/>
  <c r="G7" i="5"/>
  <c r="F7" i="5"/>
  <c r="C7" i="5"/>
  <c r="B7" i="5"/>
  <c r="G119" i="2" l="1"/>
  <c r="F119" i="2"/>
  <c r="E119" i="2"/>
  <c r="D119" i="2"/>
  <c r="C119" i="2"/>
  <c r="B119" i="2"/>
  <c r="G118" i="2"/>
  <c r="F118" i="2"/>
  <c r="E118" i="2"/>
  <c r="D118" i="2"/>
  <c r="C118" i="2"/>
  <c r="B118" i="2"/>
  <c r="G117" i="2"/>
  <c r="F117" i="2"/>
  <c r="E117" i="2"/>
  <c r="D117" i="2"/>
  <c r="C117" i="2"/>
  <c r="B117" i="2"/>
  <c r="G116" i="2"/>
  <c r="F116" i="2"/>
  <c r="E116" i="2"/>
  <c r="D116" i="2"/>
  <c r="C116" i="2"/>
  <c r="B116" i="2"/>
  <c r="G115" i="2"/>
  <c r="F115" i="2"/>
  <c r="E115" i="2"/>
  <c r="D115" i="2"/>
  <c r="C115" i="2"/>
  <c r="B115" i="2"/>
  <c r="G114" i="2"/>
  <c r="F114" i="2"/>
  <c r="E114" i="2"/>
  <c r="D114" i="2"/>
  <c r="B114" i="2"/>
  <c r="G113" i="2"/>
  <c r="F113" i="2"/>
  <c r="E113" i="2"/>
  <c r="D113" i="2"/>
  <c r="C113" i="2"/>
  <c r="B113" i="2"/>
  <c r="G112" i="2"/>
  <c r="F112" i="2"/>
  <c r="E112" i="2"/>
  <c r="D112" i="2"/>
  <c r="C112" i="2"/>
  <c r="B112" i="2"/>
  <c r="G111" i="2"/>
  <c r="F111" i="2"/>
  <c r="E111" i="2"/>
  <c r="D111" i="2"/>
  <c r="C111" i="2"/>
  <c r="B111" i="2"/>
  <c r="G110" i="2"/>
  <c r="F110" i="2"/>
  <c r="E110" i="2"/>
  <c r="D110" i="2"/>
  <c r="B110" i="2"/>
  <c r="G109" i="2"/>
  <c r="F109" i="2"/>
  <c r="E109" i="2"/>
  <c r="D109" i="2"/>
  <c r="B109" i="2"/>
  <c r="G108" i="2"/>
  <c r="F108" i="2"/>
  <c r="E108" i="2"/>
  <c r="D108" i="2"/>
  <c r="B108" i="2"/>
  <c r="G107" i="2"/>
  <c r="F107" i="2"/>
  <c r="E107" i="2"/>
  <c r="D107" i="2"/>
  <c r="C107" i="2"/>
  <c r="B107" i="2"/>
  <c r="G106" i="2"/>
  <c r="F106" i="2"/>
  <c r="E106" i="2"/>
  <c r="D106" i="2"/>
  <c r="B106" i="2"/>
  <c r="G105" i="2"/>
  <c r="F105" i="2"/>
  <c r="E105" i="2"/>
  <c r="D105" i="2"/>
  <c r="C105" i="2"/>
  <c r="B105" i="2"/>
  <c r="G104" i="2"/>
  <c r="F104" i="2"/>
  <c r="E104" i="2"/>
  <c r="D104" i="2"/>
  <c r="C104" i="2"/>
  <c r="B104" i="2"/>
  <c r="G103" i="2"/>
  <c r="F103" i="2"/>
  <c r="E103" i="2"/>
  <c r="D103" i="2"/>
  <c r="C103" i="2"/>
  <c r="B103" i="2"/>
  <c r="G102" i="2"/>
  <c r="F102" i="2"/>
  <c r="E102" i="2"/>
  <c r="D102" i="2"/>
  <c r="C102" i="2"/>
  <c r="B102" i="2"/>
  <c r="G101" i="2"/>
  <c r="F101" i="2"/>
  <c r="E101" i="2"/>
  <c r="D101" i="2"/>
  <c r="C101" i="2"/>
  <c r="B101" i="2"/>
  <c r="G100" i="2"/>
  <c r="F100" i="2"/>
  <c r="E100" i="2"/>
  <c r="D100" i="2"/>
  <c r="C100" i="2"/>
  <c r="B100" i="2"/>
  <c r="G99" i="2"/>
  <c r="F99" i="2"/>
  <c r="E99" i="2"/>
  <c r="D99" i="2"/>
  <c r="C99" i="2"/>
  <c r="B99" i="2"/>
  <c r="G98" i="2"/>
  <c r="F98" i="2"/>
  <c r="E98" i="2"/>
  <c r="D98" i="2"/>
  <c r="C98" i="2"/>
  <c r="B98" i="2"/>
  <c r="G97" i="2"/>
  <c r="F97" i="2"/>
  <c r="E97" i="2"/>
  <c r="D97" i="2"/>
  <c r="C97" i="2"/>
  <c r="B97" i="2"/>
  <c r="G96" i="2"/>
  <c r="F96" i="2"/>
  <c r="E96" i="2"/>
  <c r="D96" i="2"/>
  <c r="B96" i="2"/>
  <c r="G95" i="2"/>
  <c r="F95" i="2"/>
  <c r="E95" i="2"/>
  <c r="D95" i="2"/>
  <c r="B95" i="2"/>
  <c r="G94" i="2"/>
  <c r="F94" i="2"/>
  <c r="E94" i="2"/>
  <c r="D94" i="2"/>
  <c r="C94" i="2"/>
  <c r="B94" i="2"/>
  <c r="G93" i="2"/>
  <c r="F93" i="2"/>
  <c r="E93" i="2"/>
  <c r="D93" i="2"/>
  <c r="C93" i="2"/>
  <c r="B93" i="2"/>
  <c r="G92" i="2"/>
  <c r="F92" i="2"/>
  <c r="E92" i="2"/>
  <c r="D92" i="2"/>
  <c r="C92" i="2"/>
  <c r="B92" i="2"/>
  <c r="G91" i="2"/>
  <c r="F91" i="2"/>
  <c r="E91" i="2"/>
  <c r="D91" i="2"/>
  <c r="B91" i="2"/>
  <c r="G90" i="2"/>
  <c r="F90" i="2"/>
  <c r="E90" i="2"/>
  <c r="D90" i="2"/>
  <c r="C90" i="2"/>
  <c r="B90" i="2"/>
  <c r="G89" i="2"/>
  <c r="F89" i="2"/>
  <c r="E89" i="2"/>
  <c r="D89" i="2"/>
  <c r="C89" i="2"/>
  <c r="B89" i="2"/>
  <c r="G88" i="2"/>
  <c r="F88" i="2"/>
  <c r="E88" i="2"/>
  <c r="D88" i="2"/>
  <c r="C88" i="2"/>
  <c r="B88" i="2"/>
  <c r="G87" i="2"/>
  <c r="F87" i="2"/>
  <c r="E87" i="2"/>
  <c r="D87" i="2"/>
  <c r="B87" i="2"/>
  <c r="G86" i="2"/>
  <c r="F86" i="2"/>
  <c r="E86" i="2"/>
  <c r="D86" i="2"/>
  <c r="C86" i="2"/>
  <c r="B86" i="2"/>
  <c r="G85" i="2"/>
  <c r="F85" i="2"/>
  <c r="E85" i="2"/>
  <c r="D85" i="2"/>
  <c r="C85" i="2"/>
  <c r="B85" i="2"/>
  <c r="G84" i="2"/>
  <c r="F84" i="2"/>
  <c r="E84" i="2"/>
  <c r="D84" i="2"/>
  <c r="C84" i="2"/>
  <c r="B84" i="2"/>
  <c r="G83" i="2"/>
  <c r="F83" i="2"/>
  <c r="E83" i="2"/>
  <c r="D83" i="2"/>
  <c r="C83" i="2"/>
  <c r="B83" i="2"/>
  <c r="G82" i="2"/>
  <c r="F82" i="2"/>
  <c r="E82" i="2"/>
  <c r="D82" i="2"/>
  <c r="C82" i="2"/>
  <c r="B82" i="2"/>
  <c r="G81" i="2"/>
  <c r="F81" i="2"/>
  <c r="E81" i="2"/>
  <c r="D81" i="2"/>
  <c r="C81" i="2"/>
  <c r="B81" i="2"/>
  <c r="G80" i="2"/>
  <c r="F80" i="2"/>
  <c r="E80" i="2"/>
  <c r="D80" i="2"/>
  <c r="C80" i="2"/>
  <c r="B80" i="2"/>
  <c r="G79" i="2"/>
  <c r="F79" i="2"/>
  <c r="E79" i="2"/>
  <c r="D79" i="2"/>
  <c r="C79" i="2"/>
  <c r="B79" i="2"/>
  <c r="G78" i="2"/>
  <c r="F78" i="2"/>
  <c r="E78" i="2"/>
  <c r="D78" i="2"/>
  <c r="C78" i="2"/>
  <c r="B78" i="2"/>
  <c r="G77" i="2"/>
  <c r="F77" i="2"/>
  <c r="E77" i="2"/>
  <c r="D77" i="2"/>
  <c r="C77" i="2"/>
  <c r="B77" i="2"/>
  <c r="G76" i="2"/>
  <c r="F76" i="2"/>
  <c r="E76" i="2"/>
  <c r="D76" i="2"/>
  <c r="C76" i="2"/>
  <c r="B76" i="2"/>
  <c r="G75" i="2"/>
  <c r="F75" i="2"/>
  <c r="E75" i="2"/>
  <c r="D75" i="2"/>
  <c r="C75" i="2"/>
  <c r="B75" i="2"/>
  <c r="G74" i="2"/>
  <c r="F74" i="2"/>
  <c r="E74" i="2"/>
  <c r="D74" i="2"/>
  <c r="C74" i="2"/>
  <c r="B74" i="2"/>
  <c r="G73" i="2"/>
  <c r="F73" i="2"/>
  <c r="E73" i="2"/>
  <c r="D73" i="2"/>
  <c r="C73" i="2"/>
  <c r="B73" i="2"/>
  <c r="G72" i="2"/>
  <c r="F72" i="2"/>
  <c r="E72" i="2"/>
  <c r="D72" i="2"/>
  <c r="B72" i="2"/>
  <c r="G71" i="2"/>
  <c r="F71" i="2"/>
  <c r="E71" i="2"/>
  <c r="D71" i="2"/>
  <c r="C71" i="2"/>
  <c r="B71" i="2"/>
  <c r="G70" i="2"/>
  <c r="F70" i="2"/>
  <c r="E70" i="2"/>
  <c r="D70" i="2"/>
  <c r="C70" i="2"/>
  <c r="B70" i="2"/>
  <c r="G69" i="2"/>
  <c r="F69" i="2"/>
  <c r="E69" i="2"/>
  <c r="D69" i="2"/>
  <c r="C69" i="2"/>
  <c r="B69" i="2"/>
  <c r="G68" i="2"/>
  <c r="F68" i="2"/>
  <c r="E68" i="2"/>
  <c r="D68" i="2"/>
  <c r="C68" i="2"/>
  <c r="B68" i="2"/>
  <c r="G67" i="2"/>
  <c r="F67" i="2"/>
  <c r="E67" i="2"/>
  <c r="D67" i="2"/>
  <c r="C67" i="2"/>
  <c r="B67" i="2"/>
  <c r="G66" i="2"/>
  <c r="F66" i="2"/>
  <c r="E66" i="2"/>
  <c r="D66" i="2"/>
  <c r="C66" i="2"/>
  <c r="B66" i="2"/>
  <c r="G65" i="2"/>
  <c r="F65" i="2"/>
  <c r="E65" i="2"/>
  <c r="D65" i="2"/>
  <c r="C65" i="2"/>
  <c r="B65" i="2"/>
  <c r="G64" i="2"/>
  <c r="F64" i="2"/>
  <c r="E64" i="2"/>
  <c r="D64" i="2"/>
  <c r="C64" i="2"/>
  <c r="B64" i="2"/>
  <c r="G63" i="2"/>
  <c r="F63" i="2"/>
  <c r="E63" i="2"/>
  <c r="D63" i="2"/>
  <c r="C63" i="2"/>
  <c r="B63" i="2"/>
  <c r="G62" i="2"/>
  <c r="F62" i="2"/>
  <c r="E62" i="2"/>
  <c r="D62" i="2"/>
  <c r="C62" i="2"/>
  <c r="B62" i="2"/>
  <c r="G61" i="2"/>
  <c r="F61" i="2"/>
  <c r="E61" i="2"/>
  <c r="D61" i="2"/>
  <c r="C61" i="2"/>
  <c r="B61" i="2"/>
  <c r="G60" i="2"/>
  <c r="F60" i="2"/>
  <c r="E60" i="2"/>
  <c r="D60" i="2"/>
  <c r="C60" i="2"/>
  <c r="B60" i="2"/>
  <c r="G59" i="2"/>
  <c r="F59" i="2"/>
  <c r="E59" i="2"/>
  <c r="D59" i="2"/>
  <c r="C59" i="2"/>
  <c r="B59" i="2"/>
  <c r="G58" i="2"/>
  <c r="F58" i="2"/>
  <c r="E58" i="2"/>
  <c r="D58" i="2"/>
  <c r="C58" i="2"/>
  <c r="B58" i="2"/>
  <c r="G57" i="2"/>
  <c r="F57" i="2"/>
  <c r="E57" i="2"/>
  <c r="D57" i="2"/>
  <c r="C57" i="2"/>
  <c r="B57" i="2"/>
  <c r="G56" i="2"/>
  <c r="F56" i="2"/>
  <c r="E56" i="2"/>
  <c r="D56" i="2"/>
  <c r="B56" i="2"/>
  <c r="G55" i="2"/>
  <c r="F55" i="2"/>
  <c r="E55" i="2"/>
  <c r="D55" i="2"/>
  <c r="C55" i="2"/>
  <c r="B55" i="2"/>
  <c r="G54" i="2"/>
  <c r="F54" i="2"/>
  <c r="E54" i="2"/>
  <c r="D54" i="2"/>
  <c r="C54" i="2"/>
  <c r="B54" i="2"/>
  <c r="G53" i="2"/>
  <c r="F53" i="2"/>
  <c r="E53" i="2"/>
  <c r="D53" i="2"/>
  <c r="C53" i="2"/>
  <c r="B53" i="2"/>
  <c r="G52" i="2"/>
  <c r="F52" i="2"/>
  <c r="E52" i="2"/>
  <c r="D52" i="2"/>
  <c r="C52" i="2"/>
  <c r="B52" i="2"/>
  <c r="G51" i="2"/>
  <c r="F51" i="2"/>
  <c r="E51" i="2"/>
  <c r="D51" i="2"/>
  <c r="C51" i="2"/>
  <c r="B51" i="2"/>
  <c r="G50" i="2"/>
  <c r="F50" i="2"/>
  <c r="E50" i="2"/>
  <c r="D50" i="2"/>
  <c r="C50" i="2"/>
  <c r="B50" i="2"/>
  <c r="G49" i="2"/>
  <c r="F49" i="2"/>
  <c r="E49" i="2"/>
  <c r="D49" i="2"/>
  <c r="C49" i="2"/>
  <c r="B49" i="2"/>
  <c r="G48" i="2"/>
  <c r="F48" i="2"/>
  <c r="E48" i="2"/>
  <c r="D48" i="2"/>
  <c r="C48" i="2"/>
  <c r="B48" i="2"/>
  <c r="G47" i="2"/>
  <c r="F47" i="2"/>
  <c r="E47" i="2"/>
  <c r="D47" i="2"/>
  <c r="C47" i="2"/>
  <c r="B47" i="2"/>
  <c r="G46" i="2"/>
  <c r="F46" i="2"/>
  <c r="E46" i="2"/>
  <c r="D46" i="2"/>
  <c r="B46" i="2"/>
  <c r="G45" i="2"/>
  <c r="F45" i="2"/>
  <c r="E45" i="2"/>
  <c r="D45" i="2"/>
  <c r="C45" i="2"/>
  <c r="B45" i="2"/>
  <c r="G44" i="2"/>
  <c r="F44" i="2"/>
  <c r="E44" i="2"/>
  <c r="D44" i="2"/>
  <c r="C44" i="2"/>
  <c r="B44" i="2"/>
  <c r="G43" i="2"/>
  <c r="F43" i="2"/>
  <c r="E43" i="2"/>
  <c r="D43" i="2"/>
  <c r="C43" i="2"/>
  <c r="B43" i="2"/>
  <c r="G42" i="2"/>
  <c r="F42" i="2"/>
  <c r="E42" i="2"/>
  <c r="D42" i="2"/>
  <c r="B42" i="2"/>
  <c r="G41" i="2"/>
  <c r="F41" i="2"/>
  <c r="E41" i="2"/>
  <c r="D41" i="2"/>
  <c r="C41" i="2"/>
  <c r="B41" i="2"/>
  <c r="G40" i="2"/>
  <c r="F40" i="2"/>
  <c r="E40" i="2"/>
  <c r="D40" i="2"/>
  <c r="B40" i="2"/>
  <c r="G39" i="2"/>
  <c r="F39" i="2"/>
  <c r="E39" i="2"/>
  <c r="D39" i="2"/>
  <c r="C39" i="2"/>
  <c r="B39" i="2"/>
  <c r="G38" i="2"/>
  <c r="F38" i="2"/>
  <c r="E38" i="2"/>
  <c r="D38" i="2"/>
  <c r="C38" i="2"/>
  <c r="B38" i="2"/>
  <c r="G37" i="2"/>
  <c r="F37" i="2"/>
  <c r="E37" i="2"/>
  <c r="D37" i="2"/>
  <c r="C37" i="2"/>
  <c r="B37" i="2"/>
  <c r="G36" i="2"/>
  <c r="F36" i="2"/>
  <c r="E36" i="2"/>
  <c r="D36" i="2"/>
  <c r="C36" i="2"/>
  <c r="B36" i="2"/>
  <c r="G35" i="2"/>
  <c r="F35" i="2"/>
  <c r="E35" i="2"/>
  <c r="D35" i="2"/>
  <c r="C35" i="2"/>
  <c r="B35" i="2"/>
  <c r="G34" i="2"/>
  <c r="F34" i="2"/>
  <c r="E34" i="2"/>
  <c r="D34" i="2"/>
  <c r="C34" i="2"/>
  <c r="B34" i="2"/>
  <c r="G33" i="2"/>
  <c r="F33" i="2"/>
  <c r="E33" i="2"/>
  <c r="D33" i="2"/>
  <c r="C33" i="2"/>
  <c r="B33" i="2"/>
  <c r="G32" i="2"/>
  <c r="F32" i="2"/>
  <c r="E32" i="2"/>
  <c r="D32" i="2"/>
  <c r="C32" i="2"/>
  <c r="B32" i="2"/>
  <c r="G31" i="2"/>
  <c r="F31" i="2"/>
  <c r="E31" i="2"/>
  <c r="D31" i="2"/>
  <c r="C31" i="2"/>
  <c r="B31" i="2"/>
  <c r="G30" i="2"/>
  <c r="F30" i="2"/>
  <c r="E30" i="2"/>
  <c r="D30" i="2"/>
  <c r="C30" i="2"/>
  <c r="B30" i="2"/>
  <c r="G29" i="2"/>
  <c r="F29" i="2"/>
  <c r="E29" i="2"/>
  <c r="D29" i="2"/>
  <c r="C29" i="2"/>
  <c r="B29" i="2"/>
  <c r="G28" i="2"/>
  <c r="F28" i="2"/>
  <c r="E28" i="2"/>
  <c r="D28" i="2"/>
  <c r="C28" i="2"/>
  <c r="B28" i="2"/>
  <c r="G27" i="2"/>
  <c r="F27" i="2"/>
  <c r="E27" i="2"/>
  <c r="D27" i="2"/>
  <c r="C27" i="2"/>
  <c r="B27" i="2"/>
  <c r="G26" i="2"/>
  <c r="F26" i="2"/>
  <c r="E26" i="2"/>
  <c r="D26" i="2"/>
  <c r="C26" i="2"/>
  <c r="B26" i="2"/>
  <c r="G25" i="2"/>
  <c r="F25" i="2"/>
  <c r="E25" i="2"/>
  <c r="D25" i="2"/>
  <c r="C25" i="2"/>
  <c r="B25" i="2"/>
  <c r="G24" i="2"/>
  <c r="F24" i="2"/>
  <c r="E24" i="2"/>
  <c r="D24" i="2"/>
  <c r="C24" i="2"/>
  <c r="B24" i="2"/>
  <c r="G23" i="2"/>
  <c r="F23" i="2"/>
  <c r="E23" i="2"/>
  <c r="D23" i="2"/>
  <c r="C23" i="2"/>
  <c r="B23" i="2"/>
  <c r="G22" i="2"/>
  <c r="F22" i="2"/>
  <c r="E22" i="2"/>
  <c r="D22" i="2"/>
  <c r="C22" i="2"/>
  <c r="B22" i="2"/>
  <c r="G21" i="2"/>
  <c r="F21" i="2"/>
  <c r="E21" i="2"/>
  <c r="D21" i="2"/>
  <c r="C21" i="2"/>
  <c r="B21" i="2"/>
  <c r="G20" i="2"/>
  <c r="F20" i="2"/>
  <c r="E20" i="2"/>
  <c r="D20" i="2"/>
  <c r="C20" i="2"/>
  <c r="B20" i="2"/>
  <c r="G19" i="2"/>
  <c r="F19" i="2"/>
  <c r="E19" i="2"/>
  <c r="D19" i="2"/>
  <c r="C19" i="2"/>
  <c r="B19" i="2"/>
  <c r="G18" i="2"/>
  <c r="F18" i="2"/>
  <c r="E18" i="2"/>
  <c r="D18" i="2"/>
  <c r="C18" i="2"/>
  <c r="B18" i="2"/>
  <c r="G17" i="2"/>
  <c r="F17" i="2"/>
  <c r="E17" i="2"/>
  <c r="D17" i="2"/>
  <c r="C17" i="2"/>
  <c r="B17" i="2"/>
  <c r="G16" i="2"/>
  <c r="F16" i="2"/>
  <c r="E16" i="2"/>
  <c r="D16" i="2"/>
  <c r="C16" i="2"/>
  <c r="B16" i="2"/>
  <c r="G15" i="2"/>
  <c r="F15" i="2"/>
  <c r="E15" i="2"/>
  <c r="D15" i="2"/>
  <c r="C15" i="2"/>
  <c r="B15" i="2"/>
  <c r="G14" i="2"/>
  <c r="F14" i="2"/>
  <c r="E14" i="2"/>
  <c r="D14" i="2"/>
  <c r="C14" i="2"/>
  <c r="B14" i="2"/>
  <c r="G13" i="2"/>
  <c r="F13" i="2"/>
  <c r="E13" i="2"/>
  <c r="D13" i="2"/>
  <c r="C13" i="2"/>
  <c r="B13" i="2"/>
  <c r="G12" i="2"/>
  <c r="F12" i="2"/>
  <c r="E12" i="2"/>
  <c r="D12" i="2"/>
  <c r="C12" i="2"/>
  <c r="B12" i="2"/>
  <c r="G11" i="2"/>
  <c r="F11" i="2"/>
  <c r="E11" i="2"/>
  <c r="D11" i="2"/>
  <c r="C11" i="2"/>
  <c r="B11" i="2"/>
  <c r="G10" i="2"/>
  <c r="F10" i="2"/>
  <c r="E10" i="2"/>
  <c r="D10" i="2"/>
  <c r="C10" i="2"/>
  <c r="B10" i="2"/>
  <c r="G9" i="2"/>
  <c r="F9" i="2"/>
  <c r="E9" i="2"/>
  <c r="D9" i="2"/>
  <c r="C9" i="2"/>
  <c r="B9" i="2"/>
  <c r="G8" i="2"/>
  <c r="F8" i="2"/>
  <c r="E8" i="2"/>
  <c r="D8" i="2"/>
  <c r="C8" i="2"/>
  <c r="B8" i="2"/>
  <c r="G6" i="2"/>
  <c r="F6" i="2"/>
  <c r="C6" i="2"/>
  <c r="B6" i="2"/>
  <c r="G110" i="1" l="1"/>
  <c r="F110" i="1"/>
  <c r="E110" i="1"/>
  <c r="D110" i="1"/>
  <c r="C110" i="1"/>
  <c r="B110" i="1"/>
  <c r="G109" i="1"/>
  <c r="F109" i="1"/>
  <c r="E109" i="1"/>
  <c r="D109" i="1"/>
  <c r="B109" i="1"/>
  <c r="G108" i="1"/>
  <c r="F108" i="1"/>
  <c r="E108" i="1"/>
  <c r="D108" i="1"/>
  <c r="C108" i="1"/>
  <c r="B108" i="1"/>
  <c r="G107" i="1"/>
  <c r="F107" i="1"/>
  <c r="E107" i="1"/>
  <c r="D107" i="1"/>
  <c r="C107" i="1"/>
  <c r="B107" i="1"/>
  <c r="G106" i="1"/>
  <c r="F106" i="1"/>
  <c r="E106" i="1"/>
  <c r="D106" i="1"/>
  <c r="C106" i="1"/>
  <c r="B106" i="1"/>
  <c r="G105" i="1"/>
  <c r="F105" i="1"/>
  <c r="E105" i="1"/>
  <c r="D105" i="1"/>
  <c r="C105" i="1"/>
  <c r="B105" i="1"/>
  <c r="G104" i="1"/>
  <c r="F104" i="1"/>
  <c r="E104" i="1"/>
  <c r="D104" i="1"/>
  <c r="B104" i="1"/>
  <c r="G103" i="1"/>
  <c r="F103" i="1"/>
  <c r="E103" i="1"/>
  <c r="D103" i="1"/>
  <c r="C103" i="1"/>
  <c r="B103" i="1"/>
  <c r="G102" i="1"/>
  <c r="F102" i="1"/>
  <c r="E102" i="1"/>
  <c r="D102" i="1"/>
  <c r="C102" i="1"/>
  <c r="B102" i="1"/>
  <c r="G101" i="1"/>
  <c r="F101" i="1"/>
  <c r="E101" i="1"/>
  <c r="D101" i="1"/>
  <c r="B101" i="1"/>
  <c r="G100" i="1"/>
  <c r="F100" i="1"/>
  <c r="E100" i="1"/>
  <c r="D100" i="1"/>
  <c r="C100" i="1"/>
  <c r="B100" i="1"/>
  <c r="G99" i="1"/>
  <c r="F99" i="1"/>
  <c r="E99" i="1"/>
  <c r="D99" i="1"/>
  <c r="C99" i="1"/>
  <c r="B99" i="1"/>
  <c r="G98" i="1"/>
  <c r="F98" i="1"/>
  <c r="E98" i="1"/>
  <c r="D98" i="1"/>
  <c r="C98" i="1"/>
  <c r="B98" i="1"/>
  <c r="G97" i="1"/>
  <c r="F97" i="1"/>
  <c r="E97" i="1"/>
  <c r="D97" i="1"/>
  <c r="C97" i="1"/>
  <c r="B97" i="1"/>
  <c r="G96" i="1"/>
  <c r="F96" i="1"/>
  <c r="E96" i="1"/>
  <c r="D96" i="1"/>
  <c r="B96" i="1"/>
  <c r="G95" i="1"/>
  <c r="F95" i="1"/>
  <c r="E95" i="1"/>
  <c r="D95" i="1"/>
  <c r="C95" i="1"/>
  <c r="B95" i="1"/>
  <c r="G94" i="1"/>
  <c r="F94" i="1"/>
  <c r="E94" i="1"/>
  <c r="D94" i="1"/>
  <c r="B94" i="1"/>
  <c r="G93" i="1"/>
  <c r="F93" i="1"/>
  <c r="E93" i="1"/>
  <c r="D93" i="1"/>
  <c r="C93" i="1"/>
  <c r="B93" i="1"/>
  <c r="G92" i="1"/>
  <c r="F92" i="1"/>
  <c r="E92" i="1"/>
  <c r="D92" i="1"/>
  <c r="C92" i="1"/>
  <c r="B92" i="1"/>
  <c r="G91" i="1"/>
  <c r="F91" i="1"/>
  <c r="E91" i="1"/>
  <c r="D91" i="1"/>
  <c r="C91" i="1"/>
  <c r="B91" i="1"/>
  <c r="G90" i="1"/>
  <c r="F90" i="1"/>
  <c r="E90" i="1"/>
  <c r="D90" i="1"/>
  <c r="C90" i="1"/>
  <c r="B90" i="1"/>
  <c r="G89" i="1"/>
  <c r="F89" i="1"/>
  <c r="E89" i="1"/>
  <c r="D89" i="1"/>
  <c r="C89" i="1"/>
  <c r="B89" i="1"/>
  <c r="G88" i="1"/>
  <c r="F88" i="1"/>
  <c r="E88" i="1"/>
  <c r="D88" i="1"/>
  <c r="B88" i="1"/>
  <c r="G87" i="1"/>
  <c r="F87" i="1"/>
  <c r="E87" i="1"/>
  <c r="D87" i="1"/>
  <c r="C87" i="1"/>
  <c r="B87" i="1"/>
  <c r="G86" i="1"/>
  <c r="F86" i="1"/>
  <c r="E86" i="1"/>
  <c r="D86" i="1"/>
  <c r="C86" i="1"/>
  <c r="B86" i="1"/>
  <c r="G85" i="1"/>
  <c r="F85" i="1"/>
  <c r="E85" i="1"/>
  <c r="D85" i="1"/>
  <c r="B85" i="1"/>
  <c r="G84" i="1"/>
  <c r="F84" i="1"/>
  <c r="E84" i="1"/>
  <c r="D84" i="1"/>
  <c r="C84" i="1"/>
  <c r="B84" i="1"/>
  <c r="G83" i="1"/>
  <c r="F83" i="1"/>
  <c r="E83" i="1"/>
  <c r="D83" i="1"/>
  <c r="C83" i="1"/>
  <c r="B83" i="1"/>
  <c r="G82" i="1"/>
  <c r="F82" i="1"/>
  <c r="E82" i="1"/>
  <c r="D82" i="1"/>
  <c r="B82" i="1"/>
  <c r="G81" i="1"/>
  <c r="F81" i="1"/>
  <c r="E81" i="1"/>
  <c r="D81" i="1"/>
  <c r="B81" i="1"/>
  <c r="G80" i="1"/>
  <c r="F80" i="1"/>
  <c r="E80" i="1"/>
  <c r="D80" i="1"/>
  <c r="C80" i="1"/>
  <c r="B80" i="1"/>
  <c r="G79" i="1"/>
  <c r="F79" i="1"/>
  <c r="E79" i="1"/>
  <c r="D79" i="1"/>
  <c r="C79" i="1"/>
  <c r="B79" i="1"/>
  <c r="G78" i="1"/>
  <c r="F78" i="1"/>
  <c r="E78" i="1"/>
  <c r="D78" i="1"/>
  <c r="B78" i="1"/>
  <c r="G77" i="1"/>
  <c r="F77" i="1"/>
  <c r="E77" i="1"/>
  <c r="D77" i="1"/>
  <c r="C77" i="1"/>
  <c r="B77" i="1"/>
  <c r="G76" i="1"/>
  <c r="F76" i="1"/>
  <c r="E76" i="1"/>
  <c r="D76" i="1"/>
  <c r="B76" i="1"/>
  <c r="G75" i="1"/>
  <c r="F75" i="1"/>
  <c r="E75" i="1"/>
  <c r="D75" i="1"/>
  <c r="C75" i="1"/>
  <c r="B75" i="1"/>
  <c r="G74" i="1"/>
  <c r="F74" i="1"/>
  <c r="E74" i="1"/>
  <c r="D74" i="1"/>
  <c r="C74" i="1"/>
  <c r="B74" i="1"/>
  <c r="G73" i="1"/>
  <c r="F73" i="1"/>
  <c r="E73" i="1"/>
  <c r="D73" i="1"/>
  <c r="C73" i="1"/>
  <c r="B73" i="1"/>
  <c r="G72" i="1"/>
  <c r="F72" i="1"/>
  <c r="E72" i="1"/>
  <c r="D72" i="1"/>
  <c r="C72" i="1"/>
  <c r="B72" i="1"/>
  <c r="G71" i="1"/>
  <c r="F71" i="1"/>
  <c r="E71" i="1"/>
  <c r="D71" i="1"/>
  <c r="C71" i="1"/>
  <c r="B71" i="1"/>
  <c r="G70" i="1"/>
  <c r="F70" i="1"/>
  <c r="E70" i="1"/>
  <c r="D70" i="1"/>
  <c r="B70" i="1"/>
  <c r="G69" i="1"/>
  <c r="F69" i="1"/>
  <c r="E69" i="1"/>
  <c r="D69" i="1"/>
  <c r="C69" i="1"/>
  <c r="B69" i="1"/>
  <c r="G68" i="1"/>
  <c r="F68" i="1"/>
  <c r="E68" i="1"/>
  <c r="D68" i="1"/>
  <c r="B68" i="1"/>
  <c r="G67" i="1"/>
  <c r="F67" i="1"/>
  <c r="E67" i="1"/>
  <c r="D67" i="1"/>
  <c r="C67" i="1"/>
  <c r="B67" i="1"/>
  <c r="G66" i="1"/>
  <c r="F66" i="1"/>
  <c r="E66" i="1"/>
  <c r="D66" i="1"/>
  <c r="C66" i="1"/>
  <c r="B66" i="1"/>
  <c r="G65" i="1"/>
  <c r="F65" i="1"/>
  <c r="E65" i="1"/>
  <c r="D65" i="1"/>
  <c r="C65" i="1"/>
  <c r="B65" i="1"/>
  <c r="G64" i="1"/>
  <c r="F64" i="1"/>
  <c r="E64" i="1"/>
  <c r="D64" i="1"/>
  <c r="C64" i="1"/>
  <c r="B64" i="1"/>
  <c r="G63" i="1"/>
  <c r="F63" i="1"/>
  <c r="E63" i="1"/>
  <c r="D63" i="1"/>
  <c r="C63" i="1"/>
  <c r="B63" i="1"/>
  <c r="G62" i="1"/>
  <c r="F62" i="1"/>
  <c r="E62" i="1"/>
  <c r="D62" i="1"/>
  <c r="B62" i="1"/>
  <c r="G61" i="1"/>
  <c r="F61" i="1"/>
  <c r="E61" i="1"/>
  <c r="D61" i="1"/>
  <c r="C61" i="1"/>
  <c r="B61" i="1"/>
  <c r="G60" i="1"/>
  <c r="F60" i="1"/>
  <c r="E60" i="1"/>
  <c r="D60" i="1"/>
  <c r="C60" i="1"/>
  <c r="B60" i="1"/>
  <c r="G59" i="1"/>
  <c r="F59" i="1"/>
  <c r="E59" i="1"/>
  <c r="D59" i="1"/>
  <c r="C59" i="1"/>
  <c r="B59" i="1"/>
  <c r="G58" i="1"/>
  <c r="F58" i="1"/>
  <c r="E58" i="1"/>
  <c r="D58" i="1"/>
  <c r="C58" i="1"/>
  <c r="B58" i="1"/>
  <c r="G57" i="1"/>
  <c r="F57" i="1"/>
  <c r="E57" i="1"/>
  <c r="D57" i="1"/>
  <c r="C57" i="1"/>
  <c r="B57" i="1"/>
  <c r="G56" i="1"/>
  <c r="F56" i="1"/>
  <c r="E56" i="1"/>
  <c r="D56" i="1"/>
  <c r="C56" i="1"/>
  <c r="B56" i="1"/>
  <c r="G55" i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B33" i="1"/>
  <c r="G32" i="1"/>
  <c r="F32" i="1"/>
  <c r="E32" i="1"/>
  <c r="D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6" i="1"/>
  <c r="F6" i="1"/>
  <c r="C6" i="1"/>
  <c r="B6" i="1"/>
</calcChain>
</file>

<file path=xl/sharedStrings.xml><?xml version="1.0" encoding="utf-8"?>
<sst xmlns="http://schemas.openxmlformats.org/spreadsheetml/2006/main" count="813" uniqueCount="298">
  <si>
    <t>Structura, %</t>
  </si>
  <si>
    <t>Gradul de influenţă a ţărilor, grupelor de ţări  la creşterea (+),  scăderea (-) exporturilor, %</t>
  </si>
  <si>
    <t>România</t>
  </si>
  <si>
    <t>Italia</t>
  </si>
  <si>
    <t>Germania</t>
  </si>
  <si>
    <t>Polonia</t>
  </si>
  <si>
    <t>Bulgaria</t>
  </si>
  <si>
    <t>Republica Cehă</t>
  </si>
  <si>
    <t>Austria</t>
  </si>
  <si>
    <t>Grecia</t>
  </si>
  <si>
    <t>Olanda</t>
  </si>
  <si>
    <t>Belarus</t>
  </si>
  <si>
    <t>Ucraina</t>
  </si>
  <si>
    <t>Kazahstan</t>
  </si>
  <si>
    <t>Azerbaidjan</t>
  </si>
  <si>
    <t>Uzbekistan</t>
  </si>
  <si>
    <t>Turkmenistan</t>
  </si>
  <si>
    <t>Armenia</t>
  </si>
  <si>
    <t>Tadjikistan</t>
  </si>
  <si>
    <t>Statele Unite ale Americii</t>
  </si>
  <si>
    <t>de 2,0 ori</t>
  </si>
  <si>
    <t>¹ În preţuri curente</t>
  </si>
  <si>
    <t>x</t>
  </si>
  <si>
    <t>conform Clasificării Standard de Comerţ Internaţional</t>
  </si>
  <si>
    <t>Animale vii</t>
  </si>
  <si>
    <t>Materiale brute necomestibile, exclusiv combustibili</t>
  </si>
  <si>
    <t>Produse chimice organice</t>
  </si>
  <si>
    <t>Produse chimice anorganice</t>
  </si>
  <si>
    <t>Materiale plastice sub forme primare</t>
  </si>
  <si>
    <t>Materiale plastice prelucrate</t>
  </si>
  <si>
    <t>Cauciuc prelucrat</t>
  </si>
  <si>
    <t>Articole din minerale nemetalice</t>
  </si>
  <si>
    <t>Metale neferoase</t>
  </si>
  <si>
    <t>Articole prelucrate din metal</t>
  </si>
  <si>
    <t>Alte echipamente de transport</t>
  </si>
  <si>
    <t>Articole manufacturate diverse</t>
  </si>
  <si>
    <t>Alte articole diverse</t>
  </si>
  <si>
    <t>Coreea de Sud</t>
  </si>
  <si>
    <t>Arabia Saudită</t>
  </si>
  <si>
    <t>Hong Kong, RAS a Chinei</t>
  </si>
  <si>
    <t>Africa de Sud</t>
  </si>
  <si>
    <t>Spania</t>
  </si>
  <si>
    <t>Belgia</t>
  </si>
  <si>
    <t>Ungaria</t>
  </si>
  <si>
    <t>Lituania</t>
  </si>
  <si>
    <t>Slovacia</t>
  </si>
  <si>
    <t>Letonia</t>
  </si>
  <si>
    <t>Estonia</t>
  </si>
  <si>
    <t>Cipru</t>
  </si>
  <si>
    <t>Danemarca</t>
  </si>
  <si>
    <t>Finlanda</t>
  </si>
  <si>
    <t>Suedia</t>
  </si>
  <si>
    <t>Portugalia</t>
  </si>
  <si>
    <t>Slovenia</t>
  </si>
  <si>
    <t>Irlanda</t>
  </si>
  <si>
    <t>Luxemburg</t>
  </si>
  <si>
    <t>Malta</t>
  </si>
  <si>
    <t>Turcia</t>
  </si>
  <si>
    <t>Irak</t>
  </si>
  <si>
    <t>Georgia</t>
  </si>
  <si>
    <t>China</t>
  </si>
  <si>
    <t>Liban</t>
  </si>
  <si>
    <t>Malaysia</t>
  </si>
  <si>
    <t>Israel</t>
  </si>
  <si>
    <t>Egipt</t>
  </si>
  <si>
    <t>Myanmar</t>
  </si>
  <si>
    <t>Indonezia</t>
  </si>
  <si>
    <t>Serbia</t>
  </si>
  <si>
    <t>Iordania</t>
  </si>
  <si>
    <t>Canada</t>
  </si>
  <si>
    <t>India</t>
  </si>
  <si>
    <t>Taiwan,  provincie a Chinei</t>
  </si>
  <si>
    <t>Bangladesh</t>
  </si>
  <si>
    <t>Vietnam</t>
  </si>
  <si>
    <t>Iran</t>
  </si>
  <si>
    <t>Pakistan</t>
  </si>
  <si>
    <t>Emiratele Arabe Unite</t>
  </si>
  <si>
    <t>Japonia</t>
  </si>
  <si>
    <t>Nigeria</t>
  </si>
  <si>
    <t>Norvegia</t>
  </si>
  <si>
    <t>Ecuador</t>
  </si>
  <si>
    <t>Islanda</t>
  </si>
  <si>
    <t>Argentina</t>
  </si>
  <si>
    <t>Thailanda</t>
  </si>
  <si>
    <t>Brazilia</t>
  </si>
  <si>
    <t>Mexic</t>
  </si>
  <si>
    <t>Maroc</t>
  </si>
  <si>
    <t>Singapore</t>
  </si>
  <si>
    <t>Filipine</t>
  </si>
  <si>
    <t>Chile</t>
  </si>
  <si>
    <t>Costa Rica</t>
  </si>
  <si>
    <t>Uruguay</t>
  </si>
  <si>
    <t>Tunisia</t>
  </si>
  <si>
    <t>Columbia</t>
  </si>
  <si>
    <t>Australia</t>
  </si>
  <si>
    <t>Noua Zeelandă</t>
  </si>
  <si>
    <t>de 2,1 ori</t>
  </si>
  <si>
    <t>Mongolia</t>
  </si>
  <si>
    <t>Peru</t>
  </si>
  <si>
    <t>Kenya</t>
  </si>
  <si>
    <t>mii dolari        SUA</t>
  </si>
  <si>
    <t>EXPORT - total</t>
  </si>
  <si>
    <t>Oman</t>
  </si>
  <si>
    <t>Albania</t>
  </si>
  <si>
    <t>de 1,7 ori</t>
  </si>
  <si>
    <t>de 1,6 ori</t>
  </si>
  <si>
    <t>de 1,9 ori</t>
  </si>
  <si>
    <t>Gradul de influenţă a grupelor de mărfuri  la creşterea (+),  scăderea (-) exporturilor, %</t>
  </si>
  <si>
    <t>Qatar</t>
  </si>
  <si>
    <t>Ponderea, %</t>
  </si>
  <si>
    <t>Swaziland</t>
  </si>
  <si>
    <t>mii dolari         SUA</t>
  </si>
  <si>
    <t>Belize</t>
  </si>
  <si>
    <t>Transport maritim</t>
  </si>
  <si>
    <t>Transport feroviar</t>
  </si>
  <si>
    <t>Transport rutier</t>
  </si>
  <si>
    <t>Transport aerian</t>
  </si>
  <si>
    <t>Expedieri poștale</t>
  </si>
  <si>
    <t>Instalații fixe de transport</t>
  </si>
  <si>
    <t>Autopropulsie</t>
  </si>
  <si>
    <t>Gradul de influenţă a grupelor de mărfuri  la creşterea (+),  scăderea (-) importurilor, %</t>
  </si>
  <si>
    <t>Gradul de influenţă a ţărilor, grupelor de ţări  la creşterea (+),  scăderea (-) importurilor, %</t>
  </si>
  <si>
    <t>2019¹</t>
  </si>
  <si>
    <t>mii dolari             SUA</t>
  </si>
  <si>
    <t>Regatul Unit al Marii Britanii şi Irlandei de Nord</t>
  </si>
  <si>
    <t>Franţa</t>
  </si>
  <si>
    <t>Croaţia</t>
  </si>
  <si>
    <t>Federaţia Rusă</t>
  </si>
  <si>
    <t>de 1,5 ori</t>
  </si>
  <si>
    <t>Kârgâzstan</t>
  </si>
  <si>
    <t>Elveţia</t>
  </si>
  <si>
    <t>Siria</t>
  </si>
  <si>
    <t>Afganistan</t>
  </si>
  <si>
    <t>IMPORT - total</t>
  </si>
  <si>
    <t>San Marino</t>
  </si>
  <si>
    <t>Etiopia</t>
  </si>
  <si>
    <t>Bahrain</t>
  </si>
  <si>
    <t>Senegal</t>
  </si>
  <si>
    <t xml:space="preserve">   din care:</t>
  </si>
  <si>
    <t xml:space="preserve">IMPORT - total      </t>
  </si>
  <si>
    <t>BALANŢA COMERCIALĂ - total, mii dolari SUA</t>
  </si>
  <si>
    <t>2020¹</t>
  </si>
  <si>
    <t>Burkina Faso</t>
  </si>
  <si>
    <t>Macedonia de Nord</t>
  </si>
  <si>
    <t>Andorra</t>
  </si>
  <si>
    <t>Cote D'Ivoire</t>
  </si>
  <si>
    <t>Insulele Feroe</t>
  </si>
  <si>
    <t>Antigua şi Barbuda</t>
  </si>
  <si>
    <t>Insulele Folkland</t>
  </si>
  <si>
    <t>Laos</t>
  </si>
  <si>
    <t xml:space="preserve"> - </t>
  </si>
  <si>
    <t xml:space="preserve">     din care:</t>
  </si>
  <si>
    <t>Republica Yemen</t>
  </si>
  <si>
    <t>Zimbabwe</t>
  </si>
  <si>
    <t>Madagascar</t>
  </si>
  <si>
    <t>Camerun</t>
  </si>
  <si>
    <t xml:space="preserve">EXPORT - total      </t>
  </si>
  <si>
    <r>
      <rPr>
        <b/>
        <sz val="12"/>
        <rFont val="Times New Roman"/>
        <family val="1"/>
        <charset val="204"/>
      </rPr>
      <t xml:space="preserve">Anexa 1.  </t>
    </r>
    <r>
      <rPr>
        <b/>
        <i/>
        <sz val="12"/>
        <rFont val="Times New Roman"/>
        <family val="1"/>
        <charset val="204"/>
      </rPr>
      <t>Exporturile structurate pe principalele ţări de destinaţie a mărfurilor şi grupe de ţări</t>
    </r>
  </si>
  <si>
    <r>
      <rPr>
        <b/>
        <sz val="12"/>
        <color indexed="8"/>
        <rFont val="Times New Roman"/>
        <family val="1"/>
        <charset val="204"/>
      </rPr>
      <t xml:space="preserve">Anexa 2.  </t>
    </r>
    <r>
      <rPr>
        <b/>
        <i/>
        <sz val="12"/>
        <color indexed="8"/>
        <rFont val="Times New Roman"/>
        <family val="1"/>
        <charset val="204"/>
      </rPr>
      <t>Importurile structurate pe principalele ţări de origine a mărfurilor şi grupe de ţări</t>
    </r>
  </si>
  <si>
    <r>
      <rPr>
        <b/>
        <sz val="12"/>
        <color indexed="8"/>
        <rFont val="Times New Roman"/>
        <family val="1"/>
        <charset val="204"/>
      </rPr>
      <t xml:space="preserve">Anexa 3.  </t>
    </r>
    <r>
      <rPr>
        <b/>
        <i/>
        <sz val="12"/>
        <color indexed="8"/>
        <rFont val="Times New Roman"/>
        <family val="1"/>
        <charset val="204"/>
      </rPr>
      <t>Balanţa comercială structurată pe principalele ţări şi grupe de ţări</t>
    </r>
  </si>
  <si>
    <r>
      <rPr>
        <b/>
        <sz val="12"/>
        <color indexed="8"/>
        <rFont val="Times New Roman"/>
        <family val="1"/>
        <charset val="204"/>
      </rPr>
      <t>Anexa 6.</t>
    </r>
    <r>
      <rPr>
        <b/>
        <i/>
        <sz val="12"/>
        <color indexed="8"/>
        <rFont val="Times New Roman"/>
        <family val="1"/>
        <charset val="204"/>
      </rPr>
      <t xml:space="preserve">  Exporturile structurate pe grupe de mărfuri, </t>
    </r>
  </si>
  <si>
    <r>
      <rPr>
        <b/>
        <sz val="12"/>
        <color indexed="8"/>
        <rFont val="Times New Roman"/>
        <family val="1"/>
        <charset val="204"/>
      </rPr>
      <t>Anexa 7.</t>
    </r>
    <r>
      <rPr>
        <b/>
        <i/>
        <sz val="12"/>
        <color indexed="8"/>
        <rFont val="Times New Roman"/>
        <family val="1"/>
        <charset val="204"/>
      </rPr>
      <t xml:space="preserve">  Importurile structurate pe grupe de mărfuri, </t>
    </r>
  </si>
  <si>
    <r>
      <rPr>
        <b/>
        <sz val="12"/>
        <color indexed="8"/>
        <rFont val="Times New Roman"/>
        <family val="1"/>
        <charset val="204"/>
      </rPr>
      <t xml:space="preserve">Anexa 8.  </t>
    </r>
    <r>
      <rPr>
        <b/>
        <i/>
        <sz val="12"/>
        <color indexed="8"/>
        <rFont val="Times New Roman"/>
        <family val="1"/>
        <charset val="204"/>
      </rPr>
      <t xml:space="preserve">Balanţa comercială structurată pe grupe de mărfuri, </t>
    </r>
  </si>
  <si>
    <t>Liechtenstein</t>
  </si>
  <si>
    <t>Tanzania</t>
  </si>
  <si>
    <t>Sierra Leone</t>
  </si>
  <si>
    <t>Mali</t>
  </si>
  <si>
    <t>Ţările Uniunii Europene (UE-27) - total</t>
  </si>
  <si>
    <t>Celelalte țări ale lumii - total</t>
  </si>
  <si>
    <t>Ţările CSI - total</t>
  </si>
  <si>
    <t>Celelalte ţări ale lumii - total</t>
  </si>
  <si>
    <t>Liberia</t>
  </si>
  <si>
    <t>Sri Lanka</t>
  </si>
  <si>
    <t>Cambodgia</t>
  </si>
  <si>
    <t>Mauritius</t>
  </si>
  <si>
    <t>Kosovo</t>
  </si>
  <si>
    <t>Ghana</t>
  </si>
  <si>
    <t>Montenegro</t>
  </si>
  <si>
    <t>Insulele Georgia şi Sandwich de Sud</t>
  </si>
  <si>
    <t>Paraguay</t>
  </si>
  <si>
    <t>Guatemala</t>
  </si>
  <si>
    <t>Zahăr, preparate pe bază de zahăr; miere</t>
  </si>
  <si>
    <t>Hrană destinată animalelor (exclusiv cereale nemăcinate)</t>
  </si>
  <si>
    <t>Pastă de hârtie şi deşeuri de hârtie</t>
  </si>
  <si>
    <t>Fibre textile (cu excepţia lânii în fuior şi a lânii pieptănate) şi deşeurile lor (neprelucrate în fire sau ţesături)</t>
  </si>
  <si>
    <t>Îngrăşăminte naturale şi minerale naturale (exclusiv cărbune, petrol şi pietre preţioase)</t>
  </si>
  <si>
    <t>Minereuri metalifere şi deşeuri de metale</t>
  </si>
  <si>
    <t>Alte materii brute de origine animală sau vegetală</t>
  </si>
  <si>
    <t>Combustibili minerali, lubrifianţi şi materiale derivate</t>
  </si>
  <si>
    <t>Petrol, produse petroliere şi produse înrudite</t>
  </si>
  <si>
    <t>Energie electrică</t>
  </si>
  <si>
    <t>Uleiuri, grăsimi şi ceruri de origine animală sau vegetală</t>
  </si>
  <si>
    <t>Grăsimi şi uleiuri vegetale fixate, brute, rafinate sau fracţionate</t>
  </si>
  <si>
    <t>Produse chimice şi produse derivate nespecificate în altă parte</t>
  </si>
  <si>
    <t>Produse tanante şi colorante</t>
  </si>
  <si>
    <t>Produse medicinale şi farmaceutice</t>
  </si>
  <si>
    <t>Uleiuri esenţiale, rezinoide şi substanţe parfumate, preparate pentru toaletă, produse pentru înfrumuseţare</t>
  </si>
  <si>
    <t>Îngrăşăminte minerale sau chimice</t>
  </si>
  <si>
    <t>Alte materiale şi produse chimice</t>
  </si>
  <si>
    <t>Piele, altă piele şi blană prelucrate</t>
  </si>
  <si>
    <t>Articole din lemn (exclusiv mobilă)</t>
  </si>
  <si>
    <t>Hârtie, carton şi articole din pastă de celuloză, din hârtie sau din carton</t>
  </si>
  <si>
    <t>Fire, tesături, articole textile necuprinse în altă parte şi produse conexe</t>
  </si>
  <si>
    <t>Fier şi oţel</t>
  </si>
  <si>
    <t>Maşini şi echipamente pentru transport</t>
  </si>
  <si>
    <t>Maşini  generatoare de putere şi echipamentele lor</t>
  </si>
  <si>
    <t>Maşini şi aparate specializate pentru industriile specifice</t>
  </si>
  <si>
    <t>Maşini şi aparate pentru prelucrarea metalelor</t>
  </si>
  <si>
    <t>Maşini şi aparate industriale cu aplicaţii generale; părţi şi piese detaşate ale acestor maşini</t>
  </si>
  <si>
    <t>Maşini şi aparate de birou sau pentru prelucrarea automată a datelor</t>
  </si>
  <si>
    <t>Aparate şi echipamente de telecomunicaţii şi pentru înregistrarea şi reproducerea sunetului şi imaginii</t>
  </si>
  <si>
    <t>Maşini şi aparate electrice şi părţi ale acestora (inclusiv echivalente neelectrice ale maşinilor şi aparatelor de uz casnic)</t>
  </si>
  <si>
    <t>Vehicule rutiere (inclusiv vehicule cu pernă de aer)</t>
  </si>
  <si>
    <t>Mobilă şi părţile ei</t>
  </si>
  <si>
    <t>Articole de voiaj; sacoşe şi similare</t>
  </si>
  <si>
    <t>Îmbrăcăminte şi accesorii</t>
  </si>
  <si>
    <t>Încălţăminte</t>
  </si>
  <si>
    <t>Aparate fotografice, echipamente şi furnituri de optică; ceasuri şi orologii</t>
  </si>
  <si>
    <t>Bunuri neclasificate în altă secţiune din CSCI</t>
  </si>
  <si>
    <t>Produse alimentare şi animale vii</t>
  </si>
  <si>
    <t>Carne şi preparate din carne</t>
  </si>
  <si>
    <t>Produse lactate şi ouă de păsări</t>
  </si>
  <si>
    <t>Peşte, crustacee, moluşte</t>
  </si>
  <si>
    <t>Cereale şi preparate pe bază de cereale</t>
  </si>
  <si>
    <t>Legume şi fructe</t>
  </si>
  <si>
    <t>Cafea, ceai, cacao, condimente şi înlocuitori ai acestora</t>
  </si>
  <si>
    <t>Produse şi preparate alimentare diverse</t>
  </si>
  <si>
    <t>Băuturi şi tutun</t>
  </si>
  <si>
    <t>Băuturi (alcoolice şi nealcoolice)</t>
  </si>
  <si>
    <t>Tutun brut şi prelucrat</t>
  </si>
  <si>
    <t>Seminţe şi fructe oleaginoase</t>
  </si>
  <si>
    <t>Cauciuc brut (inclusiv cauciuc sintetic şi regenerat)</t>
  </si>
  <si>
    <t>Lemn şi plută</t>
  </si>
  <si>
    <t>Cărbune, cocs şi brichete</t>
  </si>
  <si>
    <t>Gaz şi produse industriale obţinute din gaz</t>
  </si>
  <si>
    <t>Alte uleiuri şi grăsimi animale sau vegetale prelucrate; ceară de origine animală sau vegetală, amestecuri sau preparate necomestibile din uleiuri animale sau vegetale</t>
  </si>
  <si>
    <t>Piei crude, piei tăbăcite şi blănuri brute</t>
  </si>
  <si>
    <t>Uleiuri şi grăsimi de origine animală</t>
  </si>
  <si>
    <t>Construcţii prefabricate; alte instalaţii şi accesorii pentru instalaţii sanitare, de încalzit şi de iluminat</t>
  </si>
  <si>
    <t>Instrumente şi aparate, profesionale, ştiinţifice şi de control</t>
  </si>
  <si>
    <t>Uganda</t>
  </si>
  <si>
    <t>Mărfuri manufacturate, clasificate mai ales după materia primă</t>
  </si>
  <si>
    <t>de 2,2 ori</t>
  </si>
  <si>
    <t>de 1,8 ori</t>
  </si>
  <si>
    <r>
      <rPr>
        <b/>
        <sz val="12"/>
        <rFont val="Times New Roman"/>
        <family val="1"/>
        <charset val="204"/>
      </rPr>
      <t xml:space="preserve">Anexa 4.  </t>
    </r>
    <r>
      <rPr>
        <b/>
        <i/>
        <sz val="12"/>
        <rFont val="Times New Roman"/>
        <family val="1"/>
        <charset val="204"/>
      </rPr>
      <t xml:space="preserve">Exporturile structurate pe moduri de transport a mărfurilor și grupe de ţări  </t>
    </r>
  </si>
  <si>
    <r>
      <rPr>
        <b/>
        <sz val="12"/>
        <rFont val="Times New Roman"/>
        <family val="1"/>
        <charset val="204"/>
      </rPr>
      <t>Anexa 5.</t>
    </r>
    <r>
      <rPr>
        <b/>
        <i/>
        <sz val="12"/>
        <rFont val="Times New Roman"/>
        <family val="1"/>
        <charset val="204"/>
      </rPr>
      <t xml:space="preserve">  Importurile structurate pe moduri de transport a mărfurilor și grupe de ţări </t>
    </r>
  </si>
  <si>
    <t>Țările CSI - total</t>
  </si>
  <si>
    <t>de 2,3 ori</t>
  </si>
  <si>
    <t>de 3,2 ori</t>
  </si>
  <si>
    <t>de 141,2 ori</t>
  </si>
  <si>
    <t>de 3,9 ori</t>
  </si>
  <si>
    <t>de 4,2 ori</t>
  </si>
  <si>
    <t>Republica Dominicană</t>
  </si>
  <si>
    <t xml:space="preserve"> -</t>
  </si>
  <si>
    <t>Țările Uniunii Europene (UE-27)</t>
  </si>
  <si>
    <t xml:space="preserve">Țările CSI </t>
  </si>
  <si>
    <t xml:space="preserve">Celelalte țări ale lumii </t>
  </si>
  <si>
    <t>Cuba</t>
  </si>
  <si>
    <t>Trinidad Tobago</t>
  </si>
  <si>
    <t>Nepal</t>
  </si>
  <si>
    <t>Algeria</t>
  </si>
  <si>
    <t>de 3,0 ori</t>
  </si>
  <si>
    <t>Ianuarie - septembrie 2020</t>
  </si>
  <si>
    <t>în % faţă de ianuarie - septembrie 2019¹</t>
  </si>
  <si>
    <t>ianuarie - septembrie</t>
  </si>
  <si>
    <t>în % faţă de ianuarie-septembrie 2019¹</t>
  </si>
  <si>
    <t>Ianuarie - septembrie</t>
  </si>
  <si>
    <t>BALANŢA COMERCIALĂ – total, mii dolari SUA</t>
  </si>
  <si>
    <t>Ianuarie - septembrie             2020 în % faţă de                       ianuarie - septembrie 2019¹</t>
  </si>
  <si>
    <t>Ianuarie - septembrie               2020 în % faţă de                  ianuarie - septembrie 2019¹</t>
  </si>
  <si>
    <t>Bosnia şi Hertegovina</t>
  </si>
  <si>
    <t>de 2,5 ori</t>
  </si>
  <si>
    <t>de 62,1 ori</t>
  </si>
  <si>
    <t>de 3,7 ori</t>
  </si>
  <si>
    <t>de 3,3 ori</t>
  </si>
  <si>
    <t>de 2,6 ori</t>
  </si>
  <si>
    <t>de 4,6 ori</t>
  </si>
  <si>
    <t>de 7,6 ori</t>
  </si>
  <si>
    <t>de 8,2 ori</t>
  </si>
  <si>
    <t>de 6,8 ori</t>
  </si>
  <si>
    <t>de 5,7 ori</t>
  </si>
  <si>
    <t>de 14,3 ori</t>
  </si>
  <si>
    <t>de 6,3 ori</t>
  </si>
  <si>
    <t>de 8,6 ori</t>
  </si>
  <si>
    <t>de 10,8 ori</t>
  </si>
  <si>
    <t>de 5,2 ori</t>
  </si>
  <si>
    <t>Celelalte țări ale lumii</t>
  </si>
  <si>
    <t>Ţările Uniunii Europene (UE 27) - total</t>
  </si>
  <si>
    <t>Bolivia</t>
  </si>
  <si>
    <t>Congo</t>
  </si>
  <si>
    <t>Angola</t>
  </si>
  <si>
    <t>de 90,9 ori</t>
  </si>
  <si>
    <t>de 7,5 ori</t>
  </si>
  <si>
    <t>de 5,5 ori</t>
  </si>
  <si>
    <t>de 7,8 ori</t>
  </si>
  <si>
    <t>de 131,2 ori</t>
  </si>
  <si>
    <t>de 4,7 ori</t>
  </si>
  <si>
    <t>de 2,7 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</si>
</sst>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9" x14ac:knownFonts="1">
    <font>
      <sz val="12"/>
      <color indexed="8"/>
      <name val="Times New Roman"/>
      <family val="2"/>
      <charset val="238"/>
    </font>
    <font>
      <b/>
      <i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6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name val="Times New Roman"/>
      <family val="2"/>
      <charset val="238"/>
    </font>
    <font>
      <sz val="10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indexed="8"/>
      <name val="Times New Roman"/>
      <family val="2"/>
      <charset val="238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0" fontId="14" fillId="0" borderId="0"/>
    <xf numFmtId="0" fontId="13" fillId="0" borderId="0"/>
    <xf numFmtId="0" fontId="19" fillId="0" borderId="0"/>
    <xf numFmtId="0" fontId="13" fillId="0" borderId="0"/>
  </cellStyleXfs>
  <cellXfs count="114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justify"/>
    </xf>
    <xf numFmtId="164" fontId="11" fillId="0" borderId="0" xfId="0" applyNumberFormat="1" applyFont="1" applyFill="1" applyAlignment="1" applyProtection="1">
      <alignment horizontal="right"/>
    </xf>
    <xf numFmtId="164" fontId="9" fillId="0" borderId="0" xfId="0" applyNumberFormat="1" applyFont="1" applyFill="1" applyAlignment="1" applyProtection="1">
      <alignment horizontal="right"/>
    </xf>
    <xf numFmtId="0" fontId="12" fillId="0" borderId="0" xfId="0" applyFont="1"/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8" fillId="0" borderId="0" xfId="0" applyFont="1"/>
    <xf numFmtId="2" fontId="12" fillId="0" borderId="0" xfId="0" applyNumberFormat="1" applyFont="1" applyFill="1" applyAlignment="1" applyProtection="1">
      <alignment horizontal="right"/>
    </xf>
    <xf numFmtId="4" fontId="0" fillId="0" borderId="0" xfId="0" applyNumberFormat="1"/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0" xfId="0" applyFill="1"/>
    <xf numFmtId="38" fontId="23" fillId="0" borderId="0" xfId="0" applyNumberFormat="1" applyFont="1" applyFill="1" applyBorder="1" applyAlignment="1" applyProtection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4" fontId="24" fillId="0" borderId="0" xfId="0" applyNumberFormat="1" applyFont="1" applyFill="1" applyAlignment="1" applyProtection="1">
      <alignment horizontal="right" vertical="top" wrapText="1"/>
    </xf>
    <xf numFmtId="4" fontId="24" fillId="0" borderId="0" xfId="0" applyNumberFormat="1" applyFont="1" applyFill="1" applyAlignment="1" applyProtection="1">
      <alignment horizontal="right" vertical="top"/>
    </xf>
    <xf numFmtId="4" fontId="24" fillId="0" borderId="0" xfId="0" applyNumberFormat="1" applyFont="1" applyFill="1" applyBorder="1" applyAlignment="1" applyProtection="1">
      <alignment horizontal="right" vertical="top" wrapText="1"/>
    </xf>
    <xf numFmtId="4" fontId="22" fillId="0" borderId="0" xfId="0" applyNumberFormat="1" applyFont="1" applyFill="1" applyBorder="1" applyAlignment="1" applyProtection="1">
      <alignment horizontal="right" vertical="top"/>
    </xf>
    <xf numFmtId="4" fontId="24" fillId="0" borderId="0" xfId="0" applyNumberFormat="1" applyFont="1" applyFill="1" applyBorder="1" applyAlignment="1" applyProtection="1">
      <alignment horizontal="right" vertical="top"/>
    </xf>
    <xf numFmtId="0" fontId="9" fillId="0" borderId="3" xfId="0" applyNumberFormat="1" applyFont="1" applyFill="1" applyBorder="1" applyAlignment="1" applyProtection="1">
      <alignment horizontal="left" vertical="top" wrapText="1"/>
    </xf>
    <xf numFmtId="4" fontId="9" fillId="0" borderId="3" xfId="0" applyNumberFormat="1" applyFont="1" applyFill="1" applyBorder="1" applyAlignment="1" applyProtection="1">
      <alignment horizontal="right" vertical="top"/>
    </xf>
    <xf numFmtId="0" fontId="3" fillId="0" borderId="0" xfId="0" applyFont="1"/>
    <xf numFmtId="38" fontId="11" fillId="0" borderId="0" xfId="0" applyNumberFormat="1" applyFont="1" applyFill="1" applyAlignment="1" applyProtection="1">
      <alignment horizontal="left" vertical="top" wrapText="1"/>
    </xf>
    <xf numFmtId="4" fontId="9" fillId="0" borderId="3" xfId="0" applyNumberFormat="1" applyFont="1" applyBorder="1" applyAlignment="1">
      <alignment horizontal="right" vertical="top" indent="1"/>
    </xf>
    <xf numFmtId="0" fontId="25" fillId="0" borderId="0" xfId="0" applyFont="1"/>
    <xf numFmtId="4" fontId="26" fillId="0" borderId="0" xfId="0" applyNumberFormat="1" applyFont="1" applyAlignment="1">
      <alignment horizontal="right" vertical="top"/>
    </xf>
    <xf numFmtId="4" fontId="26" fillId="0" borderId="0" xfId="0" applyNumberFormat="1" applyFont="1" applyAlignment="1">
      <alignment horizontal="right" vertical="top" indent="2"/>
    </xf>
    <xf numFmtId="0" fontId="27" fillId="0" borderId="5" xfId="0" applyNumberFormat="1" applyFont="1" applyFill="1" applyBorder="1" applyAlignment="1" applyProtection="1">
      <alignment horizontal="left" vertical="top" wrapText="1"/>
    </xf>
    <xf numFmtId="4" fontId="27" fillId="0" borderId="5" xfId="0" applyNumberFormat="1" applyFont="1" applyFill="1" applyBorder="1" applyAlignment="1" applyProtection="1">
      <alignment horizontal="right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Alignment="1" applyProtection="1">
      <alignment horizontal="left" vertical="top" wrapText="1"/>
    </xf>
    <xf numFmtId="4" fontId="11" fillId="0" borderId="0" xfId="0" applyNumberFormat="1" applyFont="1" applyFill="1" applyAlignment="1" applyProtection="1">
      <alignment horizontal="right" vertical="top"/>
    </xf>
    <xf numFmtId="38" fontId="9" fillId="0" borderId="0" xfId="0" applyNumberFormat="1" applyFont="1" applyFill="1" applyAlignment="1" applyProtection="1">
      <alignment horizontal="left" vertical="top" wrapText="1"/>
    </xf>
    <xf numFmtId="4" fontId="9" fillId="0" borderId="0" xfId="0" applyNumberFormat="1" applyFont="1" applyFill="1" applyAlignment="1" applyProtection="1">
      <alignment horizontal="right" vertical="top"/>
    </xf>
    <xf numFmtId="38" fontId="9" fillId="0" borderId="0" xfId="0" applyNumberFormat="1" applyFont="1" applyFill="1" applyBorder="1" applyAlignment="1" applyProtection="1">
      <alignment horizontal="left" vertical="top" wrapText="1"/>
    </xf>
    <xf numFmtId="4" fontId="9" fillId="0" borderId="0" xfId="0" applyNumberFormat="1" applyFont="1" applyFill="1" applyBorder="1" applyAlignment="1" applyProtection="1">
      <alignment horizontal="right" vertical="top"/>
    </xf>
    <xf numFmtId="38" fontId="9" fillId="0" borderId="3" xfId="0" applyNumberFormat="1" applyFont="1" applyFill="1" applyBorder="1" applyAlignment="1" applyProtection="1">
      <alignment horizontal="left" vertical="top" wrapText="1"/>
    </xf>
    <xf numFmtId="38" fontId="11" fillId="0" borderId="3" xfId="0" applyNumberFormat="1" applyFont="1" applyFill="1" applyBorder="1" applyAlignment="1" applyProtection="1">
      <alignment horizontal="left" vertical="top" wrapText="1"/>
    </xf>
    <xf numFmtId="4" fontId="11" fillId="0" borderId="3" xfId="0" applyNumberFormat="1" applyFont="1" applyFill="1" applyBorder="1" applyAlignment="1" applyProtection="1">
      <alignment horizontal="right" vertical="top"/>
    </xf>
    <xf numFmtId="4" fontId="27" fillId="0" borderId="5" xfId="0" applyNumberFormat="1" applyFont="1" applyFill="1" applyBorder="1" applyAlignment="1" applyProtection="1">
      <alignment horizontal="right" vertical="top" indent="2"/>
    </xf>
    <xf numFmtId="4" fontId="11" fillId="0" borderId="0" xfId="0" applyNumberFormat="1" applyFont="1" applyFill="1" applyAlignment="1" applyProtection="1">
      <alignment horizontal="right" vertical="top" indent="2"/>
    </xf>
    <xf numFmtId="4" fontId="9" fillId="0" borderId="0" xfId="0" applyNumberFormat="1" applyFont="1" applyFill="1" applyAlignment="1" applyProtection="1">
      <alignment horizontal="right" vertical="top" indent="2"/>
    </xf>
    <xf numFmtId="4" fontId="9" fillId="0" borderId="0" xfId="0" applyNumberFormat="1" applyFont="1" applyFill="1" applyBorder="1" applyAlignment="1" applyProtection="1">
      <alignment horizontal="right" vertical="top" indent="2"/>
    </xf>
    <xf numFmtId="4" fontId="11" fillId="0" borderId="3" xfId="0" applyNumberFormat="1" applyFont="1" applyFill="1" applyBorder="1" applyAlignment="1" applyProtection="1">
      <alignment horizontal="right" vertical="top" indent="2"/>
    </xf>
    <xf numFmtId="4" fontId="27" fillId="0" borderId="0" xfId="0" applyNumberFormat="1" applyFont="1" applyFill="1" applyAlignment="1" applyProtection="1">
      <alignment horizontal="right" vertical="top"/>
    </xf>
    <xf numFmtId="4" fontId="27" fillId="0" borderId="5" xfId="0" applyNumberFormat="1" applyFont="1" applyFill="1" applyBorder="1" applyAlignment="1" applyProtection="1">
      <alignment horizontal="right" vertical="top" indent="1"/>
    </xf>
    <xf numFmtId="4" fontId="27" fillId="0" borderId="0" xfId="0" applyNumberFormat="1" applyFont="1" applyFill="1" applyAlignment="1" applyProtection="1">
      <alignment horizontal="right" vertical="top" wrapText="1"/>
    </xf>
    <xf numFmtId="4" fontId="28" fillId="0" borderId="0" xfId="0" applyNumberFormat="1" applyFont="1" applyAlignment="1">
      <alignment horizontal="right" vertical="top" wrapText="1" indent="1"/>
    </xf>
    <xf numFmtId="4" fontId="9" fillId="0" borderId="0" xfId="0" applyNumberFormat="1" applyFont="1" applyAlignment="1">
      <alignment horizontal="right" vertical="top" wrapText="1" indent="1"/>
    </xf>
    <xf numFmtId="4" fontId="11" fillId="0" borderId="0" xfId="0" applyNumberFormat="1" applyFont="1" applyFill="1" applyAlignment="1" applyProtection="1">
      <alignment horizontal="right" vertical="top" indent="1"/>
    </xf>
    <xf numFmtId="4" fontId="9" fillId="0" borderId="0" xfId="0" applyNumberFormat="1" applyFont="1" applyBorder="1" applyAlignment="1">
      <alignment horizontal="right" vertical="top" wrapText="1" indent="1"/>
    </xf>
    <xf numFmtId="4" fontId="9" fillId="0" borderId="0" xfId="0" applyNumberFormat="1" applyFont="1" applyFill="1" applyAlignment="1" applyProtection="1">
      <alignment horizontal="right" vertical="top" wrapText="1" indent="1"/>
    </xf>
    <xf numFmtId="4" fontId="9" fillId="0" borderId="3" xfId="0" applyNumberFormat="1" applyFont="1" applyBorder="1" applyAlignment="1">
      <alignment horizontal="right" vertical="top" wrapText="1" indent="1"/>
    </xf>
    <xf numFmtId="0" fontId="2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NumberFormat="1" applyFont="1" applyFill="1" applyAlignment="1" applyProtection="1">
      <alignment horizontal="left" vertical="top" wrapText="1"/>
    </xf>
    <xf numFmtId="4" fontId="27" fillId="0" borderId="0" xfId="0" applyNumberFormat="1" applyFont="1" applyFill="1" applyBorder="1" applyAlignment="1" applyProtection="1">
      <alignment horizontal="right" vertical="top" indent="1"/>
    </xf>
    <xf numFmtId="4" fontId="11" fillId="0" borderId="0" xfId="0" applyNumberFormat="1" applyFont="1" applyAlignment="1">
      <alignment horizontal="right" vertical="top" indent="1"/>
    </xf>
    <xf numFmtId="4" fontId="9" fillId="0" borderId="0" xfId="0" applyNumberFormat="1" applyFont="1" applyAlignment="1">
      <alignment horizontal="right" vertical="top" indent="1"/>
    </xf>
    <xf numFmtId="4" fontId="11" fillId="0" borderId="0" xfId="0" applyNumberFormat="1" applyFont="1" applyFill="1" applyBorder="1" applyAlignment="1" applyProtection="1">
      <alignment horizontal="right" vertical="top" indent="1"/>
    </xf>
    <xf numFmtId="4" fontId="11" fillId="0" borderId="0" xfId="0" applyNumberFormat="1" applyFont="1" applyAlignment="1">
      <alignment horizontal="right" vertical="top" wrapText="1" indent="1"/>
    </xf>
    <xf numFmtId="4" fontId="9" fillId="0" borderId="0" xfId="0" applyNumberFormat="1" applyFont="1" applyBorder="1" applyAlignment="1">
      <alignment horizontal="right" vertical="top" indent="1"/>
    </xf>
    <xf numFmtId="0" fontId="25" fillId="0" borderId="0" xfId="0" applyFont="1" applyAlignment="1">
      <alignment horizontal="right" vertical="top" indent="1"/>
    </xf>
    <xf numFmtId="4" fontId="9" fillId="0" borderId="0" xfId="0" applyNumberFormat="1" applyFont="1" applyFill="1" applyAlignment="1" applyProtection="1">
      <alignment horizontal="right" vertical="top" indent="1"/>
    </xf>
    <xf numFmtId="4" fontId="9" fillId="0" borderId="0" xfId="0" applyNumberFormat="1" applyFont="1" applyFill="1" applyBorder="1" applyAlignment="1" applyProtection="1">
      <alignment horizontal="right" vertical="top" indent="1"/>
    </xf>
    <xf numFmtId="4" fontId="9" fillId="0" borderId="3" xfId="0" applyNumberFormat="1" applyFont="1" applyFill="1" applyBorder="1" applyAlignment="1" applyProtection="1">
      <alignment horizontal="right" vertical="top" indent="1"/>
    </xf>
    <xf numFmtId="0" fontId="17" fillId="0" borderId="0" xfId="0" applyFont="1" applyAlignment="1">
      <alignment horizontal="center"/>
    </xf>
    <xf numFmtId="0" fontId="9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6">
    <cellStyle name="Normal" xfId="0" builtinId="0"/>
    <cellStyle name="Normal 2" xfId="4"/>
    <cellStyle name="Normal 3" xfId="3"/>
    <cellStyle name="Обычный 2" xfId="1"/>
    <cellStyle name="Обычный 3" xfId="2"/>
    <cellStyle name="Обычный 3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1"/>
  <sheetViews>
    <sheetView tabSelected="1" zoomScaleNormal="100" workbookViewId="0">
      <selection activeCell="K10" sqref="K10"/>
    </sheetView>
  </sheetViews>
  <sheetFormatPr defaultRowHeight="15.75" x14ac:dyDescent="0.25"/>
  <cols>
    <col min="1" max="1" width="27.5" style="9" customWidth="1"/>
    <col min="2" max="2" width="13.125" style="9" customWidth="1"/>
    <col min="3" max="3" width="11.25" style="9" customWidth="1"/>
    <col min="4" max="4" width="8.875" style="9" customWidth="1"/>
    <col min="5" max="5" width="9" style="9" customWidth="1"/>
    <col min="6" max="6" width="9.75" style="9" customWidth="1"/>
    <col min="7" max="7" width="10" style="9" customWidth="1"/>
  </cols>
  <sheetData>
    <row r="1" spans="1:7" x14ac:dyDescent="0.25">
      <c r="A1" s="83" t="s">
        <v>157</v>
      </c>
      <c r="B1" s="83"/>
      <c r="C1" s="83"/>
      <c r="D1" s="83"/>
      <c r="E1" s="83"/>
      <c r="F1" s="83"/>
      <c r="G1" s="83"/>
    </row>
    <row r="3" spans="1:7" ht="54" customHeight="1" x14ac:dyDescent="0.25">
      <c r="A3" s="84"/>
      <c r="B3" s="87" t="s">
        <v>262</v>
      </c>
      <c r="C3" s="88"/>
      <c r="D3" s="87" t="s">
        <v>109</v>
      </c>
      <c r="E3" s="88"/>
      <c r="F3" s="89" t="s">
        <v>1</v>
      </c>
      <c r="G3" s="90"/>
    </row>
    <row r="4" spans="1:7" ht="18.75" customHeight="1" x14ac:dyDescent="0.25">
      <c r="A4" s="85"/>
      <c r="B4" s="91" t="s">
        <v>100</v>
      </c>
      <c r="C4" s="93" t="s">
        <v>263</v>
      </c>
      <c r="D4" s="95" t="s">
        <v>264</v>
      </c>
      <c r="E4" s="95"/>
      <c r="F4" s="95" t="s">
        <v>264</v>
      </c>
      <c r="G4" s="87"/>
    </row>
    <row r="5" spans="1:7" ht="38.25" customHeight="1" x14ac:dyDescent="0.25">
      <c r="A5" s="86"/>
      <c r="B5" s="92"/>
      <c r="C5" s="94"/>
      <c r="D5" s="23">
        <v>2019</v>
      </c>
      <c r="E5" s="23">
        <v>2020</v>
      </c>
      <c r="F5" s="23" t="s">
        <v>122</v>
      </c>
      <c r="G5" s="19" t="s">
        <v>141</v>
      </c>
    </row>
    <row r="6" spans="1:7" ht="15.75" customHeight="1" x14ac:dyDescent="0.25">
      <c r="A6" s="44" t="s">
        <v>101</v>
      </c>
      <c r="B6" s="45">
        <f>IF(1755499.84492="","-",1755499.84492)</f>
        <v>1755499.8449200001</v>
      </c>
      <c r="C6" s="45">
        <f>IF(2025977.54466="","-",1755499.84492/2025977.54466*100)</f>
        <v>86.649521340800874</v>
      </c>
      <c r="D6" s="45">
        <v>100</v>
      </c>
      <c r="E6" s="45">
        <v>100</v>
      </c>
      <c r="F6" s="45">
        <f>IF(1959536.20883="","-",(2025977.54466-1959536.20883)/1959536.20883*100)</f>
        <v>3.3906664000697799</v>
      </c>
      <c r="G6" s="45">
        <f>IF(2025977.54466="","-",(1755499.84492-2025977.54466)/2025977.54466*100)</f>
        <v>-13.35047865919913</v>
      </c>
    </row>
    <row r="7" spans="1:7" ht="15.75" customHeight="1" x14ac:dyDescent="0.25">
      <c r="A7" s="46" t="s">
        <v>138</v>
      </c>
      <c r="B7" s="34"/>
      <c r="C7" s="34"/>
      <c r="D7" s="34"/>
      <c r="E7" s="34"/>
      <c r="F7" s="34"/>
      <c r="G7" s="34"/>
    </row>
    <row r="8" spans="1:7" ht="15.75" customHeight="1" x14ac:dyDescent="0.25">
      <c r="A8" s="47" t="s">
        <v>167</v>
      </c>
      <c r="B8" s="48">
        <f>IF(1159108.03406="","-",1159108.03406)</f>
        <v>1159108.03406</v>
      </c>
      <c r="C8" s="48">
        <f>IF(1289470.65466="","-",1159108.03406/1289470.65466*100)</f>
        <v>89.890221996996644</v>
      </c>
      <c r="D8" s="48">
        <f>IF(1289470.65466="","-",1289470.65466/2025977.54466*100)</f>
        <v>63.646838438991651</v>
      </c>
      <c r="E8" s="48">
        <f>IF(1159108.03406="","-",1159108.03406/1755499.84492*100)</f>
        <v>66.027236482770618</v>
      </c>
      <c r="F8" s="48">
        <f>IF(1959536.20883="","-",(1289470.65466-1300577.26594)/1959536.20883*100)</f>
        <v>-0.5667979611681484</v>
      </c>
      <c r="G8" s="48">
        <f>IF(2025977.54466="","-",(1159108.03406-1289470.65466)/2025977.54466*100)</f>
        <v>-6.4345540721122614</v>
      </c>
    </row>
    <row r="9" spans="1:7" ht="15.75" customHeight="1" x14ac:dyDescent="0.25">
      <c r="A9" s="49" t="s">
        <v>2</v>
      </c>
      <c r="B9" s="50">
        <f>IF(485645.87832="","-",485645.87832)</f>
        <v>485645.87832000002</v>
      </c>
      <c r="C9" s="50">
        <f>IF(OR(571993.18397="",485645.87832=""),"-",485645.87832/571993.18397*100)</f>
        <v>84.904137309697603</v>
      </c>
      <c r="D9" s="50">
        <f>IF(571993.18397="","-",571993.18397/2025977.54466*100)</f>
        <v>28.232947866457824</v>
      </c>
      <c r="E9" s="50">
        <f>IF(485645.87832="","-",485645.87832/1755499.84492*100)</f>
        <v>27.66425071043691</v>
      </c>
      <c r="F9" s="50">
        <f>IF(OR(1959536.20883="",561862.01598="",571993.18397=""),"-",(571993.18397-561862.01598)/1959536.20883*100)</f>
        <v>0.51701866719008505</v>
      </c>
      <c r="G9" s="50">
        <f>IF(OR(2025977.54466="",485645.87832="",571993.18397=""),"-",(485645.87832-571993.18397)/2025977.54466*100)</f>
        <v>-4.2620070433451334</v>
      </c>
    </row>
    <row r="10" spans="1:7" ht="15.75" customHeight="1" x14ac:dyDescent="0.25">
      <c r="A10" s="49" t="s">
        <v>4</v>
      </c>
      <c r="B10" s="50">
        <f>IF(162224.28511="","-",162224.28511)</f>
        <v>162224.28511</v>
      </c>
      <c r="C10" s="50">
        <f>IF(OR(181909.45768="",162224.28511=""),"-",162224.28511/181909.45768*100)</f>
        <v>89.178587622074872</v>
      </c>
      <c r="D10" s="50">
        <f>IF(181909.45768="","-",181909.45768/2025977.54466*100)</f>
        <v>8.9788486629316555</v>
      </c>
      <c r="E10" s="50">
        <f>IF(162224.28511="","-",162224.28511/1755499.84492*100)</f>
        <v>9.2409170857769407</v>
      </c>
      <c r="F10" s="50">
        <f>IF(OR(1959536.20883="",163831.29019="",181909.45768=""),"-",(181909.45768-163831.29019)/1959536.20883*100)</f>
        <v>0.9225737911112194</v>
      </c>
      <c r="G10" s="50">
        <f>IF(OR(2025977.54466="",162224.28511="",181909.45768=""),"-",(162224.28511-181909.45768)/2025977.54466*100)</f>
        <v>-0.97163824060565118</v>
      </c>
    </row>
    <row r="11" spans="1:7" ht="13.5" customHeight="1" x14ac:dyDescent="0.25">
      <c r="A11" s="49" t="s">
        <v>3</v>
      </c>
      <c r="B11" s="50">
        <f>IF(152786.40842="","-",152786.40842)</f>
        <v>152786.40841999999</v>
      </c>
      <c r="C11" s="50">
        <f>IF(OR(206768.43293="",152786.40842=""),"-",152786.40842/206768.43293*100)</f>
        <v>73.892521336525647</v>
      </c>
      <c r="D11" s="50">
        <f>IF(206768.43293="","-",206768.43293/2025977.54466*100)</f>
        <v>10.205860053828975</v>
      </c>
      <c r="E11" s="50">
        <f>IF(152786.40842="","-",152786.40842/1755499.84492*100)</f>
        <v>8.7032994541200104</v>
      </c>
      <c r="F11" s="50">
        <f>IF(OR(1959536.20883="",229710.15129="",206768.43293=""),"-",(206768.43293-229710.15129)/1959536.20883*100)</f>
        <v>-1.1707728725103805</v>
      </c>
      <c r="G11" s="50">
        <f>IF(OR(2025977.54466="",152786.40842="",206768.43293=""),"-",(152786.40842-206768.43293)/2025977.54466*100)</f>
        <v>-2.6644927359774511</v>
      </c>
    </row>
    <row r="12" spans="1:7" ht="15.75" customHeight="1" x14ac:dyDescent="0.25">
      <c r="A12" s="49" t="s">
        <v>5</v>
      </c>
      <c r="B12" s="50">
        <f>IF(73089.08248="","-",73089.08248)</f>
        <v>73089.082479999997</v>
      </c>
      <c r="C12" s="50">
        <f>IF(OR(80428.17802="",73089.08248=""),"-",73089.08248/80428.17802*100)</f>
        <v>90.874969792085807</v>
      </c>
      <c r="D12" s="50">
        <f>IF(80428.17802="","-",80428.17802/2025977.54466*100)</f>
        <v>3.9698454818509594</v>
      </c>
      <c r="E12" s="50">
        <f>IF(73089.08248="","-",73089.08248/1755499.84492*100)</f>
        <v>4.1634342886160001</v>
      </c>
      <c r="F12" s="50">
        <f>IF(OR(1959536.20883="",69463.99575="",80428.17802=""),"-",(80428.17802-69463.99575)/1959536.20883*100)</f>
        <v>0.55952945501050477</v>
      </c>
      <c r="G12" s="50">
        <f>IF(OR(2025977.54466="",73089.08248="",80428.17802=""),"-",(73089.08248-80428.17802)/2025977.54466*100)</f>
        <v>-0.36224959942641705</v>
      </c>
    </row>
    <row r="13" spans="1:7" s="14" customFormat="1" x14ac:dyDescent="0.25">
      <c r="A13" s="49" t="s">
        <v>7</v>
      </c>
      <c r="B13" s="50">
        <f>IF(57395.94823="","-",57395.94823)</f>
        <v>57395.948230000002</v>
      </c>
      <c r="C13" s="50">
        <f>IF(OR(41936.67614="",57395.94823=""),"-",57395.94823/41936.67614*100)</f>
        <v>136.86336999716258</v>
      </c>
      <c r="D13" s="50">
        <f>IF(41936.67614="","-",41936.67614/2025977.54466*100)</f>
        <v>2.0699477272359315</v>
      </c>
      <c r="E13" s="50">
        <f>IF(57395.94823="","-",57395.94823/1755499.84492*100)</f>
        <v>3.2694932099305083</v>
      </c>
      <c r="F13" s="50">
        <f>IF(OR(1959536.20883="",30441.1731="",41936.67614=""),"-",(41936.67614-30441.1731)/1959536.20883*100)</f>
        <v>0.5866440736435149</v>
      </c>
      <c r="G13" s="50">
        <f>IF(OR(2025977.54466="",57395.94823="",41936.67614=""),"-",(57395.94823-41936.67614)/2025977.54466*100)</f>
        <v>0.76305248943883919</v>
      </c>
    </row>
    <row r="14" spans="1:7" s="14" customFormat="1" x14ac:dyDescent="0.25">
      <c r="A14" s="49" t="s">
        <v>10</v>
      </c>
      <c r="B14" s="50">
        <f>IF(43874.58039="","-",43874.58039)</f>
        <v>43874.580390000003</v>
      </c>
      <c r="C14" s="50" t="s">
        <v>104</v>
      </c>
      <c r="D14" s="50">
        <f>IF(25412.43392="","-",25412.43392/2025977.54466*100)</f>
        <v>1.2543294957528623</v>
      </c>
      <c r="E14" s="50">
        <f>IF(43874.58039="","-",43874.58039/1755499.84492*100)</f>
        <v>2.4992642703422976</v>
      </c>
      <c r="F14" s="50">
        <f>IF(OR(1959536.20883="",26982.89999="",25412.43392=""),"-",(25412.43392-26982.89999)/1959536.20883*100)</f>
        <v>-8.0144784409862793E-2</v>
      </c>
      <c r="G14" s="50">
        <f>IF(OR(2025977.54466="",43874.58039="",25412.43392=""),"-",(43874.58039-25412.43392)/2025977.54466*100)</f>
        <v>0.91127103154039768</v>
      </c>
    </row>
    <row r="15" spans="1:7" s="14" customFormat="1" x14ac:dyDescent="0.25">
      <c r="A15" s="49" t="s">
        <v>6</v>
      </c>
      <c r="B15" s="50">
        <f>IF(28849.81433="","-",28849.81433)</f>
        <v>28849.814330000001</v>
      </c>
      <c r="C15" s="50">
        <f>IF(OR(35518.75181="",28849.81433=""),"-",28849.81433/35518.75181*100)</f>
        <v>81.224178384212195</v>
      </c>
      <c r="D15" s="50">
        <f>IF(35518.75181="","-",35518.75181/2025977.54466*100)</f>
        <v>1.7531661149759075</v>
      </c>
      <c r="E15" s="50">
        <f>IF(28849.81433="","-",28849.81433/1755499.84492*100)</f>
        <v>1.6433960056154102</v>
      </c>
      <c r="F15" s="50">
        <f>IF(OR(1959536.20883="",37705.90926="",35518.75181=""),"-",(35518.75181-37705.90926)/1959536.20883*100)</f>
        <v>-0.11161607732198564</v>
      </c>
      <c r="G15" s="50">
        <f>IF(OR(2025977.54466="",28849.81433="",35518.75181=""),"-",(28849.81433-35518.75181)/2025977.54466*100)</f>
        <v>-0.32917134237631362</v>
      </c>
    </row>
    <row r="16" spans="1:7" s="14" customFormat="1" x14ac:dyDescent="0.25">
      <c r="A16" s="49" t="s">
        <v>9</v>
      </c>
      <c r="B16" s="50">
        <f>IF(23648.08193="","-",23648.08193)</f>
        <v>23648.08193</v>
      </c>
      <c r="C16" s="50">
        <f>IF(OR(22860.25702="",23648.08193=""),"-",23648.08193/22860.25702*100)</f>
        <v>103.44626444624288</v>
      </c>
      <c r="D16" s="50">
        <f>IF(22860.25702="","-",22860.25702/2025977.54466*100)</f>
        <v>1.1283568803738353</v>
      </c>
      <c r="E16" s="50">
        <f>IF(23648.08193="","-",23648.08193/1755499.84492*100)</f>
        <v>1.3470853898638577</v>
      </c>
      <c r="F16" s="50">
        <f>IF(OR(1959536.20883="",26566.96519="",22860.25702=""),"-",(22860.25702-26566.96519)/1959536.20883*100)</f>
        <v>-0.18916252495345315</v>
      </c>
      <c r="G16" s="50">
        <f>IF(OR(2025977.54466="",23648.08193="",22860.25702=""),"-",(23648.08193-22860.25702)/2025977.54466*100)</f>
        <v>3.8886161995058656E-2</v>
      </c>
    </row>
    <row r="17" spans="1:7" s="14" customFormat="1" x14ac:dyDescent="0.25">
      <c r="A17" s="49" t="s">
        <v>41</v>
      </c>
      <c r="B17" s="50">
        <f>IF(23538.44809="","-",23538.44809)</f>
        <v>23538.448090000002</v>
      </c>
      <c r="C17" s="50">
        <f>IF(OR(23567.17997="",23538.44809=""),"-",23538.44809/23567.17997*100)</f>
        <v>99.878085201383556</v>
      </c>
      <c r="D17" s="50">
        <f>IF(23567.17997="","-",23567.17997/2025977.54466*100)</f>
        <v>1.1632498115350558</v>
      </c>
      <c r="E17" s="50">
        <f>IF(23538.44809="","-",23538.44809/1755499.84492*100)</f>
        <v>1.3408402261107959</v>
      </c>
      <c r="F17" s="50">
        <f>IF(OR(1959536.20883="",19890.72996="",23567.17997=""),"-",(23567.17997-19890.72996)/1959536.20883*100)</f>
        <v>0.18761837589085101</v>
      </c>
      <c r="G17" s="50">
        <f>IF(OR(2025977.54466="",23538.44809="",23567.17997=""),"-",(23538.44809-23567.17997)/2025977.54466*100)</f>
        <v>-1.4181736651390753E-3</v>
      </c>
    </row>
    <row r="18" spans="1:7" s="14" customFormat="1" x14ac:dyDescent="0.25">
      <c r="A18" s="49" t="s">
        <v>125</v>
      </c>
      <c r="B18" s="50">
        <f>IF(23108.66947="","-",23108.66947)</f>
        <v>23108.669470000001</v>
      </c>
      <c r="C18" s="50">
        <f>IF(OR(24901.85569="",23108.66947=""),"-",23108.66947/24901.85569*100)</f>
        <v>92.798985576323531</v>
      </c>
      <c r="D18" s="50">
        <f>IF(24901.85569="","-",24901.85569/2025977.54466*100)</f>
        <v>1.2291279217598157</v>
      </c>
      <c r="E18" s="50">
        <f>IF(23108.66947="","-",23108.66947/1755499.84492*100)</f>
        <v>1.3163583885735453</v>
      </c>
      <c r="F18" s="50">
        <f>IF(OR(1959536.20883="",38251.61592="",24901.85569=""),"-",(24901.85569-38251.61592)/1959536.20883*100)</f>
        <v>-0.68127142381160044</v>
      </c>
      <c r="G18" s="50">
        <f>IF(OR(2025977.54466="",23108.66947="",24901.85569=""),"-",(23108.66947-24901.85569)/2025977.54466*100)</f>
        <v>-8.8509678931359165E-2</v>
      </c>
    </row>
    <row r="19" spans="1:7" s="16" customFormat="1" x14ac:dyDescent="0.25">
      <c r="A19" s="49" t="s">
        <v>43</v>
      </c>
      <c r="B19" s="50">
        <f>IF(16961.98669="","-",16961.98669)</f>
        <v>16961.986690000002</v>
      </c>
      <c r="C19" s="50" t="s">
        <v>271</v>
      </c>
      <c r="D19" s="50">
        <f>IF(6804.82704="","-",6804.82704/2025977.54466*100)</f>
        <v>0.33587870003475229</v>
      </c>
      <c r="E19" s="50">
        <f>IF(16961.98669="","-",16961.98669/1755499.84492*100)</f>
        <v>0.966219777181067</v>
      </c>
      <c r="F19" s="50">
        <f>IF(OR(1959536.20883="",5911.65416="",6804.82704=""),"-",(6804.82704-5911.65416)/1959536.20883*100)</f>
        <v>4.5580830605487808E-2</v>
      </c>
      <c r="G19" s="50">
        <f>IF(OR(2025977.54466="",16961.98669="",6804.82704=""),"-",(16961.98669-6804.82704)/2025977.54466*100)</f>
        <v>0.501346111992795</v>
      </c>
    </row>
    <row r="20" spans="1:7" s="14" customFormat="1" x14ac:dyDescent="0.25">
      <c r="A20" s="49" t="s">
        <v>8</v>
      </c>
      <c r="B20" s="50">
        <f>IF(15773.65486="","-",15773.65486)</f>
        <v>15773.654860000001</v>
      </c>
      <c r="C20" s="50">
        <f>IF(OR(20742.6282="",15773.65486=""),"-",15773.65486/20742.6282*100)</f>
        <v>76.044629966418626</v>
      </c>
      <c r="D20" s="50">
        <f>IF(20742.6282="","-",20742.6282/2025977.54466*100)</f>
        <v>1.0238330752812481</v>
      </c>
      <c r="E20" s="50">
        <f>IF(15773.65486="","-",15773.65486/1755499.84492*100)</f>
        <v>0.89852784126670338</v>
      </c>
      <c r="F20" s="50">
        <f>IF(OR(1959536.20883="",31049.24716="",20742.6282=""),"-",(20742.6282-31049.24716)/1959536.20883*100)</f>
        <v>-0.52597236598929076</v>
      </c>
      <c r="G20" s="50">
        <f>IF(OR(2025977.54466="",15773.65486="",20742.6282=""),"-",(15773.65486-20742.6282)/2025977.54466*100)</f>
        <v>-0.24526300170981868</v>
      </c>
    </row>
    <row r="21" spans="1:7" s="14" customFormat="1" x14ac:dyDescent="0.25">
      <c r="A21" s="49" t="s">
        <v>48</v>
      </c>
      <c r="B21" s="50">
        <f>IF(10063.699="","-",10063.699)</f>
        <v>10063.699000000001</v>
      </c>
      <c r="C21" s="50">
        <f>IF(OR(8294.22635="",10063.699=""),"-",10063.699/8294.22635*100)</f>
        <v>121.33378781011925</v>
      </c>
      <c r="D21" s="50">
        <f>IF(8294.22635="","-",8294.22635/2025977.54466*100)</f>
        <v>0.40939379470723308</v>
      </c>
      <c r="E21" s="50">
        <f>IF(10063.699="","-",10063.699/1755499.84492*100)</f>
        <v>0.57326686921231906</v>
      </c>
      <c r="F21" s="50">
        <f>IF(OR(1959536.20883="",6058.84707="",8294.22635=""),"-",(8294.22635-6058.84707)/1959536.20883*100)</f>
        <v>0.11407695708438588</v>
      </c>
      <c r="G21" s="50">
        <f>IF(OR(2025977.54466="",10063.699="",8294.22635=""),"-",(10063.699-8294.22635)/2025977.54466*100)</f>
        <v>8.7339203470636353E-2</v>
      </c>
    </row>
    <row r="22" spans="1:7" s="14" customFormat="1" x14ac:dyDescent="0.25">
      <c r="A22" s="49" t="s">
        <v>52</v>
      </c>
      <c r="B22" s="50">
        <f>IF(9101.07578="","-",9101.07578)</f>
        <v>9101.0757799999992</v>
      </c>
      <c r="C22" s="50" t="s">
        <v>272</v>
      </c>
      <c r="D22" s="50">
        <f>IF(146.4413="","-",146.4413/2025977.54466*100)</f>
        <v>7.2281798179839075E-3</v>
      </c>
      <c r="E22" s="50">
        <f>IF(9101.07578="","-",9101.07578/1755499.84492*100)</f>
        <v>0.51843216086497257</v>
      </c>
      <c r="F22" s="50">
        <f>IF(OR(1959536.20883="",9350.49588="",146.4413=""),"-",(146.4413-9350.49588)/1959536.20883*100)</f>
        <v>-0.4697057670343105</v>
      </c>
      <c r="G22" s="50">
        <f>IF(OR(2025977.54466="",9101.07578="",146.4413=""),"-",(9101.07578-146.4413)/2025977.54466*100)</f>
        <v>0.44199080604828561</v>
      </c>
    </row>
    <row r="23" spans="1:7" s="14" customFormat="1" x14ac:dyDescent="0.25">
      <c r="A23" s="49" t="s">
        <v>42</v>
      </c>
      <c r="B23" s="50">
        <f>IF(8423.54591="","-",8423.54591)</f>
        <v>8423.5459100000007</v>
      </c>
      <c r="C23" s="50">
        <f>IF(OR(10504.59952="",8423.54591=""),"-",8423.54591/10504.59952*100)</f>
        <v>80.189119956093307</v>
      </c>
      <c r="D23" s="50">
        <f>IF(10504.59952="","-",10504.59952/2025977.54466*100)</f>
        <v>0.51849535784281775</v>
      </c>
      <c r="E23" s="50">
        <f>IF(8423.54591="","-",8423.54591/1755499.84492*100)</f>
        <v>0.4798374624968349</v>
      </c>
      <c r="F23" s="50">
        <f>IF(OR(1959536.20883="",11146.18975="",10504.59952=""),"-",(10504.59952-11146.18975)/1959536.20883*100)</f>
        <v>-3.274194307351333E-2</v>
      </c>
      <c r="G23" s="50">
        <f>IF(OR(2025977.54466="",8423.54591="",10504.59952=""),"-",(8423.54591-10504.59952)/2025977.54466*100)</f>
        <v>-0.10271849337546543</v>
      </c>
    </row>
    <row r="24" spans="1:7" s="14" customFormat="1" x14ac:dyDescent="0.25">
      <c r="A24" s="49" t="s">
        <v>45</v>
      </c>
      <c r="B24" s="50">
        <f>IF(6599.21807="","-",6599.21807)</f>
        <v>6599.2180699999999</v>
      </c>
      <c r="C24" s="50">
        <f>IF(OR(9799.82699="",6599.21807=""),"-",6599.21807/9799.82699*100)</f>
        <v>67.340148726441967</v>
      </c>
      <c r="D24" s="50">
        <f>IF(9799.82699="","-",9799.82699/2025977.54466*100)</f>
        <v>0.48370856902289155</v>
      </c>
      <c r="E24" s="50">
        <f>IF(6599.21807="","-",6599.21807/1755499.84492*100)</f>
        <v>0.37591675607927683</v>
      </c>
      <c r="F24" s="50">
        <f>IF(OR(1959536.20883="",14801.88773="",9799.82699=""),"-",(9799.82699-14801.88773)/1959536.20883*100)</f>
        <v>-0.25526758410790645</v>
      </c>
      <c r="G24" s="50">
        <f>IF(OR(2025977.54466="",6599.21807="",9799.82699=""),"-",(6599.21807-9799.82699)/2025977.54466*100)</f>
        <v>-0.15797849924033225</v>
      </c>
    </row>
    <row r="25" spans="1:7" s="14" customFormat="1" x14ac:dyDescent="0.25">
      <c r="A25" s="49" t="s">
        <v>46</v>
      </c>
      <c r="B25" s="50">
        <f>IF(5288.03884="","-",5288.03884)</f>
        <v>5288.0388400000002</v>
      </c>
      <c r="C25" s="50">
        <f>IF(OR(5687.62943="",5288.03884=""),"-",5288.03884/5687.62943*100)</f>
        <v>92.974391265852915</v>
      </c>
      <c r="D25" s="50">
        <f>IF(5687.62943="","-",5687.62943/2025977.54466*100)</f>
        <v>0.28073506762161571</v>
      </c>
      <c r="E25" s="50">
        <f>IF(5288.03884="","-",5288.03884/1755499.84492*100)</f>
        <v>0.30122696138665744</v>
      </c>
      <c r="F25" s="50">
        <f>IF(OR(1959536.20883="",4372.4829="",5687.62943=""),"-",(5687.62943-4372.4829)/1959536.20883*100)</f>
        <v>6.7115194099181652E-2</v>
      </c>
      <c r="G25" s="50">
        <f>IF(OR(2025977.54466="",5288.03884="",5687.62943=""),"-",(5288.03884-5687.62943)/2025977.54466*100)</f>
        <v>-1.9723347430637944E-2</v>
      </c>
    </row>
    <row r="26" spans="1:7" s="9" customFormat="1" x14ac:dyDescent="0.25">
      <c r="A26" s="49" t="s">
        <v>44</v>
      </c>
      <c r="B26" s="50">
        <f>IF(4980.94004="","-",4980.94004)</f>
        <v>4980.9400400000004</v>
      </c>
      <c r="C26" s="50">
        <f>IF(OR(6366.4125="",4980.94004=""),"-",4980.94004/6366.4125*100)</f>
        <v>78.237783681154809</v>
      </c>
      <c r="D26" s="50">
        <f>IF(6366.4125="","-",6366.4125/2025977.54466*100)</f>
        <v>0.31423904557976789</v>
      </c>
      <c r="E26" s="50">
        <f>IF(4980.94004="","-",4980.94004/1755499.84492*100)</f>
        <v>0.28373343662852829</v>
      </c>
      <c r="F26" s="50">
        <f>IF(OR(1959536.20883="",6938.11955="",6366.4125=""),"-",(6366.4125-6938.11955)/1959536.20883*100)</f>
        <v>-2.917563081630193E-2</v>
      </c>
      <c r="G26" s="50">
        <f>IF(OR(2025977.54466="",4980.94004="",6366.4125=""),"-",(4980.94004-6366.4125)/2025977.54466*100)</f>
        <v>-6.8385380857343622E-2</v>
      </c>
    </row>
    <row r="27" spans="1:7" s="9" customFormat="1" x14ac:dyDescent="0.25">
      <c r="A27" s="49" t="s">
        <v>47</v>
      </c>
      <c r="B27" s="50">
        <f>IF(3854.37644="","-",3854.37644)</f>
        <v>3854.37644</v>
      </c>
      <c r="C27" s="50">
        <f>IF(OR(2618.69697="",3854.37644=""),"-",3854.37644/2618.69697*100)</f>
        <v>147.1868064215158</v>
      </c>
      <c r="D27" s="50">
        <f>IF(2618.69697="","-",2618.69697/2025977.54466*100)</f>
        <v>0.12925597210602208</v>
      </c>
      <c r="E27" s="50">
        <f>IF(3854.37644="","-",3854.37644/1755499.84492*100)</f>
        <v>0.21956005585267641</v>
      </c>
      <c r="F27" s="50">
        <f>IF(OR(1959536.20883="",2463.25534="",2618.69697=""),"-",(2618.69697-2463.25534)/1959536.20883*100)</f>
        <v>7.9325724780973002E-3</v>
      </c>
      <c r="G27" s="50">
        <f>IF(OR(2025977.54466="",3854.37644="",2618.69697=""),"-",(3854.37644-2618.69697)/2025977.54466*100)</f>
        <v>6.0991765345917104E-2</v>
      </c>
    </row>
    <row r="28" spans="1:7" s="14" customFormat="1" x14ac:dyDescent="0.25">
      <c r="A28" s="49" t="s">
        <v>126</v>
      </c>
      <c r="B28" s="50">
        <f>IF(1462.08818="","-",1462.08818)</f>
        <v>1462.08818</v>
      </c>
      <c r="C28" s="50" t="s">
        <v>247</v>
      </c>
      <c r="D28" s="50">
        <f>IF(644.75473="","-",644.75473/2025977.54466*100)</f>
        <v>3.1824376913723543E-2</v>
      </c>
      <c r="E28" s="50">
        <f>IF(1462.08818="","-",1462.08818/1755499.84492*100)</f>
        <v>8.3286146918835471E-2</v>
      </c>
      <c r="F28" s="50">
        <f>IF(OR(1959536.20883="",710.68941="",644.75473=""),"-",(644.75473-710.68941)/1959536.20883*100)</f>
        <v>-3.3648104945898523E-3</v>
      </c>
      <c r="G28" s="50">
        <f>IF(OR(2025977.54466="",1462.08818="",644.75473=""),"-",(1462.08818-644.75473)/2025977.54466*100)</f>
        <v>4.0342670734643565E-2</v>
      </c>
    </row>
    <row r="29" spans="1:7" s="14" customFormat="1" x14ac:dyDescent="0.25">
      <c r="A29" s="49" t="s">
        <v>50</v>
      </c>
      <c r="B29" s="50">
        <f>IF(996.17865="","-",996.17865)</f>
        <v>996.17864999999995</v>
      </c>
      <c r="C29" s="50">
        <f>IF(OR(790.49321="",996.17865=""),"-",996.17865/790.49321*100)</f>
        <v>126.01988700193895</v>
      </c>
      <c r="D29" s="50">
        <f>IF(790.49321="","-",790.49321/2025977.54466*100)</f>
        <v>3.9017866317598342E-2</v>
      </c>
      <c r="E29" s="50">
        <f>IF(996.17865="","-",996.17865/1755499.84492*100)</f>
        <v>5.674615425815642E-2</v>
      </c>
      <c r="F29" s="50">
        <f>IF(OR(1959536.20883="",226.19615="",790.49321=""),"-",(790.49321-226.19615)/1959536.20883*100)</f>
        <v>2.8797480621035858E-2</v>
      </c>
      <c r="G29" s="50">
        <f>IF(OR(2025977.54466="",996.17865="",790.49321=""),"-",(996.17865-790.49321)/2025977.54466*100)</f>
        <v>1.0152404726406687E-2</v>
      </c>
    </row>
    <row r="30" spans="1:7" s="9" customFormat="1" x14ac:dyDescent="0.25">
      <c r="A30" s="49" t="s">
        <v>49</v>
      </c>
      <c r="B30" s="50">
        <f>IF(606.21766="","-",606.21766)</f>
        <v>606.21766000000002</v>
      </c>
      <c r="C30" s="50">
        <f>IF(OR(592.71755="",606.21766=""),"-",606.21766/592.71755*100)</f>
        <v>102.27766328160858</v>
      </c>
      <c r="D30" s="50">
        <f>IF(592.71755="","-",592.71755/2025977.54466*100)</f>
        <v>2.9255879541323838E-2</v>
      </c>
      <c r="E30" s="50">
        <f>IF(606.21766="","-",606.21766/1755499.84492*100)</f>
        <v>3.453248154673725E-2</v>
      </c>
      <c r="F30" s="50">
        <f>IF(OR(1959536.20883="",1261.19792="",592.71755=""),"-",(592.71755-1261.19792)/1959536.20883*100)</f>
        <v>-3.4114213709739841E-2</v>
      </c>
      <c r="G30" s="50">
        <f>IF(OR(2025977.54466="",606.21766="",592.71755=""),"-",(606.21766-592.71755)/2025977.54466*100)</f>
        <v>6.6635042602437411E-4</v>
      </c>
    </row>
    <row r="31" spans="1:7" s="9" customFormat="1" x14ac:dyDescent="0.25">
      <c r="A31" s="49" t="s">
        <v>51</v>
      </c>
      <c r="B31" s="50">
        <f>IF(354.05754="","-",354.05754)</f>
        <v>354.05754000000002</v>
      </c>
      <c r="C31" s="50">
        <f>IF(OR(529.755="",354.05754=""),"-",354.05754/529.755*100)</f>
        <v>66.83420449075517</v>
      </c>
      <c r="D31" s="50">
        <f>IF(529.755="","-",529.755/2025977.54466*100)</f>
        <v>2.6148118047818917E-2</v>
      </c>
      <c r="E31" s="50">
        <f>IF(354.05754="","-",354.05754/1755499.84492*100)</f>
        <v>2.0168474581445193E-2</v>
      </c>
      <c r="F31" s="50">
        <f>IF(OR(1959536.20883="",649.8024="",529.755=""),"-",(529.755-649.8024)/1959536.20883*100)</f>
        <v>-6.1263170059857146E-3</v>
      </c>
      <c r="G31" s="50">
        <f>IF(OR(2025977.54466="",354.05754="",529.755=""),"-",(354.05754-529.755)/2025977.54466*100)</f>
        <v>-8.6722313612555644E-3</v>
      </c>
    </row>
    <row r="32" spans="1:7" s="9" customFormat="1" x14ac:dyDescent="0.25">
      <c r="A32" s="49" t="s">
        <v>54</v>
      </c>
      <c r="B32" s="50">
        <f>IF(241.0205="","-",241.0205)</f>
        <v>241.0205</v>
      </c>
      <c r="C32" s="50" t="s">
        <v>273</v>
      </c>
      <c r="D32" s="50">
        <f>IF(64.64568="","-",64.64568/2025977.54466*100)</f>
        <v>3.1908389197299247E-3</v>
      </c>
      <c r="E32" s="50">
        <f>IF(241.0205="","-",241.0205/1755499.84492*100)</f>
        <v>1.372945151191304E-2</v>
      </c>
      <c r="F32" s="50">
        <f>IF(OR(1959536.20883="",321.58579="",64.64568=""),"-",(64.64568-321.58579)/1959536.20883*100)</f>
        <v>-1.3112292023091211E-2</v>
      </c>
      <c r="G32" s="50">
        <f>IF(OR(2025977.54466="",241.0205="",64.64568=""),"-",(241.0205-64.64568)/2025977.54466*100)</f>
        <v>8.7056650980600718E-3</v>
      </c>
    </row>
    <row r="33" spans="1:7" s="9" customFormat="1" x14ac:dyDescent="0.25">
      <c r="A33" s="49" t="s">
        <v>53</v>
      </c>
      <c r="B33" s="50">
        <f>IF(209.6629="","-",209.6629)</f>
        <v>209.66290000000001</v>
      </c>
      <c r="C33" s="50" t="s">
        <v>274</v>
      </c>
      <c r="D33" s="50">
        <f>IF(63.81918="","-",63.81918/2025977.54466*100)</f>
        <v>3.150043798274682E-3</v>
      </c>
      <c r="E33" s="50">
        <f>IF(209.6629="","-",209.6629/1755499.84492*100)</f>
        <v>1.1943202422188454E-2</v>
      </c>
      <c r="F33" s="50">
        <f>IF(OR(1959536.20883="",7.42765="",63.81918=""),"-",(63.81918-7.42765)/1959536.20883*100)</f>
        <v>2.8777998459987766E-3</v>
      </c>
      <c r="G33" s="50">
        <f>IF(OR(2025977.54466="",209.6629="",63.81918=""),"-",(209.6629-63.81918)/2025977.54466*100)</f>
        <v>7.1986839333145489E-3</v>
      </c>
    </row>
    <row r="34" spans="1:7" s="9" customFormat="1" x14ac:dyDescent="0.25">
      <c r="A34" s="49" t="s">
        <v>55</v>
      </c>
      <c r="B34" s="50">
        <f>IF(28.70659="","-",28.70659)</f>
        <v>28.706589999999998</v>
      </c>
      <c r="C34" s="50">
        <f>IF(OR(61.68467="",28.70659=""),"-",28.70659/61.68467*100)</f>
        <v>46.537640551534118</v>
      </c>
      <c r="D34" s="50">
        <f>IF(61.68467="","-",61.68467/2025977.54466*100)</f>
        <v>3.0446867568984797E-3</v>
      </c>
      <c r="E34" s="50">
        <f>IF(28.70659="","-",28.70659/1755499.84492*100)</f>
        <v>1.6352373987995532E-3</v>
      </c>
      <c r="F34" s="50">
        <f>IF(OR(1959536.20883="",27.75621="",61.68467=""),"-",(61.68467-27.75621)/1959536.20883*100)</f>
        <v>1.7314535882068751E-3</v>
      </c>
      <c r="G34" s="50">
        <f>IF(OR(2025977.54466="",28.70659="",61.68467=""),"-",(28.70659-61.68467)/2025977.54466*100)</f>
        <v>-1.6277613780529036E-3</v>
      </c>
    </row>
    <row r="35" spans="1:7" s="9" customFormat="1" x14ac:dyDescent="0.25">
      <c r="A35" s="49" t="s">
        <v>56</v>
      </c>
      <c r="B35" s="50">
        <f>IF(2.36964="","-",2.36964)</f>
        <v>2.36964</v>
      </c>
      <c r="C35" s="50">
        <f>IF(OR(461.08919="",2.36964=""),"-",2.36964/461.08919*100)</f>
        <v>0.51392226306585065</v>
      </c>
      <c r="D35" s="50">
        <f>IF(461.08919="","-",461.08919/2025977.54466*100)</f>
        <v>2.2758849979128474E-2</v>
      </c>
      <c r="E35" s="50">
        <f>IF(2.36964="","-",2.36964/1755499.84492*100)</f>
        <v>1.3498377723342875E-4</v>
      </c>
      <c r="F35" s="50">
        <f>IF(OR(1959536.20883="",573.68424="",461.08919=""),"-",(461.08919-573.68424)/1959536.20883*100)</f>
        <v>-5.7460050747022602E-3</v>
      </c>
      <c r="G35" s="50">
        <f>IF(OR(2025977.54466="",2.36964="",461.08919=""),"-",(2.36964-461.08919)/2025977.54466*100)</f>
        <v>-2.2641887182267978E-2</v>
      </c>
    </row>
    <row r="36" spans="1:7" s="9" customFormat="1" x14ac:dyDescent="0.25">
      <c r="A36" s="47" t="s">
        <v>169</v>
      </c>
      <c r="B36" s="48">
        <f>IF(275078.54181="","-",275078.54181)</f>
        <v>275078.54181000002</v>
      </c>
      <c r="C36" s="48">
        <f>IF(301814.02988="","-",275078.54181/301814.02988*100)</f>
        <v>91.141734504313845</v>
      </c>
      <c r="D36" s="48">
        <f>IF(301814.02988="","-",301814.02988/2025977.54466*100)</f>
        <v>14.897205088748922</v>
      </c>
      <c r="E36" s="48">
        <f>IF(275078.54181="","-",275078.54181/1755499.84492*100)</f>
        <v>15.669528117932455</v>
      </c>
      <c r="F36" s="48">
        <f>IF(1959536.20883="","-",(301814.02988-306845.04735)/1959536.20883*100)</f>
        <v>-0.25674531796500671</v>
      </c>
      <c r="G36" s="48">
        <f>IF(2025977.54466="","-",(275078.54181-301814.02988)/2025977.54466*100)</f>
        <v>-1.3196339781982491</v>
      </c>
    </row>
    <row r="37" spans="1:7" s="9" customFormat="1" x14ac:dyDescent="0.25">
      <c r="A37" s="49" t="s">
        <v>127</v>
      </c>
      <c r="B37" s="50">
        <f>IF(163154.47591="","-",163154.47591)</f>
        <v>163154.47591000001</v>
      </c>
      <c r="C37" s="50">
        <f>IF(OR(171717.60674="",163154.47591=""),"-",163154.47591/171717.60674*100)</f>
        <v>95.013248208749189</v>
      </c>
      <c r="D37" s="50">
        <f>IF(171717.60674="","-",171717.60674/2025977.54466*100)</f>
        <v>8.4757902274192123</v>
      </c>
      <c r="E37" s="50">
        <f>IF(163154.47591="","-",163154.47591/1755499.84492*100)</f>
        <v>9.2939043191675772</v>
      </c>
      <c r="F37" s="50">
        <f>IF(OR(1959536.20883="",159507.50052="",171717.60674=""),"-",(171717.60674-159507.50052)/1959536.20883*100)</f>
        <v>0.62311204891132876</v>
      </c>
      <c r="G37" s="50">
        <f>IF(OR(2025977.54466="",163154.47591="",171717.60674=""),"-",(163154.47591-171717.60674)/2025977.54466*100)</f>
        <v>-0.42266662098848912</v>
      </c>
    </row>
    <row r="38" spans="1:7" s="9" customFormat="1" ht="14.25" customHeight="1" x14ac:dyDescent="0.25">
      <c r="A38" s="49" t="s">
        <v>11</v>
      </c>
      <c r="B38" s="50">
        <f>IF(48512.69635="","-",48512.69635)</f>
        <v>48512.696349999998</v>
      </c>
      <c r="C38" s="50">
        <f>IF(OR(59903.40742="",48512.69635=""),"-",48512.69635/59903.40742*100)</f>
        <v>80.984869541499606</v>
      </c>
      <c r="D38" s="50">
        <f>IF(59903.40742="","-",59903.40742/2025977.54466*100)</f>
        <v>2.9567656155859816</v>
      </c>
      <c r="E38" s="50">
        <f>IF(48512.69635="","-",48512.69635/1755499.84492*100)</f>
        <v>2.7634691333288481</v>
      </c>
      <c r="F38" s="50">
        <f>IF(OR(1959536.20883="",68156.47113="",59903.40742=""),"-",(59903.40742-68156.47113)/1959536.20883*100)</f>
        <v>-0.42117434078586086</v>
      </c>
      <c r="G38" s="50">
        <f>IF(OR(2025977.54466="",48512.69635="",59903.40742=""),"-",(48512.69635-59903.40742)/2025977.54466*100)</f>
        <v>-0.56223283915575661</v>
      </c>
    </row>
    <row r="39" spans="1:7" s="15" customFormat="1" ht="14.25" customHeight="1" x14ac:dyDescent="0.2">
      <c r="A39" s="49" t="s">
        <v>12</v>
      </c>
      <c r="B39" s="50">
        <f>IF(46033.80708="","-",46033.80708)</f>
        <v>46033.807079999999</v>
      </c>
      <c r="C39" s="50">
        <f>IF(OR(53790.2203="",46033.80708=""),"-",46033.80708/53790.2203*100)</f>
        <v>85.580253851460796</v>
      </c>
      <c r="D39" s="50">
        <f>IF(53790.2203="","-",53790.2203/2025977.54466*100)</f>
        <v>2.6550254933367037</v>
      </c>
      <c r="E39" s="50">
        <f>IF(46033.80708="","-",46033.80708/1755499.84492*100)</f>
        <v>2.6222620989236152</v>
      </c>
      <c r="F39" s="50">
        <f>IF(OR(1959536.20883="",58527.38177="",53790.2203=""),"-",(53790.2203-58527.38177)/1959536.20883*100)</f>
        <v>-0.24174911638037369</v>
      </c>
      <c r="G39" s="50">
        <f>IF(OR(2025977.54466="",46033.80708="",53790.2203=""),"-",(46033.80708-53790.2203)/2025977.54466*100)</f>
        <v>-0.38284793631815334</v>
      </c>
    </row>
    <row r="40" spans="1:7" s="15" customFormat="1" ht="14.25" customHeight="1" x14ac:dyDescent="0.2">
      <c r="A40" s="49" t="s">
        <v>13</v>
      </c>
      <c r="B40" s="50">
        <f>IF(10910.73166="","-",10910.73166)</f>
        <v>10910.731659999999</v>
      </c>
      <c r="C40" s="50" t="s">
        <v>105</v>
      </c>
      <c r="D40" s="50">
        <f>IF(6767.22455="","-",6767.22455/2025977.54466*100)</f>
        <v>0.33402268291851561</v>
      </c>
      <c r="E40" s="50">
        <f>IF(10910.73166="","-",10910.73166/1755499.84492*100)</f>
        <v>0.62151709620328754</v>
      </c>
      <c r="F40" s="50">
        <f>IF(OR(1959536.20883="",12511.87248="",6767.22455=""),"-",(6767.22455-12511.87248)/1959536.20883*100)</f>
        <v>-0.29316365291509539</v>
      </c>
      <c r="G40" s="50">
        <f>IF(OR(2025977.54466="",10910.73166="",6767.22455=""),"-",(10910.73166-6767.22455)/2025977.54466*100)</f>
        <v>0.20451890599287784</v>
      </c>
    </row>
    <row r="41" spans="1:7" s="15" customFormat="1" ht="14.25" customHeight="1" x14ac:dyDescent="0.2">
      <c r="A41" s="49" t="s">
        <v>15</v>
      </c>
      <c r="B41" s="50">
        <f>IF(2883.73879="","-",2883.73879)</f>
        <v>2883.7387899999999</v>
      </c>
      <c r="C41" s="50">
        <f>IF(OR(2077.1917="",2883.73879=""),"-",2883.73879/2077.1917*100)</f>
        <v>138.82872678530345</v>
      </c>
      <c r="D41" s="50">
        <f>IF(2077.1917="","-",2077.1917/2025977.54466*100)</f>
        <v>0.10252787378986447</v>
      </c>
      <c r="E41" s="50">
        <f>IF(2883.73879="","-",2883.73879/1755499.84492*100)</f>
        <v>0.16426881485320866</v>
      </c>
      <c r="F41" s="50">
        <f>IF(OR(1959536.20883="",2331.39687="",2077.1917=""),"-",(2077.1917-2331.39687)/1959536.20883*100)</f>
        <v>-1.2972721241613649E-2</v>
      </c>
      <c r="G41" s="50">
        <f>IF(OR(2025977.54466="",2883.73879="",2077.1917=""),"-",(2883.73879-2077.1917)/2025977.54466*100)</f>
        <v>3.9810267992647225E-2</v>
      </c>
    </row>
    <row r="42" spans="1:7" s="13" customFormat="1" ht="14.25" customHeight="1" x14ac:dyDescent="0.2">
      <c r="A42" s="49" t="s">
        <v>14</v>
      </c>
      <c r="B42" s="50">
        <f>IF(1644.477="","-",1644.477)</f>
        <v>1644.4770000000001</v>
      </c>
      <c r="C42" s="50">
        <f>IF(OR(3475.47705="",1644.477=""),"-",1644.477/3475.47705*100)</f>
        <v>47.316583488876731</v>
      </c>
      <c r="D42" s="50">
        <f>IF(3475.47705="","-",3475.47705/2025977.54466*100)</f>
        <v>0.17154568465778605</v>
      </c>
      <c r="E42" s="50">
        <f>IF(1644.477="","-",1644.477/1755499.84492*100)</f>
        <v>9.3675713202637206E-2</v>
      </c>
      <c r="F42" s="50">
        <f>IF(OR(1959536.20883="",3136.51985="",3475.47705=""),"-",(3475.47705-3136.51985)/1959536.20883*100)</f>
        <v>1.7297827846844659E-2</v>
      </c>
      <c r="G42" s="50">
        <f>IF(OR(2025977.54466="",1644.477="",3475.47705=""),"-",(1644.477-3475.47705)/2025977.54466*100)</f>
        <v>-9.037612755511952E-2</v>
      </c>
    </row>
    <row r="43" spans="1:7" s="15" customFormat="1" ht="14.25" customHeight="1" x14ac:dyDescent="0.2">
      <c r="A43" s="49" t="s">
        <v>17</v>
      </c>
      <c r="B43" s="50">
        <f>IF(1017.87128="","-",1017.87128)</f>
        <v>1017.87128</v>
      </c>
      <c r="C43" s="50">
        <f>IF(OR(2785.45748="",1017.87128=""),"-",1017.87128/2785.45748*100)</f>
        <v>36.542337741949659</v>
      </c>
      <c r="D43" s="50">
        <f>IF(2785.45748="","-",2785.45748/2025977.54466*100)</f>
        <v>0.13748708554750819</v>
      </c>
      <c r="E43" s="50">
        <f>IF(1017.87128="","-",1017.87128/1755499.84492*100)</f>
        <v>5.7981849610837508E-2</v>
      </c>
      <c r="F43" s="50">
        <f>IF(OR(1959536.20883="",1389.79675="",2785.45748=""),"-",(2785.45748-1389.79675)/1959536.20883*100)</f>
        <v>7.1224033713228566E-2</v>
      </c>
      <c r="G43" s="50">
        <f>IF(OR(2025977.54466="",1017.87128="",2785.45748=""),"-",(1017.87128-2785.45748)/2025977.54466*100)</f>
        <v>-8.7246090395174503E-2</v>
      </c>
    </row>
    <row r="44" spans="1:7" s="13" customFormat="1" ht="14.25" customHeight="1" x14ac:dyDescent="0.2">
      <c r="A44" s="49" t="s">
        <v>129</v>
      </c>
      <c r="B44" s="50">
        <f>IF(413.07465="","-",413.07465)</f>
        <v>413.07465000000002</v>
      </c>
      <c r="C44" s="50">
        <f>IF(OR(669.8355="",413.07465=""),"-",413.07465/669.8355*100)</f>
        <v>61.668073728549764</v>
      </c>
      <c r="D44" s="50">
        <f>IF(669.8355="","-",669.8355/2025977.54466*100)</f>
        <v>3.3062335846985508E-2</v>
      </c>
      <c r="E44" s="50">
        <f>IF(413.07465="","-",413.07465/1755499.84492*100)</f>
        <v>2.3530315379710232E-2</v>
      </c>
      <c r="F44" s="50">
        <f>IF(OR(1959536.20883="",775.70618="",669.8355=""),"-",(669.8355-775.70618)/1959536.20883*100)</f>
        <v>-5.4028437710377025E-3</v>
      </c>
      <c r="G44" s="50">
        <f>IF(OR(2025977.54466="",413.07465="",669.8355=""),"-",(413.07465-669.8355)/2025977.54466*100)</f>
        <v>-1.2673430200485747E-2</v>
      </c>
    </row>
    <row r="45" spans="1:7" s="13" customFormat="1" ht="14.25" customHeight="1" x14ac:dyDescent="0.2">
      <c r="A45" s="49" t="s">
        <v>16</v>
      </c>
      <c r="B45" s="50">
        <f>IF(326.59073="","-",326.59073)</f>
        <v>326.59073000000001</v>
      </c>
      <c r="C45" s="50">
        <f>IF(OR(486.57003="",326.59073=""),"-",326.59073/486.57003*100)</f>
        <v>67.121012364859382</v>
      </c>
      <c r="D45" s="50">
        <f>IF(486.57003="","-",486.57003/2025977.54466*100)</f>
        <v>2.4016555922965883E-2</v>
      </c>
      <c r="E45" s="50">
        <f>IF(326.59073="","-",326.59073/1755499.84492*100)</f>
        <v>1.8603859803524112E-2</v>
      </c>
      <c r="F45" s="50">
        <f>IF(OR(1959536.20883="",213.28975="",486.57003=""),"-",(486.57003-213.28975)/1959536.20883*100)</f>
        <v>1.3946171485301114E-2</v>
      </c>
      <c r="G45" s="50">
        <f>IF(OR(2025977.54466="",326.59073="",486.57003=""),"-",(326.59073-486.57003)/2025977.54466*100)</f>
        <v>-7.8964004522985836E-3</v>
      </c>
    </row>
    <row r="46" spans="1:7" s="13" customFormat="1" ht="14.25" customHeight="1" x14ac:dyDescent="0.2">
      <c r="A46" s="49" t="s">
        <v>18</v>
      </c>
      <c r="B46" s="50">
        <f>IF(181.07836="","-",181.07836)</f>
        <v>181.07836</v>
      </c>
      <c r="C46" s="50">
        <f>IF(OR(141.03911="",181.07836=""),"-",181.07836/141.03911*100)</f>
        <v>128.38875684907543</v>
      </c>
      <c r="D46" s="50">
        <f>IF(141.03911="","-",141.03911/2025977.54466*100)</f>
        <v>6.9615337233991511E-3</v>
      </c>
      <c r="E46" s="50">
        <f>IF(181.07836="","-",181.07836/1755499.84492*100)</f>
        <v>1.0314917459206721E-2</v>
      </c>
      <c r="F46" s="50">
        <f>IF(OR(1959536.20883="",295.11205="",141.03911=""),"-",(141.03911-295.11205)/1959536.20883*100)</f>
        <v>-7.8627248277281844E-3</v>
      </c>
      <c r="G46" s="50">
        <f>IF(OR(2025977.54466="",181.07836="",141.03911=""),"-",(181.07836-141.03911)/2025977.54466*100)</f>
        <v>1.9762928817021715E-3</v>
      </c>
    </row>
    <row r="47" spans="1:7" s="13" customFormat="1" ht="14.25" customHeight="1" x14ac:dyDescent="0.2">
      <c r="A47" s="47" t="s">
        <v>170</v>
      </c>
      <c r="B47" s="48">
        <f>IF(321313.26905="","-",321313.26905)</f>
        <v>321313.26905</v>
      </c>
      <c r="C47" s="48">
        <f>IF(434692.86012="","-",321313.26905/434692.86012*100)</f>
        <v>73.917310020067788</v>
      </c>
      <c r="D47" s="48">
        <f>IF(434692.86012="","-",434692.86012/2025977.54466*100)</f>
        <v>21.455956472259434</v>
      </c>
      <c r="E47" s="48">
        <f>IF(321313.26905="","-",321313.26905/1755499.84492*100)</f>
        <v>18.30323539929692</v>
      </c>
      <c r="F47" s="48">
        <f>IF(1959536.20883="","-",(434692.86012-352113.89554)/1959536.20883*100)</f>
        <v>4.2142096792029315</v>
      </c>
      <c r="G47" s="48">
        <f>IF(2025977.54466="","-",(321313.26905-434692.86012)/2025977.54466*100)</f>
        <v>-5.5962906088886299</v>
      </c>
    </row>
    <row r="48" spans="1:7" s="9" customFormat="1" x14ac:dyDescent="0.25">
      <c r="A48" s="49" t="s">
        <v>57</v>
      </c>
      <c r="B48" s="50">
        <f>IF(115613.39395="","-",115613.39395)</f>
        <v>115613.39395</v>
      </c>
      <c r="C48" s="50">
        <f>IF(OR(149842.38951="",115613.39395=""),"-",115613.39395/149842.38951*100)</f>
        <v>77.156667300933776</v>
      </c>
      <c r="D48" s="50">
        <f>IF(149842.38951="","-",149842.38951/2025977.54466*100)</f>
        <v>7.3960538163391449</v>
      </c>
      <c r="E48" s="50">
        <f>IF(115613.39395="","-",115613.39395/1755499.84492*100)</f>
        <v>6.5857820656924417</v>
      </c>
      <c r="F48" s="50">
        <f>IF(OR(1959536.20883="",60517.39957="",149842.38951=""),"-",(149842.38951-60517.39957)/1959536.20883*100)</f>
        <v>4.5584761096777173</v>
      </c>
      <c r="G48" s="50">
        <f>IF(OR(2025977.54466="",115613.39395="",149842.38951=""),"-",(115613.39395-149842.38951)/2025977.54466*100)</f>
        <v>-1.6895051798683349</v>
      </c>
    </row>
    <row r="49" spans="1:7" s="9" customFormat="1" x14ac:dyDescent="0.25">
      <c r="A49" s="49" t="s">
        <v>130</v>
      </c>
      <c r="B49" s="50">
        <f>IF(44392.71862="","-",44392.71862)</f>
        <v>44392.71862</v>
      </c>
      <c r="C49" s="50">
        <f>IF(OR(60026.74529="",44392.71862=""),"-",44392.71862/60026.74529*100)</f>
        <v>73.954898613161177</v>
      </c>
      <c r="D49" s="50">
        <f>IF(60026.74529="","-",60026.74529/2025977.54466*100)</f>
        <v>2.9628534357755534</v>
      </c>
      <c r="E49" s="50">
        <f>IF(44392.71862="","-",44392.71862/1755499.84492*100)</f>
        <v>2.5287794099476564</v>
      </c>
      <c r="F49" s="50">
        <f>IF(OR(1959536.20883="",38920.40556="",60026.74529=""),"-",(60026.74529-38920.40556)/1959536.20883*100)</f>
        <v>1.0771089421512745</v>
      </c>
      <c r="G49" s="50">
        <f>IF(OR(2025977.54466="",44392.71862="",60026.74529=""),"-",(44392.71862-60026.74529)/2025977.54466*100)</f>
        <v>-0.77167818129118038</v>
      </c>
    </row>
    <row r="50" spans="1:7" s="14" customFormat="1" ht="25.5" x14ac:dyDescent="0.25">
      <c r="A50" s="49" t="s">
        <v>124</v>
      </c>
      <c r="B50" s="50">
        <f>IF(30311.90985="","-",30311.90985)</f>
        <v>30311.90985</v>
      </c>
      <c r="C50" s="50">
        <f>IF(OR(38961.05259="",30311.90985=""),"-",30311.90985/38961.05259*100)</f>
        <v>77.800541399592618</v>
      </c>
      <c r="D50" s="50">
        <f>IF(38961.05259="","-",38961.05259/2025977.54466*100)</f>
        <v>1.9230742558175022</v>
      </c>
      <c r="E50" s="50">
        <f>IF(30311.90985="","-",30311.90985/1755499.84492*100)</f>
        <v>1.7266825706487798</v>
      </c>
      <c r="F50" s="50">
        <f>IF(OR(1959536.20883="",63041.94988="",38961.05259=""),"-",(38961.05259-63041.94988)/1959536.20883*100)</f>
        <v>-1.2289080028982076</v>
      </c>
      <c r="G50" s="50">
        <f>IF(OR(2025977.54466="",30311.90985="",38961.05259=""),"-",(30311.90985-38961.05259)/2025977.54466*100)</f>
        <v>-0.4269120732752989</v>
      </c>
    </row>
    <row r="51" spans="1:7" s="16" customFormat="1" x14ac:dyDescent="0.25">
      <c r="A51" s="49" t="s">
        <v>19</v>
      </c>
      <c r="B51" s="50">
        <f>IF(19624.344="","-",19624.344)</f>
        <v>19624.344000000001</v>
      </c>
      <c r="C51" s="50">
        <f>IF(OR(16327.32733="",19624.344=""),"-",19624.344/16327.32733*100)</f>
        <v>120.1932416945058</v>
      </c>
      <c r="D51" s="50">
        <f>IF(16327.32733="","-",16327.32733/2025977.54466*100)</f>
        <v>0.80589873135736345</v>
      </c>
      <c r="E51" s="50">
        <f>IF(19624.344="","-",19624.344/1755499.84492*100)</f>
        <v>1.1178778543779537</v>
      </c>
      <c r="F51" s="50">
        <f>IF(OR(1959536.20883="",16237.41663="",16327.32733=""),"-",(16327.32733-16237.41663)/1959536.20883*100)</f>
        <v>4.5883663488762091E-3</v>
      </c>
      <c r="G51" s="50">
        <f>IF(OR(2025977.54466="",19624.344="",16327.32733=""),"-",(19624.344-16327.32733)/2025977.54466*100)</f>
        <v>0.16273707863594841</v>
      </c>
    </row>
    <row r="52" spans="1:7" s="9" customFormat="1" x14ac:dyDescent="0.25">
      <c r="A52" s="49" t="s">
        <v>59</v>
      </c>
      <c r="B52" s="50">
        <f>IF(18126.34449="","-",18126.34449)</f>
        <v>18126.344489999999</v>
      </c>
      <c r="C52" s="50">
        <f>IF(OR(15050.84506="",18126.34449=""),"-",18126.34449/15050.84506*100)</f>
        <v>120.4340647833365</v>
      </c>
      <c r="D52" s="50">
        <f>IF(15050.84506="","-",15050.84506/2025977.54466*100)</f>
        <v>0.74289298515032831</v>
      </c>
      <c r="E52" s="50">
        <f>IF(18126.34449="","-",18126.34449/1755499.84492*100)</f>
        <v>1.0325460604541401</v>
      </c>
      <c r="F52" s="50">
        <f>IF(OR(1959536.20883="",16402.30435="",15050.84506=""),"-",(15050.84506-16402.30435)/1959536.20883*100)</f>
        <v>-6.8968324438716463E-2</v>
      </c>
      <c r="G52" s="50">
        <f>IF(OR(2025977.54466="",18126.34449="",15050.84506=""),"-",(18126.34449-15050.84506)/2025977.54466*100)</f>
        <v>0.15180323385648042</v>
      </c>
    </row>
    <row r="53" spans="1:7" s="16" customFormat="1" x14ac:dyDescent="0.25">
      <c r="A53" s="49" t="s">
        <v>61</v>
      </c>
      <c r="B53" s="50">
        <f>IF(9946.45765="","-",9946.45765)</f>
        <v>9946.4576500000003</v>
      </c>
      <c r="C53" s="50">
        <f>IF(OR(9537.19106="",9946.45765=""),"-",9946.45765/9537.19106*100)</f>
        <v>104.29126969801945</v>
      </c>
      <c r="D53" s="50">
        <f>IF(9537.19106="","-",9537.19106/2025977.54466*100)</f>
        <v>0.47074515140297535</v>
      </c>
      <c r="E53" s="50">
        <f>IF(9946.45765="","-",9946.45765/1755499.84492*100)</f>
        <v>0.56658835253006079</v>
      </c>
      <c r="F53" s="50">
        <f>IF(OR(1959536.20883="",11641.77307="",9537.19106=""),"-",(9537.19106-11641.77307)/1959536.20883*100)</f>
        <v>-0.10740204751085485</v>
      </c>
      <c r="G53" s="50">
        <f>IF(OR(2025977.54466="",9946.45765="",9537.19106=""),"-",(9946.45765-9537.19106)/2025977.54466*100)</f>
        <v>2.0200944037051718E-2</v>
      </c>
    </row>
    <row r="54" spans="1:7" s="14" customFormat="1" x14ac:dyDescent="0.25">
      <c r="A54" s="49" t="s">
        <v>60</v>
      </c>
      <c r="B54" s="50">
        <f>IF(7769.039="","-",7769.039)</f>
        <v>7769.0389999999998</v>
      </c>
      <c r="C54" s="50">
        <f>IF(OR(13020.92407="",7769.039=""),"-",7769.039/13020.92407*100)</f>
        <v>59.665803734312085</v>
      </c>
      <c r="D54" s="50">
        <f>IF(13020.92407="","-",13020.92407/2025977.54466*100)</f>
        <v>0.64269834107096058</v>
      </c>
      <c r="E54" s="50">
        <f>IF(7769.039="","-",7769.039/1755499.84492*100)</f>
        <v>0.44255424017733491</v>
      </c>
      <c r="F54" s="50">
        <f>IF(OR(1959536.20883="",13164.97104="",13020.92407=""),"-",(13020.92407-13164.97104)/1959536.20883*100)</f>
        <v>-7.3510746752676144E-3</v>
      </c>
      <c r="G54" s="50">
        <f>IF(OR(2025977.54466="",7769.039="",13020.92407=""),"-",(7769.039-13020.92407)/2025977.54466*100)</f>
        <v>-0.25922721028388163</v>
      </c>
    </row>
    <row r="55" spans="1:7" s="9" customFormat="1" x14ac:dyDescent="0.25">
      <c r="A55" s="49" t="s">
        <v>67</v>
      </c>
      <c r="B55" s="50">
        <f>IF(6303.487="","-",6303.487)</f>
        <v>6303.4870000000001</v>
      </c>
      <c r="C55" s="50">
        <f>IF(OR(6625.79312="",6303.487=""),"-",6303.487/6625.79312*100)</f>
        <v>95.135584311754059</v>
      </c>
      <c r="D55" s="50">
        <f>IF(6625.79312="","-",6625.79312/2025977.54466*100)</f>
        <v>0.32704178471592799</v>
      </c>
      <c r="E55" s="50">
        <f>IF(6303.487="","-",6303.487/1755499.84492*100)</f>
        <v>0.35907078079447263</v>
      </c>
      <c r="F55" s="50">
        <f>IF(OR(1959536.20883="",16632.17726="",6625.79312=""),"-",(6625.79312-16632.17726)/1959536.20883*100)</f>
        <v>-0.51065063737580096</v>
      </c>
      <c r="G55" s="50">
        <f>IF(OR(2025977.54466="",6303.487="",6625.79312=""),"-",(6303.487-6625.79312)/2025977.54466*100)</f>
        <v>-1.5908671882841115E-2</v>
      </c>
    </row>
    <row r="56" spans="1:7" s="9" customFormat="1" x14ac:dyDescent="0.25">
      <c r="A56" s="49" t="s">
        <v>58</v>
      </c>
      <c r="B56" s="50">
        <f>IF(5091.43487="","-",5091.43487)</f>
        <v>5091.43487</v>
      </c>
      <c r="C56" s="50">
        <f>IF(OR(7608.46309="",5091.43487=""),"-",5091.43487/7608.46309*100)</f>
        <v>66.918046519694684</v>
      </c>
      <c r="D56" s="50">
        <f>IF(7608.46309="","-",7608.46309/2025977.54466*100)</f>
        <v>0.37554528232823303</v>
      </c>
      <c r="E56" s="50">
        <f>IF(5091.43487="","-",5091.43487/1755499.84492*100)</f>
        <v>0.29002764567216593</v>
      </c>
      <c r="F56" s="50">
        <f>IF(OR(1959536.20883="",9705.5751="",7608.46309=""),"-",(7608.46309-9705.5751)/1959536.20883*100)</f>
        <v>-0.10702083485623079</v>
      </c>
      <c r="G56" s="50">
        <f>IF(OR(2025977.54466="",5091.43487="",7608.46309=""),"-",(5091.43487-7608.46309)/2025977.54466*100)</f>
        <v>-0.1242377155973073</v>
      </c>
    </row>
    <row r="57" spans="1:7" s="16" customFormat="1" x14ac:dyDescent="0.25">
      <c r="A57" s="49" t="s">
        <v>66</v>
      </c>
      <c r="B57" s="50">
        <f>IF(4635.8806="","-",4635.8806)</f>
        <v>4635.8806000000004</v>
      </c>
      <c r="C57" s="50">
        <f>IF(OR(10099.78861="",4635.8806=""),"-",4635.8806/10099.78861*100)</f>
        <v>45.900768610245208</v>
      </c>
      <c r="D57" s="50">
        <f>IF(10099.78861="","-",10099.78861/2025977.54466*100)</f>
        <v>0.49851434121867078</v>
      </c>
      <c r="E57" s="50">
        <f>IF(4635.8806="","-",4635.8806/1755499.84492*100)</f>
        <v>0.26407752831281295</v>
      </c>
      <c r="F57" s="50">
        <f>IF(OR(1959536.20883="",3515.34277="",10099.78861=""),"-",(10099.78861-3515.34277)/1959536.20883*100)</f>
        <v>0.33602062622417378</v>
      </c>
      <c r="G57" s="50">
        <f>IF(OR(2025977.54466="",4635.8806="",10099.78861=""),"-",(4635.8806-10099.78861)/2025977.54466*100)</f>
        <v>-0.26969242696700046</v>
      </c>
    </row>
    <row r="58" spans="1:7" s="9" customFormat="1" x14ac:dyDescent="0.25">
      <c r="A58" s="49" t="s">
        <v>131</v>
      </c>
      <c r="B58" s="50">
        <f>IF(3777.24465="","-",3777.24465)</f>
        <v>3777.2446500000001</v>
      </c>
      <c r="C58" s="50">
        <f>IF(OR(9539.48348="",3777.24465=""),"-",3777.24465/9539.48348*100)</f>
        <v>39.595903257437158</v>
      </c>
      <c r="D58" s="50">
        <f>IF(9539.48348="","-",9539.48348/2025977.54466*100)</f>
        <v>0.47085830270645568</v>
      </c>
      <c r="E58" s="50">
        <f>IF(3777.24465="","-",3777.24465/1755499.84492*100)</f>
        <v>0.21516633344801764</v>
      </c>
      <c r="F58" s="50">
        <f>IF(OR(1959536.20883="",2310.30496="",9539.48348=""),"-",(9539.48348-2310.30496)/1959536.20883*100)</f>
        <v>0.36892293632667295</v>
      </c>
      <c r="G58" s="50">
        <f>IF(OR(2025977.54466="",3777.24465="",9539.48348=""),"-",(3777.24465-9539.48348)/2025977.54466*100)</f>
        <v>-0.28441770468719685</v>
      </c>
    </row>
    <row r="59" spans="1:7" s="14" customFormat="1" x14ac:dyDescent="0.25">
      <c r="A59" s="49" t="s">
        <v>69</v>
      </c>
      <c r="B59" s="50">
        <f>IF(3624.4969="","-",3624.4969)</f>
        <v>3624.4969000000001</v>
      </c>
      <c r="C59" s="50">
        <f>IF(OR(5862.79928="",3624.4969=""),"-",3624.4969/5862.79928*100)</f>
        <v>61.821951032237962</v>
      </c>
      <c r="D59" s="50">
        <f>IF(5862.79928="","-",5862.79928/2025977.54466*100)</f>
        <v>0.2893812567396396</v>
      </c>
      <c r="E59" s="50">
        <f>IF(3624.4969="","-",3624.4969/1755499.84492*100)</f>
        <v>0.20646523612567863</v>
      </c>
      <c r="F59" s="50">
        <f>IF(OR(1959536.20883="",3298.21328="",5862.79928=""),"-",(5862.79928-3298.21328)/1959536.20883*100)</f>
        <v>0.13087719371775547</v>
      </c>
      <c r="G59" s="50">
        <f>IF(OR(2025977.54466="",3624.4969="",5862.79928=""),"-",(3624.4969-5862.79928)/2025977.54466*100)</f>
        <v>-0.11048011790158475</v>
      </c>
    </row>
    <row r="60" spans="1:7" s="9" customFormat="1" x14ac:dyDescent="0.25">
      <c r="A60" s="49" t="s">
        <v>63</v>
      </c>
      <c r="B60" s="50">
        <f>IF(3518.76028="","-",3518.76028)</f>
        <v>3518.76028</v>
      </c>
      <c r="C60" s="50">
        <f>IF(OR(5239.02706="",3518.76028=""),"-",3518.76028/5239.02706*100)</f>
        <v>67.164384526007765</v>
      </c>
      <c r="D60" s="50">
        <f>IF(5239.02706="","-",5239.02706/2025977.54466*100)</f>
        <v>0.2585925532002486</v>
      </c>
      <c r="E60" s="50">
        <f>IF(3518.76028="","-",3518.76028/1755499.84492*100)</f>
        <v>0.20044207296186653</v>
      </c>
      <c r="F60" s="50">
        <f>IF(OR(1959536.20883="",3667.95816="",5239.02706=""),"-",(5239.02706-3667.95816)/1959536.20883*100)</f>
        <v>8.0175548322123341E-2</v>
      </c>
      <c r="G60" s="50">
        <f>IF(OR(2025977.54466="",3518.76028="",5239.02706=""),"-",(3518.76028-5239.02706)/2025977.54466*100)</f>
        <v>-8.4910456413212418E-2</v>
      </c>
    </row>
    <row r="61" spans="1:7" s="14" customFormat="1" x14ac:dyDescent="0.25">
      <c r="A61" s="49" t="s">
        <v>38</v>
      </c>
      <c r="B61" s="50">
        <f>IF(3158.8167="","-",3158.8167)</f>
        <v>3158.8166999999999</v>
      </c>
      <c r="C61" s="50">
        <f>IF(OR(2373.71774="",3158.8167=""),"-",3158.8167/2373.71774*100)</f>
        <v>133.0746552873637</v>
      </c>
      <c r="D61" s="50">
        <f>IF(2373.71774="","-",2373.71774/2025977.54466*100)</f>
        <v>0.11716406957503361</v>
      </c>
      <c r="E61" s="50">
        <f>IF(3158.8167="","-",3158.8167/1755499.84492*100)</f>
        <v>0.17993830698082178</v>
      </c>
      <c r="F61" s="50">
        <f>IF(OR(1959536.20883="",5405.60371="",2373.71774=""),"-",(2373.71774-5405.60371)/1959536.20883*100)</f>
        <v>-0.15472467190643438</v>
      </c>
      <c r="G61" s="50">
        <f>IF(OR(2025977.54466="",3158.8167="",2373.71774=""),"-",(3158.8167-2373.71774)/2025977.54466*100)</f>
        <v>3.8751612132589326E-2</v>
      </c>
    </row>
    <row r="62" spans="1:7" s="9" customFormat="1" x14ac:dyDescent="0.25">
      <c r="A62" s="49" t="s">
        <v>68</v>
      </c>
      <c r="B62" s="50">
        <f>IF(3143.24012="","-",3143.24012)</f>
        <v>3143.2401199999999</v>
      </c>
      <c r="C62" s="50" t="s">
        <v>249</v>
      </c>
      <c r="D62" s="50">
        <f>IF(22.26872="","-",22.26872/2025977.54466*100)</f>
        <v>1.0991592704813094E-3</v>
      </c>
      <c r="E62" s="50">
        <f>IF(3143.24012="","-",3143.24012/1755499.84492*100)</f>
        <v>0.17905100527896889</v>
      </c>
      <c r="F62" s="50">
        <f>IF(OR(1959536.20883="",24.4608="",22.26872=""),"-",(22.26872-24.4608)/1959536.20883*100)</f>
        <v>-1.1186728727553588E-4</v>
      </c>
      <c r="G62" s="50">
        <f>IF(OR(2025977.54466="",3143.24012="",22.26872=""),"-",(3143.24012-22.26872)/2025977.54466*100)</f>
        <v>0.15404767975963735</v>
      </c>
    </row>
    <row r="63" spans="1:7" s="14" customFormat="1" x14ac:dyDescent="0.25">
      <c r="A63" s="49" t="s">
        <v>62</v>
      </c>
      <c r="B63" s="50">
        <f>IF(2443.00026="","-",2443.00026)</f>
        <v>2443.0002599999998</v>
      </c>
      <c r="C63" s="50">
        <f>IF(OR(6800.02939="",2443.00026=""),"-",2443.00026/6800.02939*100)</f>
        <v>35.926319136100091</v>
      </c>
      <c r="D63" s="50">
        <f>IF(6800.02939="","-",6800.02939/2025977.54466*100)</f>
        <v>0.33564189336270173</v>
      </c>
      <c r="E63" s="50">
        <f>IF(2443.00026="","-",2443.00026/1755499.84492*100)</f>
        <v>0.13916265883300777</v>
      </c>
      <c r="F63" s="50">
        <f>IF(OR(1959536.20883="",5633.56544="",6800.02939=""),"-",(6800.02939-5633.56544)/1959536.20883*100)</f>
        <v>5.9527552731290012E-2</v>
      </c>
      <c r="G63" s="50">
        <f>IF(OR(2025977.54466="",2443.00026="",6800.02939=""),"-",(2443.00026-6800.02939)/2025977.54466*100)</f>
        <v>-0.21505811559876881</v>
      </c>
    </row>
    <row r="64" spans="1:7" s="9" customFormat="1" x14ac:dyDescent="0.25">
      <c r="A64" s="49" t="s">
        <v>135</v>
      </c>
      <c r="B64" s="50">
        <f>IF(2138.95433="","-",2138.95433)</f>
        <v>2138.95433</v>
      </c>
      <c r="C64" s="50" t="str">
        <f>IF(OR(""="",2138.95433=""),"-",2138.95433/""*100)</f>
        <v>-</v>
      </c>
      <c r="D64" s="50" t="str">
        <f>IF(""="","-",""/2025977.54466*100)</f>
        <v>-</v>
      </c>
      <c r="E64" s="50">
        <f>IF(2138.95433="","-",2138.95433/1755499.84492*100)</f>
        <v>0.12184303725173352</v>
      </c>
      <c r="F64" s="50" t="str">
        <f>IF(OR(1959536.20883="",1739.08352="",""=""),"-",(""-1739.08352)/1959536.20883*100)</f>
        <v>-</v>
      </c>
      <c r="G64" s="50" t="str">
        <f>IF(OR(2025977.54466="",2138.95433="",""=""),"-",(2138.95433-"")/2025977.54466*100)</f>
        <v>-</v>
      </c>
    </row>
    <row r="65" spans="1:7" s="9" customFormat="1" x14ac:dyDescent="0.25">
      <c r="A65" s="49" t="s">
        <v>77</v>
      </c>
      <c r="B65" s="50">
        <f>IF(1577.582="","-",1577.582)</f>
        <v>1577.5820000000001</v>
      </c>
      <c r="C65" s="50">
        <f>IF(OR(1324.48157="",1577.582=""),"-",1577.582/1324.48157*100)</f>
        <v>119.10939613904934</v>
      </c>
      <c r="D65" s="50">
        <f>IF(1324.48157="","-",1324.48157/2025977.54466*100)</f>
        <v>6.5374938310200997E-2</v>
      </c>
      <c r="E65" s="50">
        <f>IF(1577.582="","-",1577.582/1755499.84492*100)</f>
        <v>8.9865117594008795E-2</v>
      </c>
      <c r="F65" s="50">
        <f>IF(OR(1959536.20883="",1250.28638="",1324.48157=""),"-",(1324.48157-1250.28638)/1959536.20883*100)</f>
        <v>3.7863648380501414E-3</v>
      </c>
      <c r="G65" s="50">
        <f>IF(OR(2025977.54466="",1577.582="",1324.48157=""),"-",(1577.582-1324.48157)/2025977.54466*100)</f>
        <v>1.2492755937355444E-2</v>
      </c>
    </row>
    <row r="66" spans="1:7" s="14" customFormat="1" x14ac:dyDescent="0.25">
      <c r="A66" s="49" t="s">
        <v>40</v>
      </c>
      <c r="B66" s="50">
        <f>IF(1572.32814="","-",1572.32814)</f>
        <v>1572.3281400000001</v>
      </c>
      <c r="C66" s="50">
        <f>IF(OR(1392.19485="",1572.32814=""),"-",1572.32814/1392.19485*100)</f>
        <v>112.93879876082001</v>
      </c>
      <c r="D66" s="50">
        <f>IF(1392.19485="","-",1392.19485/2025977.54466*100)</f>
        <v>6.8717190556701779E-2</v>
      </c>
      <c r="E66" s="50">
        <f>IF(1572.32814="","-",1572.32814/1755499.84492*100)</f>
        <v>8.9565837590356079E-2</v>
      </c>
      <c r="F66" s="50">
        <f>IF(OR(1959536.20883="",913.64944="",1392.19485=""),"-",(1392.19485-913.64944)/1959536.20883*100)</f>
        <v>2.4421360924263297E-2</v>
      </c>
      <c r="G66" s="50">
        <f>IF(OR(2025977.54466="",1572.32814="",1392.19485=""),"-",(1572.32814-1392.19485)/2025977.54466*100)</f>
        <v>8.8911790002208536E-3</v>
      </c>
    </row>
    <row r="67" spans="1:7" s="16" customFormat="1" x14ac:dyDescent="0.25">
      <c r="A67" s="49" t="s">
        <v>143</v>
      </c>
      <c r="B67" s="50">
        <f>IF(1195.56086="","-",1195.56086)</f>
        <v>1195.56086</v>
      </c>
      <c r="C67" s="50">
        <f>IF(OR(876.79476="",1195.56086=""),"-",1195.56086/876.79476*100)</f>
        <v>136.35583999156199</v>
      </c>
      <c r="D67" s="50">
        <f>IF(876.79476="","-",876.79476/2025977.54466*100)</f>
        <v>4.3277614912910788E-2</v>
      </c>
      <c r="E67" s="50">
        <f>IF(1195.56086="","-",1195.56086/1755499.84492*100)</f>
        <v>6.8103729172045754E-2</v>
      </c>
      <c r="F67" s="50">
        <f>IF(OR(1959536.20883="",1667.29834="",876.79476=""),"-",(876.79476-1667.29834)/1959536.20883*100)</f>
        <v>-4.0341361207711188E-2</v>
      </c>
      <c r="G67" s="50">
        <f>IF(OR(2025977.54466="",1195.56086="",876.79476=""),"-",(1195.56086-876.79476)/2025977.54466*100)</f>
        <v>1.573394042990222E-2</v>
      </c>
    </row>
    <row r="68" spans="1:7" s="9" customFormat="1" x14ac:dyDescent="0.25">
      <c r="A68" s="49" t="s">
        <v>88</v>
      </c>
      <c r="B68" s="50">
        <f>IF(1122.93476="","-",1122.93476)</f>
        <v>1122.9347600000001</v>
      </c>
      <c r="C68" s="50" t="s">
        <v>274</v>
      </c>
      <c r="D68" s="50">
        <f>IF(340.55037="","-",340.55037/2025977.54466*100)</f>
        <v>1.680918778678523E-2</v>
      </c>
      <c r="E68" s="50">
        <f>IF(1122.93476="","-",1122.93476/1755499.84492*100)</f>
        <v>6.3966668140103045E-2</v>
      </c>
      <c r="F68" s="50">
        <f>IF(OR(1959536.20883="",247.52329="",340.55037=""),"-",(340.55037-247.52329)/1959536.20883*100)</f>
        <v>4.7474029610070131E-3</v>
      </c>
      <c r="G68" s="50">
        <f>IF(OR(2025977.54466="",1122.93476="",340.55037=""),"-",(1122.93476-340.55037)/2025977.54466*100)</f>
        <v>3.8617623974272632E-2</v>
      </c>
    </row>
    <row r="69" spans="1:7" s="9" customFormat="1" x14ac:dyDescent="0.25">
      <c r="A69" s="49" t="s">
        <v>86</v>
      </c>
      <c r="B69" s="50">
        <f>IF(1055.7773="","-",1055.7773)</f>
        <v>1055.7773</v>
      </c>
      <c r="C69" s="50">
        <f>IF(OR(1886.59286="",1055.7773=""),"-",1055.7773/1886.59286*100)</f>
        <v>55.962116807756814</v>
      </c>
      <c r="D69" s="50">
        <f>IF(1886.59286="","-",1886.59286/2025977.54466*100)</f>
        <v>9.3120126872709666E-2</v>
      </c>
      <c r="E69" s="50">
        <f>IF(1055.7773="","-",1055.7773/1755499.84492*100)</f>
        <v>6.0141121803865084E-2</v>
      </c>
      <c r="F69" s="50">
        <f>IF(OR(1959536.20883="",1498.94806="",1886.59286=""),"-",(1886.59286-1498.94806)/1959536.20883*100)</f>
        <v>1.9782477009264096E-2</v>
      </c>
      <c r="G69" s="50">
        <f>IF(OR(2025977.54466="",1055.7773="",1886.59286=""),"-",(1055.7773-1886.59286)/2025977.54466*100)</f>
        <v>-4.1008132700672537E-2</v>
      </c>
    </row>
    <row r="70" spans="1:7" s="9" customFormat="1" x14ac:dyDescent="0.25">
      <c r="A70" s="49" t="s">
        <v>136</v>
      </c>
      <c r="B70" s="50">
        <f>IF(1000.08336="","-",1000.08336)</f>
        <v>1000.08336</v>
      </c>
      <c r="C70" s="50" t="s">
        <v>275</v>
      </c>
      <c r="D70" s="50">
        <f>IF(378.42153="","-",378.42153/2025977.54466*100)</f>
        <v>1.8678466155630902E-2</v>
      </c>
      <c r="E70" s="50">
        <f>IF(1000.08336="","-",1000.08336/1755499.84492*100)</f>
        <v>5.6968581506515306E-2</v>
      </c>
      <c r="F70" s="50">
        <f>IF(OR(1959536.20883="",7.147="",378.42153=""),"-",(378.42153-7.147)/1959536.20883*100)</f>
        <v>1.8947061469289237E-2</v>
      </c>
      <c r="G70" s="50">
        <f>IF(OR(2025977.54466="",1000.08336="",378.42153=""),"-",(1000.08336-378.42153)/2025977.54466*100)</f>
        <v>3.0684537034408616E-2</v>
      </c>
    </row>
    <row r="71" spans="1:7" s="9" customFormat="1" x14ac:dyDescent="0.25">
      <c r="A71" s="49" t="s">
        <v>270</v>
      </c>
      <c r="B71" s="50">
        <f>IF(988.66293="","-",988.66293)</f>
        <v>988.66292999999996</v>
      </c>
      <c r="C71" s="50">
        <f>IF(OR(978.71283="",988.66293=""),"-",988.66293/978.71283*100)</f>
        <v>101.01665163621078</v>
      </c>
      <c r="D71" s="50">
        <f>IF(978.71283="","-",978.71283/2025977.54466*100)</f>
        <v>4.8308177579739556E-2</v>
      </c>
      <c r="E71" s="50">
        <f>IF(988.66293="","-",988.66293/1755499.84492*100)</f>
        <v>5.6318030039191169E-2</v>
      </c>
      <c r="F71" s="50">
        <f>IF(OR(1959536.20883="",1037.91871="",978.71283=""),"-",(978.71283-1037.91871)/1959536.20883*100)</f>
        <v>-3.0214231170216815E-3</v>
      </c>
      <c r="G71" s="50">
        <f>IF(OR(2025977.54466="",988.66293="",978.71283=""),"-",(988.66293-978.71283)/2025977.54466*100)</f>
        <v>4.9112587778803521E-4</v>
      </c>
    </row>
    <row r="72" spans="1:7" s="9" customFormat="1" x14ac:dyDescent="0.25">
      <c r="A72" s="49" t="s">
        <v>71</v>
      </c>
      <c r="B72" s="50">
        <f>IF(906.21396="","-",906.21396)</f>
        <v>906.21396000000004</v>
      </c>
      <c r="C72" s="50">
        <f>IF(OR(2259.90074="",906.21396=""),"-",906.21396/2259.90074*100)</f>
        <v>40.099724025932218</v>
      </c>
      <c r="D72" s="50">
        <f>IF(2259.90074="","-",2259.90074/2025977.54466*100)</f>
        <v>0.111546188947482</v>
      </c>
      <c r="E72" s="50">
        <f>IF(906.21396="","-",906.21396/1755499.84492*100)</f>
        <v>5.1621420680974028E-2</v>
      </c>
      <c r="F72" s="50">
        <f>IF(OR(1959536.20883="",1134.52588="",2259.90074=""),"-",(2259.90074-1134.52588)/1959536.20883*100)</f>
        <v>5.7430674407998775E-2</v>
      </c>
      <c r="G72" s="50">
        <f>IF(OR(2025977.54466="",906.21396="",2259.90074=""),"-",(906.21396-2259.90074)/2025977.54466*100)</f>
        <v>-6.6816475018096802E-2</v>
      </c>
    </row>
    <row r="73" spans="1:7" s="9" customFormat="1" x14ac:dyDescent="0.25">
      <c r="A73" s="49" t="s">
        <v>78</v>
      </c>
      <c r="B73" s="50">
        <f>IF(904.64582="","-",904.64582)</f>
        <v>904.64581999999996</v>
      </c>
      <c r="C73" s="50">
        <f>IF(OR(1212.99964="",904.64582=""),"-",904.64582/1212.99964*100)</f>
        <v>74.579232356573485</v>
      </c>
      <c r="D73" s="50">
        <f>IF(1212.99964="","-",1212.99964/2025977.54466*100)</f>
        <v>5.9872314142729852E-2</v>
      </c>
      <c r="E73" s="50">
        <f>IF(904.64582="","-",904.64582/1755499.84492*100)</f>
        <v>5.1532093415891225E-2</v>
      </c>
      <c r="F73" s="50">
        <f>IF(OR(1959536.20883="",1107.00532="",1212.99964=""),"-",(1212.99964-1107.00532)/1959536.20883*100)</f>
        <v>5.4091534273452962E-3</v>
      </c>
      <c r="G73" s="50">
        <f>IF(OR(2025977.54466="",904.64582="",1212.99964=""),"-",(904.64582-1212.99964)/2025977.54466*100)</f>
        <v>-1.5220001860965742E-2</v>
      </c>
    </row>
    <row r="74" spans="1:7" s="9" customFormat="1" x14ac:dyDescent="0.25">
      <c r="A74" s="49" t="s">
        <v>39</v>
      </c>
      <c r="B74" s="50">
        <f>IF(873.84464="","-",873.84464)</f>
        <v>873.84464000000003</v>
      </c>
      <c r="C74" s="50">
        <f>IF(OR(715.05089="",873.84464=""),"-",873.84464/715.05089*100)</f>
        <v>122.20733548069565</v>
      </c>
      <c r="D74" s="50">
        <f>IF(715.05089="","-",715.05089/2025977.54466*100)</f>
        <v>3.529411724649692E-2</v>
      </c>
      <c r="E74" s="50">
        <f>IF(873.84464="","-",873.84464/1755499.84492*100)</f>
        <v>4.9777540142125279E-2</v>
      </c>
      <c r="F74" s="50">
        <f>IF(OR(1959536.20883="",521.37239="",715.05089=""),"-",(715.05089-521.37239)/1959536.20883*100)</f>
        <v>9.8838949302009361E-3</v>
      </c>
      <c r="G74" s="50">
        <f>IF(OR(2025977.54466="",873.84464="",715.05089=""),"-",(873.84464-715.05089)/2025977.54466*100)</f>
        <v>7.8378830218796356E-3</v>
      </c>
    </row>
    <row r="75" spans="1:7" s="9" customFormat="1" x14ac:dyDescent="0.25">
      <c r="A75" s="49" t="s">
        <v>73</v>
      </c>
      <c r="B75" s="50">
        <f>IF(717.92232="","-",717.92232)</f>
        <v>717.92232000000001</v>
      </c>
      <c r="C75" s="50">
        <f>IF(OR(1020.88238="",717.92232=""),"-",717.92232/1020.88238*100)</f>
        <v>70.323705655493825</v>
      </c>
      <c r="D75" s="50">
        <f>IF(1020.88238="","-",1020.88238/2025977.54466*100)</f>
        <v>5.0389619701896787E-2</v>
      </c>
      <c r="E75" s="50">
        <f>IF(717.92232="","-",717.92232/1755499.84492*100)</f>
        <v>4.0895607144455004E-2</v>
      </c>
      <c r="F75" s="50">
        <f>IF(OR(1959536.20883="",634.74774="",1020.88238=""),"-",(1020.88238-634.74774)/1959536.20883*100)</f>
        <v>1.97054097933997E-2</v>
      </c>
      <c r="G75" s="50">
        <f>IF(OR(2025977.54466="",717.92232="",1020.88238=""),"-",(717.92232-1020.88238)/2025977.54466*100)</f>
        <v>-1.4953771861812163E-2</v>
      </c>
    </row>
    <row r="76" spans="1:7" s="9" customFormat="1" x14ac:dyDescent="0.25">
      <c r="A76" s="49" t="s">
        <v>94</v>
      </c>
      <c r="B76" s="50">
        <f>IF(664.08261="","-",664.08261)</f>
        <v>664.08261000000005</v>
      </c>
      <c r="C76" s="50" t="s">
        <v>276</v>
      </c>
      <c r="D76" s="50">
        <f>IF(144.64753="","-",144.64753/2025977.54466*100)</f>
        <v>7.1396413243205404E-3</v>
      </c>
      <c r="E76" s="50">
        <f>IF(664.08261="","-",664.08261/1755499.84492*100)</f>
        <v>3.7828690895171393E-2</v>
      </c>
      <c r="F76" s="50">
        <f>IF(OR(1959536.20883="",197.51226="",144.64753=""),"-",(144.64753-197.51226)/1959536.20883*100)</f>
        <v>-2.6978184818317028E-3</v>
      </c>
      <c r="G76" s="50">
        <f>IF(OR(2025977.54466="",664.08261="",144.64753=""),"-",(664.08261-144.64753)/2025977.54466*100)</f>
        <v>2.5638738265836594E-2</v>
      </c>
    </row>
    <row r="77" spans="1:7" x14ac:dyDescent="0.25">
      <c r="A77" s="49" t="s">
        <v>110</v>
      </c>
      <c r="B77" s="50">
        <f>IF(557.97836="","-",557.97836)</f>
        <v>557.97835999999995</v>
      </c>
      <c r="C77" s="50">
        <f>IF(OR(962.50047="",557.97836=""),"-",557.97836/962.50047*100)</f>
        <v>57.971749354054857</v>
      </c>
      <c r="D77" s="50">
        <f>IF(962.50047="","-",962.50047/2025977.54466*100)</f>
        <v>4.7507953508020104E-2</v>
      </c>
      <c r="E77" s="50">
        <f>IF(557.97836="","-",557.97836/1755499.84492*100)</f>
        <v>3.1784586117432984E-2</v>
      </c>
      <c r="F77" s="50">
        <f>IF(OR(1959536.20883="",545.57265="",962.50047=""),"-",(962.50047-545.57265)/1959536.20883*100)</f>
        <v>2.127686225553032E-2</v>
      </c>
      <c r="G77" s="50">
        <f>IF(OR(2025977.54466="",557.97836="",962.50047=""),"-",(557.97836-962.50047)/2025977.54466*100)</f>
        <v>-1.9966761777109775E-2</v>
      </c>
    </row>
    <row r="78" spans="1:7" x14ac:dyDescent="0.25">
      <c r="A78" s="49" t="s">
        <v>37</v>
      </c>
      <c r="B78" s="50">
        <f>IF(519.92449="","-",519.92449)</f>
        <v>519.92448999999999</v>
      </c>
      <c r="C78" s="50" t="s">
        <v>243</v>
      </c>
      <c r="D78" s="50">
        <f>IF(284.40152="","-",284.40152/2025977.54466*100)</f>
        <v>1.4037742952759544E-2</v>
      </c>
      <c r="E78" s="50">
        <f>IF(519.92449="","-",519.92449/1755499.84492*100)</f>
        <v>2.9616891821696141E-2</v>
      </c>
      <c r="F78" s="50">
        <f>IF(OR(1959536.20883="",290.87628="",284.40152=""),"-",(284.40152-290.87628)/1959536.20883*100)</f>
        <v>-3.3042308536191599E-4</v>
      </c>
      <c r="G78" s="50">
        <f>IF(OR(2025977.54466="",519.92449="",284.40152=""),"-",(519.92449-284.40152)/2025977.54466*100)</f>
        <v>1.1625152046762963E-2</v>
      </c>
    </row>
    <row r="79" spans="1:7" x14ac:dyDescent="0.25">
      <c r="A79" s="49" t="s">
        <v>76</v>
      </c>
      <c r="B79" s="50">
        <f>IF(486.3="","-",486.3)</f>
        <v>486.3</v>
      </c>
      <c r="C79" s="50">
        <f>IF(OR(1648.0195="",486.3=""),"-",486.3/1648.0195*100)</f>
        <v>29.508145989777425</v>
      </c>
      <c r="D79" s="50">
        <f>IF(1648.0195="","-",1648.0195/2025977.54466*100)</f>
        <v>8.1344410965649247E-2</v>
      </c>
      <c r="E79" s="50">
        <f>IF(486.3="","-",486.3/1755499.84492*100)</f>
        <v>2.7701511988579022E-2</v>
      </c>
      <c r="F79" s="50">
        <f>IF(OR(1959536.20883="",10040.61692="",1648.0195=""),"-",(1648.0195-10040.61692)/1959536.20883*100)</f>
        <v>-0.4282950925929076</v>
      </c>
      <c r="G79" s="50">
        <f>IF(OR(2025977.54466="",486.3="",1648.0195=""),"-",(486.3-1648.0195)/2025977.54466*100)</f>
        <v>-5.7341183423380945E-2</v>
      </c>
    </row>
    <row r="80" spans="1:7" x14ac:dyDescent="0.25">
      <c r="A80" s="49" t="s">
        <v>65</v>
      </c>
      <c r="B80" s="50">
        <f>IF(432.21897="","-",432.21897)</f>
        <v>432.21897000000001</v>
      </c>
      <c r="C80" s="50">
        <f>IF(OR(1302.93805="",432.21897=""),"-",432.21897/1302.93805*100)</f>
        <v>33.172641630966268</v>
      </c>
      <c r="D80" s="50">
        <f>IF(1302.93805="","-",1302.93805/2025977.54466*100)</f>
        <v>6.43115741057564E-2</v>
      </c>
      <c r="E80" s="50">
        <f>IF(432.21897="","-",432.21897/1755499.84492*100)</f>
        <v>2.4620849227115521E-2</v>
      </c>
      <c r="F80" s="50">
        <f>IF(OR(1959536.20883="",2435.67125="",1302.93805=""),"-",(1302.93805-2435.67125)/1959536.20883*100)</f>
        <v>-5.7806188775472146E-2</v>
      </c>
      <c r="G80" s="50">
        <f>IF(OR(2025977.54466="",432.21897="",1302.93805=""),"-",(432.21897-1302.93805)/2025977.54466*100)</f>
        <v>-4.2977726100420541E-2</v>
      </c>
    </row>
    <row r="81" spans="1:7" x14ac:dyDescent="0.25">
      <c r="A81" s="49" t="s">
        <v>103</v>
      </c>
      <c r="B81" s="50">
        <f>IF(395.39674="","-",395.39674)</f>
        <v>395.39674000000002</v>
      </c>
      <c r="C81" s="50" t="s">
        <v>250</v>
      </c>
      <c r="D81" s="50">
        <f>IF(100.98459="","-",100.98459/2025977.54466*100)</f>
        <v>4.9844871314675531E-3</v>
      </c>
      <c r="E81" s="50">
        <f>IF(395.39674="","-",395.39674/1755499.84492*100)</f>
        <v>2.2523313866656517E-2</v>
      </c>
      <c r="F81" s="50">
        <f>IF(OR(1959536.20883="",124.93436="",100.98459=""),"-",(100.98459-124.93436)/1959536.20883*100)</f>
        <v>-1.2222162515843446E-3</v>
      </c>
      <c r="G81" s="50">
        <f>IF(OR(2025977.54466="",395.39674="",100.98459=""),"-",(395.39674-100.98459)/2025977.54466*100)</f>
        <v>1.4531856524076545E-2</v>
      </c>
    </row>
    <row r="82" spans="1:7" x14ac:dyDescent="0.25">
      <c r="A82" s="49" t="s">
        <v>142</v>
      </c>
      <c r="B82" s="50">
        <f>IF(383.71544="","-",383.71544)</f>
        <v>383.71544</v>
      </c>
      <c r="C82" s="50" t="s">
        <v>276</v>
      </c>
      <c r="D82" s="50">
        <f>IF(82.66785="","-",82.66785/2025977.54466*100)</f>
        <v>4.0803932016864157E-3</v>
      </c>
      <c r="E82" s="50">
        <f>IF(383.71544="","-",383.71544/1755499.84492*100)</f>
        <v>2.1857902244217305E-2</v>
      </c>
      <c r="F82" s="50">
        <f>IF(OR(1959536.20883="",77.69399="",82.66785=""),"-",(82.66785-77.69399)/1959536.20883*100)</f>
        <v>2.5382843029829975E-4</v>
      </c>
      <c r="G82" s="50">
        <f>IF(OR(2025977.54466="",383.71544="",82.66785=""),"-",(383.71544-82.66785)/2025977.54466*100)</f>
        <v>1.4859374468068051E-2</v>
      </c>
    </row>
    <row r="83" spans="1:7" x14ac:dyDescent="0.25">
      <c r="A83" s="49" t="s">
        <v>83</v>
      </c>
      <c r="B83" s="50">
        <f>IF(380.55509="","-",380.55509)</f>
        <v>380.55509000000001</v>
      </c>
      <c r="C83" s="50">
        <f>IF(OR(416.6669="",380.55509=""),"-",380.55509/416.6669*100)</f>
        <v>91.333170453424543</v>
      </c>
      <c r="D83" s="50">
        <f>IF(416.6669="","-",416.6669/2025977.54466*100)</f>
        <v>2.0566215114191957E-2</v>
      </c>
      <c r="E83" s="50">
        <f>IF(380.55509="","-",380.55509/1755499.84492*100)</f>
        <v>2.1677876594591344E-2</v>
      </c>
      <c r="F83" s="50">
        <f>IF(OR(1959536.20883="",1477.32679="",416.6669=""),"-",(416.6669-1477.32679)/1959536.20883*100)</f>
        <v>-5.4128108744328794E-2</v>
      </c>
      <c r="G83" s="50">
        <f>IF(OR(2025977.54466="",380.55509="",416.6669=""),"-",(380.55509-416.6669)/2025977.54466*100)</f>
        <v>-1.7824388081290547E-3</v>
      </c>
    </row>
    <row r="84" spans="1:7" x14ac:dyDescent="0.25">
      <c r="A84" s="49" t="s">
        <v>97</v>
      </c>
      <c r="B84" s="50">
        <f>IF(329.41595="","-",329.41595)</f>
        <v>329.41595000000001</v>
      </c>
      <c r="C84" s="50">
        <f>IF(OR(586.39953="",329.41595=""),"-",329.41595/586.39953*100)</f>
        <v>56.176025584467979</v>
      </c>
      <c r="D84" s="50">
        <f>IF(586.39953="","-",586.39953/2025977.54466*100)</f>
        <v>2.8944029095762248E-2</v>
      </c>
      <c r="E84" s="50">
        <f>IF(329.41595="","-",329.41595/1755499.84492*100)</f>
        <v>1.8764795163796318E-2</v>
      </c>
      <c r="F84" s="50">
        <f>IF(OR(1959536.20883="",408.68746="",586.39953=""),"-",(586.39953-408.68746)/1959536.20883*100)</f>
        <v>9.0690883485183664E-3</v>
      </c>
      <c r="G84" s="50">
        <f>IF(OR(2025977.54466="",329.41595="",586.39953=""),"-",(329.41595-586.39953)/2025977.54466*100)</f>
        <v>-1.2684423905750994E-2</v>
      </c>
    </row>
    <row r="85" spans="1:7" x14ac:dyDescent="0.25">
      <c r="A85" s="49" t="s">
        <v>175</v>
      </c>
      <c r="B85" s="50">
        <f>IF(315.98349="","-",315.98349)</f>
        <v>315.98349000000002</v>
      </c>
      <c r="C85" s="50" t="s">
        <v>248</v>
      </c>
      <c r="D85" s="50">
        <f>IF(100.3211="","-",100.3211/2025977.54466*100)</f>
        <v>4.9517380024483894E-3</v>
      </c>
      <c r="E85" s="50">
        <f>IF(315.98349="","-",315.98349/1755499.84492*100)</f>
        <v>1.7999630755558382E-2</v>
      </c>
      <c r="F85" s="50">
        <f>IF(OR(1959536.20883="",326.76673="",100.3211=""),"-",(100.3211-326.76673)/1959536.20883*100)</f>
        <v>-1.1556082963897166E-2</v>
      </c>
      <c r="G85" s="50">
        <f>IF(OR(2025977.54466="",315.98349="",100.3211=""),"-",(315.98349-100.3211)/2025977.54466*100)</f>
        <v>1.0644855890354526E-2</v>
      </c>
    </row>
    <row r="86" spans="1:7" x14ac:dyDescent="0.25">
      <c r="A86" s="49" t="s">
        <v>72</v>
      </c>
      <c r="B86" s="50">
        <f>IF(312.37617="","-",312.37617)</f>
        <v>312.37617</v>
      </c>
      <c r="C86" s="50">
        <f>IF(OR(986.17689="",312.37617=""),"-",312.37617/986.17689*100)</f>
        <v>31.675470513205799</v>
      </c>
      <c r="D86" s="50">
        <f>IF(986.17689="","-",986.17689/2025977.54466*100)</f>
        <v>4.8676595286030203E-2</v>
      </c>
      <c r="E86" s="50">
        <f>IF(312.37617="","-",312.37617/1755499.84492*100)</f>
        <v>1.7794143981495786E-2</v>
      </c>
      <c r="F86" s="50">
        <f>IF(OR(1959536.20883="",1821.19173="",986.17689=""),"-",(986.17689-1821.19173)/1959536.20883*100)</f>
        <v>-4.2612881366380612E-2</v>
      </c>
      <c r="G86" s="50">
        <f>IF(OR(2025977.54466="",312.37617="",986.17689=""),"-",(312.37617-986.17689)/2025977.54466*100)</f>
        <v>-3.3258054699371181E-2</v>
      </c>
    </row>
    <row r="87" spans="1:7" x14ac:dyDescent="0.25">
      <c r="A87" s="49" t="s">
        <v>166</v>
      </c>
      <c r="B87" s="50">
        <f>IF(305.79612="","-",305.79612)</f>
        <v>305.79611999999997</v>
      </c>
      <c r="C87" s="50">
        <f>IF(OR(315.51659="",305.79612=""),"-",305.79612/315.51659*100)</f>
        <v>96.919188940270928</v>
      </c>
      <c r="D87" s="50">
        <f>IF(315.51659="","-",315.51659/2025977.54466*100)</f>
        <v>1.5573548227700129E-2</v>
      </c>
      <c r="E87" s="50">
        <f>IF(305.79612="","-",305.79612/1755499.84492*100)</f>
        <v>1.7419319112154944E-2</v>
      </c>
      <c r="F87" s="50">
        <f>IF(OR(1959536.20883="",265.82883="",315.51659=""),"-",(315.51659-265.82883)/1959536.20883*100)</f>
        <v>2.5356898115022636E-3</v>
      </c>
      <c r="G87" s="50">
        <f>IF(OR(2025977.54466="",305.79612="",315.51659=""),"-",(305.79612-315.51659)/2025977.54466*100)</f>
        <v>-4.7979159619122662E-4</v>
      </c>
    </row>
    <row r="88" spans="1:7" x14ac:dyDescent="0.25">
      <c r="A88" s="49" t="s">
        <v>87</v>
      </c>
      <c r="B88" s="50">
        <f>IF(290.07564="","-",290.07564)</f>
        <v>290.07564000000002</v>
      </c>
      <c r="C88" s="50" t="s">
        <v>242</v>
      </c>
      <c r="D88" s="50">
        <f>IF(130.24588="","-",130.24588/2025977.54466*100)</f>
        <v>6.428791885837901E-3</v>
      </c>
      <c r="E88" s="50">
        <f>IF(290.07564="","-",290.07564/1755499.84492*100)</f>
        <v>1.6523820314733158E-2</v>
      </c>
      <c r="F88" s="50">
        <f>IF(OR(1959536.20883="",139.2662="",130.24588=""),"-",(130.24588-139.2662)/1959536.20883*100)</f>
        <v>-4.6032933504126729E-4</v>
      </c>
      <c r="G88" s="50">
        <f>IF(OR(2025977.54466="",290.07564="",130.24588=""),"-",(290.07564-130.24588)/2025977.54466*100)</f>
        <v>7.8890193240923959E-3</v>
      </c>
    </row>
    <row r="89" spans="1:7" x14ac:dyDescent="0.25">
      <c r="A89" s="49" t="s">
        <v>137</v>
      </c>
      <c r="B89" s="50">
        <f>IF(282.28205="","-",282.28205)</f>
        <v>282.28205000000003</v>
      </c>
      <c r="C89" s="50">
        <f>IF(OR(352.84249="",282.28205=""),"-",282.28205/352.84249*100)</f>
        <v>80.002283738559953</v>
      </c>
      <c r="D89" s="50">
        <f>IF(352.84249="","-",352.84249/2025977.54466*100)</f>
        <v>1.7415913168929723E-2</v>
      </c>
      <c r="E89" s="50">
        <f>IF(282.28205="","-",282.28205/1755499.84492*100)</f>
        <v>1.6079867555491806E-2</v>
      </c>
      <c r="F89" s="50">
        <f>IF(OR(1959536.20883="",432.85815="",352.84249=""),"-",(352.84249-432.85815)/1959536.20883*100)</f>
        <v>-4.0833978795306765E-3</v>
      </c>
      <c r="G89" s="50">
        <f>IF(OR(2025977.54466="",282.28205="",352.84249=""),"-",(282.28205-352.84249)/2025977.54466*100)</f>
        <v>-3.4827848998613378E-3</v>
      </c>
    </row>
    <row r="90" spans="1:7" x14ac:dyDescent="0.25">
      <c r="A90" s="49" t="s">
        <v>92</v>
      </c>
      <c r="B90" s="50">
        <f>IF(281.47476="","-",281.47476)</f>
        <v>281.47476</v>
      </c>
      <c r="C90" s="50">
        <f>IF(OR(1175.53676="",281.47476=""),"-",281.47476/1175.53676*100)</f>
        <v>23.94436053194968</v>
      </c>
      <c r="D90" s="50">
        <f>IF(1175.53676="","-",1175.53676/2025977.54466*100)</f>
        <v>5.8023188020935285E-2</v>
      </c>
      <c r="E90" s="50">
        <f>IF(281.47476="","-",281.47476/1755499.84492*100)</f>
        <v>1.6033881222748108E-2</v>
      </c>
      <c r="F90" s="50">
        <f>IF(OR(1959536.20883="",1123.36773="",1175.53676=""),"-",(1175.53676-1123.36773)/1959536.20883*100)</f>
        <v>2.6623151827926219E-3</v>
      </c>
      <c r="G90" s="50">
        <f>IF(OR(2025977.54466="",281.47476="",1175.53676=""),"-",(281.47476-1175.53676)/2025977.54466*100)</f>
        <v>-4.4129906689071505E-2</v>
      </c>
    </row>
    <row r="91" spans="1:7" x14ac:dyDescent="0.25">
      <c r="A91" s="49" t="s">
        <v>176</v>
      </c>
      <c r="B91" s="50">
        <f>IF(248.79612="","-",248.79612)</f>
        <v>248.79612</v>
      </c>
      <c r="C91" s="50">
        <f>IF(OR(716.48107="",248.79612=""),"-",248.79612/716.48107*100)</f>
        <v>34.724730410532686</v>
      </c>
      <c r="D91" s="50">
        <f>IF(716.48107="","-",716.48107/2025977.54466*100)</f>
        <v>3.5364709341842195E-2</v>
      </c>
      <c r="E91" s="50">
        <f>IF(248.79612="","-",248.79612/1755499.84492*100)</f>
        <v>1.4172380631075355E-2</v>
      </c>
      <c r="F91" s="50">
        <f>IF(OR(1959536.20883="",695.91402="",716.48107=""),"-",(716.48107-695.91402)/1959536.20883*100)</f>
        <v>1.0495876476954804E-3</v>
      </c>
      <c r="G91" s="50">
        <f>IF(OR(2025977.54466="",248.79612="",716.48107=""),"-",(248.79612-716.48107)/2025977.54466*100)</f>
        <v>-2.3084409362419022E-2</v>
      </c>
    </row>
    <row r="92" spans="1:7" x14ac:dyDescent="0.25">
      <c r="A92" s="49" t="s">
        <v>75</v>
      </c>
      <c r="B92" s="50">
        <f>IF(215.83129="","-",215.83129)</f>
        <v>215.83129</v>
      </c>
      <c r="C92" s="50">
        <f>IF(OR(711.11685="",215.83129=""),"-",215.83129/711.11685*100)</f>
        <v>30.351030213951475</v>
      </c>
      <c r="D92" s="50">
        <f>IF(711.11685="","-",711.11685/2025977.54466*100)</f>
        <v>3.5099937404258832E-2</v>
      </c>
      <c r="E92" s="50">
        <f>IF(215.83129="","-",215.83129/1755499.84492*100)</f>
        <v>1.2294577560035937E-2</v>
      </c>
      <c r="F92" s="50">
        <f>IF(OR(1959536.20883="",396.83861="",711.11685=""),"-",(711.11685-396.83861)/1959536.20883*100)</f>
        <v>1.6038399218335917E-2</v>
      </c>
      <c r="G92" s="50">
        <f>IF(OR(2025977.54466="",215.83129="",711.11685=""),"-",(215.83129-711.11685)/2025977.54466*100)</f>
        <v>-2.4446744797614182E-2</v>
      </c>
    </row>
    <row r="93" spans="1:7" x14ac:dyDescent="0.25">
      <c r="A93" s="49" t="s">
        <v>64</v>
      </c>
      <c r="B93" s="50">
        <f>IF(213.56542="","-",213.56542)</f>
        <v>213.56541999999999</v>
      </c>
      <c r="C93" s="50">
        <f>IF(OR(2280.60948="",213.56542=""),"-",213.56542/2280.60948*100)</f>
        <v>9.3644011336829127</v>
      </c>
      <c r="D93" s="50">
        <f>IF(2280.60948="","-",2280.60948/2025977.54466*100)</f>
        <v>0.11256834933887347</v>
      </c>
      <c r="E93" s="50">
        <f>IF(213.56542="","-",213.56542/1755499.84492*100)</f>
        <v>1.2165504919753063E-2</v>
      </c>
      <c r="F93" s="50">
        <f>IF(OR(1959536.20883="",1226.98009="",2280.60948=""),"-",(2280.60948-1226.98009)/1959536.20883*100)</f>
        <v>5.3769324866372398E-2</v>
      </c>
      <c r="G93" s="50">
        <f>IF(OR(2025977.54466="",213.56542="",2280.60948=""),"-",(213.56542-2280.60948)/2025977.54466*100)</f>
        <v>-0.10202699755721588</v>
      </c>
    </row>
    <row r="94" spans="1:7" x14ac:dyDescent="0.25">
      <c r="A94" s="49" t="s">
        <v>171</v>
      </c>
      <c r="B94" s="50">
        <f>IF(200.6088="","-",200.6088)</f>
        <v>200.6088</v>
      </c>
      <c r="C94" s="50" t="s">
        <v>105</v>
      </c>
      <c r="D94" s="50">
        <f>IF(129.0535="","-",129.0535/2025977.54466*100)</f>
        <v>6.3699373342095862E-3</v>
      </c>
      <c r="E94" s="50">
        <f>IF(200.6088="","-",200.6088/1755499.84492*100)</f>
        <v>1.1427446181810512E-2</v>
      </c>
      <c r="F94" s="50">
        <f>IF(OR(1959536.20883="",106.766="",129.0535=""),"-",(129.0535-106.766)/1959536.20883*100)</f>
        <v>1.1373864845961397E-3</v>
      </c>
      <c r="G94" s="50">
        <f>IF(OR(2025977.54466="",200.6088="",129.0535=""),"-",(200.6088-129.0535)/2025977.54466*100)</f>
        <v>3.5318900838068479E-3</v>
      </c>
    </row>
    <row r="95" spans="1:7" x14ac:dyDescent="0.25">
      <c r="A95" s="49" t="s">
        <v>172</v>
      </c>
      <c r="B95" s="50">
        <f>IF(184.41676="","-",184.41676)</f>
        <v>184.41676000000001</v>
      </c>
      <c r="C95" s="50" t="str">
        <f>IF(OR(""="",184.41676=""),"-",184.41676/""*100)</f>
        <v>-</v>
      </c>
      <c r="D95" s="50" t="str">
        <f>IF(""="","-",""/2025977.54466*100)</f>
        <v>-</v>
      </c>
      <c r="E95" s="50">
        <f>IF(184.41676="","-",184.41676/1755499.84492*100)</f>
        <v>1.0505085519298584E-2</v>
      </c>
      <c r="F95" s="50" t="str">
        <f>IF(OR(1959536.20883="",""="",""=""),"-",(""-"")/1959536.20883*100)</f>
        <v>-</v>
      </c>
      <c r="G95" s="50" t="str">
        <f>IF(OR(2025977.54466="",184.41676="",""=""),"-",(184.41676-"")/2025977.54466*100)</f>
        <v>-</v>
      </c>
    </row>
    <row r="96" spans="1:7" x14ac:dyDescent="0.25">
      <c r="A96" s="49" t="s">
        <v>79</v>
      </c>
      <c r="B96" s="50">
        <f>IF(181.8109="","-",181.8109)</f>
        <v>181.8109</v>
      </c>
      <c r="C96" s="50" t="s">
        <v>243</v>
      </c>
      <c r="D96" s="50">
        <f>IF(98.36857="","-",98.36857/2025977.54466*100)</f>
        <v>4.8553632916256357E-3</v>
      </c>
      <c r="E96" s="50">
        <f>IF(181.8109="","-",181.8109/1755499.84492*100)</f>
        <v>1.0356645745433565E-2</v>
      </c>
      <c r="F96" s="50">
        <f>IF(OR(1959536.20883="",288.6137="",98.36857=""),"-",(98.36857-288.6137)/1959536.20883*100)</f>
        <v>-9.7086815310032763E-3</v>
      </c>
      <c r="G96" s="50">
        <f>IF(OR(2025977.54466="",181.8109="",98.36857=""),"-",(181.8109-98.36857)/2025977.54466*100)</f>
        <v>4.1186206737549658E-3</v>
      </c>
    </row>
    <row r="97" spans="1:7" x14ac:dyDescent="0.25">
      <c r="A97" s="49" t="s">
        <v>145</v>
      </c>
      <c r="B97" s="50">
        <f>IF(176.0637="","-",176.0637)</f>
        <v>176.06370000000001</v>
      </c>
      <c r="C97" s="50">
        <f>IF(OR(133.4746="",176.0637=""),"-",176.0637/133.4746*100)</f>
        <v>131.9080184544475</v>
      </c>
      <c r="D97" s="50">
        <f>IF(133.4746="","-",133.4746/2025977.54466*100)</f>
        <v>6.5881579167453089E-3</v>
      </c>
      <c r="E97" s="50">
        <f>IF(176.0637="","-",176.0637/1755499.84492*100)</f>
        <v>1.002926320440794E-2</v>
      </c>
      <c r="F97" s="50">
        <f>IF(OR(1959536.20883="",538.84735="",133.4746=""),"-",(133.4746-538.84735)/1959536.20883*100)</f>
        <v>-2.0687178331960501E-2</v>
      </c>
      <c r="G97" s="50">
        <f>IF(OR(2025977.54466="",176.0637="",133.4746=""),"-",(176.0637-133.4746)/2025977.54466*100)</f>
        <v>2.1021506438832381E-3</v>
      </c>
    </row>
    <row r="98" spans="1:7" x14ac:dyDescent="0.25">
      <c r="A98" s="49" t="s">
        <v>102</v>
      </c>
      <c r="B98" s="50">
        <f>IF(154.33353="","-",154.33353)</f>
        <v>154.33353</v>
      </c>
      <c r="C98" s="50">
        <f>IF(OR(477.81045="",154.33353=""),"-",154.33353/477.81045*100)</f>
        <v>32.300157939199529</v>
      </c>
      <c r="D98" s="50">
        <f>IF(477.81045="","-",477.81045/2025977.54466*100)</f>
        <v>2.3584192789273303E-2</v>
      </c>
      <c r="E98" s="50">
        <f>IF(154.33353="","-",154.33353/1755499.84492*100)</f>
        <v>8.7914294294359867E-3</v>
      </c>
      <c r="F98" s="50">
        <f>IF(OR(1959536.20883="",351.47609="",477.81045=""),"-",(477.81045-351.47609)/1959536.20883*100)</f>
        <v>6.4471561908739485E-3</v>
      </c>
      <c r="G98" s="50">
        <f>IF(OR(2025977.54466="",154.33353="",477.81045=""),"-",(154.33353-477.81045)/2025977.54466*100)</f>
        <v>-1.5966461269652722E-2</v>
      </c>
    </row>
    <row r="99" spans="1:7" x14ac:dyDescent="0.25">
      <c r="A99" s="49" t="s">
        <v>84</v>
      </c>
      <c r="B99" s="50">
        <f>IF(146.38074="","-",146.38074)</f>
        <v>146.38074</v>
      </c>
      <c r="C99" s="50">
        <f>IF(OR(671.07024="",146.38074=""),"-",146.38074/671.07024*100)</f>
        <v>21.813028096730978</v>
      </c>
      <c r="D99" s="50">
        <f>IF(671.07024="","-",671.07024/2025977.54466*100)</f>
        <v>3.3123281241136324E-2</v>
      </c>
      <c r="E99" s="50">
        <f>IF(146.38074="","-",146.38074/1755499.84492*100)</f>
        <v>8.3384080279808124E-3</v>
      </c>
      <c r="F99" s="50">
        <f>IF(OR(1959536.20883="",0.19471="",671.07024=""),"-",(671.07024-0.19471)/1959536.20883*100)</f>
        <v>3.423644467384282E-2</v>
      </c>
      <c r="G99" s="50">
        <f>IF(OR(2025977.54466="",146.38074="",671.07024=""),"-",(146.38074-671.07024)/2025977.54466*100)</f>
        <v>-2.5898090597448034E-2</v>
      </c>
    </row>
    <row r="100" spans="1:7" x14ac:dyDescent="0.25">
      <c r="A100" s="49" t="s">
        <v>108</v>
      </c>
      <c r="B100" s="50">
        <f>IF(135.01827="","-",135.01827)</f>
        <v>135.01827</v>
      </c>
      <c r="C100" s="50">
        <f>IF(OR(354.73718="",135.01827=""),"-",135.01827/354.73718*100)</f>
        <v>38.061493864274389</v>
      </c>
      <c r="D100" s="50">
        <f>IF(354.73718="","-",354.73718/2025977.54466*100)</f>
        <v>1.7509432961633941E-2</v>
      </c>
      <c r="E100" s="50">
        <f>IF(135.01827="","-",135.01827/1755499.84492*100)</f>
        <v>7.6911581844174371E-3</v>
      </c>
      <c r="F100" s="50">
        <f>IF(OR(1959536.20883="",307.60191="",354.73718=""),"-",(354.73718-307.60191)/1959536.20883*100)</f>
        <v>2.4054299067095873E-3</v>
      </c>
      <c r="G100" s="50">
        <f>IF(OR(2025977.54466="",135.01827="",354.73718=""),"-",(135.01827-354.73718)/2025977.54466*100)</f>
        <v>-1.0845081209272401E-2</v>
      </c>
    </row>
    <row r="101" spans="1:7" x14ac:dyDescent="0.25">
      <c r="A101" s="49" t="s">
        <v>99</v>
      </c>
      <c r="B101" s="50">
        <f>IF(129.41661="","-",129.41661)</f>
        <v>129.41660999999999</v>
      </c>
      <c r="C101" s="50" t="s">
        <v>20</v>
      </c>
      <c r="D101" s="50">
        <f>IF(64.91936="","-",64.91936/2025977.54466*100)</f>
        <v>3.2043474603710275E-3</v>
      </c>
      <c r="E101" s="50">
        <f>IF(129.41661="","-",129.41661/1755499.84492*100)</f>
        <v>7.372066159646834E-3</v>
      </c>
      <c r="F101" s="50">
        <f>IF(OR(1959536.20883="",85.68156="",64.91936=""),"-",(64.91936-85.68156)/1959536.20883*100)</f>
        <v>-1.0595466369257196E-3</v>
      </c>
      <c r="G101" s="50">
        <f>IF(OR(2025977.54466="",129.41661="",64.91936=""),"-",(129.41661-64.91936)/2025977.54466*100)</f>
        <v>3.1835125798901167E-3</v>
      </c>
    </row>
    <row r="102" spans="1:7" x14ac:dyDescent="0.25">
      <c r="A102" s="49" t="s">
        <v>91</v>
      </c>
      <c r="B102" s="50">
        <f>IF(118.95241="","-",118.95241)</f>
        <v>118.95241</v>
      </c>
      <c r="C102" s="50">
        <f>IF(OR(103.15059="",118.95241=""),"-",118.95241/103.15059*100)</f>
        <v>115.31917558590794</v>
      </c>
      <c r="D102" s="50">
        <f>IF(103.15059="","-",103.15059/2025977.54466*100)</f>
        <v>5.0913984842468106E-3</v>
      </c>
      <c r="E102" s="50">
        <f>IF(118.95241="","-",118.95241/1755499.84492*100)</f>
        <v>6.7759852183536251E-3</v>
      </c>
      <c r="F102" s="50">
        <f>IF(OR(1959536.20883="",96.62283="",103.15059=""),"-",(103.15059-96.62283)/1959536.20883*100)</f>
        <v>3.3312780700784278E-4</v>
      </c>
      <c r="G102" s="50">
        <f>IF(OR(2025977.54466="",118.95241="",103.15059=""),"-",(118.95241-103.15059)/2025977.54466*100)</f>
        <v>7.7996027358002496E-4</v>
      </c>
    </row>
    <row r="103" spans="1:7" x14ac:dyDescent="0.25">
      <c r="A103" s="49" t="s">
        <v>95</v>
      </c>
      <c r="B103" s="50">
        <f>IF(116.12427="","-",116.12427)</f>
        <v>116.12427</v>
      </c>
      <c r="C103" s="50">
        <f>IF(OR(81.87974="",116.12427=""),"-",116.12427/81.87974*100)</f>
        <v>141.82295889068527</v>
      </c>
      <c r="D103" s="50">
        <f>IF(81.87974="","-",81.87974/2025977.54466*100)</f>
        <v>4.0414929679657968E-3</v>
      </c>
      <c r="E103" s="50">
        <f>IF(116.12427="","-",116.12427/1755499.84492*100)</f>
        <v>6.614883523689055E-3</v>
      </c>
      <c r="F103" s="50">
        <f>IF(OR(1959536.20883="",23.65="",81.87974=""),"-",(81.87974-23.65)/1959536.20883*100)</f>
        <v>2.9716082682017812E-3</v>
      </c>
      <c r="G103" s="50">
        <f>IF(OR(2025977.54466="",116.12427="",81.87974=""),"-",(116.12427-81.87974)/2025977.54466*100)</f>
        <v>1.6902719425622719E-3</v>
      </c>
    </row>
    <row r="104" spans="1:7" x14ac:dyDescent="0.25">
      <c r="A104" s="49" t="s">
        <v>165</v>
      </c>
      <c r="B104" s="50">
        <f>IF(109.128="","-",109.128)</f>
        <v>109.128</v>
      </c>
      <c r="C104" s="50" t="s">
        <v>104</v>
      </c>
      <c r="D104" s="50">
        <f>IF(63.86311="","-",63.86311/2025977.54466*100)</f>
        <v>3.1522121342523329E-3</v>
      </c>
      <c r="E104" s="50">
        <f>IF(109.128="","-",109.128/1755499.84492*100)</f>
        <v>6.2163491677763765E-3</v>
      </c>
      <c r="F104" s="50">
        <f>IF(OR(1959536.20883="",55.11432="",63.86311=""),"-",(63.86311-55.11432)/1959536.20883*100)</f>
        <v>4.4647248469186125E-4</v>
      </c>
      <c r="G104" s="50">
        <f>IF(OR(2025977.54466="",109.128="",63.86311=""),"-",(109.128-63.86311)/2025977.54466*100)</f>
        <v>2.2342246644987554E-3</v>
      </c>
    </row>
    <row r="105" spans="1:7" x14ac:dyDescent="0.25">
      <c r="A105" s="49" t="s">
        <v>132</v>
      </c>
      <c r="B105" s="50">
        <f>IF(91.26775="","-",91.26775)</f>
        <v>91.267750000000007</v>
      </c>
      <c r="C105" s="50">
        <f>IF(OR(3021.10454="",91.26775=""),"-",91.26775/3021.10454*100)</f>
        <v>3.0210060192091204</v>
      </c>
      <c r="D105" s="50">
        <f>IF(3021.10454="","-",3021.10454/2025977.54466*100)</f>
        <v>0.14911836253876162</v>
      </c>
      <c r="E105" s="50">
        <f>IF(91.26775="","-",91.26775/1755499.84492*100)</f>
        <v>5.198960869413188E-3</v>
      </c>
      <c r="F105" s="50">
        <f>IF(OR(1959536.20883="",51.49657="",3021.10454=""),"-",(3021.10454-51.49657)/1959536.20883*100)</f>
        <v>0.15154647087501863</v>
      </c>
      <c r="G105" s="50">
        <f>IF(OR(2025977.54466="",91.26775="",3021.10454=""),"-",(91.26775-3021.10454)/2025977.54466*100)</f>
        <v>-0.14461348783071956</v>
      </c>
    </row>
    <row r="106" spans="1:7" x14ac:dyDescent="0.25">
      <c r="A106" s="49" t="s">
        <v>177</v>
      </c>
      <c r="B106" s="50">
        <f>IF(72.2805="","-",72.2805)</f>
        <v>72.280500000000004</v>
      </c>
      <c r="C106" s="50">
        <f>IF(OR(406.86074="",72.2805=""),"-",72.2805/406.86074*100)</f>
        <v>17.765415262234445</v>
      </c>
      <c r="D106" s="50">
        <f>IF(406.86074="","-",406.86074/2025977.54466*100)</f>
        <v>2.0082193954833762E-2</v>
      </c>
      <c r="E106" s="50">
        <f>IF(72.2805="","-",72.2805/1755499.84492*100)</f>
        <v>4.117374331257426E-3</v>
      </c>
      <c r="F106" s="50">
        <f>IF(OR(1959536.20883="",47.72707="",406.86074=""),"-",(406.86074-47.72707)/1959536.20883*100)</f>
        <v>1.8327483226984187E-2</v>
      </c>
      <c r="G106" s="50">
        <f>IF(OR(2025977.54466="",72.2805="",406.86074=""),"-",(72.2805-406.86074)/2025977.54466*100)</f>
        <v>-1.6514508804990204E-2</v>
      </c>
    </row>
    <row r="107" spans="1:7" x14ac:dyDescent="0.25">
      <c r="A107" s="49" t="s">
        <v>74</v>
      </c>
      <c r="B107" s="50">
        <f>IF(70.05237="","-",70.05237)</f>
        <v>70.052369999999996</v>
      </c>
      <c r="C107" s="50" t="str">
        <f>IF(OR(""="",70.05237=""),"-",70.05237/""*100)</f>
        <v>-</v>
      </c>
      <c r="D107" s="50" t="str">
        <f>IF(""="","-",""/2025977.54466*100)</f>
        <v>-</v>
      </c>
      <c r="E107" s="50">
        <f>IF(70.05237="","-",70.05237/1755499.84492*100)</f>
        <v>3.9904515060320243E-3</v>
      </c>
      <c r="F107" s="50" t="str">
        <f>IF(OR(1959536.20883="",188.42651="",""=""),"-",(""-188.42651)/1959536.20883*100)</f>
        <v>-</v>
      </c>
      <c r="G107" s="50" t="str">
        <f>IF(OR(2025977.54466="",70.05237="",""=""),"-",(70.05237-"")/2025977.54466*100)</f>
        <v>-</v>
      </c>
    </row>
    <row r="108" spans="1:7" x14ac:dyDescent="0.25">
      <c r="A108" s="49" t="s">
        <v>144</v>
      </c>
      <c r="B108" s="50">
        <f>IF(56.82725="","-",56.82725)</f>
        <v>56.827249999999999</v>
      </c>
      <c r="C108" s="50" t="str">
        <f>IF(OR(""="",56.82725=""),"-",56.82725/""*100)</f>
        <v>-</v>
      </c>
      <c r="D108" s="50" t="str">
        <f>IF(""="","-",""/2025977.54466*100)</f>
        <v>-</v>
      </c>
      <c r="E108" s="50">
        <f>IF(56.82725="","-",56.82725/1755499.84492*100)</f>
        <v>3.2370979789285983E-3</v>
      </c>
      <c r="F108" s="50" t="str">
        <f>IF(OR(1959536.20883="",""="",""=""),"-",(""-"")/1959536.20883*100)</f>
        <v>-</v>
      </c>
      <c r="G108" s="50" t="str">
        <f>IF(OR(2025977.54466="",56.82725="",""=""),"-",(56.82725-"")/2025977.54466*100)</f>
        <v>-</v>
      </c>
    </row>
    <row r="109" spans="1:7" x14ac:dyDescent="0.25">
      <c r="A109" s="51" t="s">
        <v>259</v>
      </c>
      <c r="B109" s="52">
        <f>IF(50.40516="","-",50.40516)</f>
        <v>50.405160000000002</v>
      </c>
      <c r="C109" s="52" t="s">
        <v>104</v>
      </c>
      <c r="D109" s="52">
        <f>IF(30.4369="","-",30.4369/2025977.54466*100)</f>
        <v>1.5023315574362859E-3</v>
      </c>
      <c r="E109" s="52">
        <f>IF(50.40516="","-",50.40516/1755499.84492*100)</f>
        <v>2.8712711166486611E-3</v>
      </c>
      <c r="F109" s="52">
        <f>IF(OR(1959536.20883="",74.18292="",30.4369=""),"-",(30.4369-74.18292)/1959536.20883*100)</f>
        <v>-2.2324680607009486E-3</v>
      </c>
      <c r="G109" s="52">
        <f>IF(OR(2025977.54466="",50.40516="",30.4369=""),"-",(50.40516-30.4369)/2025977.54466*100)</f>
        <v>9.8561112153644709E-4</v>
      </c>
    </row>
    <row r="110" spans="1:7" x14ac:dyDescent="0.25">
      <c r="A110" s="53" t="s">
        <v>152</v>
      </c>
      <c r="B110" s="37">
        <f>IF(50.18097="","-",50.18097)</f>
        <v>50.180970000000002</v>
      </c>
      <c r="C110" s="37">
        <f>IF(OR(43.23246="",50.18097=""),"-",50.18097/43.23246*100)</f>
        <v>116.07243723813079</v>
      </c>
      <c r="D110" s="37">
        <f>IF(43.23246="","-",43.23246/2025977.54466*100)</f>
        <v>2.1339061784742181E-3</v>
      </c>
      <c r="E110" s="37">
        <f>IF(50.18097="","-",50.18097/1755499.84492*100)</f>
        <v>2.858500394928078E-3</v>
      </c>
      <c r="F110" s="37">
        <f>IF(OR(1959536.20883="",134.90109="",43.23246=""),"-",(43.23246-134.90109)/1959536.20883*100)</f>
        <v>-4.6780778832728751E-3</v>
      </c>
      <c r="G110" s="37">
        <f>IF(OR(2025977.54466="",50.18097="",43.23246=""),"-",(50.18097-43.23246)/2025977.54466*100)</f>
        <v>3.4297073125586392E-4</v>
      </c>
    </row>
    <row r="111" spans="1:7" x14ac:dyDescent="0.25">
      <c r="A111" s="38" t="s">
        <v>21</v>
      </c>
    </row>
  </sheetData>
  <mergeCells count="9">
    <mergeCell ref="A1:G1"/>
    <mergeCell ref="A3:A5"/>
    <mergeCell ref="B3:C3"/>
    <mergeCell ref="D3:E3"/>
    <mergeCell ref="F3:G3"/>
    <mergeCell ref="B4:B5"/>
    <mergeCell ref="C4:C5"/>
    <mergeCell ref="D4:E4"/>
    <mergeCell ref="F4:G4"/>
  </mergeCells>
  <phoneticPr fontId="8" type="noConversion"/>
  <pageMargins left="0.59055118110236227" right="0.39370078740157483" top="0.39370078740157483" bottom="0.39370078740157483" header="0.11811023622047245" footer="0.1181102362204724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0"/>
  <sheetViews>
    <sheetView zoomScaleNormal="100" workbookViewId="0">
      <selection activeCell="L9" sqref="L9"/>
    </sheetView>
  </sheetViews>
  <sheetFormatPr defaultRowHeight="15.75" x14ac:dyDescent="0.25"/>
  <cols>
    <col min="1" max="1" width="27.125" customWidth="1"/>
    <col min="2" max="2" width="12.875" customWidth="1"/>
    <col min="3" max="3" width="10.625" customWidth="1"/>
    <col min="4" max="4" width="9.125" customWidth="1"/>
    <col min="5" max="5" width="9.5" customWidth="1"/>
    <col min="6" max="6" width="9.875" customWidth="1"/>
    <col min="7" max="7" width="10.25" customWidth="1"/>
  </cols>
  <sheetData>
    <row r="1" spans="1:7" x14ac:dyDescent="0.25">
      <c r="A1" s="96" t="s">
        <v>158</v>
      </c>
      <c r="B1" s="96"/>
      <c r="C1" s="96"/>
      <c r="D1" s="96"/>
      <c r="E1" s="96"/>
      <c r="F1" s="96"/>
      <c r="G1" s="96"/>
    </row>
    <row r="2" spans="1:7" x14ac:dyDescent="0.25">
      <c r="A2" s="2"/>
    </row>
    <row r="3" spans="1:7" ht="55.5" customHeight="1" x14ac:dyDescent="0.25">
      <c r="A3" s="84"/>
      <c r="B3" s="87" t="s">
        <v>262</v>
      </c>
      <c r="C3" s="88"/>
      <c r="D3" s="87" t="s">
        <v>109</v>
      </c>
      <c r="E3" s="88"/>
      <c r="F3" s="89" t="s">
        <v>121</v>
      </c>
      <c r="G3" s="90"/>
    </row>
    <row r="4" spans="1:7" ht="21" customHeight="1" x14ac:dyDescent="0.25">
      <c r="A4" s="85"/>
      <c r="B4" s="91" t="s">
        <v>100</v>
      </c>
      <c r="C4" s="93" t="s">
        <v>265</v>
      </c>
      <c r="D4" s="95" t="s">
        <v>264</v>
      </c>
      <c r="E4" s="95"/>
      <c r="F4" s="95" t="s">
        <v>264</v>
      </c>
      <c r="G4" s="87"/>
    </row>
    <row r="5" spans="1:7" ht="33.75" customHeight="1" x14ac:dyDescent="0.25">
      <c r="A5" s="86"/>
      <c r="B5" s="92"/>
      <c r="C5" s="94"/>
      <c r="D5" s="28">
        <v>2019</v>
      </c>
      <c r="E5" s="28">
        <v>2020</v>
      </c>
      <c r="F5" s="28" t="s">
        <v>122</v>
      </c>
      <c r="G5" s="27" t="s">
        <v>141</v>
      </c>
    </row>
    <row r="6" spans="1:7" s="3" customFormat="1" ht="15" x14ac:dyDescent="0.25">
      <c r="A6" s="44" t="s">
        <v>133</v>
      </c>
      <c r="B6" s="45">
        <f>IF(3832063.95895="","-",3832063.95895)</f>
        <v>3832063.9589499999</v>
      </c>
      <c r="C6" s="45">
        <f>IF(4273352.38515="","-",3832063.95895/4273352.38515*100)</f>
        <v>89.67348380317317</v>
      </c>
      <c r="D6" s="45">
        <v>100</v>
      </c>
      <c r="E6" s="45">
        <v>100</v>
      </c>
      <c r="F6" s="45">
        <f>IF(4177554.78501="","-",(4273352.38515-4177554.78501)/4177554.78501*100)</f>
        <v>2.2931500619391856</v>
      </c>
      <c r="G6" s="45">
        <f>IF(4273352.38515="","-",(3832063.95895-4273352.38515)/4273352.38515*100)</f>
        <v>-10.326516196826832</v>
      </c>
    </row>
    <row r="7" spans="1:7" s="3" customFormat="1" ht="15" x14ac:dyDescent="0.25">
      <c r="A7" s="46" t="s">
        <v>138</v>
      </c>
      <c r="B7" s="34"/>
      <c r="C7" s="34"/>
      <c r="D7" s="34"/>
      <c r="E7" s="34"/>
      <c r="F7" s="34"/>
      <c r="G7" s="34"/>
    </row>
    <row r="8" spans="1:7" ht="12.75" customHeight="1" x14ac:dyDescent="0.25">
      <c r="A8" s="47" t="s">
        <v>167</v>
      </c>
      <c r="B8" s="48">
        <f>IF(1751471.48448="","-",1751471.48448)</f>
        <v>1751471.4844800001</v>
      </c>
      <c r="C8" s="48">
        <f>IF(2091806.6709="","-",1751471.48448/2091806.6709*100)</f>
        <v>83.730084086902224</v>
      </c>
      <c r="D8" s="48">
        <f>IF(2091806.6709="","-",2091806.6709/4273352.38515*100)</f>
        <v>48.950015874400556</v>
      </c>
      <c r="E8" s="48">
        <f>IF(1751471.48448="","-",1751471.48448/3832063.95895*100)</f>
        <v>45.705695500967316</v>
      </c>
      <c r="F8" s="48">
        <f>IF(4177554.78501="","-",(2091806.6709-2063625.33281)/4177554.78501*100)</f>
        <v>0.674589312176609</v>
      </c>
      <c r="G8" s="48">
        <f>IF(4273352.38515="","-",(1751471.48448-2091806.6709)/4273352.38515*100)</f>
        <v>-7.9641264222129831</v>
      </c>
    </row>
    <row r="9" spans="1:7" x14ac:dyDescent="0.25">
      <c r="A9" s="49" t="s">
        <v>2</v>
      </c>
      <c r="B9" s="50">
        <f>IF(455467.24461="","-",455467.24461)</f>
        <v>455467.24460999999</v>
      </c>
      <c r="C9" s="50">
        <f>IF(OR(625180.76675="",455467.24461=""),"-",455467.24461/625180.76675*100)</f>
        <v>72.853687898580901</v>
      </c>
      <c r="D9" s="50">
        <f>IF(625180.76675="","-",625180.76675/4273352.38515*100)</f>
        <v>14.629749910691142</v>
      </c>
      <c r="E9" s="50">
        <f>IF(455467.24461="","-",455467.24461/3832063.95895*100)</f>
        <v>11.885690048210984</v>
      </c>
      <c r="F9" s="50">
        <f>IF(OR(4177554.78501="",621271.5898="",625180.76675=""),"-",(625180.76675-621271.5898)/4177554.78501*100)</f>
        <v>9.3575719557933604E-2</v>
      </c>
      <c r="G9" s="50">
        <f>IF(OR(4273352.38515="",455467.24461="",625180.76675=""),"-",(455467.24461-625180.76675)/4273352.38515*100)</f>
        <v>-3.9714375704132991</v>
      </c>
    </row>
    <row r="10" spans="1:7" s="9" customFormat="1" x14ac:dyDescent="0.25">
      <c r="A10" s="49" t="s">
        <v>4</v>
      </c>
      <c r="B10" s="50">
        <f>IF(317680.1908="","-",317680.1908)</f>
        <v>317680.19079999998</v>
      </c>
      <c r="C10" s="50">
        <f>IF(OR(358007.14578="",317680.1908=""),"-",317680.1908/358007.14578*100)</f>
        <v>88.735712274083639</v>
      </c>
      <c r="D10" s="50">
        <f>IF(358007.14578="","-",358007.14578/4273352.38515*100)</f>
        <v>8.3776649691722884</v>
      </c>
      <c r="E10" s="50">
        <f>IF(317680.1908="","-",317680.1908/3832063.95895*100)</f>
        <v>8.2900545033451269</v>
      </c>
      <c r="F10" s="50">
        <f>IF(OR(4177554.78501="",354267.53604="",358007.14578=""),"-",(358007.14578-354267.53604)/4177554.78501*100)</f>
        <v>8.9516713303643525E-2</v>
      </c>
      <c r="G10" s="50">
        <f>IF(OR(4273352.38515="",317680.1908="",358007.14578=""),"-",(317680.1908-358007.14578)/4273352.38515*100)</f>
        <v>-0.9436842868408688</v>
      </c>
    </row>
    <row r="11" spans="1:7" s="9" customFormat="1" x14ac:dyDescent="0.25">
      <c r="A11" s="49" t="s">
        <v>3</v>
      </c>
      <c r="B11" s="50">
        <f>IF(248524.66572="","-",248524.66572)</f>
        <v>248524.66571999999</v>
      </c>
      <c r="C11" s="50">
        <f>IF(OR(294121.68144="",248524.66572=""),"-",248524.66572/294121.68144*100)</f>
        <v>84.497227305120759</v>
      </c>
      <c r="D11" s="50">
        <f>IF(294121.68144="","-",294121.68144/4273352.38515*100)</f>
        <v>6.8826919694729538</v>
      </c>
      <c r="E11" s="50">
        <f>IF(248524.66572="","-",248524.66572/3832063.95895*100)</f>
        <v>6.4853997319005261</v>
      </c>
      <c r="F11" s="50">
        <f>IF(OR(4177554.78501="",289529.62476="",294121.68144=""),"-",(294121.68144-289529.62476)/4177554.78501*100)</f>
        <v>0.10992211751423017</v>
      </c>
      <c r="G11" s="50">
        <f>IF(OR(4273352.38515="",248524.66572="",294121.68144=""),"-",(248524.66572-294121.68144)/4273352.38515*100)</f>
        <v>-1.0670080913160993</v>
      </c>
    </row>
    <row r="12" spans="1:7" s="9" customFormat="1" x14ac:dyDescent="0.25">
      <c r="A12" s="49" t="s">
        <v>5</v>
      </c>
      <c r="B12" s="50">
        <f>IF(152949.34582="","-",152949.34582)</f>
        <v>152949.34581999999</v>
      </c>
      <c r="C12" s="50">
        <f>IF(OR(146482.88877="",152949.34582=""),"-",152949.34582/146482.88877*100)</f>
        <v>104.41447946876123</v>
      </c>
      <c r="D12" s="50">
        <f>IF(146482.88877="","-",146482.88877/4273352.38515*100)</f>
        <v>3.4278214284183881</v>
      </c>
      <c r="E12" s="50">
        <f>IF(152949.34582="","-",152949.34582/3832063.95895*100)</f>
        <v>3.9913046196104904</v>
      </c>
      <c r="F12" s="50">
        <f>IF(OR(4177554.78501="",146105.32497="",146482.88877=""),"-",(146482.88877-146105.32497)/4177554.78501*100)</f>
        <v>9.0379137900186684E-3</v>
      </c>
      <c r="G12" s="50">
        <f>IF(OR(4273352.38515="",152949.34582="",146482.88877=""),"-",(152949.34582-146482.88877)/4273352.38515*100)</f>
        <v>0.15132047318332761</v>
      </c>
    </row>
    <row r="13" spans="1:7" s="9" customFormat="1" x14ac:dyDescent="0.25">
      <c r="A13" s="49" t="s">
        <v>125</v>
      </c>
      <c r="B13" s="50">
        <f>IF(89655.05783="","-",89655.05783)</f>
        <v>89655.057830000005</v>
      </c>
      <c r="C13" s="50">
        <f>IF(OR(106480.52326="",89655.05783=""),"-",89655.05783/106480.52326*100)</f>
        <v>84.198551138862996</v>
      </c>
      <c r="D13" s="50">
        <f>IF(106480.52326="","-",106480.52326/4273352.38515*100)</f>
        <v>2.4917328051396441</v>
      </c>
      <c r="E13" s="50">
        <f>IF(89655.05783="","-",89655.05783/3832063.95895*100)</f>
        <v>2.3396023341574352</v>
      </c>
      <c r="F13" s="50">
        <f>IF(OR(4177554.78501="",103340.54213="",106480.52326=""),"-",(106480.52326-103340.54213)/4177554.78501*100)</f>
        <v>7.5163134694653286E-2</v>
      </c>
      <c r="G13" s="50">
        <f>IF(OR(4273352.38515="",89655.05783="",106480.52326=""),"-",(89655.05783-106480.52326)/4273352.38515*100)</f>
        <v>-0.39372988496031547</v>
      </c>
    </row>
    <row r="14" spans="1:7" s="9" customFormat="1" x14ac:dyDescent="0.25">
      <c r="A14" s="49" t="s">
        <v>43</v>
      </c>
      <c r="B14" s="50">
        <f>IF(74196.97665="","-",74196.97665)</f>
        <v>74196.976649999997</v>
      </c>
      <c r="C14" s="50">
        <f>IF(OR(84522.84282="",74196.97665=""),"-",74196.97665/84522.84282*100)</f>
        <v>87.783342555112597</v>
      </c>
      <c r="D14" s="50">
        <f>IF(84522.84282="","-",84522.84282/4273352.38515*100)</f>
        <v>1.977904820433692</v>
      </c>
      <c r="E14" s="50">
        <f>IF(74196.97665="","-",74196.97665/3832063.95895*100)</f>
        <v>1.9362144641847328</v>
      </c>
      <c r="F14" s="50">
        <f>IF(OR(4177554.78501="",85999.50137="",84522.84282=""),"-",(84522.84282-85999.50137)/4177554.78501*100)</f>
        <v>-3.5347437101209862E-2</v>
      </c>
      <c r="G14" s="50">
        <f>IF(OR(4273352.38515="",74196.97665="",84522.84282=""),"-",(74196.97665-84522.84282)/4273352.38515*100)</f>
        <v>-0.24163385649829944</v>
      </c>
    </row>
    <row r="15" spans="1:7" s="9" customFormat="1" x14ac:dyDescent="0.25">
      <c r="A15" s="49" t="s">
        <v>7</v>
      </c>
      <c r="B15" s="50">
        <f>IF(65075.35071="","-",65075.35071)</f>
        <v>65075.350709999999</v>
      </c>
      <c r="C15" s="50">
        <f>IF(OR(82748.88366="",65075.35071=""),"-",65075.35071/82748.88366*100)</f>
        <v>78.641968122957024</v>
      </c>
      <c r="D15" s="50">
        <f>IF(82748.88366="","-",82748.88366/4273352.38515*100)</f>
        <v>1.9363927006711246</v>
      </c>
      <c r="E15" s="50">
        <f>IF(65075.35071="","-",65075.35071/3832063.95895*100)</f>
        <v>1.6981801819359741</v>
      </c>
      <c r="F15" s="50">
        <f>IF(OR(4177554.78501="",61662.90068="",82748.88366=""),"-",(82748.88366-61662.90068)/4177554.78501*100)</f>
        <v>0.5047446189254351</v>
      </c>
      <c r="G15" s="50">
        <f>IF(OR(4273352.38515="",65075.35071="",82748.88366=""),"-",(65075.35071-82748.88366)/4273352.38515*100)</f>
        <v>-0.41357537027407215</v>
      </c>
    </row>
    <row r="16" spans="1:7" s="9" customFormat="1" x14ac:dyDescent="0.25">
      <c r="A16" s="49" t="s">
        <v>41</v>
      </c>
      <c r="B16" s="50">
        <f>IF(55208.43094="","-",55208.43094)</f>
        <v>55208.430939999998</v>
      </c>
      <c r="C16" s="50">
        <f>IF(OR(60964.36237="",55208.43094=""),"-",55208.43094/60964.36237*100)</f>
        <v>90.558530908489516</v>
      </c>
      <c r="D16" s="50">
        <f>IF(60964.36237="","-",60964.36237/4273352.38515*100)</f>
        <v>1.4266167840932704</v>
      </c>
      <c r="E16" s="50">
        <f>IF(55208.43094="","-",55208.43094/3832063.95895*100)</f>
        <v>1.4406970116210513</v>
      </c>
      <c r="F16" s="50">
        <f>IF(OR(4177554.78501="",56546.55645="",60964.36237=""),"-",(60964.36237-56546.55645)/4177554.78501*100)</f>
        <v>0.10575099902584355</v>
      </c>
      <c r="G16" s="50">
        <f>IF(OR(4273352.38515="",55208.43094="",60964.36237=""),"-",(55208.43094-60964.36237)/4273352.38515*100)</f>
        <v>-0.1346935827244671</v>
      </c>
    </row>
    <row r="17" spans="1:7" s="9" customFormat="1" x14ac:dyDescent="0.25">
      <c r="A17" s="49" t="s">
        <v>6</v>
      </c>
      <c r="B17" s="50">
        <f>IF(45164.42492="","-",45164.42492)</f>
        <v>45164.424919999998</v>
      </c>
      <c r="C17" s="50">
        <f>IF(OR(43635.72121="",45164.42492=""),"-",45164.42492/43635.72121*100)</f>
        <v>103.50333091240316</v>
      </c>
      <c r="D17" s="50">
        <f>IF(43635.72121="","-",43635.72121/4273352.38515*100)</f>
        <v>1.0211121685549536</v>
      </c>
      <c r="E17" s="50">
        <f>IF(45164.42492="","-",45164.42492/3832063.95895*100)</f>
        <v>1.1785926697417448</v>
      </c>
      <c r="F17" s="50">
        <f>IF(OR(4177554.78501="",47865.94529="",43635.72121=""),"-",(43635.72121-47865.94529)/4177554.78501*100)</f>
        <v>-0.10126076850455652</v>
      </c>
      <c r="G17" s="50">
        <f>IF(OR(4273352.38515="",45164.42492="",43635.72121=""),"-",(45164.42492-43635.72121)/4273352.38515*100)</f>
        <v>3.5772938251295995E-2</v>
      </c>
    </row>
    <row r="18" spans="1:7" s="9" customFormat="1" x14ac:dyDescent="0.25">
      <c r="A18" s="49" t="s">
        <v>8</v>
      </c>
      <c r="B18" s="50">
        <f>IF(42361.20067="","-",42361.20067)</f>
        <v>42361.200669999998</v>
      </c>
      <c r="C18" s="50">
        <f>IF(OR(71024.25736="",42361.20067=""),"-",42361.20067/71024.25736*100)</f>
        <v>59.643285610554386</v>
      </c>
      <c r="D18" s="50">
        <f>IF(71024.25736="","-",71024.25736/4273352.38515*100)</f>
        <v>1.6620266937688304</v>
      </c>
      <c r="E18" s="50">
        <f>IF(42361.20067="","-",42361.20067/3832063.95895*100)</f>
        <v>1.1054408570364032</v>
      </c>
      <c r="F18" s="50">
        <f>IF(OR(4177554.78501="",77101.23359="",71024.25736=""),"-",(71024.25736-77101.23359)/4177554.78501*100)</f>
        <v>-0.14546730187251039</v>
      </c>
      <c r="G18" s="50">
        <f>IF(OR(4273352.38515="",42361.20067="",71024.25736=""),"-",(42361.20067-71024.25736)/4273352.38515*100)</f>
        <v>-0.67073936588063265</v>
      </c>
    </row>
    <row r="19" spans="1:7" s="9" customFormat="1" x14ac:dyDescent="0.25">
      <c r="A19" s="49" t="s">
        <v>10</v>
      </c>
      <c r="B19" s="50">
        <f>IF(40480.32526="","-",40480.32526)</f>
        <v>40480.325259999998</v>
      </c>
      <c r="C19" s="50">
        <f>IF(OR(43208.96261="",40480.32526=""),"-",40480.32526/43208.96261*100)</f>
        <v>93.685019993124058</v>
      </c>
      <c r="D19" s="50">
        <f>IF(43208.96261="","-",43208.96261/4273352.38515*100)</f>
        <v>1.0111256623758003</v>
      </c>
      <c r="E19" s="50">
        <f>IF(40480.32526="","-",40480.32526/3832063.95895*100)</f>
        <v>1.0563582887351328</v>
      </c>
      <c r="F19" s="50">
        <f>IF(OR(4177554.78501="",43828.77188="",43208.96261=""),"-",(43208.96261-43828.77188)/4177554.78501*100)</f>
        <v>-1.4836652106251532E-2</v>
      </c>
      <c r="G19" s="50">
        <f>IF(OR(4273352.38515="",40480.32526="",43208.96261=""),"-",(40480.32526-43208.96261)/4273352.38515*100)</f>
        <v>-6.3852383423423795E-2</v>
      </c>
    </row>
    <row r="20" spans="1:7" s="9" customFormat="1" ht="15.75" customHeight="1" x14ac:dyDescent="0.25">
      <c r="A20" s="49" t="s">
        <v>42</v>
      </c>
      <c r="B20" s="50">
        <f>IF(29312.47566="","-",29312.47566)</f>
        <v>29312.47566</v>
      </c>
      <c r="C20" s="50">
        <f>IF(OR(31053.46074="",29312.47566=""),"-",29312.47566/31053.46074*100)</f>
        <v>94.39358757925028</v>
      </c>
      <c r="D20" s="50">
        <f>IF(31053.46074="","-",31053.46074/4273352.38515*100)</f>
        <v>0.72667680877222995</v>
      </c>
      <c r="E20" s="50">
        <f>IF(29312.47566="","-",29312.47566/3832063.95895*100)</f>
        <v>0.76492657674825792</v>
      </c>
      <c r="F20" s="50">
        <f>IF(OR(4177554.78501="",35402.40198="",31053.46074=""),"-",(31053.46074-35402.40198)/4177554.78501*100)</f>
        <v>-0.10410255433645002</v>
      </c>
      <c r="G20" s="50">
        <f>IF(OR(4273352.38515="",29312.47566="",31053.46074=""),"-",(29312.47566-31053.46074)/4273352.38515*100)</f>
        <v>-4.0740498865714007E-2</v>
      </c>
    </row>
    <row r="21" spans="1:7" s="9" customFormat="1" x14ac:dyDescent="0.25">
      <c r="A21" s="49" t="s">
        <v>45</v>
      </c>
      <c r="B21" s="50">
        <f>IF(20961.69314="","-",20961.69314)</f>
        <v>20961.693139999999</v>
      </c>
      <c r="C21" s="50">
        <f>IF(OR(24345.40551="",20961.69314=""),"-",20961.69314/24345.40551*100)</f>
        <v>86.101228140931468</v>
      </c>
      <c r="D21" s="50">
        <f>IF(24345.40551="","-",24345.40551/4273352.38515*100)</f>
        <v>0.56970273723741705</v>
      </c>
      <c r="E21" s="50">
        <f>IF(20961.69314="","-",20961.69314/3832063.95895*100)</f>
        <v>0.54700791439148067</v>
      </c>
      <c r="F21" s="50">
        <f>IF(OR(4177554.78501="",22415.52583="",24345.40551=""),"-",(24345.40551-22415.52583)/4177554.78501*100)</f>
        <v>4.6196394286074742E-2</v>
      </c>
      <c r="G21" s="50">
        <f>IF(OR(4273352.38515="",20961.69314="",24345.40551=""),"-",(20961.69314-24345.40551)/4273352.38515*100)</f>
        <v>-7.9181683723497279E-2</v>
      </c>
    </row>
    <row r="22" spans="1:7" s="9" customFormat="1" x14ac:dyDescent="0.25">
      <c r="A22" s="49" t="s">
        <v>9</v>
      </c>
      <c r="B22" s="50">
        <f>IF(18003.10793="","-",18003.10793)</f>
        <v>18003.107929999998</v>
      </c>
      <c r="C22" s="50">
        <f>IF(OR(16746.52123="",18003.10793=""),"-",18003.10793/16746.52123*100)</f>
        <v>107.50356854860657</v>
      </c>
      <c r="D22" s="50">
        <f>IF(16746.52123="","-",16746.52123/4273352.38515*100)</f>
        <v>0.39188252502167975</v>
      </c>
      <c r="E22" s="50">
        <f>IF(18003.10793="","-",18003.10793/3832063.95895*100)</f>
        <v>0.46980186455272316</v>
      </c>
      <c r="F22" s="50">
        <f>IF(OR(4177554.78501="",18021.62258="",16746.52123=""),"-",(16746.52123-18021.62258)/4177554.78501*100)</f>
        <v>-3.0522672128091517E-2</v>
      </c>
      <c r="G22" s="50">
        <f>IF(OR(4273352.38515="",18003.10793="",16746.52123=""),"-",(18003.10793-16746.52123)/4273352.38515*100)</f>
        <v>2.9405173895011981E-2</v>
      </c>
    </row>
    <row r="23" spans="1:7" s="9" customFormat="1" x14ac:dyDescent="0.25">
      <c r="A23" s="49" t="s">
        <v>53</v>
      </c>
      <c r="B23" s="50">
        <f>IF(17861.69975="","-",17861.69975)</f>
        <v>17861.69975</v>
      </c>
      <c r="C23" s="50">
        <f>IF(OR(16409.44292="",17861.69975=""),"-",17861.69975/16409.44292*100)</f>
        <v>108.85012877694935</v>
      </c>
      <c r="D23" s="50">
        <f>IF(16409.44292="","-",16409.44292/4273352.38515*100)</f>
        <v>0.38399461221646969</v>
      </c>
      <c r="E23" s="50">
        <f>IF(17861.69975="","-",17861.69975/3832063.95895*100)</f>
        <v>0.46611173355504676</v>
      </c>
      <c r="F23" s="50">
        <f>IF(OR(4177554.78501="",16216.00607="",16409.44292=""),"-",(16409.44292-16216.00607)/4177554.78501*100)</f>
        <v>4.6303845180940897E-3</v>
      </c>
      <c r="G23" s="50">
        <f>IF(OR(4273352.38515="",17861.69975="",16409.44292=""),"-",(17861.69975-16409.44292)/4273352.38515*100)</f>
        <v>3.3984017677704863E-2</v>
      </c>
    </row>
    <row r="24" spans="1:7" s="9" customFormat="1" x14ac:dyDescent="0.25">
      <c r="A24" s="49" t="s">
        <v>51</v>
      </c>
      <c r="B24" s="50">
        <f>IF(15454.60531="","-",15454.60531)</f>
        <v>15454.605310000001</v>
      </c>
      <c r="C24" s="50">
        <f>IF(OR(18110.01321="",15454.60531=""),"-",15454.60531/18110.01321*100)</f>
        <v>85.337349734600224</v>
      </c>
      <c r="D24" s="50">
        <f>IF(18110.01321="","-",18110.01321/4273352.38515*100)</f>
        <v>0.42378937138282163</v>
      </c>
      <c r="E24" s="50">
        <f>IF(15454.60531="","-",15454.60531/3832063.95895*100)</f>
        <v>0.40329716506701052</v>
      </c>
      <c r="F24" s="50">
        <f>IF(OR(4177554.78501="",17889.64698="",18110.01321=""),"-",(18110.01321-17889.64698)/4177554.78501*100)</f>
        <v>5.2750051487229534E-3</v>
      </c>
      <c r="G24" s="50">
        <f>IF(OR(4273352.38515="",15454.60531="",18110.01321=""),"-",(15454.60531-18110.01321)/4273352.38515*100)</f>
        <v>-6.2138753387799353E-2</v>
      </c>
    </row>
    <row r="25" spans="1:7" s="9" customFormat="1" x14ac:dyDescent="0.25">
      <c r="A25" s="49" t="s">
        <v>52</v>
      </c>
      <c r="B25" s="50">
        <f>IF(13060.23039="","-",13060.23039)</f>
        <v>13060.230390000001</v>
      </c>
      <c r="C25" s="50">
        <f>IF(OR(14073.61939="",13060.23039=""),"-",13060.23039/14073.61939*100)</f>
        <v>92.799371846590773</v>
      </c>
      <c r="D25" s="50">
        <f>IF(14073.61939="","-",14073.61939/4273352.38515*100)</f>
        <v>0.32933439888800548</v>
      </c>
      <c r="E25" s="50">
        <f>IF(13060.23039="","-",13060.23039/3832063.95895*100)</f>
        <v>0.34081452005771201</v>
      </c>
      <c r="F25" s="50">
        <f>IF(OR(4177554.78501="",12604.26953="",14073.61939=""),"-",(14073.61939-12604.26953)/4177554.78501*100)</f>
        <v>3.5172485715145037E-2</v>
      </c>
      <c r="G25" s="50">
        <f>IF(OR(4273352.38515="",13060.23039="",14073.61939=""),"-",(13060.23039-14073.61939)/4273352.38515*100)</f>
        <v>-2.3714145445190751E-2</v>
      </c>
    </row>
    <row r="26" spans="1:7" s="9" customFormat="1" x14ac:dyDescent="0.25">
      <c r="A26" s="49" t="s">
        <v>44</v>
      </c>
      <c r="B26" s="50">
        <f>IF(10123.11667="","-",10123.11667)</f>
        <v>10123.116669999999</v>
      </c>
      <c r="C26" s="50">
        <f>IF(OR(12441.53053="",10123.11667=""),"-",10123.11667/12441.53053*100)</f>
        <v>81.365525291203852</v>
      </c>
      <c r="D26" s="50">
        <f>IF(12441.53053="","-",12441.53053/4273352.38515*100)</f>
        <v>0.29114216214030486</v>
      </c>
      <c r="E26" s="50">
        <f>IF(10123.11667="","-",10123.11667/3832063.95895*100)</f>
        <v>0.26416878158718865</v>
      </c>
      <c r="F26" s="50">
        <f>IF(OR(4177554.78501="",10426.60778="",12441.53053=""),"-",(12441.53053-10426.60778)/4177554.78501*100)</f>
        <v>4.8232108343138735E-2</v>
      </c>
      <c r="G26" s="50">
        <f>IF(OR(4273352.38515="",10123.11667="",12441.53053=""),"-",(10123.11667-12441.53053)/4273352.38515*100)</f>
        <v>-5.4252812570677371E-2</v>
      </c>
    </row>
    <row r="27" spans="1:7" s="9" customFormat="1" x14ac:dyDescent="0.25">
      <c r="A27" s="49" t="s">
        <v>49</v>
      </c>
      <c r="B27" s="50">
        <f>IF(9326.37337="","-",9326.37337)</f>
        <v>9326.3733699999993</v>
      </c>
      <c r="C27" s="50">
        <f>IF(OR(9293.08382="",9326.37337=""),"-",9326.37337/9293.08382*100)</f>
        <v>100.35821854881321</v>
      </c>
      <c r="D27" s="50">
        <f>IF(9293.08382="","-",9293.08382/4273352.38515*100)</f>
        <v>0.21746589053347631</v>
      </c>
      <c r="E27" s="50">
        <f>IF(9326.37337="","-",9326.37337/3832063.95895*100)</f>
        <v>0.24337728884241955</v>
      </c>
      <c r="F27" s="50">
        <f>IF(OR(4177554.78501="",12034.62646="",9293.08382=""),"-",(9293.08382-12034.62646)/4177554.78501*100)</f>
        <v>-6.5625534100408861E-2</v>
      </c>
      <c r="G27" s="50">
        <f>IF(OR(4273352.38515="",9326.37337="",9293.08382=""),"-",(9326.37337-9293.08382)/4273352.38515*100)</f>
        <v>7.790031572327494E-4</v>
      </c>
    </row>
    <row r="28" spans="1:7" s="9" customFormat="1" x14ac:dyDescent="0.25">
      <c r="A28" s="49" t="s">
        <v>50</v>
      </c>
      <c r="B28" s="50">
        <f>IF(8909.60569="","-",8909.60569)</f>
        <v>8909.6056900000003</v>
      </c>
      <c r="C28" s="50">
        <f>IF(OR(10328.56922="",8909.60569=""),"-",8909.60569/10328.56922*100)</f>
        <v>86.261760948918749</v>
      </c>
      <c r="D28" s="50">
        <f>IF(10328.56922="","-",10328.56922/4273352.38515*100)</f>
        <v>0.24169711011645142</v>
      </c>
      <c r="E28" s="50">
        <f>IF(8909.60569="","-",8909.60569/3832063.95895*100)</f>
        <v>0.23250148706915807</v>
      </c>
      <c r="F28" s="50">
        <f>IF(OR(4177554.78501="",10211.03302="",10328.56922=""),"-",(10328.56922-10211.03302)/4177554.78501*100)</f>
        <v>2.8135166634258102E-3</v>
      </c>
      <c r="G28" s="50">
        <f>IF(OR(4273352.38515="",8909.60569="",10328.56922=""),"-",(8909.60569-10328.56922)/4273352.38515*100)</f>
        <v>-3.3204926767353204E-2</v>
      </c>
    </row>
    <row r="29" spans="1:7" s="9" customFormat="1" x14ac:dyDescent="0.25">
      <c r="A29" s="49" t="s">
        <v>46</v>
      </c>
      <c r="B29" s="50">
        <f>IF(8168.16067="","-",8168.16067)</f>
        <v>8168.1606700000002</v>
      </c>
      <c r="C29" s="50">
        <f>IF(OR(7785.44723="",8168.16067=""),"-",8168.16067/7785.44723*100)</f>
        <v>104.91575408186281</v>
      </c>
      <c r="D29" s="50">
        <f>IF(7785.44723="","-",7785.44723/4273352.38515*100)</f>
        <v>0.18218594041190264</v>
      </c>
      <c r="E29" s="50">
        <f>IF(8168.16067="","-",8168.16067/3832063.95895*100)</f>
        <v>0.21315303600094679</v>
      </c>
      <c r="F29" s="50">
        <f>IF(OR(4177554.78501="",8516.73884="",7785.44723=""),"-",(7785.44723-8516.73884)/4177554.78501*100)</f>
        <v>-1.7505254811356105E-2</v>
      </c>
      <c r="G29" s="50">
        <f>IF(OR(4273352.38515="",8168.16067="",7785.44723=""),"-",(8168.16067-7785.44723)/4273352.38515*100)</f>
        <v>8.9558128023782598E-3</v>
      </c>
    </row>
    <row r="30" spans="1:7" s="9" customFormat="1" x14ac:dyDescent="0.25">
      <c r="A30" s="49" t="s">
        <v>54</v>
      </c>
      <c r="B30" s="50">
        <f>IF(4971.87151="","-",4971.87151)</f>
        <v>4971.8715099999999</v>
      </c>
      <c r="C30" s="50">
        <f>IF(OR(5336.1601="",4971.87151=""),"-",4971.87151/5336.1601*100)</f>
        <v>93.17320726565157</v>
      </c>
      <c r="D30" s="50">
        <f>IF(5336.1601="","-",5336.1601/4273352.38515*100)</f>
        <v>0.12487058447469207</v>
      </c>
      <c r="E30" s="50">
        <f>IF(4971.87151="","-",4971.87151/3832063.95895*100)</f>
        <v>0.12974395947614381</v>
      </c>
      <c r="F30" s="50">
        <f>IF(OR(4177554.78501="",4861.35804="",5336.1601=""),"-",(5336.1601-4861.35804)/4177554.78501*100)</f>
        <v>1.1365549572292764E-2</v>
      </c>
      <c r="G30" s="50">
        <f>IF(OR(4273352.38515="",4971.87151="",5336.1601=""),"-",(4971.87151-5336.1601)/4273352.38515*100)</f>
        <v>-8.5246559882567012E-3</v>
      </c>
    </row>
    <row r="31" spans="1:7" s="9" customFormat="1" x14ac:dyDescent="0.25">
      <c r="A31" s="49" t="s">
        <v>126</v>
      </c>
      <c r="B31" s="50">
        <f>IF(4266.94891="","-",4266.94891)</f>
        <v>4266.9489100000001</v>
      </c>
      <c r="C31" s="50">
        <f>IF(OR(4025.28187="",4266.94891=""),"-",4266.94891/4025.28187*100)</f>
        <v>106.00372962204507</v>
      </c>
      <c r="D31" s="50">
        <f>IF(4025.28187="","-",4025.28187/4273352.38515*100)</f>
        <v>9.4194943622902441E-2</v>
      </c>
      <c r="E31" s="50">
        <f>IF(4266.94891="","-",4266.94891/3832063.95895*100)</f>
        <v>0.11134858279268282</v>
      </c>
      <c r="F31" s="50">
        <f>IF(OR(4177554.78501="",2473.25545="",4025.28187=""),"-",(4025.28187-2473.25545)/4177554.78501*100)</f>
        <v>3.7151551562388058E-2</v>
      </c>
      <c r="G31" s="50">
        <f>IF(OR(4273352.38515="",4266.94891="",4025.28187=""),"-",(4266.94891-4025.28187)/4273352.38515*100)</f>
        <v>5.6552097327568608E-3</v>
      </c>
    </row>
    <row r="32" spans="1:7" s="9" customFormat="1" x14ac:dyDescent="0.25">
      <c r="A32" s="49" t="s">
        <v>47</v>
      </c>
      <c r="B32" s="50">
        <f>IF(2726.95742="","-",2726.95742)</f>
        <v>2726.9574200000002</v>
      </c>
      <c r="C32" s="50">
        <f>IF(OR(3516.68574="",2726.95742=""),"-",2726.95742/3516.68574*100)</f>
        <v>77.5433923191556</v>
      </c>
      <c r="D32" s="50">
        <f>IF(3516.68574="","-",3516.68574/4273352.38515*100)</f>
        <v>8.2293371176703448E-2</v>
      </c>
      <c r="E32" s="50">
        <f>IF(2726.95742="","-",2726.95742/3832063.95895*100)</f>
        <v>7.1161584180531187E-2</v>
      </c>
      <c r="F32" s="50">
        <f>IF(OR(4177554.78501="",3597.5074="",3516.68574=""),"-",(3516.68574-3597.5074)/4177554.78501*100)</f>
        <v>-1.9346642751402383E-3</v>
      </c>
      <c r="G32" s="50">
        <f>IF(OR(4273352.38515="",2726.95742="",3516.68574=""),"-",(2726.95742-3516.68574)/4273352.38515*100)</f>
        <v>-1.848029951249338E-2</v>
      </c>
    </row>
    <row r="33" spans="1:7" s="9" customFormat="1" x14ac:dyDescent="0.25">
      <c r="A33" s="49" t="s">
        <v>55</v>
      </c>
      <c r="B33" s="50">
        <f>IF(904.17563="","-",904.17563)</f>
        <v>904.17562999999996</v>
      </c>
      <c r="C33" s="50">
        <f>IF(OR(1339.19158="",904.17563=""),"-",904.17563/1339.19158*100)</f>
        <v>67.516525902888375</v>
      </c>
      <c r="D33" s="50">
        <f>IF(1339.19158="","-",1339.19158/4273352.38515*100)</f>
        <v>3.1338196790269904E-2</v>
      </c>
      <c r="E33" s="50">
        <f>IF(904.17563="","-",904.17563/3832063.95895*100)</f>
        <v>2.3595003624306613E-2</v>
      </c>
      <c r="F33" s="50">
        <f>IF(OR(4177554.78501="",694.62834="",1339.19158=""),"-",(1339.19158-694.62834)/4177554.78501*100)</f>
        <v>1.5429198973352471E-2</v>
      </c>
      <c r="G33" s="50">
        <f>IF(OR(4273352.38515="",904.17563="",1339.19158=""),"-",(904.17563-1339.19158)/4273352.38515*100)</f>
        <v>-1.0179735036869194E-2</v>
      </c>
    </row>
    <row r="34" spans="1:7" s="9" customFormat="1" x14ac:dyDescent="0.25">
      <c r="A34" s="49" t="s">
        <v>48</v>
      </c>
      <c r="B34" s="50">
        <f>IF(547.77796="","-",547.77796)</f>
        <v>547.77796000000001</v>
      </c>
      <c r="C34" s="50">
        <f>IF(OR(547.25374="",547.77796=""),"-",547.77796/547.25374*100)</f>
        <v>100.09579103104895</v>
      </c>
      <c r="D34" s="50">
        <f>IF(547.25374="","-",547.25374/4273352.38515*100)</f>
        <v>1.2806192672097896E-2</v>
      </c>
      <c r="E34" s="50">
        <f>IF(547.77796="","-",547.77796/3832063.95895*100)</f>
        <v>1.4294593354075784E-2</v>
      </c>
      <c r="F34" s="50">
        <f>IF(OR(4177554.78501="",678.33749="",547.25374=""),"-",(547.25374-678.33749)/4177554.78501*100)</f>
        <v>-3.1378104356729873E-3</v>
      </c>
      <c r="G34" s="50">
        <f>IF(OR(4273352.38515="",547.77796="",547.25374=""),"-",(547.77796-547.25374)/4273352.38515*100)</f>
        <v>1.2267183998719382E-5</v>
      </c>
    </row>
    <row r="35" spans="1:7" s="9" customFormat="1" x14ac:dyDescent="0.25">
      <c r="A35" s="49" t="s">
        <v>56</v>
      </c>
      <c r="B35" s="50">
        <f>IF(109.47054="","-",109.47054)</f>
        <v>109.47054</v>
      </c>
      <c r="C35" s="50">
        <f>IF(OR(76.96804="",109.47054=""),"-",109.47054/76.96804*100)</f>
        <v>142.22856655827536</v>
      </c>
      <c r="D35" s="50">
        <f>IF(76.96804="","-",76.96804/4273352.38515*100)</f>
        <v>1.8011161510449207E-3</v>
      </c>
      <c r="E35" s="50">
        <f>IF(109.47054="","-",109.47054/3832063.95895*100)</f>
        <v>2.856699188027001E-3</v>
      </c>
      <c r="F35" s="50">
        <f>IF(OR(4177554.78501="",62.24006="",76.96804=""),"-",(76.96804-62.24006)/4177554.78501*100)</f>
        <v>3.5255025386734086E-4</v>
      </c>
      <c r="G35" s="50">
        <f>IF(OR(4273352.38515="",109.47054="",76.96804=""),"-",(109.47054-76.96804)/4273352.38515*100)</f>
        <v>7.6058553263585159E-4</v>
      </c>
    </row>
    <row r="36" spans="1:7" s="9" customFormat="1" x14ac:dyDescent="0.25">
      <c r="A36" s="47" t="s">
        <v>246</v>
      </c>
      <c r="B36" s="48">
        <f>IF(956748.89673="","-",956748.89673)</f>
        <v>956748.89673000004</v>
      </c>
      <c r="C36" s="48">
        <f>IF(1031734.67844="","-",956748.89673/1031734.67844*100)</f>
        <v>92.732067335045883</v>
      </c>
      <c r="D36" s="48">
        <f>IF(1031734.67844="","-",1031734.67844/4273352.38515*100)</f>
        <v>24.143449578960588</v>
      </c>
      <c r="E36" s="48">
        <f>IF(956748.89673="","-",956748.89673/3832063.95895*100)</f>
        <v>24.966934450440458</v>
      </c>
      <c r="F36" s="48">
        <f>IF(4177554.78501="","-",(1031734.67844-1013934.49779)/4177554.78501*100)</f>
        <v>0.42609089685360968</v>
      </c>
      <c r="G36" s="48">
        <f>IF(4273352.38515="","-",(956748.89673-1031734.67844)/4273352.38515*100)</f>
        <v>-1.7547296583960019</v>
      </c>
    </row>
    <row r="37" spans="1:7" s="9" customFormat="1" x14ac:dyDescent="0.25">
      <c r="A37" s="49" t="s">
        <v>127</v>
      </c>
      <c r="B37" s="50">
        <f>IF(426918.74305="","-",426918.74305)</f>
        <v>426918.74304999999</v>
      </c>
      <c r="C37" s="50">
        <f>IF(OR(492959.29789="",426918.74305=""),"-",426918.74305/492959.29789*100)</f>
        <v>86.60324389403516</v>
      </c>
      <c r="D37" s="50">
        <f>IF(492959.29789="","-",492959.29789/4273352.38515*100)</f>
        <v>11.535657569524224</v>
      </c>
      <c r="E37" s="50">
        <f>IF(426918.74305="","-",426918.74305/3832063.95895*100)</f>
        <v>11.1406998323425</v>
      </c>
      <c r="F37" s="50">
        <f>IF(OR(4177554.78501="",486189.7718="",492959.29789=""),"-",(492959.29789-486189.7718)/4177554.78501*100)</f>
        <v>0.16204517806183108</v>
      </c>
      <c r="G37" s="50">
        <f>IF(OR(4273352.38515="",426918.74305="",492959.29789=""),"-",(426918.74305-492959.29789)/4273352.38515*100)</f>
        <v>-1.545403909808432</v>
      </c>
    </row>
    <row r="38" spans="1:7" s="9" customFormat="1" x14ac:dyDescent="0.25">
      <c r="A38" s="49" t="s">
        <v>12</v>
      </c>
      <c r="B38" s="50">
        <f>IF(381836.8139="","-",381836.8139)</f>
        <v>381836.81390000001</v>
      </c>
      <c r="C38" s="50">
        <f>IF(OR(425148.55787="",381836.8139=""),"-",381836.8139/425148.55787*100)</f>
        <v>89.812562416536835</v>
      </c>
      <c r="D38" s="50">
        <f>IF(425148.55787="","-",425148.55787/4273352.38515*100)</f>
        <v>9.9488298542240798</v>
      </c>
      <c r="E38" s="50">
        <f>IF(381836.8139="","-",381836.8139/3832063.95895*100)</f>
        <v>9.9642599390388256</v>
      </c>
      <c r="F38" s="50">
        <f>IF(OR(4177554.78501="",419405.89098="",425148.55787=""),"-",(425148.55787-419405.89098)/4177554.78501*100)</f>
        <v>0.13746478946502305</v>
      </c>
      <c r="G38" s="50">
        <f>IF(OR(4273352.38515="",381836.8139="",425148.55787=""),"-",(381836.8139-425148.55787)/4273352.38515*100)</f>
        <v>-1.0135308316840272</v>
      </c>
    </row>
    <row r="39" spans="1:7" s="9" customFormat="1" x14ac:dyDescent="0.25">
      <c r="A39" s="49" t="s">
        <v>11</v>
      </c>
      <c r="B39" s="50">
        <f>IF(81210.4707="","-",81210.4707)</f>
        <v>81210.470700000005</v>
      </c>
      <c r="C39" s="50">
        <f>IF(OR(97128.74777="",81210.4707=""),"-",81210.4707/97128.74777*100)</f>
        <v>83.611157936788871</v>
      </c>
      <c r="D39" s="50">
        <f>IF(97128.74777="","-",97128.74777/4273352.38515*100)</f>
        <v>2.2728934807137522</v>
      </c>
      <c r="E39" s="50">
        <f>IF(81210.4707="","-",81210.4707/3832063.95895*100)</f>
        <v>2.1192357844218233</v>
      </c>
      <c r="F39" s="50">
        <f>IF(OR(4177554.78501="",89227.6623="",97128.74777=""),"-",(97128.74777-89227.6623)/4177554.78501*100)</f>
        <v>0.18913182176211943</v>
      </c>
      <c r="G39" s="50">
        <f>IF(OR(4273352.38515="",81210.4707="",97128.74777=""),"-",(81210.4707-97128.74777)/4273352.38515*100)</f>
        <v>-0.37250092281919883</v>
      </c>
    </row>
    <row r="40" spans="1:7" s="9" customFormat="1" x14ac:dyDescent="0.25">
      <c r="A40" s="49" t="s">
        <v>13</v>
      </c>
      <c r="B40" s="50">
        <f>IF(55218.88261="","-",55218.88261)</f>
        <v>55218.882610000001</v>
      </c>
      <c r="C40" s="50" t="s">
        <v>277</v>
      </c>
      <c r="D40" s="50">
        <f>IF(7254.91154="","-",7254.91154/4273352.38515*100)</f>
        <v>0.16977096401436464</v>
      </c>
      <c r="E40" s="50">
        <f>IF(55218.88261="","-",55218.88261/3832063.95895*100)</f>
        <v>1.4409697541982096</v>
      </c>
      <c r="F40" s="50">
        <f>IF(OR(4177554.78501="",3922.91334="",7254.91154=""),"-",(7254.91154-3922.91334)/4177554.78501*100)</f>
        <v>7.9759533302973168E-2</v>
      </c>
      <c r="G40" s="50">
        <f>IF(OR(4273352.38515="",55218.88261="",7254.91154=""),"-",(55218.88261-7254.91154)/4273352.38515*100)</f>
        <v>1.1223968151251913</v>
      </c>
    </row>
    <row r="41" spans="1:7" s="9" customFormat="1" x14ac:dyDescent="0.25">
      <c r="A41" s="49" t="s">
        <v>15</v>
      </c>
      <c r="B41" s="50">
        <f>IF(5239.34058="","-",5239.34058)</f>
        <v>5239.34058</v>
      </c>
      <c r="C41" s="50">
        <f>IF(OR(5732.56656="",5239.34058=""),"-",5239.34058/5732.56656*100)</f>
        <v>91.396070593552764</v>
      </c>
      <c r="D41" s="50">
        <f>IF(5732.56656="","-",5732.56656/4273352.38515*100)</f>
        <v>0.13414682533368424</v>
      </c>
      <c r="E41" s="50">
        <f>IF(5239.34058="","-",5239.34058/3832063.95895*100)</f>
        <v>0.13672372476360231</v>
      </c>
      <c r="F41" s="50">
        <f>IF(OR(4177554.78501="",2850.80607="",5732.56656=""),"-",(5732.56656-2850.80607)/4177554.78501*100)</f>
        <v>6.8981991578911203E-2</v>
      </c>
      <c r="G41" s="50">
        <f>IF(OR(4273352.38515="",5239.34058="",5732.56656=""),"-",(5239.34058-5732.56656)/4273352.38515*100)</f>
        <v>-1.1541898152700255E-2</v>
      </c>
    </row>
    <row r="42" spans="1:7" s="9" customFormat="1" x14ac:dyDescent="0.25">
      <c r="A42" s="49" t="s">
        <v>14</v>
      </c>
      <c r="B42" s="50">
        <f>IF(4071.35577="","-",4071.35577)</f>
        <v>4071.3557700000001</v>
      </c>
      <c r="C42" s="50" t="s">
        <v>278</v>
      </c>
      <c r="D42" s="50">
        <f>IF(496.347="","-",496.347/4273352.38515*100)</f>
        <v>1.1614932616482025E-2</v>
      </c>
      <c r="E42" s="50">
        <f>IF(4071.35577="","-",4071.35577/3832063.95895*100)</f>
        <v>0.10624446286944457</v>
      </c>
      <c r="F42" s="50">
        <f>IF(OR(4177554.78501="",386.97092="",496.347=""),"-",(496.347-386.97092)/4177554.78501*100)</f>
        <v>2.6181842160985132E-3</v>
      </c>
      <c r="G42" s="50">
        <f>IF(OR(4273352.38515="",4071.35577="",496.347=""),"-",(4071.35577-496.347)/4273352.38515*100)</f>
        <v>8.3658178586517681E-2</v>
      </c>
    </row>
    <row r="43" spans="1:7" s="9" customFormat="1" x14ac:dyDescent="0.25">
      <c r="A43" s="49" t="s">
        <v>16</v>
      </c>
      <c r="B43" s="50">
        <f>IF(1477.96466="","-",1477.96466)</f>
        <v>1477.9646600000001</v>
      </c>
      <c r="C43" s="50">
        <f>IF(OR(1971.42881="",1477.96466=""),"-",1477.96466/1971.42881*100)</f>
        <v>74.969212811696707</v>
      </c>
      <c r="D43" s="50">
        <f>IF(1971.42881="","-",1971.42881/4273352.38515*100)</f>
        <v>4.6133073809938099E-2</v>
      </c>
      <c r="E43" s="50">
        <f>IF(1477.96466="","-",1477.96466/3832063.95895*100)</f>
        <v>3.8568371400694683E-2</v>
      </c>
      <c r="F43" s="50">
        <f>IF(OR(4177554.78501="",10947.54223="",1971.42881=""),"-",(1971.42881-10947.54223)/4177554.78501*100)</f>
        <v>-0.21486524730228077</v>
      </c>
      <c r="G43" s="50">
        <f>IF(OR(4273352.38515="",1477.96466="",1971.42881=""),"-",(1477.96466-1971.42881)/4273352.38515*100)</f>
        <v>-1.1547471528788487E-2</v>
      </c>
    </row>
    <row r="44" spans="1:7" s="9" customFormat="1" x14ac:dyDescent="0.25">
      <c r="A44" s="49" t="s">
        <v>17</v>
      </c>
      <c r="B44" s="50">
        <f>IF(646.54451="","-",646.54451)</f>
        <v>646.54450999999995</v>
      </c>
      <c r="C44" s="50">
        <f>IF(OR(881.91173="",646.54451=""),"-",646.54451/881.91173*100)</f>
        <v>73.311703201861249</v>
      </c>
      <c r="D44" s="50">
        <f>IF(881.91173="","-",881.91173/4273352.38515*100)</f>
        <v>2.0637467976305064E-2</v>
      </c>
      <c r="E44" s="50">
        <f>IF(646.54451="","-",646.54451/3832063.95895*100)</f>
        <v>1.6871965523695371E-2</v>
      </c>
      <c r="F44" s="50">
        <f>IF(OR(4177554.78501="",800.15601="",881.91173=""),"-",(881.91173-800.15601)/4177554.78501*100)</f>
        <v>1.9570232877222289E-3</v>
      </c>
      <c r="G44" s="50">
        <f>IF(OR(4273352.38515="",646.54451="",881.91173=""),"-",(646.54451-881.91173)/4273352.38515*100)</f>
        <v>-5.5077887051371349E-3</v>
      </c>
    </row>
    <row r="45" spans="1:7" s="9" customFormat="1" x14ac:dyDescent="0.25">
      <c r="A45" s="49" t="s">
        <v>129</v>
      </c>
      <c r="B45" s="50">
        <f>IF(128.08215="","-",128.08215)</f>
        <v>128.08215000000001</v>
      </c>
      <c r="C45" s="50">
        <f>IF(OR(160.80703="",128.08215=""),"-",128.08215/160.80703*100)</f>
        <v>79.649596165043292</v>
      </c>
      <c r="D45" s="50">
        <f>IF(160.80703="","-",160.80703/4273352.38515*100)</f>
        <v>3.7630182467237707E-3</v>
      </c>
      <c r="E45" s="50">
        <f>IF(128.08215="","-",128.08215/3832063.95895*100)</f>
        <v>3.3423802778880293E-3</v>
      </c>
      <c r="F45" s="50">
        <f>IF(OR(4177554.78501="",202.54423="",160.80703=""),"-",(160.80703-202.54423)/4177554.78501*100)</f>
        <v>-9.9908205033629729E-4</v>
      </c>
      <c r="G45" s="50">
        <f>IF(OR(4273352.38515="",128.08215="",160.80703=""),"-",(128.08215-160.80703)/4273352.38515*100)</f>
        <v>-7.657894095913951E-4</v>
      </c>
    </row>
    <row r="46" spans="1:7" s="9" customFormat="1" x14ac:dyDescent="0.25">
      <c r="A46" s="49" t="s">
        <v>18</v>
      </c>
      <c r="B46" s="50">
        <f>IF(0.6988="","-",0.6988)</f>
        <v>0.69879999999999998</v>
      </c>
      <c r="C46" s="50" t="s">
        <v>279</v>
      </c>
      <c r="D46" s="50">
        <f>IF(0.10224="","-",0.10224/4273352.38515*100)</f>
        <v>2.392501033972447E-6</v>
      </c>
      <c r="E46" s="50">
        <f>IF(0.6988="","-",0.6988/3832063.95895*100)</f>
        <v>1.8235603776077729E-5</v>
      </c>
      <c r="F46" s="50">
        <f>IF(OR(4177554.78501="",0.23991="",0.10224=""),"-",(0.10224-0.23991)/4177554.78501*100)</f>
        <v>-3.2954684518798111E-6</v>
      </c>
      <c r="G46" s="50">
        <f>IF(OR(4273352.38515="",0.6988="",0.10224=""),"-",(0.6988-0.10224)/4273352.38515*100)</f>
        <v>1.3960000164579452E-5</v>
      </c>
    </row>
    <row r="47" spans="1:7" s="9" customFormat="1" x14ac:dyDescent="0.25">
      <c r="A47" s="47" t="s">
        <v>168</v>
      </c>
      <c r="B47" s="48">
        <f>IF(1123843.57774="","-",1123843.57774)</f>
        <v>1123843.5777400001</v>
      </c>
      <c r="C47" s="48">
        <f>IF(1149811.03581="","-",1123843.57774/1149811.03581*100)</f>
        <v>97.741589073224816</v>
      </c>
      <c r="D47" s="48">
        <f>IF(1149811.03581="","-",1149811.03581/4273352.38515*100)</f>
        <v>26.906534546638849</v>
      </c>
      <c r="E47" s="48">
        <f>IF(1123843.57774="","-",1123843.57774/3832063.95895*100)</f>
        <v>29.327370048592233</v>
      </c>
      <c r="F47" s="48">
        <f>IF(4177554.78501="","-",(1149811.03581-1099994.95441)/4177554.78501*100)</f>
        <v>1.1924698529089612</v>
      </c>
      <c r="G47" s="48">
        <f>IF(4273352.38515="","-",(1123843.57774-1149811.03581)/4273352.38515*100)</f>
        <v>-0.60766011621783078</v>
      </c>
    </row>
    <row r="48" spans="1:7" s="9" customFormat="1" x14ac:dyDescent="0.25">
      <c r="A48" s="49" t="s">
        <v>60</v>
      </c>
      <c r="B48" s="50">
        <f>IF(448001.04682="","-",448001.04682)</f>
        <v>448001.04681999999</v>
      </c>
      <c r="C48" s="50">
        <f>IF(OR(436811.81351="",448001.04682=""),"-",448001.04682/436811.81351*100)</f>
        <v>102.56156838343931</v>
      </c>
      <c r="D48" s="50">
        <f>IF(436811.81351="","-",436811.81351/4273352.38515*100)</f>
        <v>10.221759736639816</v>
      </c>
      <c r="E48" s="50">
        <f>IF(448001.04682="","-",448001.04682/3832063.95895*100)</f>
        <v>11.690855153230636</v>
      </c>
      <c r="F48" s="50">
        <f>IF(OR(4177554.78501="",438064.24196="",436811.81351=""),"-",(436811.81351-438064.24196)/4177554.78501*100)</f>
        <v>-2.9979940765684263E-2</v>
      </c>
      <c r="G48" s="50">
        <f>IF(OR(4273352.38515="",448001.04682="",436811.81351=""),"-",(448001.04682-436811.81351)/4273352.38515*100)</f>
        <v>0.26183736564489346</v>
      </c>
    </row>
    <row r="49" spans="1:7" s="9" customFormat="1" x14ac:dyDescent="0.25">
      <c r="A49" s="49" t="s">
        <v>57</v>
      </c>
      <c r="B49" s="50">
        <f>IF(262430.78036="","-",262430.78036)</f>
        <v>262430.78035999998</v>
      </c>
      <c r="C49" s="50">
        <f>IF(OR(281399.22188="",262430.78036=""),"-",262430.78036/281399.22188*100)</f>
        <v>93.259241659136876</v>
      </c>
      <c r="D49" s="50">
        <f>IF(281399.22188="","-",281399.22188/4273352.38515*100)</f>
        <v>6.5849758343793248</v>
      </c>
      <c r="E49" s="50">
        <f>IF(262430.78036="","-",262430.78036/3832063.95895*100)</f>
        <v>6.8482881071720678</v>
      </c>
      <c r="F49" s="50">
        <f>IF(OR(4177554.78501="",239051.49964="",281399.22188=""),"-",(281399.22188-239051.49964)/4177554.78501*100)</f>
        <v>1.0136963946458133</v>
      </c>
      <c r="G49" s="50">
        <f>IF(OR(4273352.38515="",262430.78036="",281399.22188=""),"-",(262430.78036-281399.22188)/4273352.38515*100)</f>
        <v>-0.44387730779974593</v>
      </c>
    </row>
    <row r="50" spans="1:7" s="9" customFormat="1" x14ac:dyDescent="0.25">
      <c r="A50" s="49" t="s">
        <v>19</v>
      </c>
      <c r="B50" s="50">
        <f>IF(48969.74317="","-",48969.74317)</f>
        <v>48969.743170000002</v>
      </c>
      <c r="C50" s="50">
        <f>IF(OR(56242.12467="",48969.74317=""),"-",48969.74317/56242.12467*100)</f>
        <v>87.069511433519608</v>
      </c>
      <c r="D50" s="50">
        <f>IF(56242.12467="","-",56242.12467/4273352.38515*100)</f>
        <v>1.3161124943836295</v>
      </c>
      <c r="E50" s="50">
        <f>IF(48969.74317="","-",48969.74317/3832063.95895*100)</f>
        <v>1.2778947244768299</v>
      </c>
      <c r="F50" s="50">
        <f>IF(OR(4177554.78501="",53965.88521="",56242.12467=""),"-",(56242.12467-53965.88521)/4177554.78501*100)</f>
        <v>5.4487363473188971E-2</v>
      </c>
      <c r="G50" s="50">
        <f>IF(OR(4273352.38515="",48969.74317="",56242.12467=""),"-",(48969.74317-56242.12467)/4273352.38515*100)</f>
        <v>-0.17017977560829506</v>
      </c>
    </row>
    <row r="51" spans="1:7" s="9" customFormat="1" x14ac:dyDescent="0.25">
      <c r="A51" s="49" t="s">
        <v>77</v>
      </c>
      <c r="B51" s="50">
        <f>IF(38764.86223="","-",38764.86223)</f>
        <v>38764.862229999999</v>
      </c>
      <c r="C51" s="50">
        <f>IF(OR(36760.92603="",38764.86223=""),"-",38764.86223/36760.92603*100)</f>
        <v>105.4512669195673</v>
      </c>
      <c r="D51" s="50">
        <f>IF(36760.92603="","-",36760.92603/4273352.38515*100)</f>
        <v>0.86023624351095129</v>
      </c>
      <c r="E51" s="50">
        <f>IF(38764.86223="","-",38764.86223/3832063.95895*100)</f>
        <v>1.0115922553813983</v>
      </c>
      <c r="F51" s="50">
        <f>IF(OR(4177554.78501="",40478.58439="",36760.92603=""),"-",(36760.92603-40478.58439)/4177554.78501*100)</f>
        <v>-8.8991253288641242E-2</v>
      </c>
      <c r="G51" s="50">
        <f>IF(OR(4273352.38515="",38764.86223="",36760.92603=""),"-",(38764.86223-36760.92603)/4273352.38515*100)</f>
        <v>4.6893773772640923E-2</v>
      </c>
    </row>
    <row r="52" spans="1:7" s="9" customFormat="1" ht="25.5" x14ac:dyDescent="0.25">
      <c r="A52" s="49" t="s">
        <v>124</v>
      </c>
      <c r="B52" s="50">
        <f>IF(34464.10085="","-",34464.10085)</f>
        <v>34464.100850000003</v>
      </c>
      <c r="C52" s="50">
        <f>IF(OR(42983.48613="",34464.10085=""),"-",34464.10085/42983.48613*100)</f>
        <v>80.179864298968639</v>
      </c>
      <c r="D52" s="50">
        <f>IF(42983.48613="","-",42983.48613/4273352.38515*100)</f>
        <v>1.0058493252128846</v>
      </c>
      <c r="E52" s="50">
        <f>IF(34464.10085="","-",34464.10085/3832063.95895*100)</f>
        <v>0.89936131596935287</v>
      </c>
      <c r="F52" s="50">
        <f>IF(OR(4177554.78501="",43492.41195="",42983.48613=""),"-",(42983.48613-43492.41195)/4177554.78501*100)</f>
        <v>-1.2182385299317762E-2</v>
      </c>
      <c r="G52" s="50">
        <f>IF(OR(4273352.38515="",34464.10085="",42983.48613=""),"-",(34464.10085-42983.48613)/4273352.38515*100)</f>
        <v>-0.19936070120510208</v>
      </c>
    </row>
    <row r="53" spans="1:7" s="9" customFormat="1" x14ac:dyDescent="0.25">
      <c r="A53" s="49" t="s">
        <v>73</v>
      </c>
      <c r="B53" s="50">
        <f>IF(29997.87545="","-",29997.87545)</f>
        <v>29997.87545</v>
      </c>
      <c r="C53" s="50">
        <f>IF(OR(36006.14687="",29997.87545=""),"-",29997.87545/36006.14687*100)</f>
        <v>83.313206376420041</v>
      </c>
      <c r="D53" s="50">
        <f>IF(36006.14687="","-",36006.14687/4273352.38515*100)</f>
        <v>0.84257378341000377</v>
      </c>
      <c r="E53" s="50">
        <f>IF(29997.87545="","-",29997.87545/3832063.95895*100)</f>
        <v>0.78281249403309894</v>
      </c>
      <c r="F53" s="50">
        <f>IF(OR(4177554.78501="",26831.47203="",36006.14687=""),"-",(36006.14687-26831.47203)/4177554.78501*100)</f>
        <v>0.21961830094774049</v>
      </c>
      <c r="G53" s="50">
        <f>IF(OR(4273352.38515="",29997.87545="",36006.14687=""),"-",(29997.87545-36006.14687)/4273352.38515*100)</f>
        <v>-0.140598548364017</v>
      </c>
    </row>
    <row r="54" spans="1:7" s="9" customFormat="1" x14ac:dyDescent="0.25">
      <c r="A54" s="49" t="s">
        <v>37</v>
      </c>
      <c r="B54" s="50">
        <f>IF(29956.82716="","-",29956.82716)</f>
        <v>29956.827160000001</v>
      </c>
      <c r="C54" s="50">
        <f>IF(OR(28945.52967="",29956.82716=""),"-",29956.82716/28945.52967*100)</f>
        <v>103.49379507485101</v>
      </c>
      <c r="D54" s="50">
        <f>IF(28945.52967="","-",28945.52967/4273352.38515*100)</f>
        <v>0.67734946854807465</v>
      </c>
      <c r="E54" s="50">
        <f>IF(29956.82716="","-",29956.82716/3832063.95895*100)</f>
        <v>0.78174131436491689</v>
      </c>
      <c r="F54" s="50">
        <f>IF(OR(4177554.78501="",28958.89871="",28945.52967=""),"-",(28945.52967-28958.89871)/4177554.78501*100)</f>
        <v>-3.2002069842321414E-4</v>
      </c>
      <c r="G54" s="50">
        <f>IF(OR(4273352.38515="",29956.82716="",28945.52967=""),"-",(29956.82716-28945.52967)/4273352.38515*100)</f>
        <v>2.3665202371662194E-2</v>
      </c>
    </row>
    <row r="55" spans="1:7" s="9" customFormat="1" x14ac:dyDescent="0.25">
      <c r="A55" s="49" t="s">
        <v>70</v>
      </c>
      <c r="B55" s="50">
        <f>IF(29282.98784="","-",29282.98784)</f>
        <v>29282.987840000002</v>
      </c>
      <c r="C55" s="50">
        <f>IF(OR(26586.26154="",29282.98784=""),"-",29282.98784/26586.26154*100)</f>
        <v>110.14330764760845</v>
      </c>
      <c r="D55" s="50">
        <f>IF(26586.26154="","-",26586.26154/4273352.38515*100)</f>
        <v>0.62214063208051551</v>
      </c>
      <c r="E55" s="50">
        <f>IF(29282.98784="","-",29282.98784/3832063.95895*100)</f>
        <v>0.76415707445612813</v>
      </c>
      <c r="F55" s="50">
        <f>IF(OR(4177554.78501="",21984.8977799999="",26586.26154=""),"-",(26586.26154-21984.8977799999)/4177554.78501*100)</f>
        <v>0.11014490525679806</v>
      </c>
      <c r="G55" s="50">
        <f>IF(OR(4273352.38515="",29282.98784="",26586.26154=""),"-",(29282.98784-26586.26154)/4273352.38515*100)</f>
        <v>6.3105638312702439E-2</v>
      </c>
    </row>
    <row r="56" spans="1:7" s="9" customFormat="1" x14ac:dyDescent="0.25">
      <c r="A56" s="49" t="s">
        <v>67</v>
      </c>
      <c r="B56" s="50">
        <f>IF(25046.43007="","-",25046.43007)</f>
        <v>25046.430069999999</v>
      </c>
      <c r="C56" s="50" t="s">
        <v>128</v>
      </c>
      <c r="D56" s="50">
        <f>IF(16402.02033="","-",16402.02033/4273352.38515*100)</f>
        <v>0.38382091743703151</v>
      </c>
      <c r="E56" s="50">
        <f>IF(25046.43007="","-",25046.43007/3832063.95895*100)</f>
        <v>0.65360156663102298</v>
      </c>
      <c r="F56" s="50">
        <f>IF(OR(4177554.78501="",21618.49974="",16402.02033=""),"-",(16402.02033-21618.49974)/4177554.78501*100)</f>
        <v>-0.12486920407885238</v>
      </c>
      <c r="G56" s="50">
        <f>IF(OR(4273352.38515="",25046.43007="",16402.02033=""),"-",(25046.43007-16402.02033)/4273352.38515*100)</f>
        <v>0.20228637755312492</v>
      </c>
    </row>
    <row r="57" spans="1:7" s="9" customFormat="1" x14ac:dyDescent="0.25">
      <c r="A57" s="49" t="s">
        <v>130</v>
      </c>
      <c r="B57" s="50">
        <f>IF(21769.03956="","-",21769.03956)</f>
        <v>21769.039560000001</v>
      </c>
      <c r="C57" s="50">
        <f>IF(OR(25772.39267="",21769.03956=""),"-",21769.03956/25772.39267*100)</f>
        <v>84.466505841112507</v>
      </c>
      <c r="D57" s="50">
        <f>IF(25772.39267="","-",25772.39267/4273352.38515*100)</f>
        <v>0.60309542362009905</v>
      </c>
      <c r="E57" s="50">
        <f>IF(21769.03956="","-",21769.03956/3832063.95895*100)</f>
        <v>0.56807610189170232</v>
      </c>
      <c r="F57" s="50">
        <f>IF(OR(4177554.78501="",24667.73295="",25772.39267=""),"-",(25772.39267-24667.73295)/4177554.78501*100)</f>
        <v>2.6442734490610766E-2</v>
      </c>
      <c r="G57" s="50">
        <f>IF(OR(4273352.38515="",21769.03956="",25772.39267=""),"-",(21769.03956-25772.39267)/4273352.38515*100)</f>
        <v>-9.3681792400545902E-2</v>
      </c>
    </row>
    <row r="58" spans="1:7" s="9" customFormat="1" x14ac:dyDescent="0.25">
      <c r="A58" s="49" t="s">
        <v>80</v>
      </c>
      <c r="B58" s="50">
        <f>IF(14196.90596="","-",14196.90596)</f>
        <v>14196.90596</v>
      </c>
      <c r="C58" s="50">
        <f>IF(OR(12156.42899="",14196.90596=""),"-",14196.90596/12156.42899*100)</f>
        <v>116.78516751653399</v>
      </c>
      <c r="D58" s="50">
        <f>IF(12156.42899="","-",12156.42899/4273352.38515*100)</f>
        <v>0.28447054898266466</v>
      </c>
      <c r="E58" s="50">
        <f>IF(14196.90596="","-",14196.90596/3832063.95895*100)</f>
        <v>0.37047674861590796</v>
      </c>
      <c r="F58" s="50">
        <f>IF(OR(4177554.78501="",10681.97675="",12156.42899=""),"-",(12156.42899-10681.97675)/4177554.78501*100)</f>
        <v>3.5294623670542029E-2</v>
      </c>
      <c r="G58" s="50">
        <f>IF(OR(4273352.38515="",14196.90596="",12156.42899=""),"-",(14196.90596-12156.42899)/4273352.38515*100)</f>
        <v>4.7748858181944111E-2</v>
      </c>
    </row>
    <row r="59" spans="1:7" s="9" customFormat="1" x14ac:dyDescent="0.25">
      <c r="A59" s="49" t="s">
        <v>71</v>
      </c>
      <c r="B59" s="50">
        <f>IF(12401.91339="","-",12401.91339)</f>
        <v>12401.91339</v>
      </c>
      <c r="C59" s="50">
        <f>IF(OR(16548.64743="",12401.91339=""),"-",12401.91339/16548.64743*100)</f>
        <v>74.94215731200697</v>
      </c>
      <c r="D59" s="50">
        <f>IF(16548.64743="","-",16548.64743/4273352.38515*100)</f>
        <v>0.38725211352817374</v>
      </c>
      <c r="E59" s="50">
        <f>IF(12401.91339="","-",12401.91339/3832063.95895*100)</f>
        <v>0.3236353443693088</v>
      </c>
      <c r="F59" s="50">
        <f>IF(OR(4177554.78501="",15404.07157="",16548.64743=""),"-",(16548.64743-15404.07157)/4177554.78501*100)</f>
        <v>2.7398225012081102E-2</v>
      </c>
      <c r="G59" s="50">
        <f>IF(OR(4273352.38515="",12401.91339="",16548.64743=""),"-",(12401.91339-16548.64743)/4273352.38515*100)</f>
        <v>-9.7037025413817951E-2</v>
      </c>
    </row>
    <row r="60" spans="1:7" s="9" customFormat="1" x14ac:dyDescent="0.25">
      <c r="A60" s="49" t="s">
        <v>62</v>
      </c>
      <c r="B60" s="50">
        <f>IF(8809.0434="","-",8809.0434)</f>
        <v>8809.0434000000005</v>
      </c>
      <c r="C60" s="50">
        <f>IF(OR(8909.05297="",8809.0434=""),"-",8809.0434/8909.05297*100)</f>
        <v>98.877438821648397</v>
      </c>
      <c r="D60" s="50">
        <f>IF(8909.05297="","-",8909.05297/4273352.38515*100)</f>
        <v>0.2084792492413958</v>
      </c>
      <c r="E60" s="50">
        <f>IF(8809.0434="","-",8809.0434/3832063.95895*100)</f>
        <v>0.22987725399065917</v>
      </c>
      <c r="F60" s="50">
        <f>IF(OR(4177554.78501="",7047.92868="",8909.05297=""),"-",(8909.05297-7047.92868)/4177554.78501*100)</f>
        <v>4.4550565720361833E-2</v>
      </c>
      <c r="G60" s="50">
        <f>IF(OR(4273352.38515="",8809.0434="",8909.05297=""),"-",(8809.0434-8909.05297)/4273352.38515*100)</f>
        <v>-2.3403071169027802E-3</v>
      </c>
    </row>
    <row r="61" spans="1:7" s="9" customFormat="1" x14ac:dyDescent="0.25">
      <c r="A61" s="49" t="s">
        <v>72</v>
      </c>
      <c r="B61" s="50">
        <f>IF(7420.372="","-",7420.372)</f>
        <v>7420.3720000000003</v>
      </c>
      <c r="C61" s="50">
        <f>IF(OR(7537.18585="",7420.372=""),"-",7420.372/7537.18585*100)</f>
        <v>98.450166251373517</v>
      </c>
      <c r="D61" s="50">
        <f>IF(7537.18585="","-",7537.18585/4273352.38515*100)</f>
        <v>0.17637641763857101</v>
      </c>
      <c r="E61" s="50">
        <f>IF(7420.372="","-",7420.372/3832063.95895*100)</f>
        <v>0.19363904359344802</v>
      </c>
      <c r="F61" s="50">
        <f>IF(OR(4177554.78501="",8492.69921="",7537.18585=""),"-",(7537.18585-8492.69921)/4177554.78501*100)</f>
        <v>-2.2872551269192114E-2</v>
      </c>
      <c r="G61" s="50">
        <f>IF(OR(4273352.38515="",7420.372="",7537.18585=""),"-",(7420.372-7537.18585)/4273352.38515*100)</f>
        <v>-2.7335412451809592E-3</v>
      </c>
    </row>
    <row r="62" spans="1:7" s="9" customFormat="1" x14ac:dyDescent="0.25">
      <c r="A62" s="49" t="s">
        <v>63</v>
      </c>
      <c r="B62" s="50">
        <f>IF(7307.72808="","-",7307.72808)</f>
        <v>7307.7280799999999</v>
      </c>
      <c r="C62" s="50">
        <f>IF(OR(7989.67892="",7307.72808=""),"-",7307.72808/7989.67892*100)</f>
        <v>91.464602685185241</v>
      </c>
      <c r="D62" s="50">
        <f>IF(7989.67892="","-",7989.67892/4273352.38515*100)</f>
        <v>0.18696513181932578</v>
      </c>
      <c r="E62" s="50">
        <f>IF(7307.72808="","-",7307.72808/3832063.95895*100)</f>
        <v>0.1906995331571226</v>
      </c>
      <c r="F62" s="50">
        <f>IF(OR(4177554.78501="",10581.5056="",7989.67892=""),"-",(7989.67892-10581.5056)/4177554.78501*100)</f>
        <v>-6.2041716108668474E-2</v>
      </c>
      <c r="G62" s="50">
        <f>IF(OR(4273352.38515="",7307.72808="",7989.67892=""),"-",(7307.72808-7989.67892)/4273352.38515*100)</f>
        <v>-1.5958216840946598E-2</v>
      </c>
    </row>
    <row r="63" spans="1:7" s="9" customFormat="1" x14ac:dyDescent="0.25">
      <c r="A63" s="49" t="s">
        <v>83</v>
      </c>
      <c r="B63" s="50">
        <f>IF(7054.57978="","-",7054.57978)</f>
        <v>7054.57978</v>
      </c>
      <c r="C63" s="50">
        <f>IF(OR(7212.62771="",7054.57978=""),"-",7054.57978/7212.62771*100)</f>
        <v>97.808733011675159</v>
      </c>
      <c r="D63" s="50">
        <f>IF(7212.62771="","-",7212.62771/4273352.38515*100)</f>
        <v>0.16878148722450434</v>
      </c>
      <c r="E63" s="50">
        <f>IF(7054.57978="","-",7054.57978/3832063.95895*100)</f>
        <v>0.18409347692445566</v>
      </c>
      <c r="F63" s="50">
        <f>IF(OR(4177554.78501="",7001.12868="",7212.62771=""),"-",(7212.62771-7001.12868)/4177554.78501*100)</f>
        <v>5.0627470107371354E-3</v>
      </c>
      <c r="G63" s="50">
        <f>IF(OR(4273352.38515="",7054.57978="",7212.62771=""),"-",(7054.57978-7212.62771)/4273352.38515*100)</f>
        <v>-3.6984530119542674E-3</v>
      </c>
    </row>
    <row r="64" spans="1:7" s="9" customFormat="1" x14ac:dyDescent="0.25">
      <c r="A64" s="49" t="s">
        <v>84</v>
      </c>
      <c r="B64" s="50">
        <f>IF(6969.36524="","-",6969.36524)</f>
        <v>6969.3652400000001</v>
      </c>
      <c r="C64" s="50">
        <f>IF(OR(7486.86179="",6969.36524=""),"-",6969.36524/7486.86179*100)</f>
        <v>93.087937716558272</v>
      </c>
      <c r="D64" s="50">
        <f>IF(7486.86179="","-",7486.86179/4273352.38515*100)</f>
        <v>0.17519879277957559</v>
      </c>
      <c r="E64" s="50">
        <f>IF(6969.36524="","-",6969.36524/3832063.95895*100)</f>
        <v>0.18186975255782611</v>
      </c>
      <c r="F64" s="50">
        <f>IF(OR(4177554.78501="",8165.6605="",7486.86179=""),"-",(7486.86179-8165.6605)/4177554.78501*100)</f>
        <v>-1.6248708752681865E-2</v>
      </c>
      <c r="G64" s="50">
        <f>IF(OR(4273352.38515="",6969.36524="",7486.86179=""),"-",(6969.36524-7486.86179)/4273352.38515*100)</f>
        <v>-1.2109849676762265E-2</v>
      </c>
    </row>
    <row r="65" spans="1:7" s="9" customFormat="1" x14ac:dyDescent="0.25">
      <c r="A65" s="49" t="s">
        <v>75</v>
      </c>
      <c r="B65" s="50">
        <f>IF(6701.813="","-",6701.813)</f>
        <v>6701.8130000000001</v>
      </c>
      <c r="C65" s="50">
        <f>IF(OR(4831.92403="",6701.813=""),"-",6701.813/4831.92403*100)</f>
        <v>138.69864174996144</v>
      </c>
      <c r="D65" s="50">
        <f>IF(4831.92403="","-",4831.92403/4273352.38515*100)</f>
        <v>0.11307104105879612</v>
      </c>
      <c r="E65" s="50">
        <f>IF(6701.813="","-",6701.813/3832063.95895*100)</f>
        <v>0.17488781689949459</v>
      </c>
      <c r="F65" s="50">
        <f>IF(OR(4177554.78501="",3449.81933="",4831.92403=""),"-",(4831.92403-3449.81933)/4177554.78501*100)</f>
        <v>3.3084059243443091E-2</v>
      </c>
      <c r="G65" s="50">
        <f>IF(OR(4273352.38515="",6701.813="",4831.92403=""),"-",(6701.813-4831.92403)/4273352.38515*100)</f>
        <v>4.3756957102295324E-2</v>
      </c>
    </row>
    <row r="66" spans="1:7" s="9" customFormat="1" x14ac:dyDescent="0.25">
      <c r="A66" s="49" t="s">
        <v>79</v>
      </c>
      <c r="B66" s="50">
        <f>IF(5989.66224="","-",5989.66224)</f>
        <v>5989.6622399999997</v>
      </c>
      <c r="C66" s="50">
        <f>IF(OR(6184.70243="",5989.66224=""),"-",5989.66224/6184.70243*100)</f>
        <v>96.846409472282389</v>
      </c>
      <c r="D66" s="50">
        <f>IF(6184.70243="","-",6184.70243/4273352.38515*100)</f>
        <v>0.14472718073735238</v>
      </c>
      <c r="E66" s="50">
        <f>IF(5989.66224="","-",5989.66224/3832063.95895*100)</f>
        <v>0.1563038170594937</v>
      </c>
      <c r="F66" s="50">
        <f>IF(OR(4177554.78501="",5917.75942="",6184.70243=""),"-",(6184.70243-5917.75942)/4177554.78501*100)</f>
        <v>6.3899343931491E-3</v>
      </c>
      <c r="G66" s="50">
        <f>IF(OR(4273352.38515="",5989.66224="",6184.70243=""),"-",(5989.66224-6184.70243)/4273352.38515*100)</f>
        <v>-4.5641026627658851E-3</v>
      </c>
    </row>
    <row r="67" spans="1:7" s="9" customFormat="1" x14ac:dyDescent="0.25">
      <c r="A67" s="49" t="s">
        <v>64</v>
      </c>
      <c r="B67" s="50">
        <f>IF(5423.0679="","-",5423.0679)</f>
        <v>5423.0679</v>
      </c>
      <c r="C67" s="50">
        <f>IF(OR(6411.65153="",5423.0679=""),"-",5423.0679/6411.65153*100)</f>
        <v>84.581451044642151</v>
      </c>
      <c r="D67" s="50">
        <f>IF(6411.65153="","-",6411.65153/4273352.38515*100)</f>
        <v>0.15003797843305972</v>
      </c>
      <c r="E67" s="50">
        <f>IF(5423.0679="","-",5423.0679/3832063.95895*100)</f>
        <v>0.14151819901998558</v>
      </c>
      <c r="F67" s="50">
        <f>IF(OR(4177554.78501="",5656.62126="",6411.65153=""),"-",(6411.65153-5656.62126)/4177554.78501*100)</f>
        <v>1.8073497748233427E-2</v>
      </c>
      <c r="G67" s="50">
        <f>IF(OR(4273352.38515="",5423.0679="",6411.65153=""),"-",(5423.0679-6411.65153)/4273352.38515*100)</f>
        <v>-2.313367915633055E-2</v>
      </c>
    </row>
    <row r="68" spans="1:7" s="9" customFormat="1" x14ac:dyDescent="0.25">
      <c r="A68" s="49" t="s">
        <v>85</v>
      </c>
      <c r="B68" s="50">
        <f>IF(4784.55536="","-",4784.55536)</f>
        <v>4784.5553600000003</v>
      </c>
      <c r="C68" s="50">
        <f>IF(OR(5304.50527="",4784.55536=""),"-",4784.55536/5304.50527*100)</f>
        <v>90.197956575882529</v>
      </c>
      <c r="D68" s="50">
        <f>IF(5304.50527="","-",5304.50527/4273352.38515*100)</f>
        <v>0.12412983512507135</v>
      </c>
      <c r="E68" s="50">
        <f>IF(4784.55536="","-",4784.55536/3832063.95895*100)</f>
        <v>0.12485583255533624</v>
      </c>
      <c r="F68" s="50">
        <f>IF(OR(4177554.78501="",4474.2832="",5304.50527=""),"-",(5304.50527-4474.2832)/4177554.78501*100)</f>
        <v>1.9873397542960348E-2</v>
      </c>
      <c r="G68" s="50">
        <f>IF(OR(4273352.38515="",4784.55536="",5304.50527=""),"-",(4784.55536-5304.50527)/4273352.38515*100)</f>
        <v>-1.2167260341244908E-2</v>
      </c>
    </row>
    <row r="69" spans="1:7" s="9" customFormat="1" x14ac:dyDescent="0.25">
      <c r="A69" s="49" t="s">
        <v>66</v>
      </c>
      <c r="B69" s="50">
        <f>IF(4749.86039="","-",4749.86039)</f>
        <v>4749.8603899999998</v>
      </c>
      <c r="C69" s="50">
        <f>IF(OR(4352.18158="",4749.86039=""),"-",4749.86039/4352.18158*100)</f>
        <v>109.13745905794674</v>
      </c>
      <c r="D69" s="50">
        <f>IF(4352.18158="","-",4352.18158/4273352.38515*100)</f>
        <v>0.10184466872247497</v>
      </c>
      <c r="E69" s="50">
        <f>IF(4749.86039="","-",4749.86039/3832063.95895*100)</f>
        <v>0.12395044657087298</v>
      </c>
      <c r="F69" s="50">
        <f>IF(OR(4177554.78501="",3908.20245="",4352.18158=""),"-",(4352.18158-3908.20245)/4177554.78501*100)</f>
        <v>1.0627727291407318E-2</v>
      </c>
      <c r="G69" s="50">
        <f>IF(OR(4273352.38515="",4749.86039="",4352.18158=""),"-",(4749.86039-4352.18158)/4273352.38515*100)</f>
        <v>9.3060149072176357E-3</v>
      </c>
    </row>
    <row r="70" spans="1:7" s="9" customFormat="1" x14ac:dyDescent="0.25">
      <c r="A70" s="49" t="s">
        <v>69</v>
      </c>
      <c r="B70" s="50">
        <f>IF(4151.02579="","-",4151.02579)</f>
        <v>4151.0257899999997</v>
      </c>
      <c r="C70" s="50">
        <f>IF(OR(4509.9408="",4151.02579=""),"-",4151.02579/4509.9408*100)</f>
        <v>92.041691323309593</v>
      </c>
      <c r="D70" s="50">
        <f>IF(4509.9408="","-",4509.9408/4273352.38515*100)</f>
        <v>0.10553636568030642</v>
      </c>
      <c r="E70" s="50">
        <f>IF(4151.02579="","-",4151.02579/3832063.95895*100)</f>
        <v>0.10832349967189474</v>
      </c>
      <c r="F70" s="50">
        <f>IF(OR(4177554.78501="",6112.76968="",4509.9408=""),"-",(4509.9408-6112.76968)/4177554.78501*100)</f>
        <v>-3.8367632801640524E-2</v>
      </c>
      <c r="G70" s="50">
        <f>IF(OR(4273352.38515="",4151.02579="",4509.9408=""),"-",(4151.02579-4509.9408)/4273352.38515*100)</f>
        <v>-8.3989097469995382E-3</v>
      </c>
    </row>
    <row r="71" spans="1:7" s="9" customFormat="1" x14ac:dyDescent="0.25">
      <c r="A71" s="49" t="s">
        <v>76</v>
      </c>
      <c r="B71" s="50">
        <f>IF(3957.92017="","-",3957.92017)</f>
        <v>3957.9201699999999</v>
      </c>
      <c r="C71" s="50">
        <f>IF(OR(3693.95149="",3957.92017=""),"-",3957.92017/3693.95149*100)</f>
        <v>107.14597039821983</v>
      </c>
      <c r="D71" s="50">
        <f>IF(3693.95149="","-",3693.95149/4273352.38515*100)</f>
        <v>8.6441537160299897E-2</v>
      </c>
      <c r="E71" s="50">
        <f>IF(3957.92017="","-",3957.92017/3832063.95895*100)</f>
        <v>0.10328429307021496</v>
      </c>
      <c r="F71" s="50">
        <f>IF(OR(4177554.78501="",3546.65203="",3693.95149=""),"-",(3693.95149-3546.65203)/4177554.78501*100)</f>
        <v>3.5259731488990424E-3</v>
      </c>
      <c r="G71" s="50">
        <f>IF(OR(4273352.38515="",3957.92017="",3693.95149=""),"-",(3957.92017-3693.95149)/4273352.38515*100)</f>
        <v>6.1770866572412163E-3</v>
      </c>
    </row>
    <row r="72" spans="1:7" s="9" customFormat="1" x14ac:dyDescent="0.25">
      <c r="A72" s="49" t="s">
        <v>59</v>
      </c>
      <c r="B72" s="50">
        <f>IF(3841.15621="","-",3841.15621)</f>
        <v>3841.1562100000001</v>
      </c>
      <c r="C72" s="50" t="s">
        <v>104</v>
      </c>
      <c r="D72" s="50">
        <f>IF(2225.47644="","-",2225.47644/4273352.38515*100)</f>
        <v>5.2077999645748441E-2</v>
      </c>
      <c r="E72" s="50">
        <f>IF(3841.15621="","-",3841.15621/3832063.95895*100)</f>
        <v>0.10023726772693249</v>
      </c>
      <c r="F72" s="50">
        <f>IF(OR(4177554.78501="",2168.54234="",2225.47644=""),"-",(2225.47644-2168.54234)/4177554.78501*100)</f>
        <v>1.3628570522711567E-3</v>
      </c>
      <c r="G72" s="50">
        <f>IF(OR(4273352.38515="",3841.15621="",2225.47644=""),"-",(3841.15621-2225.47644)/4273352.38515*100)</f>
        <v>3.7808250394105701E-2</v>
      </c>
    </row>
    <row r="73" spans="1:7" s="9" customFormat="1" x14ac:dyDescent="0.25">
      <c r="A73" s="49" t="s">
        <v>82</v>
      </c>
      <c r="B73" s="50">
        <f>IF(3569.10875="","-",3569.10875)</f>
        <v>3569.1087499999999</v>
      </c>
      <c r="C73" s="50">
        <f>IF(OR(3070.98388="",3569.10875=""),"-",3569.10875/3070.98388*100)</f>
        <v>116.22036746086728</v>
      </c>
      <c r="D73" s="50">
        <f>IF(3070.98388="","-",3070.98388/4273352.38515*100)</f>
        <v>7.1863576958262121E-2</v>
      </c>
      <c r="E73" s="50">
        <f>IF(3569.10875="","-",3569.10875/3832063.95895*100)</f>
        <v>9.3138026615243369E-2</v>
      </c>
      <c r="F73" s="50">
        <f>IF(OR(4177554.78501="",3914.96349="",3070.98388=""),"-",(3070.98388-3914.96349)/4177554.78501*100)</f>
        <v>-2.0202717939891229E-2</v>
      </c>
      <c r="G73" s="50">
        <f>IF(OR(4273352.38515="",3569.10875="",3070.98388=""),"-",(3569.10875-3070.98388)/4273352.38515*100)</f>
        <v>1.1656536253153268E-2</v>
      </c>
    </row>
    <row r="74" spans="1:7" s="9" customFormat="1" x14ac:dyDescent="0.25">
      <c r="A74" s="49" t="s">
        <v>86</v>
      </c>
      <c r="B74" s="50">
        <f>IF(3460.03001="","-",3460.03001)</f>
        <v>3460.0300099999999</v>
      </c>
      <c r="C74" s="50">
        <f>IF(OR(6372.94861="",3460.03001=""),"-",3460.03001/6372.94861*100)</f>
        <v>54.292451135895789</v>
      </c>
      <c r="D74" s="50">
        <f>IF(6372.94861="","-",6372.94861/4273352.38515*100)</f>
        <v>0.14913229791547605</v>
      </c>
      <c r="E74" s="50">
        <f>IF(3460.03001="","-",3460.03001/3832063.95895*100)</f>
        <v>9.0291551682453161E-2</v>
      </c>
      <c r="F74" s="50">
        <f>IF(OR(4177554.78501="",4422.77259="",6372.94861=""),"-",(6372.94861-4422.77259)/4177554.78501*100)</f>
        <v>4.6682236867309747E-2</v>
      </c>
      <c r="G74" s="50">
        <f>IF(OR(4273352.38515="",3460.03001="",6372.94861=""),"-",(3460.03001-6372.94861)/4273352.38515*100)</f>
        <v>-6.8164717941877687E-2</v>
      </c>
    </row>
    <row r="75" spans="1:7" s="9" customFormat="1" x14ac:dyDescent="0.25">
      <c r="A75" s="49" t="s">
        <v>143</v>
      </c>
      <c r="B75" s="50">
        <f>IF(3381.54996="","-",3381.54996)</f>
        <v>3381.5499599999998</v>
      </c>
      <c r="C75" s="50">
        <f>IF(OR(3631.2559="",3381.54996=""),"-",3381.54996/3631.2559*100)</f>
        <v>93.123427627339623</v>
      </c>
      <c r="D75" s="50">
        <f>IF(3631.2559="","-",3631.2559/4273352.38515*100)</f>
        <v>8.4974408209786287E-2</v>
      </c>
      <c r="E75" s="50">
        <f>IF(3381.54996="","-",3381.54996/3832063.95895*100)</f>
        <v>8.8243567858573985E-2</v>
      </c>
      <c r="F75" s="50">
        <f>IF(OR(4177554.78501="",3486.76391="",3631.2559=""),"-",(3631.2559-3486.76391)/4177554.78501*100)</f>
        <v>3.4587694820537008E-3</v>
      </c>
      <c r="G75" s="50">
        <f>IF(OR(4273352.38515="",3381.54996="",3631.2559=""),"-",(3381.54996-3631.2559)/4273352.38515*100)</f>
        <v>-5.8433266787858229E-3</v>
      </c>
    </row>
    <row r="76" spans="1:7" s="9" customFormat="1" x14ac:dyDescent="0.25">
      <c r="A76" s="49" t="s">
        <v>40</v>
      </c>
      <c r="B76" s="50">
        <f>IF(3186.54201="","-",3186.54201)</f>
        <v>3186.5420100000001</v>
      </c>
      <c r="C76" s="50">
        <f>IF(OR(2909.8371="",3186.54201=""),"-",3186.54201/2909.8371*100)</f>
        <v>109.50929211810517</v>
      </c>
      <c r="D76" s="50">
        <f>IF(2909.8371="","-",2909.8371/4273352.38515*100)</f>
        <v>6.8092608278965072E-2</v>
      </c>
      <c r="E76" s="50">
        <f>IF(3186.54201="","-",3186.54201/3832063.95895*100)</f>
        <v>8.3154718818240311E-2</v>
      </c>
      <c r="F76" s="50">
        <f>IF(OR(4177554.78501="",3570.37342="",2909.8371=""),"-",(2909.8371-3570.37342)/4177554.78501*100)</f>
        <v>-1.5811553743595452E-2</v>
      </c>
      <c r="G76" s="50">
        <f>IF(OR(4273352.38515="",3186.54201="",2909.8371=""),"-",(3186.54201-2909.8371)/4273352.38515*100)</f>
        <v>6.4751250320838494E-3</v>
      </c>
    </row>
    <row r="77" spans="1:7" s="9" customFormat="1" x14ac:dyDescent="0.25">
      <c r="A77" s="49" t="s">
        <v>87</v>
      </c>
      <c r="B77" s="50">
        <f>IF(3146.48369="","-",3146.48369)</f>
        <v>3146.48369</v>
      </c>
      <c r="C77" s="50">
        <f>IF(OR(2828.03669="",3146.48369=""),"-",3146.48369/2828.03669*100)</f>
        <v>111.26035603166096</v>
      </c>
      <c r="D77" s="50">
        <f>IF(2828.03669="","-",2828.03669/4273352.38515*100)</f>
        <v>6.6178410650792427E-2</v>
      </c>
      <c r="E77" s="50">
        <f>IF(3146.48369="","-",3146.48369/3832063.95895*100)</f>
        <v>8.2109373009059808E-2</v>
      </c>
      <c r="F77" s="50">
        <f>IF(OR(4177554.78501="",1318.14294="",2828.03669=""),"-",(2828.03669-1318.14294)/4177554.78501*100)</f>
        <v>3.6143002969532226E-2</v>
      </c>
      <c r="G77" s="50">
        <f>IF(OR(4273352.38515="",3146.48369="",2828.03669=""),"-",(3146.48369-2828.03669)/4273352.38515*100)</f>
        <v>7.4519246553738667E-3</v>
      </c>
    </row>
    <row r="78" spans="1:7" s="9" customFormat="1" x14ac:dyDescent="0.25">
      <c r="A78" s="49" t="s">
        <v>81</v>
      </c>
      <c r="B78" s="50">
        <f>IF(3121.2809="","-",3121.2809)</f>
        <v>3121.2809000000002</v>
      </c>
      <c r="C78" s="50">
        <f>IF(OR(3344.57664="",3121.2809=""),"-",3121.2809/3344.57664*100)</f>
        <v>93.323647084971569</v>
      </c>
      <c r="D78" s="50">
        <f>IF(3344.57664="","-",3344.57664/4273352.38515*100)</f>
        <v>7.8265875091941453E-2</v>
      </c>
      <c r="E78" s="50">
        <f>IF(3121.2809="","-",3121.2809/3832063.95895*100)</f>
        <v>8.1451691136575993E-2</v>
      </c>
      <c r="F78" s="50">
        <f>IF(OR(4177554.78501="",4465.70827="",3344.57664=""),"-",(3344.57664-4465.70827)/4177554.78501*100)</f>
        <v>-2.6837029977987852E-2</v>
      </c>
      <c r="G78" s="50">
        <f>IF(OR(4273352.38515="",3121.2809="",3344.57664=""),"-",(3121.2809-3344.57664)/4273352.38515*100)</f>
        <v>-5.225306033173345E-3</v>
      </c>
    </row>
    <row r="79" spans="1:7" s="9" customFormat="1" x14ac:dyDescent="0.25">
      <c r="A79" s="49" t="s">
        <v>38</v>
      </c>
      <c r="B79" s="50">
        <f>IF(2733.53636="","-",2733.53636)</f>
        <v>2733.5363600000001</v>
      </c>
      <c r="C79" s="50">
        <f>IF(OR(2190.54262="",2733.53636=""),"-",2733.53636/2190.54262*100)</f>
        <v>124.78809291553523</v>
      </c>
      <c r="D79" s="50">
        <f>IF(2190.54262="","-",2190.54262/4273352.38515*100)</f>
        <v>5.1260519202960819E-2</v>
      </c>
      <c r="E79" s="50">
        <f>IF(2733.53636="","-",2733.53636/3832063.95895*100)</f>
        <v>7.1333265553036318E-2</v>
      </c>
      <c r="F79" s="50">
        <f>IF(OR(4177554.78501="",1152.84551="",2190.54262=""),"-",(2190.54262-1152.84551)/4177554.78501*100)</f>
        <v>2.4839820502737371E-2</v>
      </c>
      <c r="G79" s="50">
        <f>IF(OR(4273352.38515="",2733.53636="",2190.54262=""),"-",(2733.53636-2190.54262)/4273352.38515*100)</f>
        <v>1.2706505129015709E-2</v>
      </c>
    </row>
    <row r="80" spans="1:7" s="9" customFormat="1" x14ac:dyDescent="0.25">
      <c r="A80" s="49" t="s">
        <v>88</v>
      </c>
      <c r="B80" s="50">
        <f>IF(1933.80391="","-",1933.80391)</f>
        <v>1933.8039100000001</v>
      </c>
      <c r="C80" s="50">
        <f>IF(OR(2018.21889="",1933.80391=""),"-",1933.80391/2018.21889*100)</f>
        <v>95.817352596476795</v>
      </c>
      <c r="D80" s="50">
        <f>IF(2018.21889="","-",2018.21889/4273352.38515*100)</f>
        <v>4.7228000597689015E-2</v>
      </c>
      <c r="E80" s="50">
        <f>IF(1933.80391="","-",1933.80391/3832063.95895*100)</f>
        <v>5.0463769151960339E-2</v>
      </c>
      <c r="F80" s="50">
        <f>IF(OR(4177554.78501="",2041.65317="",2018.21889=""),"-",(2018.21889-2041.65317)/4177554.78501*100)</f>
        <v>-5.6095685648665519E-4</v>
      </c>
      <c r="G80" s="50">
        <f>IF(OR(4273352.38515="",1933.80391="",2018.21889=""),"-",(1933.80391-2018.21889)/4273352.38515*100)</f>
        <v>-1.9753807407351673E-3</v>
      </c>
    </row>
    <row r="81" spans="1:7" s="9" customFormat="1" x14ac:dyDescent="0.25">
      <c r="A81" s="49" t="s">
        <v>39</v>
      </c>
      <c r="B81" s="50">
        <f>IF(1766.51297="","-",1766.51297)</f>
        <v>1766.51297</v>
      </c>
      <c r="C81" s="50">
        <f>IF(OR(2161.88203="",1766.51297=""),"-",1766.51297/2161.88203*100)</f>
        <v>81.711811536728476</v>
      </c>
      <c r="D81" s="50">
        <f>IF(2161.88203="","-",2161.88203/4273352.38515*100)</f>
        <v>5.0589837559677761E-2</v>
      </c>
      <c r="E81" s="50">
        <f>IF(1766.51297="","-",1766.51297/3832063.95895*100)</f>
        <v>4.6098212058131499E-2</v>
      </c>
      <c r="F81" s="50">
        <f>IF(OR(4177554.78501="",1434.67608="",2161.88203=""),"-",(2161.88203-1434.67608)/4177554.78501*100)</f>
        <v>1.7407454537984219E-2</v>
      </c>
      <c r="G81" s="50">
        <f>IF(OR(4273352.38515="",1766.51297="",2161.88203=""),"-",(1766.51297-2161.88203)/4273352.38515*100)</f>
        <v>-9.2519648361767907E-3</v>
      </c>
    </row>
    <row r="82" spans="1:7" s="9" customFormat="1" x14ac:dyDescent="0.25">
      <c r="A82" s="49" t="s">
        <v>92</v>
      </c>
      <c r="B82" s="50">
        <f>IF(1568.51316="","-",1568.51316)</f>
        <v>1568.51316</v>
      </c>
      <c r="C82" s="50">
        <f>IF(OR(1929.67627="",1568.51316=""),"-",1568.51316/1929.67627*100)</f>
        <v>81.283746107319857</v>
      </c>
      <c r="D82" s="50">
        <f>IF(1929.67627="","-",1929.67627/4273352.38515*100)</f>
        <v>4.5156029647956723E-2</v>
      </c>
      <c r="E82" s="50">
        <f>IF(1568.51316="","-",1568.51316/3832063.95895*100)</f>
        <v>4.0931288642420745E-2</v>
      </c>
      <c r="F82" s="50">
        <f>IF(OR(4177554.78501="",1416.81719="",1929.67627=""),"-",(1929.67627-1416.81719)/4177554.78501*100)</f>
        <v>1.2276537505630158E-2</v>
      </c>
      <c r="G82" s="50">
        <f>IF(OR(4273352.38515="",1568.51316="",1929.67627=""),"-",(1568.51316-1929.67627)/4273352.38515*100)</f>
        <v>-8.4515171567654986E-3</v>
      </c>
    </row>
    <row r="83" spans="1:7" s="9" customFormat="1" x14ac:dyDescent="0.25">
      <c r="A83" s="49" t="s">
        <v>89</v>
      </c>
      <c r="B83" s="50">
        <f>IF(1488.76284="","-",1488.76284)</f>
        <v>1488.7628400000001</v>
      </c>
      <c r="C83" s="50">
        <f>IF(OR(2013.67748="",1488.76284=""),"-",1488.76284/2013.67748*100)</f>
        <v>73.932536604620523</v>
      </c>
      <c r="D83" s="50">
        <f>IF(2013.67748="","-",2013.67748/4273352.38515*100)</f>
        <v>4.7121727826555479E-2</v>
      </c>
      <c r="E83" s="50">
        <f>IF(1488.76284="","-",1488.76284/3832063.95895*100)</f>
        <v>3.8850156363463381E-2</v>
      </c>
      <c r="F83" s="50">
        <f>IF(OR(4177554.78501="",3729.83188="",2013.67748=""),"-",(2013.67748-3729.83188)/4177554.78501*100)</f>
        <v>-4.108035653195849E-2</v>
      </c>
      <c r="G83" s="50">
        <f>IF(OR(4273352.38515="",1488.76284="",2013.67748=""),"-",(1488.76284-2013.67748)/4273352.38515*100)</f>
        <v>-1.2283439152457698E-2</v>
      </c>
    </row>
    <row r="84" spans="1:7" s="9" customFormat="1" x14ac:dyDescent="0.25">
      <c r="A84" s="49" t="s">
        <v>74</v>
      </c>
      <c r="B84" s="50">
        <f>IF(1354.01643="","-",1354.01643)</f>
        <v>1354.0164299999999</v>
      </c>
      <c r="C84" s="50">
        <f>IF(OR(1098.10668="",1354.01643=""),"-",1354.01643/1098.10668*100)</f>
        <v>123.30463466445718</v>
      </c>
      <c r="D84" s="50">
        <f>IF(1098.10668="","-",1098.10668/4273352.38515*100)</f>
        <v>2.5696609617684385E-2</v>
      </c>
      <c r="E84" s="50">
        <f>IF(1354.01643="","-",1354.01643/3832063.95895*100)</f>
        <v>3.5333868236661833E-2</v>
      </c>
      <c r="F84" s="50">
        <f>IF(OR(4177554.78501="",1761.96461="",1098.10668=""),"-",(1098.10668-1761.96461)/4177554.78501*100)</f>
        <v>-1.5891064609902195E-2</v>
      </c>
      <c r="G84" s="50">
        <f>IF(OR(4273352.38515="",1354.01643="",1098.10668=""),"-",(1354.01643-1098.10668)/4273352.38515*100)</f>
        <v>5.9885009925531108E-3</v>
      </c>
    </row>
    <row r="85" spans="1:7" s="9" customFormat="1" x14ac:dyDescent="0.25">
      <c r="A85" s="49" t="s">
        <v>270</v>
      </c>
      <c r="B85" s="50">
        <f>IF(1255.80301="","-",1255.80301)</f>
        <v>1255.8030100000001</v>
      </c>
      <c r="C85" s="50">
        <f>IF(OR(1766.99925="",1255.80301=""),"-",1255.80301/1766.99925*100)</f>
        <v>71.069810018312126</v>
      </c>
      <c r="D85" s="50">
        <f>IF(1766.99925="","-",1766.99925/4273352.38515*100)</f>
        <v>4.134925207994463E-2</v>
      </c>
      <c r="E85" s="50">
        <f>IF(1255.80301="","-",1255.80301/3832063.95895*100)</f>
        <v>3.2770930325079828E-2</v>
      </c>
      <c r="F85" s="50">
        <f>IF(OR(4177554.78501="",1423.83042="",1766.99925=""),"-",(1766.99925-1423.83042)/4177554.78501*100)</f>
        <v>8.2145859877497344E-3</v>
      </c>
      <c r="G85" s="50">
        <f>IF(OR(4273352.38515="",1255.80301="",1766.99925=""),"-",(1255.80301-1766.99925)/4273352.38515*100)</f>
        <v>-1.1962417182735009E-2</v>
      </c>
    </row>
    <row r="86" spans="1:7" s="9" customFormat="1" x14ac:dyDescent="0.25">
      <c r="A86" s="49" t="s">
        <v>146</v>
      </c>
      <c r="B86" s="50">
        <f>IF(1254.85047="","-",1254.85047)</f>
        <v>1254.8504700000001</v>
      </c>
      <c r="C86" s="50">
        <f>IF(OR(2171.16507="",1254.85047=""),"-",1254.85047/2171.16507*100)</f>
        <v>57.796179909987224</v>
      </c>
      <c r="D86" s="50">
        <f>IF(2171.16507="","-",2171.16507/4273352.38515*100)</f>
        <v>5.0807068416469689E-2</v>
      </c>
      <c r="E86" s="50">
        <f>IF(1254.85047="","-",1254.85047/3832063.95895*100)</f>
        <v>3.2746073224305838E-2</v>
      </c>
      <c r="F86" s="50">
        <f>IF(OR(4177554.78501="",791.38275="",2171.16507=""),"-",(2171.16507-791.38275)/4177554.78501*100)</f>
        <v>3.3028467393197744E-2</v>
      </c>
      <c r="G86" s="50">
        <f>IF(OR(4273352.38515="",1254.85047="",2171.16507=""),"-",(1254.85047-2171.16507)/4273352.38515*100)</f>
        <v>-2.144252374749657E-2</v>
      </c>
    </row>
    <row r="87" spans="1:7" s="9" customFormat="1" x14ac:dyDescent="0.25">
      <c r="A87" s="49" t="s">
        <v>145</v>
      </c>
      <c r="B87" s="50">
        <f>IF(1030.81167="","-",1030.81167)</f>
        <v>1030.81167</v>
      </c>
      <c r="C87" s="50" t="s">
        <v>251</v>
      </c>
      <c r="D87" s="50">
        <f>IF(246.69986="","-",246.69986/4273352.38515*100)</f>
        <v>5.7729819066007241E-3</v>
      </c>
      <c r="E87" s="50">
        <f>IF(1030.81167="","-",1030.81167/3832063.95895*100)</f>
        <v>2.6899646797190892E-2</v>
      </c>
      <c r="F87" s="50">
        <f>IF(OR(4177554.78501="",168.02877="",246.69986=""),"-",(246.69986-168.02877)/4177554.78501*100)</f>
        <v>1.8831851178179504E-3</v>
      </c>
      <c r="G87" s="50">
        <f>IF(OR(4273352.38515="",1030.81167="",246.69986=""),"-",(1030.81167-246.69986)/4273352.38515*100)</f>
        <v>1.8348868507189042E-2</v>
      </c>
    </row>
    <row r="88" spans="1:7" s="9" customFormat="1" x14ac:dyDescent="0.25">
      <c r="A88" s="49" t="s">
        <v>98</v>
      </c>
      <c r="B88" s="50">
        <f>IF(1016.59143="","-",1016.59143)</f>
        <v>1016.5914299999999</v>
      </c>
      <c r="C88" s="50">
        <f>IF(OR(885.15063="",1016.59143=""),"-",1016.59143/885.15063*100)</f>
        <v>114.84954035450441</v>
      </c>
      <c r="D88" s="50">
        <f>IF(885.15063="","-",885.15063/4273352.38515*100)</f>
        <v>2.0713260930128746E-2</v>
      </c>
      <c r="E88" s="50">
        <f>IF(1016.59143="","-",1016.59143/3832063.95895*100)</f>
        <v>2.6528561132850972E-2</v>
      </c>
      <c r="F88" s="50">
        <f>IF(OR(4177554.78501="",948.33138="",885.15063=""),"-",(885.15063-948.33138)/4177554.78501*100)</f>
        <v>-1.512385911172407E-3</v>
      </c>
      <c r="G88" s="50">
        <f>IF(OR(4273352.38515="",1016.59143="",885.15063=""),"-",(1016.59143-885.15063)/4273352.38515*100)</f>
        <v>3.0758240405532626E-3</v>
      </c>
    </row>
    <row r="89" spans="1:7" x14ac:dyDescent="0.25">
      <c r="A89" s="49" t="s">
        <v>68</v>
      </c>
      <c r="B89" s="50">
        <f>IF(906.93358="","-",906.93358)</f>
        <v>906.93358000000001</v>
      </c>
      <c r="C89" s="50">
        <f>IF(OR(1297.58842="",906.93358=""),"-",906.93358/1297.58842*100)</f>
        <v>69.893778799289834</v>
      </c>
      <c r="D89" s="50">
        <f>IF(1297.58842="","-",1297.58842/4273352.38515*100)</f>
        <v>3.036464824452929E-2</v>
      </c>
      <c r="E89" s="50">
        <f>IF(906.93358="","-",906.93358/3832063.95895*100)</f>
        <v>2.3666973978391091E-2</v>
      </c>
      <c r="F89" s="50">
        <f>IF(OR(4177554.78501="",1310.50586="",1297.58842=""),"-",(1297.58842-1310.50586)/4177554.78501*100)</f>
        <v>-3.0921054695322254E-4</v>
      </c>
      <c r="G89" s="50">
        <f>IF(OR(4273352.38515="",906.93358="",1297.58842=""),"-",(906.93358-1297.58842)/4273352.38515*100)</f>
        <v>-9.1416481673155421E-3</v>
      </c>
    </row>
    <row r="90" spans="1:7" x14ac:dyDescent="0.25">
      <c r="A90" s="49" t="s">
        <v>173</v>
      </c>
      <c r="B90" s="50">
        <f>IF(826.13308="","-",826.13308)</f>
        <v>826.13307999999995</v>
      </c>
      <c r="C90" s="50">
        <f>IF(OR(841.75996="",826.13308=""),"-",826.13308/841.75996*100)</f>
        <v>98.143546765992525</v>
      </c>
      <c r="D90" s="50">
        <f>IF(841.75996="","-",841.75996/4273352.38515*100)</f>
        <v>1.9697883163699196E-2</v>
      </c>
      <c r="E90" s="50">
        <f>IF(826.13308="","-",826.13308/3832063.95895*100)</f>
        <v>2.155843662448587E-2</v>
      </c>
      <c r="F90" s="50">
        <f>IF(OR(4177554.78501="",829.93938="",841.75996=""),"-",(841.75996-829.93938)/4177554.78501*100)</f>
        <v>2.8295451785371746E-4</v>
      </c>
      <c r="G90" s="50">
        <f>IF(OR(4273352.38515="",826.13308="",841.75996=""),"-",(826.13308-841.75996)/4273352.38515*100)</f>
        <v>-3.656819890235077E-4</v>
      </c>
    </row>
    <row r="91" spans="1:7" x14ac:dyDescent="0.25">
      <c r="A91" s="49" t="s">
        <v>65</v>
      </c>
      <c r="B91" s="50">
        <f>IF(818.3428="","-",818.3428)</f>
        <v>818.34280000000001</v>
      </c>
      <c r="C91" s="50" t="s">
        <v>243</v>
      </c>
      <c r="D91" s="50">
        <f>IF(442.76241="","-",442.76241/4273352.38515*100)</f>
        <v>1.036100864367305E-2</v>
      </c>
      <c r="E91" s="50">
        <f>IF(818.3428="","-",818.3428/3832063.95895*100)</f>
        <v>2.1355144610483722E-2</v>
      </c>
      <c r="F91" s="50">
        <f>IF(OR(4177554.78501="",331.28756="",442.76241=""),"-",(442.76241-331.28756)/4177554.78501*100)</f>
        <v>2.668423413619773E-3</v>
      </c>
      <c r="G91" s="50">
        <f>IF(OR(4273352.38515="",818.3428="",442.76241=""),"-",(818.3428-442.76241)/4273352.38515*100)</f>
        <v>8.7888934997532777E-3</v>
      </c>
    </row>
    <row r="92" spans="1:7" x14ac:dyDescent="0.25">
      <c r="A92" s="49" t="s">
        <v>90</v>
      </c>
      <c r="B92" s="50">
        <f>IF(752.33074="","-",752.33074)</f>
        <v>752.33073999999999</v>
      </c>
      <c r="C92" s="50">
        <f>IF(OR(960.80737="",752.33074=""),"-",752.33074/960.80737*100)</f>
        <v>78.301932675641311</v>
      </c>
      <c r="D92" s="50">
        <f>IF(960.80737="","-",960.80737/4273352.38515*100)</f>
        <v>2.2483691570553091E-2</v>
      </c>
      <c r="E92" s="50">
        <f>IF(752.33074="","-",752.33074/3832063.95895*100)</f>
        <v>1.963252043961556E-2</v>
      </c>
      <c r="F92" s="50">
        <f>IF(OR(4177554.78501="",973.72006="",960.80737=""),"-",(960.80737-973.72006)/4177554.78501*100)</f>
        <v>-3.0909684407571657E-4</v>
      </c>
      <c r="G92" s="50">
        <f>IF(OR(4273352.38515="",752.33074="",960.80737=""),"-",(752.33074-960.80737)/4273352.38515*100)</f>
        <v>-4.8785265339797669E-3</v>
      </c>
    </row>
    <row r="93" spans="1:7" x14ac:dyDescent="0.25">
      <c r="A93" s="49" t="s">
        <v>94</v>
      </c>
      <c r="B93" s="50">
        <f>IF(686.75155="","-",686.75155)</f>
        <v>686.75154999999995</v>
      </c>
      <c r="C93" s="50">
        <f>IF(OR(667.33789="",686.75155=""),"-",686.75155/667.33789*100)</f>
        <v>102.90911999616866</v>
      </c>
      <c r="D93" s="50">
        <f>IF(667.33789="","-",667.33789/4273352.38515*100)</f>
        <v>1.5616261657218225E-2</v>
      </c>
      <c r="E93" s="50">
        <f>IF(686.75155="","-",686.75155/3832063.95895*100)</f>
        <v>1.7921192270187798E-2</v>
      </c>
      <c r="F93" s="50">
        <f>IF(OR(4177554.78501="",653.51461="",667.33789=""),"-",(667.33789-653.51461)/4177554.78501*100)</f>
        <v>3.3089404475558491E-4</v>
      </c>
      <c r="G93" s="50">
        <f>IF(OR(4273352.38515="",686.75155="",667.33789=""),"-",(686.75155-667.33789)/4273352.38515*100)</f>
        <v>4.5429579052415282E-4</v>
      </c>
    </row>
    <row r="94" spans="1:7" x14ac:dyDescent="0.25">
      <c r="A94" s="49" t="s">
        <v>178</v>
      </c>
      <c r="B94" s="50">
        <f>IF(625.2805="","-",625.2805)</f>
        <v>625.28049999999996</v>
      </c>
      <c r="C94" s="50" t="str">
        <f>IF(OR(""="",625.2805=""),"-",625.2805/""*100)</f>
        <v>-</v>
      </c>
      <c r="D94" s="50" t="str">
        <f>IF(""="","-",""/4273352.38515*100)</f>
        <v>-</v>
      </c>
      <c r="E94" s="50">
        <f>IF(625.2805="","-",625.2805/3832063.95895*100)</f>
        <v>1.6317068470102707E-2</v>
      </c>
      <c r="F94" s="50" t="str">
        <f>IF(OR(4177554.78501="",16.63="",""=""),"-",(""-16.63)/4177554.78501*100)</f>
        <v>-</v>
      </c>
      <c r="G94" s="50" t="str">
        <f>IF(OR(4273352.38515="",625.2805="",""=""),"-",(625.2805-"")/4273352.38515*100)</f>
        <v>-</v>
      </c>
    </row>
    <row r="95" spans="1:7" x14ac:dyDescent="0.25">
      <c r="A95" s="49" t="s">
        <v>95</v>
      </c>
      <c r="B95" s="50">
        <f>IF(498.96065="","-",498.96065)</f>
        <v>498.96064999999999</v>
      </c>
      <c r="C95" s="50" t="s">
        <v>105</v>
      </c>
      <c r="D95" s="50">
        <f>IF(316.07255="","-",316.07255/4273352.38515*100)</f>
        <v>7.3963605505214013E-3</v>
      </c>
      <c r="E95" s="50">
        <f>IF(498.96065="","-",498.96065/3832063.95895*100)</f>
        <v>1.3020676464301946E-2</v>
      </c>
      <c r="F95" s="50">
        <f>IF(OR(4177554.78501="",396.58404="",316.07255=""),"-",(316.07255-396.58404)/4177554.78501*100)</f>
        <v>-1.9272395969262511E-3</v>
      </c>
      <c r="G95" s="50">
        <f>IF(OR(4273352.38515="",498.96065="",316.07255=""),"-",(498.96065-316.07255)/4273352.38515*100)</f>
        <v>4.2797336497579844E-3</v>
      </c>
    </row>
    <row r="96" spans="1:7" x14ac:dyDescent="0.25">
      <c r="A96" s="49" t="s">
        <v>103</v>
      </c>
      <c r="B96" s="50">
        <f>IF(488.13331="","-",488.13331)</f>
        <v>488.13330999999999</v>
      </c>
      <c r="C96" s="50" t="s">
        <v>104</v>
      </c>
      <c r="D96" s="50">
        <f>IF(281.91136="","-",281.91136/4273352.38515*100)</f>
        <v>6.5969602923374301E-3</v>
      </c>
      <c r="E96" s="50">
        <f>IF(488.13331="","-",488.13331/3832063.95895*100)</f>
        <v>1.2738130553900003E-2</v>
      </c>
      <c r="F96" s="50">
        <f>IF(OR(4177554.78501="",516.92383="",281.91136=""),"-",(281.91136-516.92383)/4177554.78501*100)</f>
        <v>-5.625598755599261E-3</v>
      </c>
      <c r="G96" s="50">
        <f>IF(OR(4273352.38515="",488.13331="",281.91136=""),"-",(488.13331-281.91136)/4273352.38515*100)</f>
        <v>4.8257651467411419E-3</v>
      </c>
    </row>
    <row r="97" spans="1:7" x14ac:dyDescent="0.25">
      <c r="A97" s="49" t="s">
        <v>172</v>
      </c>
      <c r="B97" s="50">
        <f>IF(478.35095="","-",478.35095)</f>
        <v>478.35095000000001</v>
      </c>
      <c r="C97" s="50">
        <f>IF(OR(707.95516="",478.35095=""),"-",478.35095/707.95516*100)</f>
        <v>67.567972807769351</v>
      </c>
      <c r="D97" s="50">
        <f>IF(707.95516="","-",707.95516/4273352.38515*100)</f>
        <v>1.656673955698483E-2</v>
      </c>
      <c r="E97" s="50">
        <f>IF(478.35095="","-",478.35095/3832063.95895*100)</f>
        <v>1.2482854021337109E-2</v>
      </c>
      <c r="F97" s="50">
        <f>IF(OR(4177554.78501="",455.87154="",707.95516=""),"-",(707.95516-455.87154)/4177554.78501*100)</f>
        <v>6.0342385192537111E-3</v>
      </c>
      <c r="G97" s="50">
        <f>IF(OR(4273352.38515="",478.35095="",707.95516=""),"-",(478.35095-707.95516)/4273352.38515*100)</f>
        <v>-5.3729294779873522E-3</v>
      </c>
    </row>
    <row r="98" spans="1:7" x14ac:dyDescent="0.25">
      <c r="A98" s="49" t="s">
        <v>112</v>
      </c>
      <c r="B98" s="50">
        <f>IF(477.70924="","-",477.70924)</f>
        <v>477.70924000000002</v>
      </c>
      <c r="C98" s="50">
        <f>IF(OR(407.93866="",477.70924=""),"-",477.70924/407.93866*100)</f>
        <v>117.10320370224288</v>
      </c>
      <c r="D98" s="50">
        <f>IF(407.93866="","-",407.93866/4273352.38515*100)</f>
        <v>9.5461039304316764E-3</v>
      </c>
      <c r="E98" s="50">
        <f>IF(477.70924="","-",477.70924/3832063.95895*100)</f>
        <v>1.2466108215242164E-2</v>
      </c>
      <c r="F98" s="50">
        <f>IF(OR(4177554.78501="",41.85625="",407.93866=""),"-",(407.93866-41.85625)/4177554.78501*100)</f>
        <v>8.7630786151168018E-3</v>
      </c>
      <c r="G98" s="50">
        <f>IF(OR(4273352.38515="",477.70924="",407.93866=""),"-",(477.70924-407.93866)/4273352.38515*100)</f>
        <v>1.6326896008495436E-3</v>
      </c>
    </row>
    <row r="99" spans="1:7" x14ac:dyDescent="0.25">
      <c r="A99" s="49" t="s">
        <v>93</v>
      </c>
      <c r="B99" s="50">
        <f>IF(474.9926="","-",474.9926)</f>
        <v>474.99259999999998</v>
      </c>
      <c r="C99" s="50">
        <f>IF(OR(475.08717="",474.9926=""),"-",474.9926/475.08717*100)</f>
        <v>99.980094179348171</v>
      </c>
      <c r="D99" s="50">
        <f>IF(475.08717="","-",475.08717/4273352.38515*100)</f>
        <v>1.1117434912480868E-2</v>
      </c>
      <c r="E99" s="50">
        <f>IF(474.9926="","-",474.9926/3832063.95895*100)</f>
        <v>1.2395215870304779E-2</v>
      </c>
      <c r="F99" s="50">
        <f>IF(OR(4177554.78501="",906.65954="",475.08717=""),"-",(475.08717-906.65954)/4177554.78501*100)</f>
        <v>-1.0330741120345759E-2</v>
      </c>
      <c r="G99" s="50">
        <f>IF(OR(4273352.38515="",474.9926="",475.08717=""),"-",(474.9926-475.08717)/4273352.38515*100)</f>
        <v>-2.2130166547618649E-6</v>
      </c>
    </row>
    <row r="100" spans="1:7" x14ac:dyDescent="0.25">
      <c r="A100" s="49" t="s">
        <v>91</v>
      </c>
      <c r="B100" s="50">
        <f>IF(382.63365="","-",382.63365)</f>
        <v>382.63364999999999</v>
      </c>
      <c r="C100" s="50">
        <f>IF(OR(456.59416="",382.63365=""),"-",382.63365/456.59416*100)</f>
        <v>83.801696018188238</v>
      </c>
      <c r="D100" s="50">
        <f>IF(456.59416="","-",456.59416/4273352.38515*100)</f>
        <v>1.0684683097670003E-2</v>
      </c>
      <c r="E100" s="50">
        <f>IF(382.63365="","-",382.63365/3832063.95895*100)</f>
        <v>9.9850538534550729E-3</v>
      </c>
      <c r="F100" s="50">
        <f>IF(OR(4177554.78501="",1031.97892="",456.59416=""),"-",(456.59416-1031.97892)/4177554.78501*100)</f>
        <v>-1.3773242712809155E-2</v>
      </c>
      <c r="G100" s="50">
        <f>IF(OR(4273352.38515="",382.63365="",456.59416=""),"-",(382.63365-456.59416)/4273352.38515*100)</f>
        <v>-1.7307374476538491E-3</v>
      </c>
    </row>
    <row r="101" spans="1:7" x14ac:dyDescent="0.25">
      <c r="A101" s="49" t="s">
        <v>134</v>
      </c>
      <c r="B101" s="50">
        <f>IF(338.16136="","-",338.16136)</f>
        <v>338.16136</v>
      </c>
      <c r="C101" s="50">
        <f>IF(OR(353.61115="",338.16136=""),"-",338.16136/353.61115*100)</f>
        <v>95.630853269191306</v>
      </c>
      <c r="D101" s="50">
        <f>IF(353.61115="","-",353.61115/4273352.38515*100)</f>
        <v>8.2747950117291295E-3</v>
      </c>
      <c r="E101" s="50">
        <f>IF(338.16136="","-",338.16136/3832063.95895*100)</f>
        <v>8.824522858242102E-3</v>
      </c>
      <c r="F101" s="50">
        <f>IF(OR(4177554.78501="",1290.91291="",353.61115=""),"-",(353.61115-1290.91291)/4177554.78501*100)</f>
        <v>-2.2436612043084347E-2</v>
      </c>
      <c r="G101" s="50">
        <f>IF(OR(4273352.38515="",338.16136="",353.61115=""),"-",(338.16136-353.61115)/4273352.38515*100)</f>
        <v>-3.6153793573608366E-4</v>
      </c>
    </row>
    <row r="102" spans="1:7" x14ac:dyDescent="0.25">
      <c r="A102" s="49" t="s">
        <v>99</v>
      </c>
      <c r="B102" s="50">
        <f>IF(281.47634="","-",281.47634)</f>
        <v>281.47633999999999</v>
      </c>
      <c r="C102" s="50">
        <f>IF(OR(608.21249="",281.47634=""),"-",281.47634/608.21249*100)</f>
        <v>46.279276507458768</v>
      </c>
      <c r="D102" s="50">
        <f>IF(608.21249="","-",608.21249/4273352.38515*100)</f>
        <v>1.4232678122065304E-2</v>
      </c>
      <c r="E102" s="50">
        <f>IF(281.47634="","-",281.47634/3832063.95895*100)</f>
        <v>7.3452933723247554E-3</v>
      </c>
      <c r="F102" s="50">
        <f>IF(OR(4177554.78501="",564.34018="",608.21249=""),"-",(608.21249-564.34018)/4177554.78501*100)</f>
        <v>1.0501911347141064E-3</v>
      </c>
      <c r="G102" s="50">
        <f>IF(OR(4273352.38515="",281.47634="",608.21249=""),"-",(281.47634-608.21249)/4273352.38515*100)</f>
        <v>-7.6458976595381138E-3</v>
      </c>
    </row>
    <row r="103" spans="1:7" x14ac:dyDescent="0.25">
      <c r="A103" s="49" t="s">
        <v>108</v>
      </c>
      <c r="B103" s="50">
        <f>IF(226.17537="","-",226.17537)</f>
        <v>226.17536999999999</v>
      </c>
      <c r="C103" s="50">
        <f>IF(OR(220.79027="",226.17537=""),"-",226.17537/220.79027*100)</f>
        <v>102.43901146549619</v>
      </c>
      <c r="D103" s="50">
        <f>IF(220.79027="","-",220.79027/4273352.38515*100)</f>
        <v>5.1666759513503109E-3</v>
      </c>
      <c r="E103" s="50">
        <f>IF(226.17537="","-",226.17537/3832063.95895*100)</f>
        <v>5.9021814986087258E-3</v>
      </c>
      <c r="F103" s="50">
        <f>IF(OR(4177554.78501="",56.54058="",220.79027=""),"-",(220.79027-56.54058)/4177554.78501*100)</f>
        <v>3.931718396353881E-3</v>
      </c>
      <c r="G103" s="50">
        <f>IF(OR(4273352.38515="",226.17537="",220.79027=""),"-",(226.17537-220.79027)/4273352.38515*100)</f>
        <v>1.2601581883846843E-4</v>
      </c>
    </row>
    <row r="104" spans="1:7" x14ac:dyDescent="0.25">
      <c r="A104" s="49" t="s">
        <v>102</v>
      </c>
      <c r="B104" s="50">
        <f>IF(224.61982="","-",224.61982)</f>
        <v>224.61982</v>
      </c>
      <c r="C104" s="50">
        <f>IF(OR(924.08708="",224.61982=""),"-",224.61982/924.08708*100)</f>
        <v>24.307213558272021</v>
      </c>
      <c r="D104" s="50">
        <f>IF(924.08708="","-",924.08708/4273352.38515*100)</f>
        <v>2.1624406243941505E-2</v>
      </c>
      <c r="E104" s="50">
        <f>IF(224.61982="","-",224.61982/3832063.95895*100)</f>
        <v>5.8615884913765038E-3</v>
      </c>
      <c r="F104" s="50">
        <f>IF(OR(4177554.78501="",874.95651="",924.08708=""),"-",(924.08708-874.95651)/4177554.78501*100)</f>
        <v>1.1760604594891607E-3</v>
      </c>
      <c r="G104" s="50">
        <f>IF(OR(4273352.38515="",224.61982="",924.08708=""),"-",(224.61982-924.08708)/4273352.38515*100)</f>
        <v>-1.6368115637518336E-2</v>
      </c>
    </row>
    <row r="105" spans="1:7" x14ac:dyDescent="0.25">
      <c r="A105" s="49" t="s">
        <v>153</v>
      </c>
      <c r="B105" s="50">
        <f>IF(205.27651="","-",205.27651)</f>
        <v>205.27651</v>
      </c>
      <c r="C105" s="50">
        <f>IF(OR(333.76677="",205.27651=""),"-",205.27651/333.76677*100)</f>
        <v>61.50298005999818</v>
      </c>
      <c r="D105" s="50">
        <f>IF(333.76677="","-",333.76677/4273352.38515*100)</f>
        <v>7.8104200149710871E-3</v>
      </c>
      <c r="E105" s="50">
        <f>IF(205.27651="","-",205.27651/3832063.95895*100)</f>
        <v>5.3568132525702037E-3</v>
      </c>
      <c r="F105" s="50">
        <f>IF(OR(4177554.78501="",80.35185="",333.76677=""),"-",(333.76677-80.35185)/4177554.78501*100)</f>
        <v>6.0661064436380186E-3</v>
      </c>
      <c r="G105" s="50">
        <f>IF(OR(4273352.38515="",205.27651="",333.76677=""),"-",(205.27651-333.76677)/4273352.38515*100)</f>
        <v>-3.0067789505613127E-3</v>
      </c>
    </row>
    <row r="106" spans="1:7" x14ac:dyDescent="0.25">
      <c r="A106" s="49" t="s">
        <v>148</v>
      </c>
      <c r="B106" s="50">
        <f>IF(205.14183="","-",205.14183)</f>
        <v>205.14183</v>
      </c>
      <c r="C106" s="50" t="s">
        <v>104</v>
      </c>
      <c r="D106" s="50">
        <f>IF(122.74016="","-",122.74016/4273352.38515*100)</f>
        <v>2.8722218281489009E-3</v>
      </c>
      <c r="E106" s="50">
        <f>IF(205.14183="","-",205.14183/3832063.95895*100)</f>
        <v>5.3532986974520556E-3</v>
      </c>
      <c r="F106" s="50">
        <f>IF(OR(4177554.78501="",314.62829="",122.74016=""),"-",(122.74016-314.62829)/4177554.78501*100)</f>
        <v>-4.5933121137881295E-3</v>
      </c>
      <c r="G106" s="50">
        <f>IF(OR(4273352.38515="",205.14183="",122.74016=""),"-",(205.14183-122.74016)/4273352.38515*100)</f>
        <v>1.9282676122462476E-3</v>
      </c>
    </row>
    <row r="107" spans="1:7" x14ac:dyDescent="0.25">
      <c r="A107" s="49" t="s">
        <v>135</v>
      </c>
      <c r="B107" s="50">
        <f>IF(193.26741="","-",193.26741)</f>
        <v>193.26741000000001</v>
      </c>
      <c r="C107" s="50">
        <f>IF(OR(162.73502="",193.26741=""),"-",193.26741/162.73502*100)</f>
        <v>118.76202798881275</v>
      </c>
      <c r="D107" s="50">
        <f>IF(162.73502="","-",162.73502/4273352.38515*100)</f>
        <v>3.8081348162512406E-3</v>
      </c>
      <c r="E107" s="50">
        <f>IF(193.26741="","-",193.26741/3832063.95895*100)</f>
        <v>5.0434286084555854E-3</v>
      </c>
      <c r="F107" s="50">
        <f>IF(OR(4177554.78501="",143.15746="",162.73502=""),"-",(162.73502-143.15746)/4177554.78501*100)</f>
        <v>4.6863682243614531E-4</v>
      </c>
      <c r="G107" s="50">
        <f>IF(OR(4273352.38515="",193.26741="",162.73502=""),"-",(193.26741-162.73502)/4273352.38515*100)</f>
        <v>7.1448332007678075E-4</v>
      </c>
    </row>
    <row r="108" spans="1:7" x14ac:dyDescent="0.25">
      <c r="A108" s="49" t="s">
        <v>240</v>
      </c>
      <c r="B108" s="50">
        <f>IF(141.34557="","-",141.34557)</f>
        <v>141.34557000000001</v>
      </c>
      <c r="C108" s="50" t="s">
        <v>96</v>
      </c>
      <c r="D108" s="50">
        <f>IF(68.84201="","-",68.84201/4273352.38515*100)</f>
        <v>1.6109602905491154E-3</v>
      </c>
      <c r="E108" s="50">
        <f>IF(141.34557="","-",141.34557/3832063.95895*100)</f>
        <v>3.6884971522951628E-3</v>
      </c>
      <c r="F108" s="50">
        <f>IF(OR(4177554.78501="",36.04203="",68.84201=""),"-",(68.84201-36.04203)/4177554.78501*100)</f>
        <v>7.8514781224877424E-4</v>
      </c>
      <c r="G108" s="50">
        <f>IF(OR(4273352.38515="",141.34557="",68.84201=""),"-",(141.34557-68.84201)/4273352.38515*100)</f>
        <v>1.6966436058947906E-3</v>
      </c>
    </row>
    <row r="109" spans="1:7" x14ac:dyDescent="0.25">
      <c r="A109" s="49" t="s">
        <v>179</v>
      </c>
      <c r="B109" s="50">
        <f>IF(140.87692="","-",140.87692)</f>
        <v>140.87692000000001</v>
      </c>
      <c r="C109" s="50" t="s">
        <v>280</v>
      </c>
      <c r="D109" s="50">
        <f>IF(24.60489="","-",24.60489/4273352.38515*100)</f>
        <v>5.7577489011911506E-4</v>
      </c>
      <c r="E109" s="50">
        <f>IF(140.87692="","-",140.87692/3832063.95895*100)</f>
        <v>3.6762674503637675E-3</v>
      </c>
      <c r="F109" s="50">
        <f>IF(OR(4177554.78501="",13.75335="",24.60489=""),"-",(24.60489-13.75335)/4177554.78501*100)</f>
        <v>2.5975817334431499E-4</v>
      </c>
      <c r="G109" s="50">
        <f>IF(OR(4273352.38515="",140.87692="",24.60489=""),"-",(140.87692-24.60489)/4273352.38515*100)</f>
        <v>2.7208622065441651E-3</v>
      </c>
    </row>
    <row r="110" spans="1:7" x14ac:dyDescent="0.25">
      <c r="A110" s="49" t="s">
        <v>155</v>
      </c>
      <c r="B110" s="50">
        <f>IF(137.85903="","-",137.85903)</f>
        <v>137.85902999999999</v>
      </c>
      <c r="C110" s="50" t="s">
        <v>106</v>
      </c>
      <c r="D110" s="50">
        <f>IF(73.30782="","-",73.30782/4273352.38515*100)</f>
        <v>1.7154639588054191E-3</v>
      </c>
      <c r="E110" s="50">
        <f>IF(137.85903="","-",137.85903/3832063.95895*100)</f>
        <v>3.5975138065747181E-3</v>
      </c>
      <c r="F110" s="50">
        <f>IF(OR(4177554.78501="",1.45149="",73.30782=""),"-",(73.30782-1.45149)/4177554.78501*100)</f>
        <v>1.7200571553923497E-3</v>
      </c>
      <c r="G110" s="50">
        <f>IF(OR(4273352.38515="",137.85903="",73.30782=""),"-",(137.85903-73.30782)/4273352.38515*100)</f>
        <v>1.5105520018502791E-3</v>
      </c>
    </row>
    <row r="111" spans="1:7" x14ac:dyDescent="0.25">
      <c r="A111" s="49" t="s">
        <v>164</v>
      </c>
      <c r="B111" s="50">
        <f>IF(120.13952="","-",120.13952)</f>
        <v>120.13952</v>
      </c>
      <c r="C111" s="50">
        <f>IF(OR(148.25974="",120.13952=""),"-",120.13952/148.25974*100)</f>
        <v>81.033138193821202</v>
      </c>
      <c r="D111" s="50">
        <f>IF(148.25974="","-",148.25974/4273352.38515*100)</f>
        <v>3.4694012250243173E-3</v>
      </c>
      <c r="E111" s="50">
        <f>IF(120.13952="","-",120.13952/3832063.95895*100)</f>
        <v>3.1351125995537584E-3</v>
      </c>
      <c r="F111" s="50">
        <f>IF(OR(4177554.78501="",17.97761="",148.25974=""),"-",(148.25974-17.97761)/4177554.78501*100)</f>
        <v>3.1186216986903771E-3</v>
      </c>
      <c r="G111" s="50">
        <f>IF(OR(4273352.38515="",120.13952="",148.25974=""),"-",(120.13952-148.25974)/4273352.38515*100)</f>
        <v>-6.5803653585223658E-4</v>
      </c>
    </row>
    <row r="112" spans="1:7" x14ac:dyDescent="0.25">
      <c r="A112" s="49" t="s">
        <v>61</v>
      </c>
      <c r="B112" s="50">
        <f>IF(109.74236="","-",109.74236)</f>
        <v>109.74236000000001</v>
      </c>
      <c r="C112" s="50">
        <f>IF(OR(306.11471="",109.74236=""),"-",109.74236/306.11471*100)</f>
        <v>35.850077247186199</v>
      </c>
      <c r="D112" s="50">
        <f>IF(306.11471="","-",306.11471/4273352.38515*100)</f>
        <v>7.1633388124919392E-3</v>
      </c>
      <c r="E112" s="50">
        <f>IF(109.74236="","-",109.74236/3832063.95895*100)</f>
        <v>2.8637924934340041E-3</v>
      </c>
      <c r="F112" s="50">
        <f>IF(OR(4177554.78501="",388.18269="",306.11471=""),"-",(306.11471-388.18269)/4177554.78501*100)</f>
        <v>-1.9644979952023185E-3</v>
      </c>
      <c r="G112" s="50">
        <f>IF(OR(4273352.38515="",109.74236="",306.11471=""),"-",(109.74236-306.11471)/4273352.38515*100)</f>
        <v>-4.595276314735908E-3</v>
      </c>
    </row>
    <row r="113" spans="1:7" x14ac:dyDescent="0.25">
      <c r="A113" s="49" t="s">
        <v>163</v>
      </c>
      <c r="B113" s="50">
        <f>IF(107.13201="","-",107.13201)</f>
        <v>107.13200999999999</v>
      </c>
      <c r="C113" s="50">
        <f>IF(OR(103.9303="",107.13201=""),"-",107.13201/103.9303*100)</f>
        <v>103.08063192351027</v>
      </c>
      <c r="D113" s="50">
        <f>IF(103.9303="","-",103.9303/4273352.38515*100)</f>
        <v>2.4320554598109023E-3</v>
      </c>
      <c r="E113" s="50">
        <f>IF(107.13201="","-",107.13201/3832063.95895*100)</f>
        <v>2.795673849591868E-3</v>
      </c>
      <c r="F113" s="50">
        <f>IF(OR(4177554.78501="",68.61178="",103.9303=""),"-",(103.9303-68.61178)/4177554.78501*100)</f>
        <v>8.4543523227345206E-4</v>
      </c>
      <c r="G113" s="50">
        <f>IF(OR(4273352.38515="",107.13201="",103.9303=""),"-",(107.13201-103.9303)/4273352.38515*100)</f>
        <v>7.4922676892409079E-5</v>
      </c>
    </row>
    <row r="114" spans="1:7" x14ac:dyDescent="0.25">
      <c r="A114" s="49" t="s">
        <v>147</v>
      </c>
      <c r="B114" s="50">
        <f>IF(97.17882="","-",97.17882)</f>
        <v>97.178820000000002</v>
      </c>
      <c r="C114" s="50" t="s">
        <v>261</v>
      </c>
      <c r="D114" s="50">
        <f>IF(32.60353="","-",32.60353/4273352.38515*100)</f>
        <v>7.6294971866345553E-4</v>
      </c>
      <c r="E114" s="50">
        <f>IF(97.17882="","-",97.17882/3832063.95895*100)</f>
        <v>2.5359394060486236E-3</v>
      </c>
      <c r="F114" s="50">
        <f>IF(OR(4177554.78501="",17.04929="",32.60353=""),"-",(32.60353-17.04929)/4177554.78501*100)</f>
        <v>3.7232880956611478E-4</v>
      </c>
      <c r="G114" s="50">
        <f>IF(OR(4273352.38515="",97.17882="",32.60353=""),"-",(97.17882-32.60353)/4273352.38515*100)</f>
        <v>1.5111154938778426E-3</v>
      </c>
    </row>
    <row r="115" spans="1:7" x14ac:dyDescent="0.25">
      <c r="A115" s="49" t="s">
        <v>149</v>
      </c>
      <c r="B115" s="50">
        <f>IF(83.26637="","-",83.26637)</f>
        <v>83.266369999999995</v>
      </c>
      <c r="C115" s="50">
        <f>IF(OR(77.22873="",83.26637=""),"-",83.26637/77.22873*100)</f>
        <v>107.81786778055265</v>
      </c>
      <c r="D115" s="50">
        <f>IF(77.22873="","-",77.22873/4273352.38515*100)</f>
        <v>1.8072165138632527E-3</v>
      </c>
      <c r="E115" s="50">
        <f>IF(83.26637="","-",83.26637/3832063.95895*100)</f>
        <v>2.1728857057702997E-3</v>
      </c>
      <c r="F115" s="50">
        <f>IF(OR(4177554.78501="",35.18952="",77.22873=""),"-",(77.22873-35.18952)/4177554.78501*100)</f>
        <v>1.0063113989754503E-3</v>
      </c>
      <c r="G115" s="50">
        <f>IF(OR(4273352.38515="",83.26637="",77.22873=""),"-",(83.26637-77.22873)/4273352.38515*100)</f>
        <v>1.4128579756214201E-4</v>
      </c>
    </row>
    <row r="116" spans="1:7" x14ac:dyDescent="0.25">
      <c r="A116" s="49" t="s">
        <v>154</v>
      </c>
      <c r="B116" s="50">
        <f>IF(82.76816="","-",82.76816)</f>
        <v>82.768159999999995</v>
      </c>
      <c r="C116" s="50">
        <f>IF(OR(141.76597="",82.76816=""),"-",82.76816/141.76597*100)</f>
        <v>58.383658645301118</v>
      </c>
      <c r="D116" s="50">
        <f>IF(141.76597="","-",141.76597/4273352.38515*100)</f>
        <v>3.3174416060945521E-3</v>
      </c>
      <c r="E116" s="50">
        <f>IF(82.76816="","-",82.76816/3832063.95895*100)</f>
        <v>2.1598846179665221E-3</v>
      </c>
      <c r="F116" s="50">
        <f>IF(OR(4177554.78501="",95.82366="",141.76597=""),"-",(141.76597-95.82366)/4177554.78501*100)</f>
        <v>1.0997416518593911E-3</v>
      </c>
      <c r="G116" s="50">
        <f>IF(OR(4273352.38515="",82.76816="",141.76597=""),"-",(82.76816-141.76597)/4273352.38515*100)</f>
        <v>-1.3805978230351137E-3</v>
      </c>
    </row>
    <row r="117" spans="1:7" x14ac:dyDescent="0.25">
      <c r="A117" s="49" t="s">
        <v>174</v>
      </c>
      <c r="B117" s="50">
        <f>IF(79.51139="","-",79.51139)</f>
        <v>79.511390000000006</v>
      </c>
      <c r="C117" s="50">
        <f>IF(OR(95.27193="",79.51139=""),"-",79.51139/95.27193*100)</f>
        <v>83.457310038749085</v>
      </c>
      <c r="D117" s="50">
        <f>IF(95.27193="","-",95.27193/4273352.38515*100)</f>
        <v>2.229442400562897E-3</v>
      </c>
      <c r="E117" s="50">
        <f>IF(79.51139="","-",79.51139/3832063.95895*100)</f>
        <v>2.0748972577635792E-3</v>
      </c>
      <c r="F117" s="50">
        <f>IF(OR(4177554.78501="",65.52906="",95.27193=""),"-",(95.27193-65.52906)/4177554.78501*100)</f>
        <v>7.1196840091060105E-4</v>
      </c>
      <c r="G117" s="50">
        <f>IF(OR(4273352.38515="",79.51139="",95.27193=""),"-",(79.51139-95.27193)/4273352.38515*100)</f>
        <v>-3.6880974418978965E-4</v>
      </c>
    </row>
    <row r="118" spans="1:7" x14ac:dyDescent="0.25">
      <c r="A118" s="49" t="s">
        <v>252</v>
      </c>
      <c r="B118" s="50">
        <f>IF(58.94697="","-",58.94697)</f>
        <v>58.94697</v>
      </c>
      <c r="C118" s="50">
        <f>IF(OR(55.34846="",58.94697=""),"-",58.94697/55.34846*100)</f>
        <v>106.50155397277538</v>
      </c>
      <c r="D118" s="50">
        <f>IF(55.34846="","-",55.34846/4273352.38515*100)</f>
        <v>1.2951999978362935E-3</v>
      </c>
      <c r="E118" s="50">
        <f>IF(58.94697="","-",58.94697/3832063.95895*100)</f>
        <v>1.5382564234692913E-3</v>
      </c>
      <c r="F118" s="50">
        <f>IF(OR(4177554.78501="",83.09258="",55.34846=""),"-",(55.34846-83.09258)/4177554.78501*100)</f>
        <v>-6.6412342692792668E-4</v>
      </c>
      <c r="G118" s="50">
        <f>IF(OR(4273352.38515="",58.94697="",55.34846=""),"-",(58.94697-55.34846)/4273352.38515*100)</f>
        <v>8.4208126914712291E-5</v>
      </c>
    </row>
    <row r="119" spans="1:7" x14ac:dyDescent="0.25">
      <c r="A119" s="53" t="s">
        <v>180</v>
      </c>
      <c r="B119" s="37">
        <f>IF(54.81007="","-",54.81007)</f>
        <v>54.810070000000003</v>
      </c>
      <c r="C119" s="37">
        <f>IF(OR(94.73302="",54.81007=""),"-",54.81007/94.73302*100)</f>
        <v>57.857408113876239</v>
      </c>
      <c r="D119" s="37">
        <f>IF(94.73302="","-",94.73302/4273352.38515*100)</f>
        <v>2.2168314583463668E-3</v>
      </c>
      <c r="E119" s="37">
        <f>IF(54.81007="","-",54.81007/3832063.95895*100)</f>
        <v>1.4303015447325199E-3</v>
      </c>
      <c r="F119" s="37">
        <f>IF(OR(4177554.78501="",82.93388="",94.73302=""),"-",(94.73302-82.93388)/4177554.78501*100)</f>
        <v>2.8244129897082247E-4</v>
      </c>
      <c r="G119" s="37">
        <f>IF(OR(4273352.38515="",54.81007="",94.73302=""),"-",(54.81007-94.73302)/4273352.38515*100)</f>
        <v>-9.3423023429411469E-4</v>
      </c>
    </row>
    <row r="120" spans="1:7" x14ac:dyDescent="0.25">
      <c r="A120" s="38" t="s">
        <v>21</v>
      </c>
    </row>
  </sheetData>
  <mergeCells count="9">
    <mergeCell ref="A1:G1"/>
    <mergeCell ref="A3:A5"/>
    <mergeCell ref="B3:C3"/>
    <mergeCell ref="D3:E3"/>
    <mergeCell ref="F3:G3"/>
    <mergeCell ref="B4:B5"/>
    <mergeCell ref="C4:C5"/>
    <mergeCell ref="D4:E4"/>
    <mergeCell ref="F4:G4"/>
  </mergeCells>
  <phoneticPr fontId="8" type="noConversion"/>
  <pageMargins left="0.59055118110236227" right="0.39370078740157483" top="0.39370078740157483" bottom="0.39370078740157483" header="0.11811023622047245" footer="0.1181102362204724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43"/>
  <sheetViews>
    <sheetView workbookViewId="0">
      <selection activeCell="J22" sqref="J22"/>
    </sheetView>
  </sheetViews>
  <sheetFormatPr defaultRowHeight="15.75" x14ac:dyDescent="0.25"/>
  <cols>
    <col min="1" max="1" width="42.5" customWidth="1"/>
    <col min="2" max="2" width="15.625" customWidth="1"/>
    <col min="3" max="3" width="15.25" customWidth="1"/>
    <col min="4" max="4" width="16.25" customWidth="1"/>
  </cols>
  <sheetData>
    <row r="1" spans="1:5" x14ac:dyDescent="0.25">
      <c r="A1" s="96" t="s">
        <v>159</v>
      </c>
      <c r="B1" s="96"/>
      <c r="C1" s="96"/>
      <c r="D1" s="96"/>
    </row>
    <row r="2" spans="1:5" x14ac:dyDescent="0.25">
      <c r="A2" s="4"/>
    </row>
    <row r="3" spans="1:5" ht="25.5" customHeight="1" x14ac:dyDescent="0.25">
      <c r="A3" s="97"/>
      <c r="B3" s="101" t="s">
        <v>266</v>
      </c>
      <c r="C3" s="102"/>
      <c r="D3" s="99" t="s">
        <v>269</v>
      </c>
      <c r="E3" s="1"/>
    </row>
    <row r="4" spans="1:5" ht="27.75" customHeight="1" x14ac:dyDescent="0.25">
      <c r="A4" s="98"/>
      <c r="B4" s="21">
        <v>2019</v>
      </c>
      <c r="C4" s="20">
        <v>2020</v>
      </c>
      <c r="D4" s="100"/>
      <c r="E4" s="1"/>
    </row>
    <row r="5" spans="1:5" ht="16.5" customHeight="1" x14ac:dyDescent="0.25">
      <c r="A5" s="70" t="s">
        <v>267</v>
      </c>
      <c r="B5" s="45">
        <f>IF(-2247374.84049="","-",-2247374.84049)</f>
        <v>-2247374.8404899999</v>
      </c>
      <c r="C5" s="45">
        <f>IF(-2076564.11403="","-",-2076564.11403)</f>
        <v>-2076564.1140300001</v>
      </c>
      <c r="D5" s="62">
        <f>IF(-2247374.84049="","-",-2076564.11403/-2247374.84049*100)</f>
        <v>92.399544420335431</v>
      </c>
    </row>
    <row r="6" spans="1:5" x14ac:dyDescent="0.25">
      <c r="A6" s="71" t="s">
        <v>151</v>
      </c>
      <c r="B6" s="41"/>
      <c r="C6" s="41"/>
      <c r="D6" s="79"/>
    </row>
    <row r="7" spans="1:5" x14ac:dyDescent="0.25">
      <c r="A7" s="47" t="s">
        <v>287</v>
      </c>
      <c r="B7" s="48">
        <f>IF(-802336.01624="","-",-802336.01624)</f>
        <v>-802336.01624000003</v>
      </c>
      <c r="C7" s="48">
        <f>IF(-592363.45042="","-",-592363.45042)</f>
        <v>-592363.45042000001</v>
      </c>
      <c r="D7" s="66">
        <f>IF(-802336.01624="","-",-592363.45042/-802336.01624*100)</f>
        <v>73.829846651531639</v>
      </c>
    </row>
    <row r="8" spans="1:5" x14ac:dyDescent="0.25">
      <c r="A8" s="49" t="s">
        <v>4</v>
      </c>
      <c r="B8" s="50">
        <f>IF(-176097.6881="","-",-176097.6881)</f>
        <v>-176097.6881</v>
      </c>
      <c r="C8" s="50">
        <f>IF(-155455.90569="","-",-155455.90569)</f>
        <v>-155455.90569000001</v>
      </c>
      <c r="D8" s="80">
        <f>IF(OR(-176097.6881="",-155455.90569="",-176097.6881=0),"-",-155455.90569/-176097.6881*100)</f>
        <v>88.278220666770935</v>
      </c>
    </row>
    <row r="9" spans="1:5" x14ac:dyDescent="0.25">
      <c r="A9" s="49" t="s">
        <v>3</v>
      </c>
      <c r="B9" s="50">
        <f>IF(-87353.24851="","-",-87353.24851)</f>
        <v>-87353.248510000005</v>
      </c>
      <c r="C9" s="50">
        <f>IF(-95738.2573="","-",-95738.2573)</f>
        <v>-95738.257299999997</v>
      </c>
      <c r="D9" s="80">
        <f>IF(OR(-87353.24851="",-95738.2573="",-87353.24851=0),"-",-95738.2573/-87353.24851*100)</f>
        <v>109.59896618960896</v>
      </c>
    </row>
    <row r="10" spans="1:5" x14ac:dyDescent="0.25">
      <c r="A10" s="49" t="s">
        <v>5</v>
      </c>
      <c r="B10" s="50">
        <f>IF(-66054.71075="","-",-66054.71075)</f>
        <v>-66054.710749999998</v>
      </c>
      <c r="C10" s="50">
        <f>IF(-79860.26334="","-",-79860.26334)</f>
        <v>-79860.263340000005</v>
      </c>
      <c r="D10" s="80">
        <f>IF(OR(-66054.71075="",-79860.26334="",-66054.71075=0),"-",-79860.26334/-66054.71075*100)</f>
        <v>120.90017870527123</v>
      </c>
    </row>
    <row r="11" spans="1:5" x14ac:dyDescent="0.25">
      <c r="A11" s="49" t="s">
        <v>125</v>
      </c>
      <c r="B11" s="50">
        <f>IF(-81578.66757="","-",-81578.66757)</f>
        <v>-81578.667570000005</v>
      </c>
      <c r="C11" s="50">
        <f>IF(-66546.38836="","-",-66546.38836)</f>
        <v>-66546.388359999997</v>
      </c>
      <c r="D11" s="80">
        <f>IF(OR(-81578.66757="",-66546.38836="",-81578.66757=0),"-",-66546.38836/-81578.66757*100)</f>
        <v>81.573271962181408</v>
      </c>
    </row>
    <row r="12" spans="1:5" x14ac:dyDescent="0.25">
      <c r="A12" s="49" t="s">
        <v>43</v>
      </c>
      <c r="B12" s="50">
        <f>IF(-77718.01578="","-",-77718.01578)</f>
        <v>-77718.015780000002</v>
      </c>
      <c r="C12" s="50">
        <f>IF(-57234.98996="","-",-57234.98996)</f>
        <v>-57234.989959999999</v>
      </c>
      <c r="D12" s="80">
        <f>IF(OR(-77718.01578="",-57234.98996="",-77718.01578=0),"-",-57234.98996/-77718.01578*100)</f>
        <v>73.644430297883247</v>
      </c>
    </row>
    <row r="13" spans="1:5" x14ac:dyDescent="0.25">
      <c r="A13" s="49" t="s">
        <v>41</v>
      </c>
      <c r="B13" s="50">
        <f>IF(-37397.1824="","-",-37397.1824)</f>
        <v>-37397.182399999998</v>
      </c>
      <c r="C13" s="50">
        <f>IF(-31669.98285="","-",-31669.98285)</f>
        <v>-31669.98285</v>
      </c>
      <c r="D13" s="80">
        <f>IF(OR(-37397.1824="",-31669.98285="",-37397.1824=0),"-",-31669.98285/-37397.1824*100)</f>
        <v>84.685478470698911</v>
      </c>
    </row>
    <row r="14" spans="1:5" x14ac:dyDescent="0.25">
      <c r="A14" s="49" t="s">
        <v>8</v>
      </c>
      <c r="B14" s="50">
        <f>IF(-50281.62916="","-",-50281.62916)</f>
        <v>-50281.629159999997</v>
      </c>
      <c r="C14" s="50">
        <f>IF(-26587.54581="","-",-26587.54581)</f>
        <v>-26587.54581</v>
      </c>
      <c r="D14" s="80">
        <f>IF(OR(-50281.62916="",-26587.54581="",-50281.62916=0),"-",-26587.54581/-50281.62916*100)</f>
        <v>52.877256075765544</v>
      </c>
    </row>
    <row r="15" spans="1:5" x14ac:dyDescent="0.25">
      <c r="A15" s="49" t="s">
        <v>42</v>
      </c>
      <c r="B15" s="50">
        <f>IF(-20548.86122="","-",-20548.86122)</f>
        <v>-20548.861219999999</v>
      </c>
      <c r="C15" s="50">
        <f>IF(-20888.92975="","-",-20888.92975)</f>
        <v>-20888.929749999999</v>
      </c>
      <c r="D15" s="80">
        <f>IF(OR(-20548.86122="",-20888.92975="",-20548.86122=0),"-",-20888.92975/-20548.86122*100)</f>
        <v>101.65492640375133</v>
      </c>
    </row>
    <row r="16" spans="1:5" x14ac:dyDescent="0.25">
      <c r="A16" s="49" t="s">
        <v>53</v>
      </c>
      <c r="B16" s="50">
        <f>IF(-16345.62374="","-",-16345.62374)</f>
        <v>-16345.623740000001</v>
      </c>
      <c r="C16" s="50">
        <f>IF(-17652.03685="","-",-17652.03685)</f>
        <v>-17652.03685</v>
      </c>
      <c r="D16" s="80">
        <f>IF(OR(-16345.62374="",-17652.03685="",-16345.62374=0),"-",-17652.03685/-16345.62374*100)</f>
        <v>107.99243351480695</v>
      </c>
    </row>
    <row r="17" spans="1:4" x14ac:dyDescent="0.25">
      <c r="A17" s="49" t="s">
        <v>6</v>
      </c>
      <c r="B17" s="50">
        <f>IF(-8116.9694="","-",-8116.9694)</f>
        <v>-8116.9694</v>
      </c>
      <c r="C17" s="50">
        <f>IF(-16314.61059="","-",-16314.61059)</f>
        <v>-16314.61059</v>
      </c>
      <c r="D17" s="80" t="s">
        <v>20</v>
      </c>
    </row>
    <row r="18" spans="1:4" x14ac:dyDescent="0.25">
      <c r="A18" s="49" t="s">
        <v>51</v>
      </c>
      <c r="B18" s="50">
        <f>IF(-17580.25821="","-",-17580.25821)</f>
        <v>-17580.25821</v>
      </c>
      <c r="C18" s="50">
        <f>IF(-15100.54777="","-",-15100.54777)</f>
        <v>-15100.547769999999</v>
      </c>
      <c r="D18" s="80">
        <f>IF(OR(-17580.25821="",-15100.54777="",-17580.25821=0),"-",-15100.54777/-17580.25821*100)</f>
        <v>85.894914566217849</v>
      </c>
    </row>
    <row r="19" spans="1:4" x14ac:dyDescent="0.25">
      <c r="A19" s="49" t="s">
        <v>45</v>
      </c>
      <c r="B19" s="50">
        <f>IF(-14545.57852="","-",-14545.57852)</f>
        <v>-14545.578519999999</v>
      </c>
      <c r="C19" s="50">
        <f>IF(-14362.47507="","-",-14362.47507)</f>
        <v>-14362.47507</v>
      </c>
      <c r="D19" s="80">
        <f>IF(OR(-14545.57852="",-14362.47507="",-14545.57852=0),"-",-14362.47507/-14545.57852*100)</f>
        <v>98.741174510534364</v>
      </c>
    </row>
    <row r="20" spans="1:4" x14ac:dyDescent="0.25">
      <c r="A20" s="49" t="s">
        <v>49</v>
      </c>
      <c r="B20" s="50">
        <f>IF(-8700.36627="","-",-8700.36627)</f>
        <v>-8700.3662700000004</v>
      </c>
      <c r="C20" s="50">
        <f>IF(-8720.15571="","-",-8720.15571)</f>
        <v>-8720.1557100000009</v>
      </c>
      <c r="D20" s="80">
        <f>IF(OR(-8700.36627="",-8720.15571="",-8700.36627=0),"-",-8720.15571/-8700.36627*100)</f>
        <v>100.22745525172012</v>
      </c>
    </row>
    <row r="21" spans="1:4" x14ac:dyDescent="0.25">
      <c r="A21" s="49" t="s">
        <v>50</v>
      </c>
      <c r="B21" s="50">
        <f>IF(-9538.07601="","-",-9538.07601)</f>
        <v>-9538.0760100000007</v>
      </c>
      <c r="C21" s="50">
        <f>IF(-7913.42704="","-",-7913.42704)</f>
        <v>-7913.4270399999996</v>
      </c>
      <c r="D21" s="80">
        <f>IF(OR(-9538.07601="",-7913.42704="",-9538.07601=0),"-",-7913.42704/-9538.07601*100)</f>
        <v>82.966701373561392</v>
      </c>
    </row>
    <row r="22" spans="1:4" x14ac:dyDescent="0.25">
      <c r="A22" s="49" t="s">
        <v>7</v>
      </c>
      <c r="B22" s="50">
        <f>IF(-40812.20752="","-",-40812.20752)</f>
        <v>-40812.207520000004</v>
      </c>
      <c r="C22" s="50">
        <f>IF(-7679.40248="","-",-7679.40248)</f>
        <v>-7679.4024799999997</v>
      </c>
      <c r="D22" s="80">
        <f>IF(OR(-40812.20752="",-7679.40248="",-40812.20752=0),"-",-7679.40248/-40812.20752*100)</f>
        <v>18.816434950833553</v>
      </c>
    </row>
    <row r="23" spans="1:4" x14ac:dyDescent="0.25">
      <c r="A23" s="49" t="s">
        <v>44</v>
      </c>
      <c r="B23" s="50">
        <f>IF(-6075.11803="","-",-6075.11803)</f>
        <v>-6075.1180299999996</v>
      </c>
      <c r="C23" s="50">
        <f>IF(-5142.17663="","-",-5142.17663)</f>
        <v>-5142.1766299999999</v>
      </c>
      <c r="D23" s="80">
        <f>IF(OR(-6075.11803="",-5142.17663="",-6075.11803=0),"-",-5142.17663/-6075.11803*100)</f>
        <v>84.643238281248685</v>
      </c>
    </row>
    <row r="24" spans="1:4" x14ac:dyDescent="0.25">
      <c r="A24" s="49" t="s">
        <v>54</v>
      </c>
      <c r="B24" s="50">
        <f>IF(-5271.51442="","-",-5271.51442)</f>
        <v>-5271.5144200000004</v>
      </c>
      <c r="C24" s="50">
        <f>IF(-4730.85101="","-",-4730.85101)</f>
        <v>-4730.8510100000003</v>
      </c>
      <c r="D24" s="80">
        <f>IF(OR(-5271.51442="",-4730.85101="",-5271.51442=0),"-",-4730.85101/-5271.51442*100)</f>
        <v>89.743679578135342</v>
      </c>
    </row>
    <row r="25" spans="1:4" x14ac:dyDescent="0.25">
      <c r="A25" s="49" t="s">
        <v>52</v>
      </c>
      <c r="B25" s="50">
        <f>IF(-13927.17809="","-",-13927.17809)</f>
        <v>-13927.178089999999</v>
      </c>
      <c r="C25" s="50">
        <f>IF(-3959.15461="","-",-3959.15461)</f>
        <v>-3959.15461</v>
      </c>
      <c r="D25" s="80">
        <f>IF(OR(-13927.17809="",-3959.15461="",-13927.17809=0),"-",-3959.15461/-13927.17809*100)</f>
        <v>28.427543501025198</v>
      </c>
    </row>
    <row r="26" spans="1:4" x14ac:dyDescent="0.25">
      <c r="A26" s="49" t="s">
        <v>46</v>
      </c>
      <c r="B26" s="50">
        <f>IF(-2097.8178="","-",-2097.8178)</f>
        <v>-2097.8177999999998</v>
      </c>
      <c r="C26" s="50">
        <f>IF(-2880.12183="","-",-2880.12183)</f>
        <v>-2880.12183</v>
      </c>
      <c r="D26" s="80">
        <f>IF(OR(-2097.8178="",-2880.12183="",-2097.8178=0),"-",-2880.12183/-2097.8178*100)</f>
        <v>137.29132386997577</v>
      </c>
    </row>
    <row r="27" spans="1:4" x14ac:dyDescent="0.25">
      <c r="A27" s="49" t="s">
        <v>126</v>
      </c>
      <c r="B27" s="50">
        <f>IF(-3380.52714="","-",-3380.52714)</f>
        <v>-3380.5271400000001</v>
      </c>
      <c r="C27" s="50">
        <f>IF(-2804.86073="","-",-2804.86073)</f>
        <v>-2804.8607299999999</v>
      </c>
      <c r="D27" s="80">
        <f>IF(OR(-3380.52714="",-2804.86073="",-3380.52714=0),"-",-2804.86073/-3380.52714*100)</f>
        <v>82.971105210532343</v>
      </c>
    </row>
    <row r="28" spans="1:4" x14ac:dyDescent="0.25">
      <c r="A28" s="49" t="s">
        <v>55</v>
      </c>
      <c r="B28" s="50">
        <f>IF(-1277.50691="","-",-1277.50691)</f>
        <v>-1277.5069100000001</v>
      </c>
      <c r="C28" s="50">
        <f>IF(-875.46904="","-",-875.46904)</f>
        <v>-875.46903999999995</v>
      </c>
      <c r="D28" s="80">
        <f>IF(OR(-1277.50691="",-875.46904="",-1277.50691=0),"-",-875.46904/-1277.50691*100)</f>
        <v>68.529495468638984</v>
      </c>
    </row>
    <row r="29" spans="1:4" x14ac:dyDescent="0.25">
      <c r="A29" s="49" t="s">
        <v>56</v>
      </c>
      <c r="B29" s="50">
        <f>IF(384.12115="","-",384.12115)</f>
        <v>384.12115</v>
      </c>
      <c r="C29" s="50">
        <f>IF(-107.1009="","-",-107.1009)</f>
        <v>-107.1009</v>
      </c>
      <c r="D29" s="80" t="s">
        <v>22</v>
      </c>
    </row>
    <row r="30" spans="1:4" x14ac:dyDescent="0.25">
      <c r="A30" s="49" t="s">
        <v>47</v>
      </c>
      <c r="B30" s="50">
        <f>IF(-897.98877="","-",-897.98877)</f>
        <v>-897.98877000000005</v>
      </c>
      <c r="C30" s="50">
        <f>IF(1127.41902="","-",1127.41902)</f>
        <v>1127.41902</v>
      </c>
      <c r="D30" s="80" t="s">
        <v>22</v>
      </c>
    </row>
    <row r="31" spans="1:4" x14ac:dyDescent="0.25">
      <c r="A31" s="49" t="s">
        <v>10</v>
      </c>
      <c r="B31" s="50">
        <f>IF(-17796.52869="","-",-17796.52869)</f>
        <v>-17796.528689999999</v>
      </c>
      <c r="C31" s="50">
        <f>IF(3394.25513="","-",3394.25513)</f>
        <v>3394.25513</v>
      </c>
      <c r="D31" s="80" t="s">
        <v>22</v>
      </c>
    </row>
    <row r="32" spans="1:4" x14ac:dyDescent="0.25">
      <c r="A32" s="49" t="s">
        <v>9</v>
      </c>
      <c r="B32" s="50">
        <f>IF(6113.73579="","-",6113.73579)</f>
        <v>6113.7357899999997</v>
      </c>
      <c r="C32" s="50">
        <f>IF(5644.974="","-",5644.974)</f>
        <v>5644.9740000000002</v>
      </c>
      <c r="D32" s="80">
        <f>IF(OR(6113.73579="",5644.974="",6113.73579=0),"-",5644.974/6113.73579*100)</f>
        <v>92.332645601618324</v>
      </c>
    </row>
    <row r="33" spans="1:4" x14ac:dyDescent="0.25">
      <c r="A33" s="49" t="s">
        <v>48</v>
      </c>
      <c r="B33" s="50">
        <f>IF(7746.97261="","-",7746.97261)</f>
        <v>7746.9726099999998</v>
      </c>
      <c r="C33" s="50">
        <f>IF(9515.92104="","-",9515.92104)</f>
        <v>9515.9210399999993</v>
      </c>
      <c r="D33" s="80">
        <f>IF(OR(7746.97261="",9515.92104="",7746.97261=0),"-",9515.92104/7746.97261*100)</f>
        <v>122.83406072349597</v>
      </c>
    </row>
    <row r="34" spans="1:4" x14ac:dyDescent="0.25">
      <c r="A34" s="49" t="s">
        <v>2</v>
      </c>
      <c r="B34" s="50">
        <f>IF(-53187.58278="","-",-53187.58278)</f>
        <v>-53187.582779999997</v>
      </c>
      <c r="C34" s="50">
        <f>IF(30178.63371="","-",30178.63371)</f>
        <v>30178.633709999998</v>
      </c>
      <c r="D34" s="80" t="s">
        <v>22</v>
      </c>
    </row>
    <row r="35" spans="1:4" x14ac:dyDescent="0.25">
      <c r="A35" s="47" t="s">
        <v>169</v>
      </c>
      <c r="B35" s="48">
        <f>IF(-729920.64856="","-",-729920.64856)</f>
        <v>-729920.64856</v>
      </c>
      <c r="C35" s="48">
        <f>IF(-681670.35492="","-",-681670.35492)</f>
        <v>-681670.35491999995</v>
      </c>
      <c r="D35" s="66">
        <f>IF(-729920.64856="","-",-681670.35492/-729920.64856*100)</f>
        <v>93.389652185454807</v>
      </c>
    </row>
    <row r="36" spans="1:4" x14ac:dyDescent="0.25">
      <c r="A36" s="49" t="s">
        <v>12</v>
      </c>
      <c r="B36" s="50">
        <f>IF(-371358.33757="","-",-371358.33757)</f>
        <v>-371358.33756999997</v>
      </c>
      <c r="C36" s="50">
        <f>IF(-335803.00682="","-",-335803.00682)</f>
        <v>-335803.00682000001</v>
      </c>
      <c r="D36" s="80">
        <f>IF(OR(-371358.33757="",-335803.00682="",-371358.33757=0),"-",-335803.00682/-371358.33757*100)</f>
        <v>90.42560051764076</v>
      </c>
    </row>
    <row r="37" spans="1:4" x14ac:dyDescent="0.25">
      <c r="A37" s="49" t="s">
        <v>127</v>
      </c>
      <c r="B37" s="50">
        <f>IF(-321241.69115="","-",-321241.69115)</f>
        <v>-321241.69115000003</v>
      </c>
      <c r="C37" s="50">
        <f>IF(-263764.26714="","-",-263764.26714)</f>
        <v>-263764.26714000001</v>
      </c>
      <c r="D37" s="80">
        <f>IF(OR(-321241.69115="",-263764.26714="",-321241.69115=0),"-",-263764.26714/-321241.69115*100)</f>
        <v>82.1077320928554</v>
      </c>
    </row>
    <row r="38" spans="1:4" x14ac:dyDescent="0.25">
      <c r="A38" s="49" t="s">
        <v>13</v>
      </c>
      <c r="B38" s="50">
        <f>IF(-487.68699="","-",-487.68699)</f>
        <v>-487.68698999999998</v>
      </c>
      <c r="C38" s="50">
        <f>IF(-44308.15095="","-",-44308.15095)</f>
        <v>-44308.150950000003</v>
      </c>
      <c r="D38" s="80" t="s">
        <v>291</v>
      </c>
    </row>
    <row r="39" spans="1:4" x14ac:dyDescent="0.25">
      <c r="A39" s="49" t="s">
        <v>11</v>
      </c>
      <c r="B39" s="50">
        <f>IF(-37225.34035="","-",-37225.34035)</f>
        <v>-37225.340349999999</v>
      </c>
      <c r="C39" s="50">
        <f>IF(-32697.77435="","-",-32697.77435)</f>
        <v>-32697.77435</v>
      </c>
      <c r="D39" s="80">
        <f>IF(OR(-37225.34035="",-32697.77435="",-37225.34035=0),"-",-32697.77435/-37225.34035*100)</f>
        <v>87.837408718279192</v>
      </c>
    </row>
    <row r="40" spans="1:4" x14ac:dyDescent="0.25">
      <c r="A40" s="49" t="s">
        <v>14</v>
      </c>
      <c r="B40" s="50">
        <f>IF(2979.13005="","-",2979.13005)</f>
        <v>2979.1300500000002</v>
      </c>
      <c r="C40" s="50">
        <f>IF(-2426.87877="","-",-2426.87877)</f>
        <v>-2426.8787699999998</v>
      </c>
      <c r="D40" s="80" t="s">
        <v>22</v>
      </c>
    </row>
    <row r="41" spans="1:4" x14ac:dyDescent="0.25">
      <c r="A41" s="49" t="s">
        <v>15</v>
      </c>
      <c r="B41" s="50">
        <f>IF(-3655.37486="","-",-3655.37486)</f>
        <v>-3655.3748599999999</v>
      </c>
      <c r="C41" s="50">
        <f>IF(-2355.60179="","-",-2355.60179)</f>
        <v>-2355.6017900000002</v>
      </c>
      <c r="D41" s="80">
        <f>IF(OR(-3655.37486="",-2355.60179="",-3655.37486=0),"-",-2355.60179/-3655.37486*100)</f>
        <v>64.442140142092029</v>
      </c>
    </row>
    <row r="42" spans="1:4" x14ac:dyDescent="0.25">
      <c r="A42" s="49" t="s">
        <v>16</v>
      </c>
      <c r="B42" s="50">
        <f>IF(-1484.85878="","-",-1484.85878)</f>
        <v>-1484.85878</v>
      </c>
      <c r="C42" s="50">
        <f>IF(-1151.37393="","-",-1151.37393)</f>
        <v>-1151.37393</v>
      </c>
      <c r="D42" s="80">
        <f>IF(OR(-1484.85878="",-1151.37393="",-1484.85878=0),"-",-1151.37393/-1484.85878*100)</f>
        <v>77.540971943473309</v>
      </c>
    </row>
    <row r="43" spans="1:4" x14ac:dyDescent="0.25">
      <c r="A43" s="49" t="s">
        <v>18</v>
      </c>
      <c r="B43" s="50">
        <f>IF(140.93687="","-",140.93687)</f>
        <v>140.93687</v>
      </c>
      <c r="C43" s="50">
        <f>IF(180.37956="","-",180.37956)</f>
        <v>180.37956</v>
      </c>
      <c r="D43" s="80">
        <f>IF(OR(140.93687="",180.37956="",140.93687=0),"-",180.37956/140.93687*100)</f>
        <v>127.98606922375954</v>
      </c>
    </row>
    <row r="44" spans="1:4" x14ac:dyDescent="0.25">
      <c r="A44" s="49" t="s">
        <v>129</v>
      </c>
      <c r="B44" s="50">
        <f>IF(509.02847="","-",509.02847)</f>
        <v>509.02847000000003</v>
      </c>
      <c r="C44" s="50">
        <f>IF(284.9925="","-",284.9925)</f>
        <v>284.99250000000001</v>
      </c>
      <c r="D44" s="80">
        <f>IF(OR(509.02847="",284.9925="",509.02847=0),"-",284.9925/509.02847*100)</f>
        <v>55.987536414220607</v>
      </c>
    </row>
    <row r="45" spans="1:4" x14ac:dyDescent="0.25">
      <c r="A45" s="49" t="s">
        <v>17</v>
      </c>
      <c r="B45" s="50">
        <f>IF(1903.54575="","-",1903.54575)</f>
        <v>1903.54575</v>
      </c>
      <c r="C45" s="50">
        <f>IF(371.32677="","-",371.32677)</f>
        <v>371.32677000000001</v>
      </c>
      <c r="D45" s="80">
        <f>IF(OR(1903.54575="",371.32677="",1903.54575=0),"-",371.32677/1903.54575*100)</f>
        <v>19.507110349199646</v>
      </c>
    </row>
    <row r="46" spans="1:4" x14ac:dyDescent="0.25">
      <c r="A46" s="47" t="s">
        <v>170</v>
      </c>
      <c r="B46" s="48">
        <f>IF(-715118.17569="","-",-715118.17569)</f>
        <v>-715118.17568999995</v>
      </c>
      <c r="C46" s="48">
        <f>IF(-802530.30869="","-",-802530.30869)</f>
        <v>-802530.30868999998</v>
      </c>
      <c r="D46" s="66">
        <f>IF(-715118.17569="","-",-802530.30869/-715118.17569*100)</f>
        <v>112.22345284618982</v>
      </c>
    </row>
    <row r="47" spans="1:4" x14ac:dyDescent="0.25">
      <c r="A47" s="49" t="s">
        <v>60</v>
      </c>
      <c r="B47" s="50">
        <f>IF(-423790.88944="","-",-423790.88944)</f>
        <v>-423790.88944</v>
      </c>
      <c r="C47" s="50">
        <f>IF(-440232.00782="","-",-440232.00782)</f>
        <v>-440232.00782</v>
      </c>
      <c r="D47" s="80">
        <f>IF(OR(-423790.88944="",-440232.00782="",-423790.88944=0),"-",-440232.00782/-423790.88944*100)</f>
        <v>103.87953558929155</v>
      </c>
    </row>
    <row r="48" spans="1:4" x14ac:dyDescent="0.25">
      <c r="A48" s="49" t="s">
        <v>57</v>
      </c>
      <c r="B48" s="50">
        <f>IF(-131556.83237="","-",-131556.83237)</f>
        <v>-131556.83236999999</v>
      </c>
      <c r="C48" s="50">
        <f>IF(-146817.38641="","-",-146817.38641)</f>
        <v>-146817.38641000001</v>
      </c>
      <c r="D48" s="80">
        <f>IF(OR(-131556.83237="",-146817.38641="",-131556.83237=0),"-",-146817.38641/-131556.83237*100)</f>
        <v>111.59997072374024</v>
      </c>
    </row>
    <row r="49" spans="1:5" x14ac:dyDescent="0.25">
      <c r="A49" s="49" t="s">
        <v>77</v>
      </c>
      <c r="B49" s="50">
        <f>IF(-35436.44446="","-",-35436.44446)</f>
        <v>-35436.444459999999</v>
      </c>
      <c r="C49" s="50">
        <f>IF(-37187.28023="","-",-37187.28023)</f>
        <v>-37187.280229999997</v>
      </c>
      <c r="D49" s="80">
        <f>IF(OR(-35436.44446="",-37187.28023="",-35436.44446=0),"-",-37187.28023/-35436.44446*100)</f>
        <v>104.9407772045988</v>
      </c>
    </row>
    <row r="50" spans="1:5" x14ac:dyDescent="0.25">
      <c r="A50" s="49" t="s">
        <v>37</v>
      </c>
      <c r="B50" s="50">
        <f>IF(-28661.12815="","-",-28661.12815)</f>
        <v>-28661.12815</v>
      </c>
      <c r="C50" s="50">
        <f>IF(-29436.90267="","-",-29436.90267)</f>
        <v>-29436.902669999999</v>
      </c>
      <c r="D50" s="80">
        <f>IF(OR(-28661.12815="",-29436.90267="",-28661.12815=0),"-",-29436.90267/-28661.12815*100)</f>
        <v>102.70671313403969</v>
      </c>
    </row>
    <row r="51" spans="1:5" x14ac:dyDescent="0.25">
      <c r="A51" s="49" t="s">
        <v>19</v>
      </c>
      <c r="B51" s="50">
        <f>IF(-39914.79734="","-",-39914.79734)</f>
        <v>-39914.797339999997</v>
      </c>
      <c r="C51" s="50">
        <f>IF(-29345.39917="","-",-29345.39917)</f>
        <v>-29345.399170000001</v>
      </c>
      <c r="D51" s="80">
        <f>IF(OR(-39914.79734="",-29345.39917="",-39914.79734=0),"-",-29345.39917/-39914.79734*100)</f>
        <v>73.52010062842524</v>
      </c>
    </row>
    <row r="52" spans="1:5" x14ac:dyDescent="0.25">
      <c r="A52" s="49" t="s">
        <v>73</v>
      </c>
      <c r="B52" s="50">
        <f>IF(-34985.26449="","-",-34985.26449)</f>
        <v>-34985.264490000001</v>
      </c>
      <c r="C52" s="50">
        <f>IF(-29279.95313="","-",-29279.95313)</f>
        <v>-29279.953130000002</v>
      </c>
      <c r="D52" s="80">
        <f>IF(OR(-34985.26449="",-29279.95313="",-34985.26449=0),"-",-29279.95313/-34985.26449*100)</f>
        <v>83.692244597348193</v>
      </c>
    </row>
    <row r="53" spans="1:5" x14ac:dyDescent="0.25">
      <c r="A53" s="49" t="s">
        <v>70</v>
      </c>
      <c r="B53" s="50">
        <f>IF(-26349.96746="","-",-26349.96746)</f>
        <v>-26349.96746</v>
      </c>
      <c r="C53" s="50">
        <f>IF(-29235.28238="","-",-29235.28238)</f>
        <v>-29235.282380000001</v>
      </c>
      <c r="D53" s="80">
        <f>IF(OR(-26349.96746="",-29235.28238="",-26349.96746=0),"-",-29235.28238/-26349.96746*100)</f>
        <v>110.949975268015</v>
      </c>
    </row>
    <row r="54" spans="1:5" x14ac:dyDescent="0.25">
      <c r="A54" s="49" t="s">
        <v>67</v>
      </c>
      <c r="B54" s="50">
        <f>IF(-9776.22721="","-",-9776.22721)</f>
        <v>-9776.2272099999991</v>
      </c>
      <c r="C54" s="50">
        <f>IF(-18742.94307="","-",-18742.94307)</f>
        <v>-18742.943070000001</v>
      </c>
      <c r="D54" s="80" t="s">
        <v>106</v>
      </c>
    </row>
    <row r="55" spans="1:5" x14ac:dyDescent="0.25">
      <c r="A55" s="49" t="s">
        <v>80</v>
      </c>
      <c r="B55" s="50">
        <f>IF(-12156.42899="","-",-12156.42899)</f>
        <v>-12156.42899</v>
      </c>
      <c r="C55" s="50">
        <f>IF(-14179.65436="","-",-14179.65436)</f>
        <v>-14179.65436</v>
      </c>
      <c r="D55" s="80">
        <f>IF(OR(-12156.42899="",-14179.65436="",-12156.42899=0),"-",-14179.65436/-12156.42899*100)</f>
        <v>116.64325413050432</v>
      </c>
    </row>
    <row r="56" spans="1:5" x14ac:dyDescent="0.25">
      <c r="A56" s="49" t="s">
        <v>71</v>
      </c>
      <c r="B56" s="50">
        <f>IF(-14288.74669="","-",-14288.74669)</f>
        <v>-14288.74669</v>
      </c>
      <c r="C56" s="50">
        <f>IF(-11495.69943="","-",-11495.69943)</f>
        <v>-11495.699430000001</v>
      </c>
      <c r="D56" s="80">
        <f>IF(OR(-14288.74669="",-11495.69943="",-14288.74669=0),"-",-11495.69943/-14288.74669*100)</f>
        <v>80.452818427002299</v>
      </c>
    </row>
    <row r="57" spans="1:5" x14ac:dyDescent="0.25">
      <c r="A57" s="49" t="s">
        <v>72</v>
      </c>
      <c r="B57" s="50">
        <f>IF(-6551.00896="","-",-6551.00896)</f>
        <v>-6551.0089600000001</v>
      </c>
      <c r="C57" s="50">
        <f>IF(-7107.99583="","-",-7107.99583)</f>
        <v>-7107.9958299999998</v>
      </c>
      <c r="D57" s="80">
        <f>IF(OR(-6551.00896="",-7107.99583="",-6551.00896=0),"-",-7107.99583/-6551.00896*100)</f>
        <v>108.50230664315868</v>
      </c>
    </row>
    <row r="58" spans="1:5" x14ac:dyDescent="0.25">
      <c r="A58" s="49" t="s">
        <v>84</v>
      </c>
      <c r="B58" s="50">
        <f>IF(-6815.79155="","-",-6815.79155)</f>
        <v>-6815.7915499999999</v>
      </c>
      <c r="C58" s="50">
        <f>IF(-6822.9845="","-",-6822.9845)</f>
        <v>-6822.9844999999996</v>
      </c>
      <c r="D58" s="80">
        <f>IF(OR(-6815.79155="",-6822.9845="",-6815.79155=0),"-",-6822.9845/-6815.79155*100)</f>
        <v>100.10553359719458</v>
      </c>
    </row>
    <row r="59" spans="1:5" x14ac:dyDescent="0.25">
      <c r="A59" s="49" t="s">
        <v>83</v>
      </c>
      <c r="B59" s="50">
        <f>IF(-6795.96081="","-",-6795.96081)</f>
        <v>-6795.9608099999996</v>
      </c>
      <c r="C59" s="50">
        <f>IF(-6674.02469="","-",-6674.02469)</f>
        <v>-6674.0246900000002</v>
      </c>
      <c r="D59" s="80">
        <f>IF(OR(-6795.96081="",-6674.02469="",-6795.96081=0),"-",-6674.02469/-6795.96081*100)</f>
        <v>98.205755986400405</v>
      </c>
    </row>
    <row r="60" spans="1:5" x14ac:dyDescent="0.25">
      <c r="A60" s="49" t="s">
        <v>75</v>
      </c>
      <c r="B60" s="50">
        <f>IF(-4120.80718="","-",-4120.80718)</f>
        <v>-4120.8071799999998</v>
      </c>
      <c r="C60" s="50">
        <f>IF(-6485.98171="","-",-6485.98171)</f>
        <v>-6485.98171</v>
      </c>
      <c r="D60" s="80" t="s">
        <v>105</v>
      </c>
    </row>
    <row r="61" spans="1:5" x14ac:dyDescent="0.25">
      <c r="A61" s="49" t="s">
        <v>62</v>
      </c>
      <c r="B61" s="50">
        <f>IF(-2109.02358="","-",-2109.02358)</f>
        <v>-2109.02358</v>
      </c>
      <c r="C61" s="50">
        <f>IF(-6366.04314="","-",-6366.04314)</f>
        <v>-6366.0431399999998</v>
      </c>
      <c r="D61" s="80" t="s">
        <v>261</v>
      </c>
      <c r="E61" s="1"/>
    </row>
    <row r="62" spans="1:5" x14ac:dyDescent="0.25">
      <c r="A62" s="49" t="s">
        <v>79</v>
      </c>
      <c r="B62" s="50">
        <f>IF(-6086.33386="","-",-6086.33386)</f>
        <v>-6086.3338599999997</v>
      </c>
      <c r="C62" s="50">
        <f>IF(-5807.85134="","-",-5807.85134)</f>
        <v>-5807.8513400000002</v>
      </c>
      <c r="D62" s="80">
        <f>IF(OR(-6086.33386="",-5807.85134="",-6086.33386=0),"-",-5807.85134/-6086.33386*100)</f>
        <v>95.424461976523929</v>
      </c>
    </row>
    <row r="63" spans="1:5" x14ac:dyDescent="0.25">
      <c r="A63" s="49" t="s">
        <v>64</v>
      </c>
      <c r="B63" s="50">
        <f>IF(-4131.04205="","-",-4131.04205)</f>
        <v>-4131.04205</v>
      </c>
      <c r="C63" s="50">
        <f>IF(-5209.50248="","-",-5209.50248)</f>
        <v>-5209.5024800000001</v>
      </c>
      <c r="D63" s="80">
        <f>IF(OR(-4131.04205="",-5209.50248="",-4131.04205=0),"-",-5209.50248/-4131.04205*100)</f>
        <v>126.10625641053448</v>
      </c>
    </row>
    <row r="64" spans="1:5" x14ac:dyDescent="0.25">
      <c r="A64" s="49" t="s">
        <v>85</v>
      </c>
      <c r="B64" s="50">
        <f>IF(-5299.71461="","-",-5299.71461)</f>
        <v>-5299.71461</v>
      </c>
      <c r="C64" s="50">
        <f>IF(-4763.08895="","-",-4763.08895)</f>
        <v>-4763.0889500000003</v>
      </c>
      <c r="D64" s="80">
        <f>IF(OR(-5299.71461="",-4763.08895="",-5299.71461=0),"-",-4763.08895/-5299.71461*100)</f>
        <v>89.874442314545703</v>
      </c>
    </row>
    <row r="65" spans="1:5" x14ac:dyDescent="0.25">
      <c r="A65" s="49" t="s">
        <v>124</v>
      </c>
      <c r="B65" s="50">
        <f>IF(-4022.43354="","-",-4022.43354)</f>
        <v>-4022.43354</v>
      </c>
      <c r="C65" s="50">
        <f>IF(-4152.191="","-",-4152.191)</f>
        <v>-4152.1909999999998</v>
      </c>
      <c r="D65" s="80">
        <f>IF(OR(-4022.43354="",-4152.191="",-4022.43354=0),"-",-4152.191/-4022.43354*100)</f>
        <v>103.22584472085524</v>
      </c>
    </row>
    <row r="66" spans="1:5" x14ac:dyDescent="0.25">
      <c r="A66" s="49" t="s">
        <v>63</v>
      </c>
      <c r="B66" s="50">
        <f>IF(-2750.65186="","-",-2750.65186)</f>
        <v>-2750.6518599999999</v>
      </c>
      <c r="C66" s="50">
        <f>IF(-3788.9678="","-",-3788.9678)</f>
        <v>-3788.9677999999999</v>
      </c>
      <c r="D66" s="80">
        <f>IF(OR(-2750.65186="",-3788.9678="",-2750.65186=0),"-",-3788.9678/-2750.65186*100)</f>
        <v>137.74799548787681</v>
      </c>
    </row>
    <row r="67" spans="1:5" x14ac:dyDescent="0.25">
      <c r="A67" s="49" t="s">
        <v>82</v>
      </c>
      <c r="B67" s="50">
        <f>IF(-3070.98388="","-",-3070.98388)</f>
        <v>-3070.9838800000002</v>
      </c>
      <c r="C67" s="50">
        <f>IF(-3564.19875="","-",-3564.19875)</f>
        <v>-3564.19875</v>
      </c>
      <c r="D67" s="80">
        <f>IF(OR(-3070.98388="",-3564.19875="",-3070.98388=0),"-",-3564.19875/-3070.98388*100)</f>
        <v>116.06048384728089</v>
      </c>
    </row>
    <row r="68" spans="1:5" x14ac:dyDescent="0.25">
      <c r="A68" s="49" t="s">
        <v>76</v>
      </c>
      <c r="B68" s="50">
        <f>IF(-2045.93199="","-",-2045.93199)</f>
        <v>-2045.93199</v>
      </c>
      <c r="C68" s="50">
        <f>IF(-3471.62017="","-",-3471.62017)</f>
        <v>-3471.6201700000001</v>
      </c>
      <c r="D68" s="80" t="s">
        <v>104</v>
      </c>
      <c r="E68" s="1"/>
    </row>
    <row r="69" spans="1:5" x14ac:dyDescent="0.25">
      <c r="A69" s="49" t="s">
        <v>81</v>
      </c>
      <c r="B69" s="50">
        <f>IF(-3344.57664="","-",-3344.57664)</f>
        <v>-3344.5766400000002</v>
      </c>
      <c r="C69" s="50">
        <f>IF(-3100.77774="","-",-3100.77774)</f>
        <v>-3100.77774</v>
      </c>
      <c r="D69" s="80">
        <f>IF(OR(-3344.57664="",-3100.77774="",-3344.57664=0),"-",-3100.77774/-3344.57664*100)</f>
        <v>92.710620020356288</v>
      </c>
    </row>
    <row r="70" spans="1:5" x14ac:dyDescent="0.25">
      <c r="A70" s="49" t="s">
        <v>87</v>
      </c>
      <c r="B70" s="50">
        <f>IF(-2697.79081="","-",-2697.79081)</f>
        <v>-2697.79081</v>
      </c>
      <c r="C70" s="50">
        <f>IF(-2856.40805="","-",-2856.40805)</f>
        <v>-2856.40805</v>
      </c>
      <c r="D70" s="80">
        <f>IF(OR(-2697.79081="",-2856.40805="",-2697.79081=0),"-",-2856.40805/-2697.79081*100)</f>
        <v>105.87952332745918</v>
      </c>
    </row>
    <row r="71" spans="1:5" x14ac:dyDescent="0.25">
      <c r="A71" s="49" t="s">
        <v>86</v>
      </c>
      <c r="B71" s="50">
        <f>IF(-4486.35575="","-",-4486.35575)</f>
        <v>-4486.3557499999997</v>
      </c>
      <c r="C71" s="50">
        <f>IF(-2404.25271="","-",-2404.25271)</f>
        <v>-2404.2527100000002</v>
      </c>
      <c r="D71" s="80">
        <f>IF(OR(-4486.35575="",-2404.25271="",-4486.35575=0),"-",-2404.25271/-4486.35575*100)</f>
        <v>53.59032684824426</v>
      </c>
    </row>
    <row r="72" spans="1:5" x14ac:dyDescent="0.25">
      <c r="A72" s="49" t="s">
        <v>143</v>
      </c>
      <c r="B72" s="50">
        <f>IF(-2754.46114="","-",-2754.46114)</f>
        <v>-2754.4611399999999</v>
      </c>
      <c r="C72" s="50">
        <f>IF(-2185.9891="","-",-2185.9891)</f>
        <v>-2185.9890999999998</v>
      </c>
      <c r="D72" s="80">
        <f>IF(OR(-2754.46114="",-2185.9891="",-2754.46114=0),"-",-2185.9891/-2754.46114*100)</f>
        <v>79.3617694675482</v>
      </c>
    </row>
    <row r="73" spans="1:5" x14ac:dyDescent="0.25">
      <c r="A73" s="49" t="s">
        <v>40</v>
      </c>
      <c r="B73" s="50">
        <f>IF(-1517.64225="","-",-1517.64225)</f>
        <v>-1517.6422500000001</v>
      </c>
      <c r="C73" s="50">
        <f>IF(-1614.21387="","-",-1614.21387)</f>
        <v>-1614.21387</v>
      </c>
      <c r="D73" s="80">
        <f>IF(OR(-1517.64225="",-1614.21387="",-1517.64225=0),"-",-1614.21387/-1517.64225*100)</f>
        <v>106.36326644174541</v>
      </c>
    </row>
    <row r="74" spans="1:5" x14ac:dyDescent="0.25">
      <c r="A74" s="49" t="s">
        <v>89</v>
      </c>
      <c r="B74" s="50">
        <f>IF(-2009.68112="","-",-2009.68112)</f>
        <v>-2009.68112</v>
      </c>
      <c r="C74" s="50">
        <f>IF(-1448.57544="","-",-1448.57544)</f>
        <v>-1448.5754400000001</v>
      </c>
      <c r="D74" s="80">
        <f>IF(OR(-2009.68112="",-1448.57544="",-2009.68112=0),"-",-1448.57544/-2009.68112*100)</f>
        <v>72.079865088248425</v>
      </c>
    </row>
    <row r="75" spans="1:5" x14ac:dyDescent="0.25">
      <c r="A75" s="49" t="s">
        <v>92</v>
      </c>
      <c r="B75" s="50">
        <f>IF(-754.13951="","-",-754.13951)</f>
        <v>-754.13950999999997</v>
      </c>
      <c r="C75" s="50">
        <f>IF(-1287.0384="","-",-1287.0384)</f>
        <v>-1287.0383999999999</v>
      </c>
      <c r="D75" s="80" t="s">
        <v>104</v>
      </c>
    </row>
    <row r="76" spans="1:5" x14ac:dyDescent="0.25">
      <c r="A76" s="49" t="s">
        <v>74</v>
      </c>
      <c r="B76" s="50">
        <f>IF(-1098.10668="","-",-1098.10668)</f>
        <v>-1098.1066800000001</v>
      </c>
      <c r="C76" s="50">
        <f>IF(-1283.96406="","-",-1283.96406)</f>
        <v>-1283.96406</v>
      </c>
      <c r="D76" s="80">
        <f>IF(OR(-1098.10668="",-1283.96406="",-1098.10668=0),"-",-1283.96406/-1098.10668*100)</f>
        <v>116.92525720725055</v>
      </c>
      <c r="E76" s="12"/>
    </row>
    <row r="77" spans="1:5" x14ac:dyDescent="0.25">
      <c r="A77" s="49" t="s">
        <v>146</v>
      </c>
      <c r="B77" s="50">
        <f>IF(-2171.16507="","-",-2171.16507)</f>
        <v>-2171.16507</v>
      </c>
      <c r="C77" s="50">
        <f>IF(-1254.85047="","-",-1254.85047)</f>
        <v>-1254.8504700000001</v>
      </c>
      <c r="D77" s="80">
        <f>IF(OR(-2171.16507="",-1254.85047="",-2171.16507=0),"-",-1254.85047/-2171.16507*100)</f>
        <v>57.796179909987224</v>
      </c>
    </row>
    <row r="78" spans="1:5" x14ac:dyDescent="0.25">
      <c r="A78" s="49" t="s">
        <v>98</v>
      </c>
      <c r="B78" s="50">
        <f>IF(-885.15063="","-",-885.15063)</f>
        <v>-885.15062999999998</v>
      </c>
      <c r="C78" s="50">
        <f>IF(-1016.59143="","-",-1016.59143)</f>
        <v>-1016.5914299999999</v>
      </c>
      <c r="D78" s="80">
        <f>IF(OR(-885.15063="",-1016.59143="",-885.15063=0),"-",-1016.59143/-885.15063*100)</f>
        <v>114.84954035450441</v>
      </c>
    </row>
    <row r="79" spans="1:5" x14ac:dyDescent="0.25">
      <c r="A79" s="49" t="s">
        <v>39</v>
      </c>
      <c r="B79" s="50">
        <f>IF(-1446.83114="","-",-1446.83114)</f>
        <v>-1446.83114</v>
      </c>
      <c r="C79" s="50">
        <f>IF(-892.66833="","-",-892.66833)</f>
        <v>-892.66832999999997</v>
      </c>
      <c r="D79" s="80">
        <f>IF(OR(-1446.83114="",-892.66833="",-1446.83114=0),"-",-892.66833/-1446.83114*100)</f>
        <v>61.698169559717932</v>
      </c>
    </row>
    <row r="80" spans="1:5" x14ac:dyDescent="0.25">
      <c r="A80" s="49" t="s">
        <v>145</v>
      </c>
      <c r="B80" s="50">
        <f>IF(-113.22526="","-",-113.22526)</f>
        <v>-113.22526000000001</v>
      </c>
      <c r="C80" s="50">
        <f>IF(-854.74797="","-",-854.74797)</f>
        <v>-854.74797000000001</v>
      </c>
      <c r="D80" s="80" t="s">
        <v>292</v>
      </c>
    </row>
    <row r="81" spans="1:5" x14ac:dyDescent="0.25">
      <c r="A81" s="49" t="s">
        <v>173</v>
      </c>
      <c r="B81" s="50">
        <f>IF(-447.02936="","-",-447.02936)</f>
        <v>-447.02936</v>
      </c>
      <c r="C81" s="50">
        <f>IF(-818.45708="","-",-818.45708)</f>
        <v>-818.45708000000002</v>
      </c>
      <c r="D81" s="80" t="s">
        <v>243</v>
      </c>
    </row>
    <row r="82" spans="1:5" x14ac:dyDescent="0.25">
      <c r="A82" s="49" t="s">
        <v>88</v>
      </c>
      <c r="B82" s="50">
        <f>IF(-1677.66852="","-",-1677.66852)</f>
        <v>-1677.6685199999999</v>
      </c>
      <c r="C82" s="50">
        <f>IF(-810.86915="","-",-810.86915)</f>
        <v>-810.86914999999999</v>
      </c>
      <c r="D82" s="80">
        <f>IF(OR(-1677.66852="",-810.86915="",-1677.66852=0),"-",-810.86915/-1677.66852*100)</f>
        <v>48.33309681461985</v>
      </c>
    </row>
    <row r="83" spans="1:5" x14ac:dyDescent="0.25">
      <c r="A83" s="49" t="s">
        <v>90</v>
      </c>
      <c r="B83" s="50">
        <f>IF(-959.70973="","-",-959.70973)</f>
        <v>-959.70973000000004</v>
      </c>
      <c r="C83" s="50">
        <f>IF(-743.21579="","-",-743.21579)</f>
        <v>-743.21578999999997</v>
      </c>
      <c r="D83" s="80">
        <f>IF(OR(-959.70973="",-743.21579="",-959.70973=0),"-",-743.21579/-959.70973*100)</f>
        <v>77.441727093878683</v>
      </c>
    </row>
    <row r="84" spans="1:5" x14ac:dyDescent="0.25">
      <c r="A84" s="49" t="s">
        <v>178</v>
      </c>
      <c r="B84" s="50">
        <f>IF(3="","-",3)</f>
        <v>3</v>
      </c>
      <c r="C84" s="50">
        <f>IF(-625.2805="","-",-625.2805)</f>
        <v>-625.28049999999996</v>
      </c>
      <c r="D84" s="80" t="s">
        <v>22</v>
      </c>
    </row>
    <row r="85" spans="1:5" x14ac:dyDescent="0.25">
      <c r="A85" s="49" t="s">
        <v>69</v>
      </c>
      <c r="B85" s="50">
        <f>IF(1352.85848="","-",1352.85848)</f>
        <v>1352.8584800000001</v>
      </c>
      <c r="C85" s="50">
        <f>IF(-526.52889="","-",-526.52889)</f>
        <v>-526.52889000000005</v>
      </c>
      <c r="D85" s="80" t="s">
        <v>22</v>
      </c>
    </row>
    <row r="86" spans="1:5" x14ac:dyDescent="0.25">
      <c r="A86" s="49" t="s">
        <v>112</v>
      </c>
      <c r="B86" s="50">
        <f>IF(-151.48672="","-",-151.48672)</f>
        <v>-151.48671999999999</v>
      </c>
      <c r="C86" s="50">
        <f>IF(-477.70924="","-",-477.70924)</f>
        <v>-477.70924000000002</v>
      </c>
      <c r="D86" s="80" t="s">
        <v>248</v>
      </c>
    </row>
    <row r="87" spans="1:5" x14ac:dyDescent="0.25">
      <c r="A87" s="49" t="s">
        <v>93</v>
      </c>
      <c r="B87" s="50">
        <f>IF(-472.47217="","-",-472.47217)</f>
        <v>-472.47217000000001</v>
      </c>
      <c r="C87" s="50">
        <f>IF(-448.92806="","-",-448.92806)</f>
        <v>-448.92806000000002</v>
      </c>
      <c r="D87" s="80">
        <f>IF(OR(-472.47217="",-448.92806="",-472.47217=0),"-",-448.92806/-472.47217*100)</f>
        <v>95.016826070411724</v>
      </c>
    </row>
    <row r="88" spans="1:5" x14ac:dyDescent="0.25">
      <c r="A88" s="49" t="s">
        <v>65</v>
      </c>
      <c r="B88" s="50">
        <f>IF(860.17564="","-",860.17564)</f>
        <v>860.17564000000004</v>
      </c>
      <c r="C88" s="50">
        <f>IF(-386.12383="","-",-386.12383)</f>
        <v>-386.12383</v>
      </c>
      <c r="D88" s="80" t="s">
        <v>22</v>
      </c>
    </row>
    <row r="89" spans="1:5" x14ac:dyDescent="0.25">
      <c r="A89" s="49" t="s">
        <v>95</v>
      </c>
      <c r="B89" s="50">
        <f>IF(-234.19281="","-",-234.19281)</f>
        <v>-234.19281000000001</v>
      </c>
      <c r="C89" s="50">
        <f>IF(-382.83638="","-",-382.83638)</f>
        <v>-382.83638000000002</v>
      </c>
      <c r="D89" s="80" t="s">
        <v>105</v>
      </c>
    </row>
    <row r="90" spans="1:5" x14ac:dyDescent="0.25">
      <c r="A90" s="49" t="s">
        <v>134</v>
      </c>
      <c r="B90" s="50">
        <f>IF(-353.61115="","-",-353.61115)</f>
        <v>-353.61115000000001</v>
      </c>
      <c r="C90" s="50">
        <f>IF(-338.16136="","-",-338.16136)</f>
        <v>-338.16136</v>
      </c>
      <c r="D90" s="80">
        <f>IF(OR(-353.61115="",-338.16136="",-353.61115=0),"-",-338.16136/-353.61115*100)</f>
        <v>95.630853269191306</v>
      </c>
    </row>
    <row r="91" spans="1:5" x14ac:dyDescent="0.25">
      <c r="A91" s="49" t="s">
        <v>172</v>
      </c>
      <c r="B91" s="50">
        <f>IF(-707.95516="","-",-707.95516)</f>
        <v>-707.95515999999998</v>
      </c>
      <c r="C91" s="50">
        <f>IF(-293.93419="","-",-293.93419)</f>
        <v>-293.93419</v>
      </c>
      <c r="D91" s="80">
        <f>IF(OR(-707.95516="",-293.93419="",-707.95516=0),"-",-293.93419/-707.95516*100)</f>
        <v>41.518758052416764</v>
      </c>
    </row>
    <row r="92" spans="1:5" x14ac:dyDescent="0.25">
      <c r="A92" s="49" t="s">
        <v>270</v>
      </c>
      <c r="B92" s="50">
        <f>IF(-788.28642="","-",-788.28642)</f>
        <v>-788.28642000000002</v>
      </c>
      <c r="C92" s="50">
        <f>IF(-267.14008="","-",-267.14008)</f>
        <v>-267.14008000000001</v>
      </c>
      <c r="D92" s="80">
        <f>IF(OR(-788.28642="",-267.14008="",-788.28642=0),"-",-267.14008/-788.28642*100)</f>
        <v>33.8887076096021</v>
      </c>
    </row>
    <row r="93" spans="1:5" x14ac:dyDescent="0.25">
      <c r="A93" s="49" t="s">
        <v>91</v>
      </c>
      <c r="B93" s="50">
        <f>IF(-353.44357="","-",-353.44357)</f>
        <v>-353.44357000000002</v>
      </c>
      <c r="C93" s="50">
        <f>IF(-263.68124="","-",-263.68124)</f>
        <v>-263.68124</v>
      </c>
      <c r="D93" s="80">
        <f>IF(OR(-353.44357="",-263.68124="",-353.44357=0),"-",-263.68124/-353.44357*100)</f>
        <v>74.603490452521172</v>
      </c>
    </row>
    <row r="94" spans="1:5" x14ac:dyDescent="0.25">
      <c r="A94" s="49" t="s">
        <v>148</v>
      </c>
      <c r="B94" s="50">
        <f>IF(-122.74016="","-",-122.74016)</f>
        <v>-122.74016</v>
      </c>
      <c r="C94" s="50">
        <f>IF(-205.14183="","-",-205.14183)</f>
        <v>-205.14183</v>
      </c>
      <c r="D94" s="80" t="s">
        <v>104</v>
      </c>
    </row>
    <row r="95" spans="1:5" x14ac:dyDescent="0.25">
      <c r="A95" s="49" t="s">
        <v>153</v>
      </c>
      <c r="B95" s="50">
        <f>IF(-273.18329="","-",-273.18329)</f>
        <v>-273.18329</v>
      </c>
      <c r="C95" s="50">
        <f>IF(-201.6084="","-",-201.6084)</f>
        <v>-201.60839999999999</v>
      </c>
      <c r="D95" s="80">
        <f>IF(OR(-273.18329="",-201.6084="",-273.18329=0),"-",-201.6084/-273.18329*100)</f>
        <v>73.799682257285937</v>
      </c>
    </row>
    <row r="96" spans="1:5" x14ac:dyDescent="0.25">
      <c r="A96" s="49" t="s">
        <v>99</v>
      </c>
      <c r="B96" s="50">
        <f>IF(-543.29313="","-",-543.29313)</f>
        <v>-543.29313000000002</v>
      </c>
      <c r="C96" s="50">
        <f>IF(-152.05973="","-",-152.05973)</f>
        <v>-152.05973</v>
      </c>
      <c r="D96" s="80">
        <f>IF(OR(-543.29313="",-152.05973="",-543.29313=0),"-",-152.05973/-543.29313*100)</f>
        <v>27.98852435332654</v>
      </c>
      <c r="E96" s="12"/>
    </row>
    <row r="97" spans="1:5" x14ac:dyDescent="0.25">
      <c r="A97" s="49" t="s">
        <v>240</v>
      </c>
      <c r="B97" s="50">
        <f>IF(-68.67602="","-",-68.67602)</f>
        <v>-68.676019999999994</v>
      </c>
      <c r="C97" s="50">
        <f>IF(-141.34557="","-",-141.34557)</f>
        <v>-141.34557000000001</v>
      </c>
      <c r="D97" s="80" t="s">
        <v>96</v>
      </c>
    </row>
    <row r="98" spans="1:5" x14ac:dyDescent="0.25">
      <c r="A98" s="49" t="s">
        <v>179</v>
      </c>
      <c r="B98" s="50">
        <f>IF(-24.27769="","-",-24.27769)</f>
        <v>-24.27769</v>
      </c>
      <c r="C98" s="50">
        <f>IF(-133.04003="","-",-133.04003)</f>
        <v>-133.04003</v>
      </c>
      <c r="D98" s="80" t="s">
        <v>293</v>
      </c>
      <c r="E98" s="11"/>
    </row>
    <row r="99" spans="1:5" x14ac:dyDescent="0.25">
      <c r="A99" s="49" t="s">
        <v>155</v>
      </c>
      <c r="B99" s="50">
        <f>IF(-14.84778="","-",-14.84778)</f>
        <v>-14.84778</v>
      </c>
      <c r="C99" s="50">
        <f>IF(-115.9547="","-",-115.9547)</f>
        <v>-115.9547</v>
      </c>
      <c r="D99" s="80" t="s">
        <v>294</v>
      </c>
    </row>
    <row r="100" spans="1:5" x14ac:dyDescent="0.25">
      <c r="A100" s="49" t="s">
        <v>66</v>
      </c>
      <c r="B100" s="50">
        <f>IF(5747.60703="","-",5747.60703)</f>
        <v>5747.6070300000001</v>
      </c>
      <c r="C100" s="50">
        <f>IF(-113.97979="","-",-113.97979)</f>
        <v>-113.97978999999999</v>
      </c>
      <c r="D100" s="80" t="s">
        <v>22</v>
      </c>
      <c r="E100" s="11"/>
    </row>
    <row r="101" spans="1:5" x14ac:dyDescent="0.25">
      <c r="A101" s="49" t="s">
        <v>163</v>
      </c>
      <c r="B101" s="50">
        <f>IF(-102.89232="","-",-102.89232)</f>
        <v>-102.89232</v>
      </c>
      <c r="C101" s="50">
        <f>IF(-107.13201="","-",-107.13201)</f>
        <v>-107.13200999999999</v>
      </c>
      <c r="D101" s="80">
        <f>IF(OR(-102.89232="",-107.13201="",-102.89232=0),"-",-107.13201/-102.89232*100)</f>
        <v>104.12051161835984</v>
      </c>
      <c r="E101" s="1"/>
    </row>
    <row r="102" spans="1:5" x14ac:dyDescent="0.25">
      <c r="A102" s="49" t="s">
        <v>164</v>
      </c>
      <c r="B102" s="50">
        <f>IF(-147.7001="","-",-147.7001)</f>
        <v>-147.70009999999999</v>
      </c>
      <c r="C102" s="50">
        <f>IF(-97.22962="","-",-97.22962)</f>
        <v>-97.229619999999997</v>
      </c>
      <c r="D102" s="80">
        <f>IF(OR(-147.7001="",-97.22962="",-147.7001=0),"-",-97.22962/-147.7001*100)</f>
        <v>65.8290820385362</v>
      </c>
    </row>
    <row r="103" spans="1:5" x14ac:dyDescent="0.25">
      <c r="A103" s="49" t="s">
        <v>147</v>
      </c>
      <c r="B103" s="50">
        <f>IF(-32.60353="","-",-32.60353)</f>
        <v>-32.603529999999999</v>
      </c>
      <c r="C103" s="50">
        <f>IF(-96.58094="","-",-96.58094)</f>
        <v>-96.580939999999998</v>
      </c>
      <c r="D103" s="80" t="s">
        <v>261</v>
      </c>
    </row>
    <row r="104" spans="1:5" x14ac:dyDescent="0.25">
      <c r="A104" s="49" t="s">
        <v>103</v>
      </c>
      <c r="B104" s="50">
        <f>IF(-180.92677="","-",-180.92677)</f>
        <v>-180.92677</v>
      </c>
      <c r="C104" s="50">
        <f>IF(-92.73657="","-",-92.73657)</f>
        <v>-92.73657</v>
      </c>
      <c r="D104" s="80">
        <f>IF(OR(-180.92677="",-92.73657="",-180.92677=0),"-",-92.73657/-180.92677*100)</f>
        <v>51.256411641019184</v>
      </c>
    </row>
    <row r="105" spans="1:5" x14ac:dyDescent="0.25">
      <c r="A105" s="49" t="s">
        <v>108</v>
      </c>
      <c r="B105" s="50">
        <f>IF(133.94691="","-",133.94691)</f>
        <v>133.94691</v>
      </c>
      <c r="C105" s="50">
        <f>IF(-91.1571="","-",-91.1571)</f>
        <v>-91.1571</v>
      </c>
      <c r="D105" s="80" t="s">
        <v>22</v>
      </c>
      <c r="E105" s="12"/>
    </row>
    <row r="106" spans="1:5" x14ac:dyDescent="0.25">
      <c r="A106" s="49" t="s">
        <v>154</v>
      </c>
      <c r="B106" s="50">
        <f>IF(-141.76597="","-",-141.76597)</f>
        <v>-141.76597000000001</v>
      </c>
      <c r="C106" s="50">
        <f>IF(-82.76816="","-",-82.76816)</f>
        <v>-82.768159999999995</v>
      </c>
      <c r="D106" s="80">
        <f>IF(OR(-141.76597="",-82.76816="",-141.76597=0),"-",-82.76816/-141.76597*100)</f>
        <v>58.383658645301118</v>
      </c>
      <c r="E106" s="10"/>
    </row>
    <row r="107" spans="1:5" x14ac:dyDescent="0.25">
      <c r="A107" s="49" t="s">
        <v>174</v>
      </c>
      <c r="B107" s="50">
        <f>IF(-95.27193="","-",-95.27193)</f>
        <v>-95.271929999999998</v>
      </c>
      <c r="C107" s="50">
        <f>IF(-79.51139="","-",-79.51139)</f>
        <v>-79.511390000000006</v>
      </c>
      <c r="D107" s="80">
        <f>IF(OR(-95.27193="",-79.51139="",-95.27193=0),"-",-79.51139/-95.27193*100)</f>
        <v>83.457310038749085</v>
      </c>
    </row>
    <row r="108" spans="1:5" x14ac:dyDescent="0.25">
      <c r="A108" s="49" t="s">
        <v>102</v>
      </c>
      <c r="B108" s="50">
        <f>IF(-446.27663="","-",-446.27663)</f>
        <v>-446.27663000000001</v>
      </c>
      <c r="C108" s="50">
        <f>IF(-70.28629="","-",-70.28629)</f>
        <v>-70.286289999999994</v>
      </c>
      <c r="D108" s="80">
        <f>IF(OR(-446.27663="",-70.28629="",-446.27663=0),"-",-70.28629/-446.27663*100)</f>
        <v>15.749489279776983</v>
      </c>
    </row>
    <row r="109" spans="1:5" x14ac:dyDescent="0.25">
      <c r="A109" s="49" t="s">
        <v>252</v>
      </c>
      <c r="B109" s="50">
        <f>IF(-48.06486="","-",-48.06486)</f>
        <v>-48.064860000000003</v>
      </c>
      <c r="C109" s="50">
        <f>IF(-56.04697="","-",-56.04697)</f>
        <v>-56.046970000000002</v>
      </c>
      <c r="D109" s="80">
        <f>IF(OR(-48.06486="",-56.04697="",-48.06486=0),"-",-56.04697/-48.06486*100)</f>
        <v>116.60695568446468</v>
      </c>
    </row>
    <row r="110" spans="1:5" x14ac:dyDescent="0.25">
      <c r="A110" s="49" t="s">
        <v>180</v>
      </c>
      <c r="B110" s="50">
        <f>IF(-94.73302="","-",-94.73302)</f>
        <v>-94.733019999999996</v>
      </c>
      <c r="C110" s="50">
        <f>IF(-54.81007="","-",-54.81007)</f>
        <v>-54.810070000000003</v>
      </c>
      <c r="D110" s="80">
        <f>IF(OR(-94.73302="",-54.81007="",-94.73302=0),"-",-54.81007/-94.73302*100)</f>
        <v>57.857408113876239</v>
      </c>
    </row>
    <row r="111" spans="1:5" x14ac:dyDescent="0.25">
      <c r="A111" s="49" t="s">
        <v>149</v>
      </c>
      <c r="B111" s="50">
        <f>IF(765.40077="","-",765.40077)</f>
        <v>765.40076999999997</v>
      </c>
      <c r="C111" s="50">
        <f>IF(-44.96625="","-",-44.96625)</f>
        <v>-44.966250000000002</v>
      </c>
      <c r="D111" s="80" t="s">
        <v>22</v>
      </c>
    </row>
    <row r="112" spans="1:5" x14ac:dyDescent="0.25">
      <c r="A112" s="49" t="s">
        <v>258</v>
      </c>
      <c r="B112" s="50">
        <f>IF(-47.11432="","-",-47.11432)</f>
        <v>-47.114319999999999</v>
      </c>
      <c r="C112" s="50">
        <f>IF(-28.94562="","-",-28.94562)</f>
        <v>-28.945620000000002</v>
      </c>
      <c r="D112" s="80">
        <f>IF(OR(-47.11432="",-28.94562="",-47.11432=0),"-",-28.94562/-47.11432*100)</f>
        <v>61.436989857860624</v>
      </c>
    </row>
    <row r="113" spans="1:4" x14ac:dyDescent="0.25">
      <c r="A113" s="49" t="s">
        <v>257</v>
      </c>
      <c r="B113" s="50">
        <f>IF(-94.94833="","-",-94.94833)</f>
        <v>-94.948329999999999</v>
      </c>
      <c r="C113" s="50">
        <f>IF(-23.27897="","-",-23.27897)</f>
        <v>-23.278970000000001</v>
      </c>
      <c r="D113" s="80">
        <f>IF(OR(-94.94833="",-23.27897="",-94.94833=0),"-",-23.27897/-94.94833*100)</f>
        <v>24.517513894135895</v>
      </c>
    </row>
    <row r="114" spans="1:4" x14ac:dyDescent="0.25">
      <c r="A114" s="49" t="s">
        <v>94</v>
      </c>
      <c r="B114" s="50">
        <f>IF(-522.69036="","-",-522.69036)</f>
        <v>-522.69036000000006</v>
      </c>
      <c r="C114" s="50">
        <f>IF(-22.66894="","-",-22.66894)</f>
        <v>-22.668939999999999</v>
      </c>
      <c r="D114" s="80">
        <f>IF(OR(-522.69036="",-22.66894="",-522.69036=0),"-",-22.66894/-522.69036*100)</f>
        <v>4.3369730407884308</v>
      </c>
    </row>
    <row r="115" spans="1:4" x14ac:dyDescent="0.25">
      <c r="A115" s="49" t="s">
        <v>288</v>
      </c>
      <c r="B115" s="50">
        <f>IF(-12.26479="","-",-12.26479)</f>
        <v>-12.26479</v>
      </c>
      <c r="C115" s="50">
        <f>IF(-20.08036="","-",-20.08036)</f>
        <v>-20.080359999999999</v>
      </c>
      <c r="D115" s="80" t="s">
        <v>105</v>
      </c>
    </row>
    <row r="116" spans="1:4" x14ac:dyDescent="0.25">
      <c r="A116" s="49" t="s">
        <v>260</v>
      </c>
      <c r="B116" s="50">
        <f>IF(21.9375="","-",21.9375)</f>
        <v>21.9375</v>
      </c>
      <c r="C116" s="50">
        <f>IF(22.99251="","-",22.99251)</f>
        <v>22.992509999999999</v>
      </c>
      <c r="D116" s="80">
        <f>IF(OR(21.9375="",22.99251="",21.9375=0),"-",22.99251/21.9375*100)</f>
        <v>104.80916239316238</v>
      </c>
    </row>
    <row r="117" spans="1:4" x14ac:dyDescent="0.25">
      <c r="A117" s="49" t="s">
        <v>289</v>
      </c>
      <c r="B117" s="50">
        <f>IF(42.05433="","-",42.05433)</f>
        <v>42.05433</v>
      </c>
      <c r="C117" s="50">
        <f>IF(24.012="","-",24.012)</f>
        <v>24.012</v>
      </c>
      <c r="D117" s="80">
        <f>IF(OR(42.05433="",24.012="",42.05433=0),"-",24.012/42.05433*100)</f>
        <v>57.097568787803773</v>
      </c>
    </row>
    <row r="118" spans="1:4" x14ac:dyDescent="0.25">
      <c r="A118" s="49" t="s">
        <v>290</v>
      </c>
      <c r="B118" s="50">
        <f>IF(0.20947="","-",0.20947)</f>
        <v>0.20946999999999999</v>
      </c>
      <c r="C118" s="50">
        <f>IF(27.49258="","-",27.49258)</f>
        <v>27.49258</v>
      </c>
      <c r="D118" s="80" t="s">
        <v>295</v>
      </c>
    </row>
    <row r="119" spans="1:4" x14ac:dyDescent="0.25">
      <c r="A119" s="49" t="s">
        <v>259</v>
      </c>
      <c r="B119" s="50">
        <f>IF(30.38124="","-",30.38124)</f>
        <v>30.381239999999998</v>
      </c>
      <c r="C119" s="50">
        <f>IF(29.40671="","-",29.40671)</f>
        <v>29.40671</v>
      </c>
      <c r="D119" s="80">
        <f>IF(OR(30.38124="",29.40671="",30.38124=0),"-",29.40671/30.38124*100)</f>
        <v>96.792329740326593</v>
      </c>
    </row>
    <row r="120" spans="1:4" x14ac:dyDescent="0.25">
      <c r="A120" s="49" t="s">
        <v>144</v>
      </c>
      <c r="B120" s="50">
        <f>IF(-67.26733="","-",-67.26733)</f>
        <v>-67.267330000000001</v>
      </c>
      <c r="C120" s="50">
        <f>IF(40.47326="","-",40.47326)</f>
        <v>40.473260000000003</v>
      </c>
      <c r="D120" s="80" t="s">
        <v>22</v>
      </c>
    </row>
    <row r="121" spans="1:4" x14ac:dyDescent="0.25">
      <c r="A121" s="49" t="s">
        <v>152</v>
      </c>
      <c r="B121" s="50">
        <f>IF(43.23246="","-",43.23246)</f>
        <v>43.232460000000003</v>
      </c>
      <c r="C121" s="50">
        <f>IF(50.18097="","-",50.18097)</f>
        <v>50.180970000000002</v>
      </c>
      <c r="D121" s="80">
        <f>IF(OR(43.23246="",50.18097="",43.23246=0),"-",50.18097/43.23246*100)</f>
        <v>116.07243723813079</v>
      </c>
    </row>
    <row r="122" spans="1:4" x14ac:dyDescent="0.25">
      <c r="A122" s="49" t="s">
        <v>177</v>
      </c>
      <c r="B122" s="50">
        <f>IF(382.85778="","-",382.85778)</f>
        <v>382.85777999999999</v>
      </c>
      <c r="C122" s="50">
        <f>IF(71.07774="","-",71.07774)</f>
        <v>71.077740000000006</v>
      </c>
      <c r="D122" s="80">
        <f>IF(OR(382.85778="",71.07774="",382.85778=0),"-",71.07774/382.85778*100)</f>
        <v>18.565050447714558</v>
      </c>
    </row>
    <row r="123" spans="1:4" x14ac:dyDescent="0.25">
      <c r="A123" s="49" t="s">
        <v>132</v>
      </c>
      <c r="B123" s="50">
        <f>IF(3021.10454="","-",3021.10454)</f>
        <v>3021.1045399999998</v>
      </c>
      <c r="C123" s="50">
        <f>IF(90.1454="","-",90.1454)</f>
        <v>90.145399999999995</v>
      </c>
      <c r="D123" s="80">
        <f>IF(OR(3021.10454="",90.1454="",3021.10454=0),"-",90.1454/3021.10454*100)</f>
        <v>2.9838556993463059</v>
      </c>
    </row>
    <row r="124" spans="1:4" x14ac:dyDescent="0.25">
      <c r="A124" s="49" t="s">
        <v>165</v>
      </c>
      <c r="B124" s="50">
        <f>IF(44.73172="","-",44.73172)</f>
        <v>44.731720000000003</v>
      </c>
      <c r="C124" s="50">
        <f>IF(96.60747="","-",96.60747)</f>
        <v>96.607470000000006</v>
      </c>
      <c r="D124" s="80" t="s">
        <v>242</v>
      </c>
    </row>
    <row r="125" spans="1:4" x14ac:dyDescent="0.25">
      <c r="A125" s="49" t="s">
        <v>171</v>
      </c>
      <c r="B125" s="50">
        <f>IF(129.0535="","-",129.0535)</f>
        <v>129.05350000000001</v>
      </c>
      <c r="C125" s="50">
        <f>IF(200.6088="","-",200.6088)</f>
        <v>200.6088</v>
      </c>
      <c r="D125" s="80" t="s">
        <v>105</v>
      </c>
    </row>
    <row r="126" spans="1:4" x14ac:dyDescent="0.25">
      <c r="A126" s="49" t="s">
        <v>176</v>
      </c>
      <c r="B126" s="50">
        <f>IF(680.47364="","-",680.47364)</f>
        <v>680.47364000000005</v>
      </c>
      <c r="C126" s="50">
        <f>IF(228.3107="","-",228.3107)</f>
        <v>228.3107</v>
      </c>
      <c r="D126" s="80">
        <f>IF(OR(680.47364="",228.3107="",680.47364=0),"-",228.3107/680.47364*100)</f>
        <v>33.55173317220634</v>
      </c>
    </row>
    <row r="127" spans="1:4" x14ac:dyDescent="0.25">
      <c r="A127" s="49" t="s">
        <v>137</v>
      </c>
      <c r="B127" s="50">
        <f>IF(346.33276="","-",346.33276)</f>
        <v>346.33276000000001</v>
      </c>
      <c r="C127" s="50">
        <f>IF(269.31881="","-",269.31881)</f>
        <v>269.31880999999998</v>
      </c>
      <c r="D127" s="80">
        <f>IF(OR(346.33276="",269.31881="",346.33276=0),"-",269.31881/346.33276*100)</f>
        <v>77.763019010965053</v>
      </c>
    </row>
    <row r="128" spans="1:4" x14ac:dyDescent="0.25">
      <c r="A128" s="49" t="s">
        <v>166</v>
      </c>
      <c r="B128" s="50">
        <f>IF(315.46325="","-",315.46325)</f>
        <v>315.46325000000002</v>
      </c>
      <c r="C128" s="50">
        <f>IF(301.22435="","-",301.22435)</f>
        <v>301.22435000000002</v>
      </c>
      <c r="D128" s="80">
        <f>IF(OR(315.46325="",301.22435="",315.46325=0),"-",301.22435/315.46325*100)</f>
        <v>95.486352213768171</v>
      </c>
    </row>
    <row r="129" spans="1:4" x14ac:dyDescent="0.25">
      <c r="A129" s="49" t="s">
        <v>175</v>
      </c>
      <c r="B129" s="50">
        <f>IF(99.26525="","-",99.26525)</f>
        <v>99.265249999999995</v>
      </c>
      <c r="C129" s="50">
        <f>IF(315.0706="","-",315.0706)</f>
        <v>315.07060000000001</v>
      </c>
      <c r="D129" s="80" t="s">
        <v>248</v>
      </c>
    </row>
    <row r="130" spans="1:4" x14ac:dyDescent="0.25">
      <c r="A130" s="49" t="s">
        <v>97</v>
      </c>
      <c r="B130" s="50">
        <f>IF(584.64953="","-",584.64953)</f>
        <v>584.64953000000003</v>
      </c>
      <c r="C130" s="50">
        <f>IF(329.29837="","-",329.29837)</f>
        <v>329.29836999999998</v>
      </c>
      <c r="D130" s="80">
        <f>IF(OR(584.64953="",329.29837="",584.64953=0),"-",329.29837/584.64953*100)</f>
        <v>56.324063067321703</v>
      </c>
    </row>
    <row r="131" spans="1:4" x14ac:dyDescent="0.25">
      <c r="A131" s="49" t="s">
        <v>142</v>
      </c>
      <c r="B131" s="50">
        <f>IF(80.80409="","-",80.80409)</f>
        <v>80.804090000000002</v>
      </c>
      <c r="C131" s="50">
        <f>IF(381.57834="","-",381.57834)</f>
        <v>381.57834000000003</v>
      </c>
      <c r="D131" s="80" t="s">
        <v>296</v>
      </c>
    </row>
    <row r="132" spans="1:4" x14ac:dyDescent="0.25">
      <c r="A132" s="49" t="s">
        <v>38</v>
      </c>
      <c r="B132" s="50">
        <f>IF(183.17512="","-",183.17512)</f>
        <v>183.17511999999999</v>
      </c>
      <c r="C132" s="50">
        <f>IF(425.28034="","-",425.28034)</f>
        <v>425.28034000000002</v>
      </c>
      <c r="D132" s="80" t="s">
        <v>247</v>
      </c>
    </row>
    <row r="133" spans="1:4" x14ac:dyDescent="0.25">
      <c r="A133" s="49" t="s">
        <v>110</v>
      </c>
      <c r="B133" s="50">
        <f>IF(915.81447="","-",915.81447)</f>
        <v>915.81447000000003</v>
      </c>
      <c r="C133" s="50">
        <f>IF(519.1285="","-",519.1285)</f>
        <v>519.12850000000003</v>
      </c>
      <c r="D133" s="80">
        <f>IF(OR(915.81447="",519.1285="",915.81447=0),"-",519.1285/915.81447*100)</f>
        <v>56.684898197775802</v>
      </c>
    </row>
    <row r="134" spans="1:4" x14ac:dyDescent="0.25">
      <c r="A134" s="49" t="s">
        <v>78</v>
      </c>
      <c r="B134" s="50">
        <f>IF(1211.05963="","-",1211.05963)</f>
        <v>1211.05963</v>
      </c>
      <c r="C134" s="50">
        <f>IF(899.79149="","-",899.79149)</f>
        <v>899.79148999999995</v>
      </c>
      <c r="D134" s="80">
        <f>IF(OR(1211.05963="",899.79149="",1211.05963=0),"-",899.79149/1211.05963*100)</f>
        <v>74.297868388198196</v>
      </c>
    </row>
    <row r="135" spans="1:4" x14ac:dyDescent="0.25">
      <c r="A135" s="49" t="s">
        <v>136</v>
      </c>
      <c r="B135" s="50">
        <f>IF(369.86913="","-",369.86913)</f>
        <v>369.86912999999998</v>
      </c>
      <c r="C135" s="50">
        <f>IF(999.83793="","-",999.83793)</f>
        <v>999.83793000000003</v>
      </c>
      <c r="D135" s="80" t="s">
        <v>297</v>
      </c>
    </row>
    <row r="136" spans="1:4" x14ac:dyDescent="0.25">
      <c r="A136" s="49" t="s">
        <v>135</v>
      </c>
      <c r="B136" s="50">
        <f>IF(-162.73502="","-",-162.73502)</f>
        <v>-162.73501999999999</v>
      </c>
      <c r="C136" s="50">
        <f>IF(1945.68692="","-",1945.68692)</f>
        <v>1945.6869200000001</v>
      </c>
      <c r="D136" s="80" t="s">
        <v>22</v>
      </c>
    </row>
    <row r="137" spans="1:4" x14ac:dyDescent="0.25">
      <c r="A137" s="49" t="s">
        <v>68</v>
      </c>
      <c r="B137" s="50">
        <f>IF(-1275.3197="","-",-1275.3197)</f>
        <v>-1275.3197</v>
      </c>
      <c r="C137" s="50">
        <f>IF(2236.30654="","-",2236.30654)</f>
        <v>2236.30654</v>
      </c>
      <c r="D137" s="80" t="s">
        <v>22</v>
      </c>
    </row>
    <row r="138" spans="1:4" x14ac:dyDescent="0.25">
      <c r="A138" s="49" t="s">
        <v>131</v>
      </c>
      <c r="B138" s="50">
        <f>IF(9538.29948="","-",9538.29948)</f>
        <v>9538.2994799999997</v>
      </c>
      <c r="C138" s="50">
        <f>IF(3735.41446="","-",3735.41446)</f>
        <v>3735.41446</v>
      </c>
      <c r="D138" s="80">
        <f>IF(OR(9538.29948="",3735.41446="",9538.29948=0),"-",3735.41446/9538.29948*100)</f>
        <v>39.162268576620534</v>
      </c>
    </row>
    <row r="139" spans="1:4" x14ac:dyDescent="0.25">
      <c r="A139" s="49" t="s">
        <v>58</v>
      </c>
      <c r="B139" s="50">
        <f>IF(7608.46309="","-",7608.46309)</f>
        <v>7608.4630900000002</v>
      </c>
      <c r="C139" s="50">
        <f>IF(5091.43487="","-",5091.43487)</f>
        <v>5091.43487</v>
      </c>
      <c r="D139" s="80">
        <f>IF(OR(7608.46309="",5091.43487="",7608.46309=0),"-",5091.43487/7608.46309*100)</f>
        <v>66.918046519694684</v>
      </c>
    </row>
    <row r="140" spans="1:4" x14ac:dyDescent="0.25">
      <c r="A140" s="49" t="s">
        <v>61</v>
      </c>
      <c r="B140" s="50">
        <f>IF(9231.07635="","-",9231.07635)</f>
        <v>9231.0763499999994</v>
      </c>
      <c r="C140" s="50">
        <f>IF(9836.71529="","-",9836.71529)</f>
        <v>9836.7152900000001</v>
      </c>
      <c r="D140" s="80">
        <f>IF(OR(9231.07635="",9836.71529="",9231.07635=0),"-",9836.71529/9231.07635*100)</f>
        <v>106.56087022831309</v>
      </c>
    </row>
    <row r="141" spans="1:4" x14ac:dyDescent="0.25">
      <c r="A141" s="51" t="s">
        <v>59</v>
      </c>
      <c r="B141" s="52">
        <f>IF(12825.36862="","-",12825.36862)</f>
        <v>12825.368619999999</v>
      </c>
      <c r="C141" s="52">
        <f>IF(14285.18828="","-",14285.18828)</f>
        <v>14285.18828</v>
      </c>
      <c r="D141" s="81">
        <f>IF(OR(12825.36862="",14285.18828="",12825.36862=0),"-",14285.18828/12825.36862*100)</f>
        <v>111.38228228172362</v>
      </c>
    </row>
    <row r="142" spans="1:4" x14ac:dyDescent="0.25">
      <c r="A142" s="53" t="s">
        <v>130</v>
      </c>
      <c r="B142" s="37">
        <f>IF(34254.35262="","-",34254.35262)</f>
        <v>34254.352619999998</v>
      </c>
      <c r="C142" s="37">
        <f>IF(22623.67906="","-",22623.67906)</f>
        <v>22623.679059999999</v>
      </c>
      <c r="D142" s="82">
        <f>IF(OR(34254.35262="",22623.67906="",34254.35262=0),"-",22623.67906/34254.35262*100)</f>
        <v>66.046144006793369</v>
      </c>
    </row>
    <row r="143" spans="1:4" x14ac:dyDescent="0.25">
      <c r="A143" s="38" t="s">
        <v>21</v>
      </c>
    </row>
  </sheetData>
  <sortState ref="A48:G113">
    <sortCondition ref="C48:C113"/>
  </sortState>
  <mergeCells count="4">
    <mergeCell ref="A1:D1"/>
    <mergeCell ref="A3:A4"/>
    <mergeCell ref="D3:D4"/>
    <mergeCell ref="B3:C3"/>
  </mergeCells>
  <phoneticPr fontId="8" type="noConversion"/>
  <pageMargins left="0.59055118110236227" right="0.39370078740157483" top="0.39370078740157483" bottom="0.39370078740157483" header="0.11811023622047245" footer="0.1181102362204724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0"/>
  <sheetViews>
    <sheetView workbookViewId="0">
      <selection activeCell="G21" sqref="G21"/>
    </sheetView>
  </sheetViews>
  <sheetFormatPr defaultRowHeight="15.75" x14ac:dyDescent="0.25"/>
  <cols>
    <col min="1" max="1" width="29.5" customWidth="1"/>
    <col min="2" max="2" width="14.875" customWidth="1"/>
    <col min="3" max="3" width="13.875" customWidth="1"/>
    <col min="4" max="5" width="11.625" customWidth="1"/>
  </cols>
  <sheetData>
    <row r="1" spans="1:6" x14ac:dyDescent="0.25">
      <c r="A1" s="83" t="s">
        <v>244</v>
      </c>
      <c r="B1" s="83"/>
      <c r="C1" s="83"/>
      <c r="D1" s="83"/>
      <c r="E1" s="83"/>
    </row>
    <row r="2" spans="1:6" x14ac:dyDescent="0.25">
      <c r="A2" s="9"/>
      <c r="B2" s="9"/>
      <c r="C2" s="9"/>
      <c r="D2" s="9"/>
      <c r="E2" s="9"/>
    </row>
    <row r="3" spans="1:6" x14ac:dyDescent="0.25">
      <c r="A3" s="84"/>
      <c r="B3" s="87" t="s">
        <v>262</v>
      </c>
      <c r="C3" s="88"/>
      <c r="D3" s="87" t="s">
        <v>109</v>
      </c>
      <c r="E3" s="103"/>
      <c r="F3" s="1"/>
    </row>
    <row r="4" spans="1:6" ht="18" customHeight="1" x14ac:dyDescent="0.25">
      <c r="A4" s="85"/>
      <c r="B4" s="91" t="s">
        <v>123</v>
      </c>
      <c r="C4" s="93" t="s">
        <v>263</v>
      </c>
      <c r="D4" s="95" t="s">
        <v>264</v>
      </c>
      <c r="E4" s="87"/>
      <c r="F4" s="1"/>
    </row>
    <row r="5" spans="1:6" ht="22.5" customHeight="1" x14ac:dyDescent="0.25">
      <c r="A5" s="86"/>
      <c r="B5" s="92"/>
      <c r="C5" s="94"/>
      <c r="D5" s="23">
        <v>2019</v>
      </c>
      <c r="E5" s="22">
        <v>2020</v>
      </c>
      <c r="F5" s="1"/>
    </row>
    <row r="6" spans="1:6" ht="15.75" customHeight="1" x14ac:dyDescent="0.25">
      <c r="A6" s="70" t="s">
        <v>156</v>
      </c>
      <c r="B6" s="61">
        <f>IF(1755499.84492="","-",1755499.84492)</f>
        <v>1755499.8449200001</v>
      </c>
      <c r="C6" s="62">
        <v>86.649521340800874</v>
      </c>
      <c r="D6" s="63">
        <v>100</v>
      </c>
      <c r="E6" s="63">
        <v>100</v>
      </c>
    </row>
    <row r="7" spans="1:6" ht="15.75" customHeight="1" x14ac:dyDescent="0.25">
      <c r="A7" s="71" t="s">
        <v>138</v>
      </c>
      <c r="B7" s="31"/>
      <c r="C7" s="64"/>
      <c r="D7" s="31"/>
      <c r="E7" s="31"/>
    </row>
    <row r="8" spans="1:6" x14ac:dyDescent="0.25">
      <c r="A8" s="72" t="s">
        <v>113</v>
      </c>
      <c r="B8" s="50">
        <f>IF(127159.54006="","-",127159.54006)</f>
        <v>127159.54006</v>
      </c>
      <c r="C8" s="65">
        <v>95.301629375707449</v>
      </c>
      <c r="D8" s="50">
        <f>IF(133428.50578="","-",133428.50578/2025977.54466*100)</f>
        <v>6.5858827572737004</v>
      </c>
      <c r="E8" s="50">
        <f>IF(127159.54006="","-",127159.54006/1755499.84492*100)</f>
        <v>7.2434948045122045</v>
      </c>
    </row>
    <row r="9" spans="1:6" x14ac:dyDescent="0.25">
      <c r="A9" s="72" t="s">
        <v>114</v>
      </c>
      <c r="B9" s="50">
        <f>IF(53752.64308="","-",53752.64308)</f>
        <v>53752.643080000002</v>
      </c>
      <c r="C9" s="65">
        <v>59.056583523111641</v>
      </c>
      <c r="D9" s="50">
        <f>IF(91018.88371="","-",91018.88371/2025977.54466*100)</f>
        <v>4.4925909445494279</v>
      </c>
      <c r="E9" s="50">
        <f>IF(53752.64308="","-",53752.64308/1755499.84492*100)</f>
        <v>3.0619565837927807</v>
      </c>
    </row>
    <row r="10" spans="1:6" x14ac:dyDescent="0.25">
      <c r="A10" s="72" t="s">
        <v>115</v>
      </c>
      <c r="B10" s="50">
        <f>IF(1536358.42316="","-",1536358.42316)</f>
        <v>1536358.42316</v>
      </c>
      <c r="C10" s="65">
        <v>86.963259545463956</v>
      </c>
      <c r="D10" s="50">
        <f>IF(1766675.2962="","-",1766675.2962/2025977.54466*100)</f>
        <v>87.201129195954834</v>
      </c>
      <c r="E10" s="50">
        <f>IF(1536358.42316="","-",1536358.42316/1755499.84492*100)</f>
        <v>87.516864647174799</v>
      </c>
    </row>
    <row r="11" spans="1:6" x14ac:dyDescent="0.25">
      <c r="A11" s="72" t="s">
        <v>116</v>
      </c>
      <c r="B11" s="50">
        <f>IF(37361.32075="","-",37361.32075)</f>
        <v>37361.320749999999</v>
      </c>
      <c r="C11" s="65">
        <v>112.5096576497649</v>
      </c>
      <c r="D11" s="50">
        <f>IF(33207.21219="","-",33207.21219/2025977.54466*100)</f>
        <v>1.6390710883013682</v>
      </c>
      <c r="E11" s="50">
        <f>IF(37361.32075="","-",37361.32075/1755499.84492*100)</f>
        <v>2.1282440359146024</v>
      </c>
    </row>
    <row r="12" spans="1:6" x14ac:dyDescent="0.25">
      <c r="A12" s="72" t="s">
        <v>117</v>
      </c>
      <c r="B12" s="50">
        <f>IF(810.68024="","-",810.68024)</f>
        <v>810.68024000000003</v>
      </c>
      <c r="C12" s="65">
        <v>70.965381626801332</v>
      </c>
      <c r="D12" s="50">
        <f>IF(1142.36015="","-",1142.36015/2025977.54466*100)</f>
        <v>5.6385627422722066E-2</v>
      </c>
      <c r="E12" s="50">
        <f>IF(810.68024="","-",810.68024/1755499.84492*100)</f>
        <v>4.6179453808891879E-2</v>
      </c>
    </row>
    <row r="13" spans="1:6" x14ac:dyDescent="0.25">
      <c r="A13" s="72" t="s">
        <v>118</v>
      </c>
      <c r="B13" s="50">
        <f>IF(5.56173="","-",5.56173)</f>
        <v>5.5617299999999998</v>
      </c>
      <c r="C13" s="65">
        <v>98.649489966955599</v>
      </c>
      <c r="D13" s="50">
        <f>IF(5.63787="","-",5.63787/2025977.54466*100)</f>
        <v>2.7827899745780003E-4</v>
      </c>
      <c r="E13" s="50">
        <f>IF(5.56173="","-",5.56173/1755499.84492*100)</f>
        <v>3.1681745891885588E-4</v>
      </c>
    </row>
    <row r="14" spans="1:6" x14ac:dyDescent="0.25">
      <c r="A14" s="72" t="s">
        <v>119</v>
      </c>
      <c r="B14" s="50">
        <f>IF(51.6759="","-",51.6759)</f>
        <v>51.675899999999999</v>
      </c>
      <c r="C14" s="65">
        <v>10.342445361017209</v>
      </c>
      <c r="D14" s="50">
        <f>IF(499.64876="","-",499.64876/2025977.54466*100)</f>
        <v>2.4662107500498045E-2</v>
      </c>
      <c r="E14" s="50">
        <f>IF(51.6759="","-",51.6759/1755499.84492*100)</f>
        <v>2.9436573377968553E-3</v>
      </c>
    </row>
    <row r="15" spans="1:6" x14ac:dyDescent="0.25">
      <c r="A15" s="47" t="s">
        <v>254</v>
      </c>
      <c r="B15" s="48">
        <f>IF(1159108.03406="","-",1159108.03406)</f>
        <v>1159108.03406</v>
      </c>
      <c r="C15" s="66">
        <v>89.890221996996644</v>
      </c>
      <c r="D15" s="48">
        <f>IF(1289470.65466="","-",1289470.65466/2025977.54466*100)</f>
        <v>63.646838438991651</v>
      </c>
      <c r="E15" s="48">
        <f>IF(1159108.03406="","-",1159108.03406/1755499.84492*100)</f>
        <v>66.027236482770618</v>
      </c>
    </row>
    <row r="16" spans="1:6" x14ac:dyDescent="0.25">
      <c r="A16" s="71" t="s">
        <v>138</v>
      </c>
      <c r="B16" s="32"/>
      <c r="C16" s="66"/>
      <c r="D16" s="32"/>
      <c r="E16" s="32"/>
    </row>
    <row r="17" spans="1:11" x14ac:dyDescent="0.25">
      <c r="A17" s="72" t="s">
        <v>113</v>
      </c>
      <c r="B17" s="50">
        <f>IF(57463.29759="","-",57463.29759)</f>
        <v>57463.297590000002</v>
      </c>
      <c r="C17" s="65">
        <v>98.122790652916621</v>
      </c>
      <c r="D17" s="50">
        <f>IF(58562.64096="","-",58562.64096/2025977.54466*100)</f>
        <v>2.8905868732038686</v>
      </c>
      <c r="E17" s="50">
        <f>IF(57463.29759="","-",57463.29759/1755499.84492*100)</f>
        <v>3.2733296876262989</v>
      </c>
      <c r="K17" s="25"/>
    </row>
    <row r="18" spans="1:11" x14ac:dyDescent="0.25">
      <c r="A18" s="72" t="s">
        <v>114</v>
      </c>
      <c r="B18" s="50">
        <f>IF(12213.55349="","-",12213.55349)</f>
        <v>12213.55349</v>
      </c>
      <c r="C18" s="65">
        <v>53.005629307282</v>
      </c>
      <c r="D18" s="50">
        <f>IF(23041.99318="","-",23041.99318/2025977.54466*100)</f>
        <v>1.1373271752558796</v>
      </c>
      <c r="E18" s="50">
        <f>IF(12213.55349="","-",12213.55349/1755499.84492*100)</f>
        <v>0.69573082135798103</v>
      </c>
    </row>
    <row r="19" spans="1:11" x14ac:dyDescent="0.25">
      <c r="A19" s="72" t="s">
        <v>115</v>
      </c>
      <c r="B19" s="50">
        <f>IF(1067393.43284="","-",1067393.43284)</f>
        <v>1067393.4328399999</v>
      </c>
      <c r="C19" s="65">
        <v>88.73087147891458</v>
      </c>
      <c r="D19" s="50">
        <f>IF(1202956.10203="","-",1202956.10203/2025977.54466*100)</f>
        <v>59.376576270586469</v>
      </c>
      <c r="E19" s="50">
        <f>IF(1067393.43284="","-",1067393.43284/1755499.84492*100)</f>
        <v>60.802821255084879</v>
      </c>
    </row>
    <row r="20" spans="1:11" x14ac:dyDescent="0.25">
      <c r="A20" s="72" t="s">
        <v>116</v>
      </c>
      <c r="B20" s="50">
        <f>IF(21614.69758="","-",21614.69758)</f>
        <v>21614.69758</v>
      </c>
      <c r="C20" s="65" t="s">
        <v>285</v>
      </c>
      <c r="D20" s="50">
        <f>IF(4129.00156="","-",4129.00156/2025977.54466*100)</f>
        <v>0.20380292816586623</v>
      </c>
      <c r="E20" s="50">
        <f>IF(21614.69758="","-",21614.69758/1755499.84492*100)</f>
        <v>1.2312560233228049</v>
      </c>
    </row>
    <row r="21" spans="1:11" x14ac:dyDescent="0.25">
      <c r="A21" s="72" t="s">
        <v>117</v>
      </c>
      <c r="B21" s="50">
        <f>IF(386.81099="","-",386.81099)</f>
        <v>386.81099</v>
      </c>
      <c r="C21" s="67">
        <v>94.549366762119377</v>
      </c>
      <c r="D21" s="50">
        <f>IF(409.11008="","-",409.11008/2025977.54466*100)</f>
        <v>2.01932188773917E-2</v>
      </c>
      <c r="E21" s="50">
        <f>IF(386.81099="","-",386.81099/1755499.84492*100)</f>
        <v>2.2034236637464778E-2</v>
      </c>
    </row>
    <row r="22" spans="1:11" x14ac:dyDescent="0.25">
      <c r="A22" s="46" t="s">
        <v>119</v>
      </c>
      <c r="B22" s="50">
        <f>IF(36.24157="","-",36.24157)</f>
        <v>36.241570000000003</v>
      </c>
      <c r="C22" s="67">
        <v>9.7474185857522535</v>
      </c>
      <c r="D22" s="50">
        <f>IF(371.80685="","-",371.80685/2025977.54466*100)</f>
        <v>1.8351972902167418E-2</v>
      </c>
      <c r="E22" s="50">
        <f>IF(36.24157="","-",36.24157/1755499.84492*100)</f>
        <v>2.0644587411884148E-3</v>
      </c>
    </row>
    <row r="23" spans="1:11" x14ac:dyDescent="0.25">
      <c r="A23" s="47" t="s">
        <v>255</v>
      </c>
      <c r="B23" s="48">
        <f>IF(275078.54181="","-",275078.54181)</f>
        <v>275078.54181000002</v>
      </c>
      <c r="C23" s="66">
        <v>91.141734504313845</v>
      </c>
      <c r="D23" s="48">
        <f>IF(301814.02988="","-",301814.02988/2025977.54466*100)</f>
        <v>14.897205088748922</v>
      </c>
      <c r="E23" s="48">
        <f>IF(275078.54181="","-",275078.54181/1755499.84492*100)</f>
        <v>15.669528117932455</v>
      </c>
    </row>
    <row r="24" spans="1:11" x14ac:dyDescent="0.25">
      <c r="A24" s="71" t="s">
        <v>138</v>
      </c>
      <c r="B24" s="32"/>
      <c r="C24" s="66"/>
      <c r="D24" s="32"/>
      <c r="E24" s="32"/>
    </row>
    <row r="25" spans="1:11" x14ac:dyDescent="0.25">
      <c r="A25" s="72" t="s">
        <v>113</v>
      </c>
      <c r="B25" s="50">
        <f>IF(1668.99619="","-",1668.99619)</f>
        <v>1668.9961900000001</v>
      </c>
      <c r="C25" s="65">
        <v>32.607910964921579</v>
      </c>
      <c r="D25" s="50">
        <f>IF(5118.37815="","-",5118.37815/2025977.54466*100)</f>
        <v>0.25263745708785568</v>
      </c>
      <c r="E25" s="50">
        <f>IF(1668.99619="","-",1668.99619/1755499.84492*100)</f>
        <v>9.5072420247126713E-2</v>
      </c>
    </row>
    <row r="26" spans="1:11" x14ac:dyDescent="0.25">
      <c r="A26" s="72" t="s">
        <v>114</v>
      </c>
      <c r="B26" s="50">
        <f>IF(5561.68392="","-",5561.68392)</f>
        <v>5561.6839200000004</v>
      </c>
      <c r="C26" s="65">
        <v>47.100493590159168</v>
      </c>
      <c r="D26" s="50">
        <f>IF(11808.12237="","-",11808.12237/2025977.54466*100)</f>
        <v>0.58283579702664678</v>
      </c>
      <c r="E26" s="50">
        <f>IF(5561.68392="","-",5561.68392/1755499.84492*100)</f>
        <v>0.3168148340254312</v>
      </c>
      <c r="F26" s="1"/>
      <c r="G26" s="1"/>
    </row>
    <row r="27" spans="1:11" x14ac:dyDescent="0.25">
      <c r="A27" s="72" t="s">
        <v>115</v>
      </c>
      <c r="B27" s="50">
        <f>IF(261300.91413="","-",261300.91413)</f>
        <v>261300.91412999999</v>
      </c>
      <c r="C27" s="68">
        <v>94.300534613844505</v>
      </c>
      <c r="D27" s="50">
        <f>IF(277093.7781="","-",277093.7781/2025977.54466*100)</f>
        <v>13.67704093415813</v>
      </c>
      <c r="E27" s="50">
        <f>IF(261300.91413="","-",261300.91413/1755499.84492*100)</f>
        <v>14.884701635613517</v>
      </c>
      <c r="F27" s="12"/>
      <c r="G27" s="12"/>
    </row>
    <row r="28" spans="1:11" x14ac:dyDescent="0.25">
      <c r="A28" s="72" t="s">
        <v>116</v>
      </c>
      <c r="B28" s="50">
        <f>IF(6428.94044="","-",6428.94044)</f>
        <v>6428.9404400000003</v>
      </c>
      <c r="C28" s="68">
        <v>87.116561672124575</v>
      </c>
      <c r="D28" s="50">
        <f>IF(7379.69947="","-",7379.69947/2025977.54466*100)</f>
        <v>0.36425376428535206</v>
      </c>
      <c r="E28" s="50">
        <f>IF(6428.94044="","-",6428.94044/1755499.84492*100)</f>
        <v>0.36621708960008331</v>
      </c>
    </row>
    <row r="29" spans="1:11" x14ac:dyDescent="0.25">
      <c r="A29" s="72" t="s">
        <v>117</v>
      </c>
      <c r="B29" s="50">
        <f>IF(97.01107="","-",97.01107)</f>
        <v>97.011070000000004</v>
      </c>
      <c r="C29" s="68">
        <v>24.668651359540217</v>
      </c>
      <c r="D29" s="50">
        <f>IF(393.25648="","-",393.25648/2025977.54466*100)</f>
        <v>1.9410702800558257E-2</v>
      </c>
      <c r="E29" s="50">
        <f>IF(97.01107="","-",97.01107/1755499.84492*100)</f>
        <v>5.5261223907667675E-3</v>
      </c>
    </row>
    <row r="30" spans="1:11" x14ac:dyDescent="0.25">
      <c r="A30" s="72" t="s">
        <v>118</v>
      </c>
      <c r="B30" s="50">
        <f>IF(5.56173="","-",5.56173)</f>
        <v>5.5617299999999998</v>
      </c>
      <c r="C30" s="68">
        <v>98.649489966955599</v>
      </c>
      <c r="D30" s="50">
        <f>IF(5.63787="","-",5.63787/2025977.54466*100)</f>
        <v>2.7827899745780003E-4</v>
      </c>
      <c r="E30" s="50">
        <f>IF(5.56173="","-",5.56173/1755499.84492*100)</f>
        <v>3.1681745891885588E-4</v>
      </c>
    </row>
    <row r="31" spans="1:11" x14ac:dyDescent="0.25">
      <c r="A31" s="72" t="s">
        <v>119</v>
      </c>
      <c r="B31" s="50">
        <f>IF(15.43433="","-",15.43433)</f>
        <v>15.434329999999999</v>
      </c>
      <c r="C31" s="68">
        <v>101.82675966390103</v>
      </c>
      <c r="D31" s="50">
        <f>IF(15.15744="","-",15.15744/2025977.54466*100)</f>
        <v>7.4815439292263844E-4</v>
      </c>
      <c r="E31" s="50">
        <f>IF(15.43433="","-",15.43433/1755499.84492*100)</f>
        <v>8.7919859660844112E-4</v>
      </c>
    </row>
    <row r="32" spans="1:11" x14ac:dyDescent="0.25">
      <c r="A32" s="47" t="s">
        <v>286</v>
      </c>
      <c r="B32" s="48">
        <f>IF(321313.26905="","-",321313.26905)</f>
        <v>321313.26905</v>
      </c>
      <c r="C32" s="66">
        <v>73.917310020067788</v>
      </c>
      <c r="D32" s="48">
        <f>IF(434692.86012="","-",434692.86012/2025977.54466*100)</f>
        <v>21.455956472259434</v>
      </c>
      <c r="E32" s="48">
        <f>IF(321313.26905="","-",321313.26905/1755499.84492*100)</f>
        <v>18.30323539929692</v>
      </c>
    </row>
    <row r="33" spans="1:5" x14ac:dyDescent="0.25">
      <c r="A33" s="71" t="s">
        <v>138</v>
      </c>
      <c r="B33" s="32"/>
      <c r="C33" s="66"/>
      <c r="D33" s="32"/>
      <c r="E33" s="32"/>
    </row>
    <row r="34" spans="1:5" x14ac:dyDescent="0.25">
      <c r="A34" s="72" t="s">
        <v>113</v>
      </c>
      <c r="B34" s="50">
        <f>IF(68027.24628="","-",68027.24628)</f>
        <v>68027.246280000007</v>
      </c>
      <c r="C34" s="65">
        <v>97.533616661860435</v>
      </c>
      <c r="D34" s="50">
        <f>IF(69747.48667="","-",69747.48667/2025977.54466*100)</f>
        <v>3.4426584269819753</v>
      </c>
      <c r="E34" s="50">
        <f>IF(68027.24628="","-",68027.24628/1755499.84492*100)</f>
        <v>3.8750926966387786</v>
      </c>
    </row>
    <row r="35" spans="1:5" x14ac:dyDescent="0.25">
      <c r="A35" s="72" t="s">
        <v>114</v>
      </c>
      <c r="B35" s="50">
        <f>IF(35977.40567="","-",35977.40567)</f>
        <v>35977.40567</v>
      </c>
      <c r="C35" s="65">
        <v>64.052331657899771</v>
      </c>
      <c r="D35" s="50">
        <f>IF(56168.76816="","-",56168.76816/2025977.54466*100)</f>
        <v>2.7724279722669021</v>
      </c>
      <c r="E35" s="50">
        <f>IF(35977.40567="","-",35977.40567/1755499.84492*100)</f>
        <v>2.0494109284093684</v>
      </c>
    </row>
    <row r="36" spans="1:5" x14ac:dyDescent="0.25">
      <c r="A36" s="72" t="s">
        <v>115</v>
      </c>
      <c r="B36" s="50">
        <f>IF(207664.07619="","-",207664.07619)</f>
        <v>207664.07618999999</v>
      </c>
      <c r="C36" s="65">
        <v>72.451382378206148</v>
      </c>
      <c r="D36" s="50">
        <f>IF(286625.41607="","-",286625.41607/2025977.54466*100)</f>
        <v>14.147511991210223</v>
      </c>
      <c r="E36" s="50">
        <f>IF(207664.07619="","-",207664.07619/1755499.84492*100)</f>
        <v>11.829341756476399</v>
      </c>
    </row>
    <row r="37" spans="1:5" x14ac:dyDescent="0.25">
      <c r="A37" s="72" t="s">
        <v>116</v>
      </c>
      <c r="B37" s="50">
        <f>IF(9317.68273="","-",9317.68273)</f>
        <v>9317.6827300000004</v>
      </c>
      <c r="C37" s="67">
        <v>42.941576319653819</v>
      </c>
      <c r="D37" s="50">
        <f>IF(21698.51116="","-",21698.51116/2025977.54466*100)</f>
        <v>1.0710143958501499</v>
      </c>
      <c r="E37" s="50">
        <f>IF(9317.68273="","-",9317.68273/1755499.84492*100)</f>
        <v>0.53077092299171447</v>
      </c>
    </row>
    <row r="38" spans="1:5" x14ac:dyDescent="0.25">
      <c r="A38" s="46" t="s">
        <v>117</v>
      </c>
      <c r="B38" s="50">
        <f>IF(326.85818="","-",326.85818)</f>
        <v>326.85818</v>
      </c>
      <c r="C38" s="67">
        <v>96.136571280652689</v>
      </c>
      <c r="D38" s="50">
        <f>IF(339.99359="","-",339.99359/2025977.54466*100)</f>
        <v>1.6781705744772103E-2</v>
      </c>
      <c r="E38" s="50">
        <f>IF(326.85818="","-",326.85818/1755499.84492*100)</f>
        <v>1.8619094780660338E-2</v>
      </c>
    </row>
    <row r="39" spans="1:5" x14ac:dyDescent="0.25">
      <c r="A39" s="36" t="s">
        <v>119</v>
      </c>
      <c r="B39" s="37" t="s">
        <v>150</v>
      </c>
      <c r="C39" s="69" t="s">
        <v>22</v>
      </c>
      <c r="D39" s="37">
        <f>IF(112.68447="","-",112.68447/2025977.54466*100)</f>
        <v>5.5619802054079895E-3</v>
      </c>
      <c r="E39" s="37" t="s">
        <v>150</v>
      </c>
    </row>
    <row r="40" spans="1:5" x14ac:dyDescent="0.25">
      <c r="A40" s="26" t="s">
        <v>21</v>
      </c>
    </row>
  </sheetData>
  <mergeCells count="7">
    <mergeCell ref="A1:E1"/>
    <mergeCell ref="A3:A5"/>
    <mergeCell ref="B3:C3"/>
    <mergeCell ref="D3:E3"/>
    <mergeCell ref="B4:B5"/>
    <mergeCell ref="C4:C5"/>
    <mergeCell ref="D4:E4"/>
  </mergeCells>
  <pageMargins left="0.78740157480314965" right="0.59055118110236227" top="0.39370078740157483" bottom="0.39370078740157483" header="0.11811023622047245" footer="0.1181102362204724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41"/>
  <sheetViews>
    <sheetView workbookViewId="0">
      <selection activeCell="B45" sqref="B45"/>
    </sheetView>
  </sheetViews>
  <sheetFormatPr defaultRowHeight="15.75" x14ac:dyDescent="0.25"/>
  <cols>
    <col min="1" max="1" width="30.125" customWidth="1"/>
    <col min="2" max="2" width="14.5" customWidth="1"/>
    <col min="3" max="3" width="13.75" customWidth="1"/>
    <col min="4" max="5" width="11.625" customWidth="1"/>
  </cols>
  <sheetData>
    <row r="1" spans="1:6" x14ac:dyDescent="0.25">
      <c r="A1" s="83" t="s">
        <v>245</v>
      </c>
      <c r="B1" s="83"/>
      <c r="C1" s="83"/>
      <c r="D1" s="83"/>
      <c r="E1" s="83"/>
    </row>
    <row r="2" spans="1:6" x14ac:dyDescent="0.25">
      <c r="A2" s="9"/>
      <c r="B2" s="9"/>
      <c r="C2" s="9"/>
      <c r="D2" s="9"/>
      <c r="E2" s="9"/>
    </row>
    <row r="3" spans="1:6" ht="15.75" customHeight="1" x14ac:dyDescent="0.25">
      <c r="A3" s="84"/>
      <c r="B3" s="87" t="s">
        <v>262</v>
      </c>
      <c r="C3" s="88"/>
      <c r="D3" s="87" t="s">
        <v>109</v>
      </c>
      <c r="E3" s="103"/>
      <c r="F3" s="1"/>
    </row>
    <row r="4" spans="1:6" ht="20.25" customHeight="1" x14ac:dyDescent="0.25">
      <c r="A4" s="85"/>
      <c r="B4" s="91" t="s">
        <v>123</v>
      </c>
      <c r="C4" s="93" t="s">
        <v>263</v>
      </c>
      <c r="D4" s="95" t="s">
        <v>264</v>
      </c>
      <c r="E4" s="87"/>
      <c r="F4" s="1"/>
    </row>
    <row r="5" spans="1:6" ht="20.25" customHeight="1" x14ac:dyDescent="0.25">
      <c r="A5" s="86"/>
      <c r="B5" s="92"/>
      <c r="C5" s="94"/>
      <c r="D5" s="30">
        <v>2019</v>
      </c>
      <c r="E5" s="29">
        <v>2020</v>
      </c>
      <c r="F5" s="1"/>
    </row>
    <row r="6" spans="1:6" ht="15.75" customHeight="1" x14ac:dyDescent="0.25">
      <c r="A6" s="70" t="s">
        <v>139</v>
      </c>
      <c r="B6" s="61">
        <f>IF(3832063.95895="","-",3832063.95895)</f>
        <v>3832063.9589499999</v>
      </c>
      <c r="C6" s="73">
        <v>89.67348380317317</v>
      </c>
      <c r="D6" s="63">
        <v>100</v>
      </c>
      <c r="E6" s="63">
        <v>100</v>
      </c>
    </row>
    <row r="7" spans="1:6" ht="15.75" customHeight="1" x14ac:dyDescent="0.25">
      <c r="A7" s="71" t="s">
        <v>138</v>
      </c>
      <c r="B7" s="31"/>
      <c r="C7" s="64"/>
      <c r="D7" s="31"/>
      <c r="E7" s="31"/>
    </row>
    <row r="8" spans="1:6" x14ac:dyDescent="0.25">
      <c r="A8" s="72" t="s">
        <v>113</v>
      </c>
      <c r="B8" s="50">
        <f>IF(60608.96656="","-",60608.96656)</f>
        <v>60608.966560000001</v>
      </c>
      <c r="C8" s="65">
        <v>65.365858157870576</v>
      </c>
      <c r="D8" s="50">
        <f>IF(92722.66634="","-",92722.66634/4273352.38515*100)</f>
        <v>2.1697875106722635</v>
      </c>
      <c r="E8" s="50">
        <f>IF(60608.96656="","-",60608.96656/3832063.95895*100)</f>
        <v>1.5816272173235619</v>
      </c>
    </row>
    <row r="9" spans="1:6" x14ac:dyDescent="0.25">
      <c r="A9" s="72" t="s">
        <v>114</v>
      </c>
      <c r="B9" s="50">
        <f>IF(195057.99001="","-",195057.99001)</f>
        <v>195057.99001000001</v>
      </c>
      <c r="C9" s="65">
        <v>93.311527014175454</v>
      </c>
      <c r="D9" s="50">
        <f>IF(209039.5434="","-",209039.5434/4273352.38515*100)</f>
        <v>4.8916991757201513</v>
      </c>
      <c r="E9" s="50">
        <f>IF(195057.99001="","-",195057.99001/3832063.95895*100)</f>
        <v>5.0901548643109455</v>
      </c>
    </row>
    <row r="10" spans="1:6" x14ac:dyDescent="0.25">
      <c r="A10" s="72" t="s">
        <v>115</v>
      </c>
      <c r="B10" s="50">
        <f>IF(3335818.1094="","-",3335818.1094)</f>
        <v>3335818.1094</v>
      </c>
      <c r="C10" s="65">
        <v>92.083047668094295</v>
      </c>
      <c r="D10" s="50">
        <f>IF(3622619.13987="","-",3622619.13987/4273352.38515*100)</f>
        <v>84.772300839469423</v>
      </c>
      <c r="E10" s="50">
        <f>IF(3335818.1094="","-",3335818.1094/3832063.95895*100)</f>
        <v>87.050167876478426</v>
      </c>
    </row>
    <row r="11" spans="1:6" x14ac:dyDescent="0.25">
      <c r="A11" s="72" t="s">
        <v>116</v>
      </c>
      <c r="B11" s="50">
        <f>IF(86994.12131="","-",86994.12131)</f>
        <v>86994.121310000002</v>
      </c>
      <c r="C11" s="65">
        <v>77.338414965719267</v>
      </c>
      <c r="D11" s="50">
        <f>IF(112485.00677="","-",112485.00677/4273352.38515*100)</f>
        <v>2.6322427132592212</v>
      </c>
      <c r="E11" s="50">
        <f>IF(86994.12131="","-",86994.12131/3832063.95895*100)</f>
        <v>2.2701636048328568</v>
      </c>
    </row>
    <row r="12" spans="1:6" x14ac:dyDescent="0.25">
      <c r="A12" s="72" t="s">
        <v>117</v>
      </c>
      <c r="B12" s="50">
        <f>IF(9888.03066="","-",9888.03066)</f>
        <v>9888.0306600000004</v>
      </c>
      <c r="C12" s="65">
        <v>125.77687023444135</v>
      </c>
      <c r="D12" s="50">
        <f>IF(7861.5652="","-",7861.5652/4273352.38515*100)</f>
        <v>0.18396716421793632</v>
      </c>
      <c r="E12" s="50">
        <f>IF(9888.03066="","-",9888.03066/3832063.95895*100)</f>
        <v>0.25803407161057296</v>
      </c>
    </row>
    <row r="13" spans="1:6" x14ac:dyDescent="0.25">
      <c r="A13" s="72" t="s">
        <v>118</v>
      </c>
      <c r="B13" s="50">
        <f>IF(124329.2216="","-",124329.2216)</f>
        <v>124329.2216</v>
      </c>
      <c r="C13" s="65">
        <v>62.49733024630433</v>
      </c>
      <c r="D13" s="50">
        <f>IF(198935.25229="","-",198935.25229/4273352.38515*100)</f>
        <v>4.6552503599119204</v>
      </c>
      <c r="E13" s="50">
        <f>IF(124329.2216="","-",124329.2216/3832063.95895*100)</f>
        <v>3.244445367609853</v>
      </c>
    </row>
    <row r="14" spans="1:6" x14ac:dyDescent="0.25">
      <c r="A14" s="72" t="s">
        <v>119</v>
      </c>
      <c r="B14" s="50">
        <f>IF(19367.51941="","-",19367.51941)</f>
        <v>19367.519410000001</v>
      </c>
      <c r="C14" s="65">
        <v>65.23419981536135</v>
      </c>
      <c r="D14" s="50">
        <f>IF(29689.21128="","-",29689.21128/4273352.38515*100)</f>
        <v>0.69475223674908493</v>
      </c>
      <c r="E14" s="50">
        <f>IF(19367.51941="","-",19367.51941/3832063.95895*100)</f>
        <v>0.50540699783379339</v>
      </c>
    </row>
    <row r="15" spans="1:6" x14ac:dyDescent="0.25">
      <c r="A15" s="47" t="s">
        <v>254</v>
      </c>
      <c r="B15" s="48">
        <f>IF(1751471.48448="","-",1751471.48448)</f>
        <v>1751471.4844800001</v>
      </c>
      <c r="C15" s="74">
        <v>83.730084086902224</v>
      </c>
      <c r="D15" s="48">
        <f>IF(2091806.6709="","-",2091806.6709/4273352.38515*100)</f>
        <v>48.950015874400556</v>
      </c>
      <c r="E15" s="48">
        <f>IF(1751471.48448="","-",1751471.48448/3832063.95895*100)</f>
        <v>45.705695500967316</v>
      </c>
    </row>
    <row r="16" spans="1:6" x14ac:dyDescent="0.25">
      <c r="A16" s="71" t="s">
        <v>138</v>
      </c>
      <c r="B16" s="31"/>
      <c r="C16" s="74"/>
      <c r="D16" s="31"/>
      <c r="E16" s="31"/>
    </row>
    <row r="17" spans="1:7" x14ac:dyDescent="0.25">
      <c r="A17" s="72" t="s">
        <v>113</v>
      </c>
      <c r="B17" s="50">
        <f>IF(19644.42434="","-",19644.42434)</f>
        <v>19644.424340000001</v>
      </c>
      <c r="C17" s="75">
        <v>30.215493316987757</v>
      </c>
      <c r="D17" s="50">
        <f>IF(65014.40878="","-",65014.40878/4273352.38515*100)</f>
        <v>1.5213912385490742</v>
      </c>
      <c r="E17" s="50">
        <f>IF(19644.42434="","-",19644.42434/3832063.95895*100)</f>
        <v>0.51263299752916047</v>
      </c>
    </row>
    <row r="18" spans="1:7" x14ac:dyDescent="0.25">
      <c r="A18" s="72" t="s">
        <v>114</v>
      </c>
      <c r="B18" s="50">
        <f>IF(16019.41654="","-",16019.41654)</f>
        <v>16019.41654</v>
      </c>
      <c r="C18" s="75">
        <v>46.634105108034454</v>
      </c>
      <c r="D18" s="50">
        <f>IF(34351.28969="","-",34351.28969/4273352.38515*100)</f>
        <v>0.80384874903767678</v>
      </c>
      <c r="E18" s="50">
        <f>IF(16019.41654="","-",16019.41654/3832063.95895*100)</f>
        <v>0.41803625178504011</v>
      </c>
    </row>
    <row r="19" spans="1:7" x14ac:dyDescent="0.25">
      <c r="A19" s="72" t="s">
        <v>115</v>
      </c>
      <c r="B19" s="50">
        <f>IF(1675044.83053="","-",1675044.83053)</f>
        <v>1675044.8305299999</v>
      </c>
      <c r="C19" s="75">
        <v>86.625168633437681</v>
      </c>
      <c r="D19" s="50">
        <f>IF(1933669.92175="","-",1933669.92175/4273352.38515*100)</f>
        <v>45.249484420464562</v>
      </c>
      <c r="E19" s="50">
        <f>IF(1675044.83053="","-",1675044.83053/3832063.95895*100)</f>
        <v>43.711296274631295</v>
      </c>
    </row>
    <row r="20" spans="1:7" x14ac:dyDescent="0.25">
      <c r="A20" s="72" t="s">
        <v>116</v>
      </c>
      <c r="B20" s="50">
        <f>IF(20978.21424="","-",20978.21424)</f>
        <v>20978.214240000001</v>
      </c>
      <c r="C20" s="75">
        <v>65.680053714351416</v>
      </c>
      <c r="D20" s="50">
        <f>IF(31940.00774="","-",31940.00774/4273352.38515*100)</f>
        <v>0.74742274592173286</v>
      </c>
      <c r="E20" s="50">
        <f>IF(20978.21424="","-",20978.21424/3832063.95895*100)</f>
        <v>0.54743904237308483</v>
      </c>
    </row>
    <row r="21" spans="1:7" x14ac:dyDescent="0.25">
      <c r="A21" s="72" t="s">
        <v>117</v>
      </c>
      <c r="B21" s="50">
        <f>IF(2951.9968="","-",2951.9968)</f>
        <v>2951.9967999999999</v>
      </c>
      <c r="C21" s="75">
        <v>90.837154306056718</v>
      </c>
      <c r="D21" s="50">
        <f>IF(3249.76803="","-",3249.76803/4273352.38515*100)</f>
        <v>7.6047274764726169E-2</v>
      </c>
      <c r="E21" s="50">
        <f>IF(2951.9968="","-",2951.9968/3832063.95895*100)</f>
        <v>7.7034121340940731E-2</v>
      </c>
    </row>
    <row r="22" spans="1:7" x14ac:dyDescent="0.25">
      <c r="A22" s="72" t="s">
        <v>118</v>
      </c>
      <c r="B22" s="50">
        <f>IF(78.44742="","-",78.44742)</f>
        <v>78.447419999999994</v>
      </c>
      <c r="C22" s="75" t="s">
        <v>22</v>
      </c>
      <c r="D22" s="50" t="s">
        <v>253</v>
      </c>
      <c r="E22" s="50">
        <f>IF(78.44742="","-",78.44742/3832063.95895*100)</f>
        <v>2.0471323245214021E-3</v>
      </c>
    </row>
    <row r="23" spans="1:7" x14ac:dyDescent="0.25">
      <c r="A23" s="72" t="s">
        <v>119</v>
      </c>
      <c r="B23" s="50">
        <f>IF(16754.15461="","-",16754.15461)</f>
        <v>16754.154610000001</v>
      </c>
      <c r="C23" s="75">
        <v>71.048553031775</v>
      </c>
      <c r="D23" s="50">
        <f>IF(23581.27491="","-",23581.27491/4273352.38515*100)</f>
        <v>0.55182144566278879</v>
      </c>
      <c r="E23" s="50">
        <f>IF(16754.15461="","-",16754.15461/3832063.95895*100)</f>
        <v>0.43720968098326585</v>
      </c>
    </row>
    <row r="24" spans="1:7" x14ac:dyDescent="0.25">
      <c r="A24" s="47" t="s">
        <v>255</v>
      </c>
      <c r="B24" s="48">
        <f>IF(956748.89673="","-",956748.89673)</f>
        <v>956748.89673000004</v>
      </c>
      <c r="C24" s="76">
        <v>92.732067335045883</v>
      </c>
      <c r="D24" s="48">
        <f>IF(1031734.67844="","-",1031734.67844/4273352.38515*100)</f>
        <v>24.143449578960588</v>
      </c>
      <c r="E24" s="48">
        <f>IF(956748.89673="","-",956748.89673/3832063.95895*100)</f>
        <v>24.966934450440458</v>
      </c>
    </row>
    <row r="25" spans="1:7" x14ac:dyDescent="0.25">
      <c r="A25" s="72" t="s">
        <v>138</v>
      </c>
      <c r="B25" s="31"/>
      <c r="C25" s="77"/>
      <c r="D25" s="31"/>
      <c r="E25" s="31"/>
    </row>
    <row r="26" spans="1:7" x14ac:dyDescent="0.25">
      <c r="A26" s="72" t="s">
        <v>113</v>
      </c>
      <c r="B26" s="50">
        <f>IF(29130.27469="","-",29130.27469)</f>
        <v>29130.274689999998</v>
      </c>
      <c r="C26" s="65">
        <v>144.67210870661253</v>
      </c>
      <c r="D26" s="50">
        <f>IF(20135.37713="","-",20135.37713/4273352.38515*100)</f>
        <v>0.47118457162509941</v>
      </c>
      <c r="E26" s="50">
        <f>IF(29130.27469="","-",29130.27469/3832063.95895*100)</f>
        <v>0.76017193350764956</v>
      </c>
      <c r="F26" s="1"/>
      <c r="G26" s="1"/>
    </row>
    <row r="27" spans="1:7" x14ac:dyDescent="0.25">
      <c r="A27" s="72" t="s">
        <v>114</v>
      </c>
      <c r="B27" s="50">
        <f>IF(178823.1209="","-",178823.1209)</f>
        <v>178823.12090000001</v>
      </c>
      <c r="C27" s="65">
        <v>102.53944173665536</v>
      </c>
      <c r="D27" s="50">
        <f>IF(174394.47482="","-",174394.47482/4273352.38515*100)</f>
        <v>4.0809757563178009</v>
      </c>
      <c r="E27" s="50">
        <f>IF(178823.1209="","-",178823.1209/3832063.95895*100)</f>
        <v>4.6664962489038997</v>
      </c>
      <c r="F27" s="1"/>
      <c r="G27" s="1"/>
    </row>
    <row r="28" spans="1:7" x14ac:dyDescent="0.25">
      <c r="A28" s="72" t="s">
        <v>115</v>
      </c>
      <c r="B28" s="50">
        <f>IF(613009.34482="","-",613009.34482)</f>
        <v>613009.34482</v>
      </c>
      <c r="C28" s="65">
        <v>98.641181281832829</v>
      </c>
      <c r="D28" s="50">
        <f>IF(621453.77504="","-",621453.77504/4273352.38515*100)</f>
        <v>14.542535204902979</v>
      </c>
      <c r="E28" s="50">
        <f>IF(613009.34482="","-",613009.34482/3832063.95895*100)</f>
        <v>15.996845339396865</v>
      </c>
      <c r="F28" s="12"/>
      <c r="G28" s="12"/>
    </row>
    <row r="29" spans="1:7" x14ac:dyDescent="0.25">
      <c r="A29" s="72" t="s">
        <v>116</v>
      </c>
      <c r="B29" s="50">
        <f>IF(10810.5928="","-",10810.5928)</f>
        <v>10810.5928</v>
      </c>
      <c r="C29" s="65">
        <v>81.298815691915507</v>
      </c>
      <c r="D29" s="50">
        <f>IF(13297.35582="","-",13297.35582/4273352.38515*100)</f>
        <v>0.31116918572427171</v>
      </c>
      <c r="E29" s="50">
        <f>IF(10810.5928="","-",10810.5928/3832063.95895*100)</f>
        <v>0.28210888220566505</v>
      </c>
    </row>
    <row r="30" spans="1:7" x14ac:dyDescent="0.25">
      <c r="A30" s="72" t="s">
        <v>117</v>
      </c>
      <c r="B30" s="50">
        <f>IF(344.53519="","-",344.53519)</f>
        <v>344.53519</v>
      </c>
      <c r="C30" s="65">
        <v>77.599924304444599</v>
      </c>
      <c r="D30" s="50">
        <f>IF(443.98908="","-",443.98908/4273352.38515*100)</f>
        <v>1.0389713741906061E-2</v>
      </c>
      <c r="E30" s="50">
        <f>IF(344.53519="","-",344.53519/3832063.95895*100)</f>
        <v>8.9908517626726657E-3</v>
      </c>
    </row>
    <row r="31" spans="1:7" x14ac:dyDescent="0.25">
      <c r="A31" s="72" t="s">
        <v>118</v>
      </c>
      <c r="B31" s="50">
        <f>IF(124250.77418="","-",124250.77418)</f>
        <v>124250.77417999999</v>
      </c>
      <c r="C31" s="65">
        <v>62.457896601891392</v>
      </c>
      <c r="D31" s="50">
        <f>IF(198935.25229="","-",198935.25229/4273352.38515*100)</f>
        <v>4.6552503599119204</v>
      </c>
      <c r="E31" s="50">
        <f>IF(124250.77418="","-",124250.77418/3832063.95895*100)</f>
        <v>3.2423982352853313</v>
      </c>
    </row>
    <row r="32" spans="1:7" x14ac:dyDescent="0.25">
      <c r="A32" s="72" t="s">
        <v>119</v>
      </c>
      <c r="B32" s="50">
        <f>IF(380.25415="","-",380.25415)</f>
        <v>380.25414999999998</v>
      </c>
      <c r="C32" s="65">
        <v>12.368183678881598</v>
      </c>
      <c r="D32" s="50">
        <f>IF(3074.45426="","-",3074.45426/4273352.38515*100)</f>
        <v>7.1944786736609895E-2</v>
      </c>
      <c r="E32" s="50">
        <f>IF(380.25415="","-",380.25415/3832063.95895*100)</f>
        <v>9.922959378376112E-3</v>
      </c>
    </row>
    <row r="33" spans="1:5" x14ac:dyDescent="0.25">
      <c r="A33" s="47" t="s">
        <v>256</v>
      </c>
      <c r="B33" s="48">
        <f>IF(1123843.57774="","-",1123843.57774)</f>
        <v>1123843.5777400001</v>
      </c>
      <c r="C33" s="74">
        <v>97.741589073224816</v>
      </c>
      <c r="D33" s="48">
        <f>IF(1149811.03581="","-",1149811.03581/4273352.38515*100)</f>
        <v>26.906534546638849</v>
      </c>
      <c r="E33" s="48">
        <f>IF(1123843.57774="","-",1123843.57774/3832063.95895*100)</f>
        <v>29.327370048592233</v>
      </c>
    </row>
    <row r="34" spans="1:5" x14ac:dyDescent="0.25">
      <c r="A34" s="72" t="s">
        <v>138</v>
      </c>
      <c r="B34" s="31"/>
      <c r="C34" s="74"/>
      <c r="D34" s="33"/>
      <c r="E34" s="31"/>
    </row>
    <row r="35" spans="1:5" x14ac:dyDescent="0.25">
      <c r="A35" s="72" t="s">
        <v>113</v>
      </c>
      <c r="B35" s="52">
        <f>IF(11834.26753="","-",11834.26753)</f>
        <v>11834.267529999999</v>
      </c>
      <c r="C35" s="75" t="s">
        <v>105</v>
      </c>
      <c r="D35" s="52">
        <f>IF(7572.88043="","-",7572.88043/4273352.38515*100)</f>
        <v>0.1772117004980899</v>
      </c>
      <c r="E35" s="50">
        <f>IF(11834.26753="","-",11834.26753/3832063.95895*100)</f>
        <v>0.30882228628675168</v>
      </c>
    </row>
    <row r="36" spans="1:5" x14ac:dyDescent="0.25">
      <c r="A36" s="72" t="s">
        <v>114</v>
      </c>
      <c r="B36" s="52">
        <f>IF(215.45257="","-",215.45257)</f>
        <v>215.45257000000001</v>
      </c>
      <c r="C36" s="75">
        <v>73.338342996666654</v>
      </c>
      <c r="D36" s="52">
        <f>IF(293.77889="","-",293.77889/4273352.38515*100)</f>
        <v>6.8746703646740794E-3</v>
      </c>
      <c r="E36" s="50">
        <f>IF(215.45257="","-",215.45257/3832063.95895*100)</f>
        <v>5.6223636220057984E-3</v>
      </c>
    </row>
    <row r="37" spans="1:5" x14ac:dyDescent="0.25">
      <c r="A37" s="72" t="s">
        <v>115</v>
      </c>
      <c r="B37" s="52">
        <f>IF(1047763.93405="","-",1047763.93405)</f>
        <v>1047763.93405</v>
      </c>
      <c r="C37" s="75">
        <v>98.151607188779224</v>
      </c>
      <c r="D37" s="52">
        <f>IF(1067495.44308="","-",1067495.44308/4273352.38515*100)</f>
        <v>24.980281214101879</v>
      </c>
      <c r="E37" s="50">
        <f>IF(1047763.93405="","-",1047763.93405/3832063.95895*100)</f>
        <v>27.342026262450258</v>
      </c>
    </row>
    <row r="38" spans="1:5" x14ac:dyDescent="0.25">
      <c r="A38" s="72" t="s">
        <v>116</v>
      </c>
      <c r="B38" s="52">
        <f>IF(55205.31427="","-",55205.31427)</f>
        <v>55205.314270000003</v>
      </c>
      <c r="C38" s="75">
        <v>82.092563597516161</v>
      </c>
      <c r="D38" s="52">
        <f>IF(67247.64321="","-",67247.64321/4273352.38515*100)</f>
        <v>1.5736507816132161</v>
      </c>
      <c r="E38" s="50">
        <f>IF(55205.31427="","-",55205.31427/3832063.95895*100)</f>
        <v>1.440615680254107</v>
      </c>
    </row>
    <row r="39" spans="1:5" x14ac:dyDescent="0.25">
      <c r="A39" s="72" t="s">
        <v>117</v>
      </c>
      <c r="B39" s="52">
        <f>IF(6591.49867="","-",6591.49867)</f>
        <v>6591.4986699999999</v>
      </c>
      <c r="C39" s="78" t="s">
        <v>105</v>
      </c>
      <c r="D39" s="52">
        <f>IF(4167.80809="","-",4167.80809/4273352.38515*100)</f>
        <v>9.7530175711304096E-2</v>
      </c>
      <c r="E39" s="50">
        <f>IF(6591.49867="","-",6591.49867/3832063.95895*100)</f>
        <v>0.17200909850695956</v>
      </c>
    </row>
    <row r="40" spans="1:5" x14ac:dyDescent="0.25">
      <c r="A40" s="36" t="s">
        <v>119</v>
      </c>
      <c r="B40" s="37">
        <f>IF(2233.11065="","-",2233.11065)</f>
        <v>2233.1106500000001</v>
      </c>
      <c r="C40" s="40">
        <v>73.615421783384122</v>
      </c>
      <c r="D40" s="37">
        <f>IF(3033.48211="","-",3033.48211/4273352.38515*100)</f>
        <v>7.098600434968623E-2</v>
      </c>
      <c r="E40" s="37">
        <f>IF(2233.11065="","-",2233.11065/3832063.95895*100)</f>
        <v>5.82743574721514E-2</v>
      </c>
    </row>
    <row r="41" spans="1:5" x14ac:dyDescent="0.25">
      <c r="A41" s="26" t="s">
        <v>21</v>
      </c>
    </row>
  </sheetData>
  <mergeCells count="7">
    <mergeCell ref="A1:E1"/>
    <mergeCell ref="A3:A5"/>
    <mergeCell ref="B3:C3"/>
    <mergeCell ref="D3:E3"/>
    <mergeCell ref="B4:B5"/>
    <mergeCell ref="C4:C5"/>
    <mergeCell ref="D4:E4"/>
  </mergeCells>
  <pageMargins left="0.78740157480314965" right="0.59055118110236227" top="0.39370078740157483" bottom="0.39370078740157483" header="0.11811023622047245" footer="0.1181102362204724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82"/>
  <sheetViews>
    <sheetView zoomScaleNormal="100" workbookViewId="0">
      <selection activeCell="P73" sqref="P73"/>
    </sheetView>
  </sheetViews>
  <sheetFormatPr defaultRowHeight="15.75" x14ac:dyDescent="0.25"/>
  <cols>
    <col min="1" max="1" width="27.5" customWidth="1"/>
    <col min="2" max="2" width="11.375" customWidth="1"/>
    <col min="3" max="3" width="10.875" customWidth="1"/>
    <col min="4" max="4" width="8.25" customWidth="1"/>
    <col min="5" max="5" width="8.375" customWidth="1"/>
    <col min="6" max="6" width="9.625" customWidth="1"/>
    <col min="7" max="7" width="9.5" customWidth="1"/>
  </cols>
  <sheetData>
    <row r="1" spans="1:9" x14ac:dyDescent="0.25">
      <c r="A1" s="96" t="s">
        <v>160</v>
      </c>
      <c r="B1" s="96"/>
      <c r="C1" s="96"/>
      <c r="D1" s="96"/>
      <c r="E1" s="96"/>
      <c r="F1" s="96"/>
      <c r="G1" s="96"/>
    </row>
    <row r="2" spans="1:9" x14ac:dyDescent="0.25">
      <c r="A2" s="96" t="s">
        <v>23</v>
      </c>
      <c r="B2" s="96"/>
      <c r="C2" s="96"/>
      <c r="D2" s="96"/>
      <c r="E2" s="96"/>
      <c r="F2" s="96"/>
      <c r="G2" s="96"/>
    </row>
    <row r="3" spans="1:9" x14ac:dyDescent="0.25">
      <c r="A3" s="6"/>
    </row>
    <row r="4" spans="1:9" ht="57" customHeight="1" x14ac:dyDescent="0.25">
      <c r="A4" s="104"/>
      <c r="B4" s="107" t="s">
        <v>262</v>
      </c>
      <c r="C4" s="102"/>
      <c r="D4" s="107" t="s">
        <v>0</v>
      </c>
      <c r="E4" s="102"/>
      <c r="F4" s="108" t="s">
        <v>107</v>
      </c>
      <c r="G4" s="109"/>
    </row>
    <row r="5" spans="1:9" ht="20.25" customHeight="1" x14ac:dyDescent="0.25">
      <c r="A5" s="105"/>
      <c r="B5" s="110" t="s">
        <v>111</v>
      </c>
      <c r="C5" s="97" t="s">
        <v>263</v>
      </c>
      <c r="D5" s="112" t="s">
        <v>264</v>
      </c>
      <c r="E5" s="112"/>
      <c r="F5" s="112" t="s">
        <v>264</v>
      </c>
      <c r="G5" s="107"/>
    </row>
    <row r="6" spans="1:9" ht="38.25" customHeight="1" x14ac:dyDescent="0.25">
      <c r="A6" s="106"/>
      <c r="B6" s="111"/>
      <c r="C6" s="98"/>
      <c r="D6" s="24">
        <v>2019</v>
      </c>
      <c r="E6" s="24">
        <v>2020</v>
      </c>
      <c r="F6" s="24" t="s">
        <v>122</v>
      </c>
      <c r="G6" s="20" t="s">
        <v>141</v>
      </c>
    </row>
    <row r="7" spans="1:9" ht="16.5" customHeight="1" x14ac:dyDescent="0.25">
      <c r="A7" s="44" t="s">
        <v>101</v>
      </c>
      <c r="B7" s="45">
        <f>IF(1755499.84492="","-",1755499.84492)</f>
        <v>1755499.8449200001</v>
      </c>
      <c r="C7" s="45">
        <f>IF(2025977.54466="","-",1755499.84492/2025977.54466*100)</f>
        <v>86.649521340800874</v>
      </c>
      <c r="D7" s="45">
        <v>100</v>
      </c>
      <c r="E7" s="45">
        <v>100</v>
      </c>
      <c r="F7" s="45">
        <f>IF(1959536.20883="","-",(2025977.54466-1959536.20883)/1959536.20883*100)</f>
        <v>3.3906664000697799</v>
      </c>
      <c r="G7" s="45">
        <f>IF(2025977.54466="","-",(1755499.84492-2025977.54466)/2025977.54466*100)</f>
        <v>-13.35047865919913</v>
      </c>
    </row>
    <row r="8" spans="1:9" ht="13.5" customHeight="1" x14ac:dyDescent="0.25">
      <c r="A8" s="46" t="s">
        <v>138</v>
      </c>
      <c r="B8" s="35"/>
      <c r="C8" s="35"/>
      <c r="D8" s="35"/>
      <c r="E8" s="35"/>
      <c r="F8" s="35"/>
      <c r="G8" s="35"/>
    </row>
    <row r="9" spans="1:9" ht="13.5" customHeight="1" x14ac:dyDescent="0.25">
      <c r="A9" s="39" t="s">
        <v>219</v>
      </c>
      <c r="B9" s="48">
        <f>IF(406530.8068="","-",406530.8068)</f>
        <v>406530.80680000002</v>
      </c>
      <c r="C9" s="48">
        <f>IF(448961.52869="","-",406530.8068/448961.52869*100)</f>
        <v>90.549140810838239</v>
      </c>
      <c r="D9" s="48">
        <f>IF(448961.52869="","-",448961.52869/2025977.54466*100)</f>
        <v>22.160242095148437</v>
      </c>
      <c r="E9" s="48">
        <f>IF(406530.8068="","-",406530.8068/1755499.84492*100)</f>
        <v>23.157552988478109</v>
      </c>
      <c r="F9" s="48">
        <f>IF(1959536.20883="","-",(448961.52869-430640.40301)/1959536.20883*100)</f>
        <v>0.93497255102722376</v>
      </c>
      <c r="G9" s="48">
        <f>IF(2025977.54466="","-",(406530.8068-448961.52869)/2025977.54466*100)</f>
        <v>-2.094333276389829</v>
      </c>
      <c r="I9" s="17"/>
    </row>
    <row r="10" spans="1:9" s="9" customFormat="1" ht="13.5" customHeight="1" x14ac:dyDescent="0.25">
      <c r="A10" s="49" t="s">
        <v>24</v>
      </c>
      <c r="B10" s="50">
        <f>IF(8481.50957="","-",8481.50957)</f>
        <v>8481.5095700000002</v>
      </c>
      <c r="C10" s="50">
        <f>IF(OR(8327.06212="",8481.50957=""),"-",8481.50957/8327.06212*100)</f>
        <v>101.8547651953868</v>
      </c>
      <c r="D10" s="50">
        <f>IF(8327.06212="","-",8327.06212/2025977.54466*100)</f>
        <v>0.41101453182184455</v>
      </c>
      <c r="E10" s="50">
        <f>IF(8481.50957="","-",8481.50957/1755499.84492*100)</f>
        <v>0.48313929474522466</v>
      </c>
      <c r="F10" s="50">
        <f>IF(OR(1959536.20883="",10442.50038="",8327.06212=""),"-",(8327.06212-10442.50038)/1959536.20883*100)</f>
        <v>-0.10795606891403578</v>
      </c>
      <c r="G10" s="50">
        <f>IF(OR(2025977.54466="",8481.50957="",8327.06212=""),"-",(8481.50957-8327.06212)/2025977.54466*100)</f>
        <v>7.6233544842136481E-3</v>
      </c>
      <c r="I10" s="17"/>
    </row>
    <row r="11" spans="1:9" s="9" customFormat="1" ht="14.25" customHeight="1" x14ac:dyDescent="0.25">
      <c r="A11" s="49" t="s">
        <v>220</v>
      </c>
      <c r="B11" s="50">
        <f>IF(3420.88801="","-",3420.88801)</f>
        <v>3420.8880100000001</v>
      </c>
      <c r="C11" s="50">
        <f>IF(OR(5065.78506="",3420.88801=""),"-",3420.88801/5065.78506*100)</f>
        <v>67.529276696157339</v>
      </c>
      <c r="D11" s="50">
        <f>IF(5065.78506="","-",5065.78506/2025977.54466*100)</f>
        <v>0.25004152061567597</v>
      </c>
      <c r="E11" s="50">
        <f>IF(3420.88801="","-",3420.88801/1755499.84492*100)</f>
        <v>0.19486689331811893</v>
      </c>
      <c r="F11" s="50">
        <f>IF(OR(1959536.20883="",5441.24801="",5065.78506=""),"-",(5065.78506-5441.24801)/1959536.20883*100)</f>
        <v>-1.9160806945444583E-2</v>
      </c>
      <c r="G11" s="50">
        <f>IF(OR(2025977.54466="",3420.88801="",5065.78506=""),"-",(3420.88801-5065.78506)/2025977.54466*100)</f>
        <v>-8.1190290303836871E-2</v>
      </c>
      <c r="I11" s="17"/>
    </row>
    <row r="12" spans="1:9" s="9" customFormat="1" x14ac:dyDescent="0.25">
      <c r="A12" s="49" t="s">
        <v>221</v>
      </c>
      <c r="B12" s="50">
        <f>IF(8451.68583="","-",8451.68583)</f>
        <v>8451.6858300000004</v>
      </c>
      <c r="C12" s="50">
        <f>IF(OR(12810.73981="",8451.68583=""),"-",8451.68583/12810.73981*100)</f>
        <v>65.973440686092587</v>
      </c>
      <c r="D12" s="50">
        <f>IF(12810.73981="","-",12810.73981/2025977.54466*100)</f>
        <v>0.63232387958919356</v>
      </c>
      <c r="E12" s="50">
        <f>IF(8451.68583="","-",8451.68583/1755499.84492*100)</f>
        <v>0.48144042020038758</v>
      </c>
      <c r="F12" s="50">
        <f>IF(OR(1959536.20883="",17196.9012="",12810.73981=""),"-",(12810.73981-17196.9012)/1959536.20883*100)</f>
        <v>-0.22383671045399517</v>
      </c>
      <c r="G12" s="50">
        <f>IF(OR(2025977.54466="",8451.68583="",12810.73981=""),"-",(8451.68583-12810.73981)/2025977.54466*100)</f>
        <v>-0.21515805994441742</v>
      </c>
      <c r="I12" s="17"/>
    </row>
    <row r="13" spans="1:9" s="9" customFormat="1" x14ac:dyDescent="0.25">
      <c r="A13" s="49" t="s">
        <v>222</v>
      </c>
      <c r="B13" s="50">
        <f>IF(3.17497="","-",3.17497)</f>
        <v>3.1749700000000001</v>
      </c>
      <c r="C13" s="50">
        <f>IF(OR(20.93109="",3.17497=""),"-",3.17497/20.93109*100)</f>
        <v>15.168679700866031</v>
      </c>
      <c r="D13" s="50">
        <f>IF(20.93109="","-",20.93109/2025977.54466*100)</f>
        <v>1.0331353402790386E-3</v>
      </c>
      <c r="E13" s="50">
        <f>IF(3.17497="","-",3.17497/1755499.84492*100)</f>
        <v>1.8085846086444323E-4</v>
      </c>
      <c r="F13" s="50">
        <f>IF(OR(1959536.20883="",11.38368="",20.93109=""),"-",(20.93109-11.38368)/1959536.20883*100)</f>
        <v>4.8722804697242972E-4</v>
      </c>
      <c r="G13" s="50">
        <f>IF(OR(2025977.54466="",3.17497="",20.93109=""),"-",(3.17497-20.93109)/2025977.54466*100)</f>
        <v>-8.7642234963565904E-4</v>
      </c>
      <c r="I13" s="17"/>
    </row>
    <row r="14" spans="1:9" s="9" customFormat="1" ht="15" customHeight="1" x14ac:dyDescent="0.25">
      <c r="A14" s="49" t="s">
        <v>223</v>
      </c>
      <c r="B14" s="50">
        <f>IF(124148.27171="","-",124148.27171)</f>
        <v>124148.27171</v>
      </c>
      <c r="C14" s="50">
        <f>IF(OR(191135.1314="",124148.27171=""),"-",124148.27171/191135.1314*100)</f>
        <v>64.953141162828629</v>
      </c>
      <c r="D14" s="50">
        <f>IF(191135.1314="","-",191135.1314/2025977.54466*100)</f>
        <v>9.4342176646422988</v>
      </c>
      <c r="E14" s="50">
        <f>IF(124148.27171="","-",124148.27171/1755499.84492*100)</f>
        <v>7.0719614171004146</v>
      </c>
      <c r="F14" s="50">
        <f>IF(OR(1959536.20883="",164041.41609="",191135.1314=""),"-",(191135.1314-164041.41609)/1959536.20883*100)</f>
        <v>1.382659589953539</v>
      </c>
      <c r="G14" s="50">
        <f>IF(OR(2025977.54466="",124148.27171="",191135.1314=""),"-",(124148.27171-191135.1314)/2025977.54466*100)</f>
        <v>-3.3063969473186718</v>
      </c>
      <c r="I14" s="17"/>
    </row>
    <row r="15" spans="1:9" s="9" customFormat="1" ht="15.75" customHeight="1" x14ac:dyDescent="0.25">
      <c r="A15" s="49" t="s">
        <v>224</v>
      </c>
      <c r="B15" s="50">
        <f>IF(222128.68385="","-",222128.68385)</f>
        <v>222128.68385</v>
      </c>
      <c r="C15" s="50">
        <f>IF(OR(194335.13174="",222128.68385=""),"-",222128.68385/194335.13174*100)</f>
        <v>114.30186701763469</v>
      </c>
      <c r="D15" s="50">
        <f>IF(194335.13174="","-",194335.13174/2025977.54466*100)</f>
        <v>9.592166125050186</v>
      </c>
      <c r="E15" s="50">
        <f>IF(222128.68385="","-",222128.68385/1755499.84492*100)</f>
        <v>12.653301251651358</v>
      </c>
      <c r="F15" s="50">
        <f>IF(OR(1959536.20883="",186934.33469="",194335.13174=""),"-",(194335.13174-186934.33469)/1959536.20883*100)</f>
        <v>0.37768105619333731</v>
      </c>
      <c r="G15" s="50">
        <f>IF(OR(2025977.54466="",222128.68385="",194335.13174=""),"-",(222128.68385-194335.13174)/2025977.54466*100)</f>
        <v>1.3718588433152803</v>
      </c>
      <c r="I15" s="17"/>
    </row>
    <row r="16" spans="1:9" s="9" customFormat="1" ht="15" customHeight="1" x14ac:dyDescent="0.25">
      <c r="A16" s="49" t="s">
        <v>181</v>
      </c>
      <c r="B16" s="50">
        <f>IF(13753.94997="","-",13753.94997)</f>
        <v>13753.94997</v>
      </c>
      <c r="C16" s="50">
        <f>IF(OR(13657.18056="",13753.94997=""),"-",13753.94997/13657.18056*100)</f>
        <v>100.7085606694212</v>
      </c>
      <c r="D16" s="50">
        <f>IF(13657.18056="","-",13657.18056/2025977.54466*100)</f>
        <v>0.67410325430294693</v>
      </c>
      <c r="E16" s="50">
        <f>IF(13753.94997="","-",13753.94997/1755499.84492*100)</f>
        <v>0.78347770920063964</v>
      </c>
      <c r="F16" s="50">
        <f>IF(OR(1959536.20883="",23224.8257="",13657.18056=""),"-",(13657.18056-23224.8257)/1959536.20883*100)</f>
        <v>-0.48826069642839881</v>
      </c>
      <c r="G16" s="50">
        <f>IF(OR(2025977.54466="",13753.94997="",13657.18056=""),"-",(13753.94997-13657.18056)/2025977.54466*100)</f>
        <v>4.7764305312791031E-3</v>
      </c>
      <c r="I16" s="17"/>
    </row>
    <row r="17" spans="1:9" s="9" customFormat="1" ht="25.5" x14ac:dyDescent="0.25">
      <c r="A17" s="49" t="s">
        <v>225</v>
      </c>
      <c r="B17" s="50">
        <f>IF(5600.26074="","-",5600.26074)</f>
        <v>5600.2607399999997</v>
      </c>
      <c r="C17" s="50">
        <f>IF(OR(7203.43899="",5600.26074=""),"-",5600.26074/7203.43899*100)</f>
        <v>77.744265590010926</v>
      </c>
      <c r="D17" s="50">
        <f>IF(7203.43899="","-",7203.43899/2025977.54466*100)</f>
        <v>0.35555374288261832</v>
      </c>
      <c r="E17" s="50">
        <f>IF(5600.26074="","-",5600.26074/1755499.84492*100)</f>
        <v>0.31901231755763609</v>
      </c>
      <c r="F17" s="50">
        <f>IF(OR(1959536.20883="",7847.9666="",7203.43899=""),"-",(7203.43899-7847.9666)/1959536.20883*100)</f>
        <v>-3.2891844871028676E-2</v>
      </c>
      <c r="G17" s="50">
        <f>IF(OR(2025977.54466="",5600.26074="",7203.43899=""),"-",(5600.26074-7203.43899)/2025977.54466*100)</f>
        <v>-7.9131096700730985E-2</v>
      </c>
      <c r="I17" s="17"/>
    </row>
    <row r="18" spans="1:9" s="9" customFormat="1" ht="25.5" x14ac:dyDescent="0.25">
      <c r="A18" s="49" t="s">
        <v>182</v>
      </c>
      <c r="B18" s="50">
        <f>IF(18054.91401="","-",18054.91401)</f>
        <v>18054.91401</v>
      </c>
      <c r="C18" s="50">
        <f>IF(OR(14307.55801="",18054.91401=""),"-",18054.91401/14307.55801*100)</f>
        <v>126.19144369277311</v>
      </c>
      <c r="D18" s="50">
        <f>IF(14307.55801="","-",14307.55801/2025977.54466*100)</f>
        <v>0.70620516242696552</v>
      </c>
      <c r="E18" s="50">
        <f>IF(18054.91401="","-",18054.91401/1755499.84492*100)</f>
        <v>1.0284771065202105</v>
      </c>
      <c r="F18" s="50">
        <f>IF(OR(1959536.20883="",13447.97117="",14307.55801=""),"-",(14307.55801-13447.97117)/1959536.20883*100)</f>
        <v>4.3866851560412964E-2</v>
      </c>
      <c r="G18" s="50">
        <f>IF(OR(2025977.54466="",18054.91401="",14307.55801=""),"-",(18054.91401-14307.55801)/2025977.54466*100)</f>
        <v>0.18496532747251559</v>
      </c>
      <c r="I18" s="17"/>
    </row>
    <row r="19" spans="1:9" s="9" customFormat="1" x14ac:dyDescent="0.25">
      <c r="A19" s="49" t="s">
        <v>226</v>
      </c>
      <c r="B19" s="50">
        <f>IF(2487.46814="","-",2487.46814)</f>
        <v>2487.4681399999999</v>
      </c>
      <c r="C19" s="50">
        <f>IF(OR(2098.56991="",2487.46814=""),"-",2487.46814/2098.56991*100)</f>
        <v>118.53158325328317</v>
      </c>
      <c r="D19" s="50">
        <f>IF(2098.56991="","-",2098.56991/2025977.54466*100)</f>
        <v>0.10358307847642914</v>
      </c>
      <c r="E19" s="50">
        <f>IF(2487.46814="","-",2487.46814/1755499.84492*100)</f>
        <v>0.14169571972325387</v>
      </c>
      <c r="F19" s="50">
        <f>IF(OR(1959536.20883="",2051.85549="",2098.56991=""),"-",(2098.56991-2051.85549)/1959536.20883*100)</f>
        <v>2.383952885866421E-3</v>
      </c>
      <c r="G19" s="50">
        <f>IF(OR(2025977.54466="",2487.46814="",2098.56991=""),"-",(2487.46814-2098.56991)/2025977.54466*100)</f>
        <v>1.9195584424173111E-2</v>
      </c>
    </row>
    <row r="20" spans="1:9" s="9" customFormat="1" x14ac:dyDescent="0.25">
      <c r="A20" s="39" t="s">
        <v>227</v>
      </c>
      <c r="B20" s="48">
        <f>IF(131433.05857="","-",131433.05857)</f>
        <v>131433.05856999999</v>
      </c>
      <c r="C20" s="48">
        <f>IF(158645.35913="","-",131433.05857/158645.35913*100)</f>
        <v>82.847086918123324</v>
      </c>
      <c r="D20" s="48">
        <f>IF(158645.35913="","-",158645.35913/2025977.54466*100)</f>
        <v>7.8305586134531371</v>
      </c>
      <c r="E20" s="48">
        <f>IF(131433.05857="","-",131433.05857/1755499.84492*100)</f>
        <v>7.4869307992442193</v>
      </c>
      <c r="F20" s="48">
        <f>IF(1959536.20883="","-",(158645.35913-161289.64255)/1959536.20883*100)</f>
        <v>-0.13494435101961405</v>
      </c>
      <c r="G20" s="48">
        <f>IF(2025977.54466="","-",(131433.05857-158645.35913)/2025977.54466*100)</f>
        <v>-1.343168912791024</v>
      </c>
    </row>
    <row r="21" spans="1:9" s="9" customFormat="1" x14ac:dyDescent="0.25">
      <c r="A21" s="49" t="s">
        <v>228</v>
      </c>
      <c r="B21" s="50">
        <f>IF(125254.88317="","-",125254.88317)</f>
        <v>125254.88317</v>
      </c>
      <c r="C21" s="50">
        <f>IF(OR(140126.14121="",125254.88317=""),"-",125254.88317/140126.14121*100)</f>
        <v>89.387235021541628</v>
      </c>
      <c r="D21" s="50">
        <f>IF(140126.14121="","-",140126.14121/2025977.54466*100)</f>
        <v>6.9164705985680612</v>
      </c>
      <c r="E21" s="50">
        <f>IF(125254.88317="","-",125254.88317/1755499.84492*100)</f>
        <v>7.1349982475052851</v>
      </c>
      <c r="F21" s="50">
        <f>IF(OR(1959536.20883="",144887.12586="",140126.14121=""),"-",(140126.14121-144887.12586)/1959536.20883*100)</f>
        <v>-0.24296487242982295</v>
      </c>
      <c r="G21" s="50">
        <f>IF(OR(2025977.54466="",125254.88317="",140126.14121=""),"-",(125254.88317-140126.14121)/2025977.54466*100)</f>
        <v>-0.73402876943020112</v>
      </c>
    </row>
    <row r="22" spans="1:9" s="9" customFormat="1" x14ac:dyDescent="0.25">
      <c r="A22" s="49" t="s">
        <v>229</v>
      </c>
      <c r="B22" s="50">
        <f>IF(6178.1754="","-",6178.1754)</f>
        <v>6178.1754000000001</v>
      </c>
      <c r="C22" s="50">
        <f>IF(OR(18519.21792="",6178.1754=""),"-",6178.1754/18519.21792*100)</f>
        <v>33.360887196687841</v>
      </c>
      <c r="D22" s="50">
        <f>IF(18519.21792="","-",18519.21792/2025977.54466*100)</f>
        <v>0.91408801488507607</v>
      </c>
      <c r="E22" s="50">
        <f>IF(6178.1754="","-",6178.1754/1755499.84492*100)</f>
        <v>0.35193255173893484</v>
      </c>
      <c r="F22" s="50">
        <f>IF(OR(1959536.20883="",16402.51669="",18519.21792=""),"-",(18519.21792-16402.51669)/1959536.20883*100)</f>
        <v>0.10802052141020853</v>
      </c>
      <c r="G22" s="50">
        <f>IF(OR(2025977.54466="",6178.1754="",18519.21792=""),"-",(6178.1754-18519.21792)/2025977.54466*100)</f>
        <v>-0.60914014336082267</v>
      </c>
    </row>
    <row r="23" spans="1:9" s="9" customFormat="1" ht="25.5" x14ac:dyDescent="0.25">
      <c r="A23" s="39" t="s">
        <v>25</v>
      </c>
      <c r="B23" s="48">
        <f>IF(152372.35437="","-",152372.35437)</f>
        <v>152372.35436999999</v>
      </c>
      <c r="C23" s="48">
        <f>IF(213543.51162="","-",152372.35437/213543.51162*100)</f>
        <v>71.354242146746245</v>
      </c>
      <c r="D23" s="48">
        <f>IF(213543.51162="","-",213543.51162/2025977.54466*100)</f>
        <v>10.540270408369059</v>
      </c>
      <c r="E23" s="48">
        <f>IF(152372.35437="","-",152372.35437/1755499.84492*100)</f>
        <v>8.6797133483622577</v>
      </c>
      <c r="F23" s="48">
        <f>IF(1959536.20883="","-",(213543.51162-190420.18462)/1959536.20883*100)</f>
        <v>1.180040812504632</v>
      </c>
      <c r="G23" s="48">
        <f>IF(2025977.54466="","-",(152372.35437-213543.51162)/2025977.54466*100)</f>
        <v>-3.0193403382595627</v>
      </c>
      <c r="H23" s="7"/>
    </row>
    <row r="24" spans="1:9" s="9" customFormat="1" x14ac:dyDescent="0.25">
      <c r="A24" s="49" t="s">
        <v>236</v>
      </c>
      <c r="B24" s="50">
        <f>IF(956.5476="","-",956.5476)</f>
        <v>956.54759999999999</v>
      </c>
      <c r="C24" s="50">
        <f>IF(OR(1189.68379="",956.5476=""),"-",956.5476/1189.68379*100)</f>
        <v>80.403516299066325</v>
      </c>
      <c r="D24" s="50">
        <f>IF(1189.68379="","-",1189.68379/2025977.54466*100)</f>
        <v>5.872146969919418E-2</v>
      </c>
      <c r="E24" s="50">
        <f>IF(956.5476="","-",956.5476/1755499.84492*100)</f>
        <v>5.4488617744286427E-2</v>
      </c>
      <c r="F24" s="50">
        <f>IF(OR(1959536.20883="",2309.99206="",1189.68379=""),"-",(1189.68379-2309.99206)/1959536.20883*100)</f>
        <v>-5.7172113735469765E-2</v>
      </c>
      <c r="G24" s="50">
        <f>IF(OR(2025977.54466="",956.5476="",1189.68379=""),"-",(956.5476-1189.68379)/2025977.54466*100)</f>
        <v>-1.1507343238551297E-2</v>
      </c>
      <c r="H24" s="8"/>
    </row>
    <row r="25" spans="1:9" s="9" customFormat="1" x14ac:dyDescent="0.25">
      <c r="A25" s="49" t="s">
        <v>230</v>
      </c>
      <c r="B25" s="50">
        <f>IF(122879.42121="","-",122879.42121)</f>
        <v>122879.42121</v>
      </c>
      <c r="C25" s="50">
        <f>IF(OR(186954.06949="",122879.42121=""),"-",122879.42121/186954.06949*100)</f>
        <v>65.727064163517824</v>
      </c>
      <c r="D25" s="50">
        <f>IF(186954.06949="","-",186954.06949/2025977.54466*100)</f>
        <v>9.2278450954585818</v>
      </c>
      <c r="E25" s="50">
        <f>IF(122879.42121="","-",122879.42121/1755499.84492*100)</f>
        <v>6.9996828291146755</v>
      </c>
      <c r="F25" s="50">
        <f>IF(OR(1959536.20883="",159882.63234="",186954.06949=""),"-",(186954.06949-159882.63234)/1959536.20883*100)</f>
        <v>1.3815226801123415</v>
      </c>
      <c r="G25" s="50">
        <f>IF(OR(2025977.54466="",122879.42121="",186954.06949=""),"-",(122879.42121-186954.06949)/2025977.54466*100)</f>
        <v>-3.1626534286564869</v>
      </c>
      <c r="H25" s="8"/>
    </row>
    <row r="26" spans="1:9" s="9" customFormat="1" ht="25.5" x14ac:dyDescent="0.25">
      <c r="A26" s="49" t="s">
        <v>231</v>
      </c>
      <c r="B26" s="50">
        <f>IF(0.14712="","-",0.14712)</f>
        <v>0.14712</v>
      </c>
      <c r="C26" s="50">
        <f>IF(OR(0.58557="",0.14712=""),"-",0.14712/0.58557*100)</f>
        <v>25.124237922024694</v>
      </c>
      <c r="D26" s="50">
        <f>IF(0.58557="","-",0.58557/2025977.54466*100)</f>
        <v>2.8903084416874452E-5</v>
      </c>
      <c r="E26" s="50">
        <f>IF(0.14712="","-",0.14712/1755499.84492*100)</f>
        <v>8.3805191111654247E-6</v>
      </c>
      <c r="F26" s="50">
        <f>IF(OR(1959536.20883="",0.93688="",0.58557=""),"-",(0.58557-0.93688)/1959536.20883*100)</f>
        <v>-1.7928221913784398E-5</v>
      </c>
      <c r="G26" s="50">
        <f>IF(OR(2025977.54466="",0.14712="",0.58557=""),"-",(0.14712-0.58557)/2025977.54466*100)</f>
        <v>-2.1641404721175269E-5</v>
      </c>
      <c r="H26" s="8"/>
    </row>
    <row r="27" spans="1:9" s="9" customFormat="1" ht="14.25" customHeight="1" x14ac:dyDescent="0.25">
      <c r="A27" s="49" t="s">
        <v>232</v>
      </c>
      <c r="B27" s="50">
        <f>IF(1187.94875="","-",1187.94875)</f>
        <v>1187.94875</v>
      </c>
      <c r="C27" s="50" t="s">
        <v>243</v>
      </c>
      <c r="D27" s="50">
        <f>IF(660.93957="","-",660.93957/2025977.54466*100)</f>
        <v>3.2623242628827806E-2</v>
      </c>
      <c r="E27" s="50">
        <f>IF(1187.94875="","-",1187.94875/1755499.84492*100)</f>
        <v>6.7670114209217494E-2</v>
      </c>
      <c r="F27" s="50">
        <f>IF(OR(1959536.20883="",637.81425="",660.93957=""),"-",(660.93957-637.81425)/1959536.20883*100)</f>
        <v>1.1801425202450154E-3</v>
      </c>
      <c r="G27" s="50">
        <f>IF(OR(2025977.54466="",1187.94875="",660.93957=""),"-",(1187.94875-660.93957)/2025977.54466*100)</f>
        <v>2.6012587424232424E-2</v>
      </c>
      <c r="H27" s="8"/>
    </row>
    <row r="28" spans="1:9" s="9" customFormat="1" x14ac:dyDescent="0.25">
      <c r="A28" s="49" t="s">
        <v>183</v>
      </c>
      <c r="B28" s="50">
        <f>IF(1397.43991="","-",1397.43991)</f>
        <v>1397.4399100000001</v>
      </c>
      <c r="C28" s="50">
        <f>IF(OR(2045.16042="",1397.43991=""),"-",1397.43991/2045.16042*100)</f>
        <v>68.329109850463482</v>
      </c>
      <c r="D28" s="50">
        <f>IF(2045.16042="","-",2045.16042/2025977.54466*100)</f>
        <v>0.10094684540756939</v>
      </c>
      <c r="E28" s="50">
        <f>IF(1397.43991="","-",1397.43991/1755499.84492*100)</f>
        <v>7.9603533662726295E-2</v>
      </c>
      <c r="F28" s="50">
        <f>IF(OR(1959536.20883="",2401.78805="",2045.16042=""),"-",(2045.16042-2401.78805)/1959536.20883*100)</f>
        <v>-1.8199593781067992E-2</v>
      </c>
      <c r="G28" s="50">
        <f>IF(OR(2025977.54466="",1397.43991="",2045.16042=""),"-",(1397.43991-2045.16042)/2025977.54466*100)</f>
        <v>-3.1970764518453758E-2</v>
      </c>
      <c r="H28" s="8"/>
    </row>
    <row r="29" spans="1:9" s="9" customFormat="1" ht="38.25" x14ac:dyDescent="0.25">
      <c r="A29" s="49" t="s">
        <v>184</v>
      </c>
      <c r="B29" s="50">
        <f>IF(144.40905="","-",144.40905)</f>
        <v>144.40905000000001</v>
      </c>
      <c r="C29" s="50">
        <f>IF(OR(261.67072="",144.40905=""),"-",144.40905/261.67072*100)</f>
        <v>55.187317098374635</v>
      </c>
      <c r="D29" s="50">
        <f>IF(261.67072="","-",261.67072/2025977.54466*100)</f>
        <v>1.2915775927018662E-2</v>
      </c>
      <c r="E29" s="50">
        <f>IF(144.40905="","-",144.40905/1755499.84492*100)</f>
        <v>8.2260930080902891E-3</v>
      </c>
      <c r="F29" s="50">
        <f>IF(OR(1959536.20883="",306.89185="",261.67072=""),"-",(261.67072-306.89185)/1959536.20883*100)</f>
        <v>-2.3077465880051583E-3</v>
      </c>
      <c r="G29" s="50">
        <f>IF(OR(2025977.54466="",144.40905="",261.67072=""),"-",(144.40905-261.67072)/2025977.54466*100)</f>
        <v>-5.7879057104593375E-3</v>
      </c>
      <c r="H29" s="8"/>
    </row>
    <row r="30" spans="1:9" s="9" customFormat="1" ht="38.25" x14ac:dyDescent="0.25">
      <c r="A30" s="49" t="s">
        <v>185</v>
      </c>
      <c r="B30" s="50">
        <f>IF(6526.07934="","-",6526.07934)</f>
        <v>6526.0793400000002</v>
      </c>
      <c r="C30" s="50">
        <f>IF(OR(7286.39701="",6526.07934=""),"-",6526.07934/7286.39701*100)</f>
        <v>89.565245086748305</v>
      </c>
      <c r="D30" s="50">
        <f>IF(7286.39701="","-",7286.39701/2025977.54466*100)</f>
        <v>0.35964845855301936</v>
      </c>
      <c r="E30" s="50">
        <f>IF(6526.07934="","-",6526.07934/1755499.84492*100)</f>
        <v>0.37175049367762264</v>
      </c>
      <c r="F30" s="50">
        <f>IF(OR(1959536.20883="",9071.58163="",7286.39701=""),"-",(7286.39701-9071.58163)/1959536.20883*100)</f>
        <v>-9.1102405352636945E-2</v>
      </c>
      <c r="G30" s="50">
        <f>IF(OR(2025977.54466="",6526.07934="",7286.39701=""),"-",(6526.07934-7286.39701)/2025977.54466*100)</f>
        <v>-3.752843519929517E-2</v>
      </c>
      <c r="H30" s="8"/>
    </row>
    <row r="31" spans="1:9" s="9" customFormat="1" ht="15.75" customHeight="1" x14ac:dyDescent="0.25">
      <c r="A31" s="49" t="s">
        <v>186</v>
      </c>
      <c r="B31" s="50">
        <f>IF(16248.21408="","-",16248.21408)</f>
        <v>16248.21408</v>
      </c>
      <c r="C31" s="50">
        <f>IF(OR(12563.16576="",16248.21408=""),"-",16248.21408/12563.16576*100)</f>
        <v>129.33216348806656</v>
      </c>
      <c r="D31" s="50">
        <f>IF(12563.16576="","-",12563.16576/2025977.54466*100)</f>
        <v>0.62010389962680224</v>
      </c>
      <c r="E31" s="50">
        <f>IF(16248.21408="","-",16248.21408/1755499.84492*100)</f>
        <v>0.92556055342405619</v>
      </c>
      <c r="F31" s="50">
        <f>IF(OR(1959536.20883="",13019.53707="",12563.16576=""),"-",(12563.16576-13019.53707)/1959536.20883*100)</f>
        <v>-2.3289761523339784E-2</v>
      </c>
      <c r="G31" s="50">
        <f>IF(OR(2025977.54466="",16248.21408="",12563.16576=""),"-",(16248.21408-12563.16576)/2025977.54466*100)</f>
        <v>0.18188988963440983</v>
      </c>
    </row>
    <row r="32" spans="1:9" s="9" customFormat="1" ht="25.5" x14ac:dyDescent="0.25">
      <c r="A32" s="49" t="s">
        <v>187</v>
      </c>
      <c r="B32" s="50">
        <f>IF(3032.14731="","-",3032.14731)</f>
        <v>3032.1473099999998</v>
      </c>
      <c r="C32" s="50">
        <f>IF(OR(2581.83929="",3032.14731=""),"-",3032.14731/2581.83929*100)</f>
        <v>117.44136522145807</v>
      </c>
      <c r="D32" s="50">
        <f>IF(2581.83929="","-",2581.83929/2025977.54466*100)</f>
        <v>0.12743671798362824</v>
      </c>
      <c r="E32" s="50">
        <f>IF(3032.14731="","-",3032.14731/1755499.84492*100)</f>
        <v>0.17272273300247301</v>
      </c>
      <c r="F32" s="50">
        <f>IF(OR(1959536.20883="",2789.01049="",2581.83929=""),"-",(2581.83929-2789.01049)/1959536.20883*100)</f>
        <v>-1.0572460925521658E-2</v>
      </c>
      <c r="G32" s="50">
        <f>IF(OR(2025977.54466="",3032.14731="",2581.83929=""),"-",(3032.14731-2581.83929)/2025977.54466*100)</f>
        <v>2.222670340976414E-2</v>
      </c>
    </row>
    <row r="33" spans="1:7" s="9" customFormat="1" ht="25.5" x14ac:dyDescent="0.25">
      <c r="A33" s="39" t="s">
        <v>188</v>
      </c>
      <c r="B33" s="48">
        <f>IF(8787.4272="","-",8787.4272)</f>
        <v>8787.4272000000001</v>
      </c>
      <c r="C33" s="48">
        <f>IF(8428.68014="","-",8787.4272/8428.68014*100)</f>
        <v>104.25626615367088</v>
      </c>
      <c r="D33" s="48">
        <f>IF(8428.68014="","-",8428.68014/2025977.54466*100)</f>
        <v>0.41603028435413897</v>
      </c>
      <c r="E33" s="48">
        <f>IF(8787.4272="","-",8787.4272/1755499.84492*100)</f>
        <v>0.50056553553272753</v>
      </c>
      <c r="F33" s="48">
        <f>IF(1959536.20883="","-",(8428.68014-13989.81441)/1959536.20883*100)</f>
        <v>-0.28379849501839227</v>
      </c>
      <c r="G33" s="48">
        <f>IF(2025977.54466="","-",(8787.4272-8428.68014)/2025977.54466*100)</f>
        <v>1.7707356181985951E-2</v>
      </c>
    </row>
    <row r="34" spans="1:7" s="9" customFormat="1" x14ac:dyDescent="0.25">
      <c r="A34" s="49" t="s">
        <v>233</v>
      </c>
      <c r="B34" s="50">
        <f>IF(56.85568="","-",56.85568)</f>
        <v>56.85568</v>
      </c>
      <c r="C34" s="50" t="s">
        <v>281</v>
      </c>
      <c r="D34" s="50">
        <f>IF(3.98403="","-",3.98403/2025977.54466*100)</f>
        <v>1.9664729308086192E-4</v>
      </c>
      <c r="E34" s="50">
        <f>IF(56.85568="","-",56.85568/1755499.84492*100)</f>
        <v>3.2387174607008281E-3</v>
      </c>
      <c r="F34" s="50">
        <f>IF(OR(1959536.20883="",18.25726="",3.98403=""),"-",(3.98403-18.25726)/1959536.20883*100)</f>
        <v>-7.283983799677915E-4</v>
      </c>
      <c r="G34" s="50">
        <f>IF(OR(2025977.54466="",56.85568="",3.98403=""),"-",(56.85568-3.98403)/2025977.54466*100)</f>
        <v>2.6096858841973465E-3</v>
      </c>
    </row>
    <row r="35" spans="1:7" s="9" customFormat="1" ht="25.5" x14ac:dyDescent="0.25">
      <c r="A35" s="49" t="s">
        <v>189</v>
      </c>
      <c r="B35" s="50">
        <f>IF(8199.63215="","-",8199.63215)</f>
        <v>8199.6321499999995</v>
      </c>
      <c r="C35" s="50">
        <f>IF(OR(8419.05824="",8199.63215=""),"-",8199.63215/8419.05824*100)</f>
        <v>97.393697920303239</v>
      </c>
      <c r="D35" s="50">
        <f>IF(8419.05824="","-",8419.05824/2025977.54466*100)</f>
        <v>0.41555535806360028</v>
      </c>
      <c r="E35" s="50">
        <f>IF(8199.63215="","-",8199.63215/1755499.84492*100)</f>
        <v>0.46708247646548007</v>
      </c>
      <c r="F35" s="50">
        <f>IF(OR(1959536.20883="",13955.85802="",8419.05824=""),"-",(8419.05824-13955.85802)/1959536.20883*100)</f>
        <v>-0.28255664554960752</v>
      </c>
      <c r="G35" s="50">
        <f>IF(OR(2025977.54466="",8199.63215="",8419.05824=""),"-",(8199.63215-8419.05824)/2025977.54466*100)</f>
        <v>-1.0830627939502901E-2</v>
      </c>
    </row>
    <row r="36" spans="1:7" s="9" customFormat="1" ht="25.5" x14ac:dyDescent="0.25">
      <c r="A36" s="49" t="s">
        <v>234</v>
      </c>
      <c r="B36" s="50">
        <f>IF(525.37764="","-",525.37764)</f>
        <v>525.37764000000004</v>
      </c>
      <c r="C36" s="50" t="str">
        <f>IF(OR(""="",525.37764=""),"-",525.37764/""*100)</f>
        <v>-</v>
      </c>
      <c r="D36" s="50" t="str">
        <f>IF(""="","-",""/2025977.54466*100)</f>
        <v>-</v>
      </c>
      <c r="E36" s="50">
        <f>IF(525.37764="","-",525.37764/1755499.84492*100)</f>
        <v>2.9927524147627713E-2</v>
      </c>
      <c r="F36" s="50" t="str">
        <f>IF(OR(1959536.20883="",9.38137="",""=""),"-",(""-9.38137)/1959536.20883*100)</f>
        <v>-</v>
      </c>
      <c r="G36" s="50" t="str">
        <f>IF(OR(2025977.54466="",525.37764="",""=""),"-",(525.37764-"")/2025977.54466*100)</f>
        <v>-</v>
      </c>
    </row>
    <row r="37" spans="1:7" s="9" customFormat="1" x14ac:dyDescent="0.25">
      <c r="A37" s="49" t="s">
        <v>190</v>
      </c>
      <c r="B37" s="50">
        <f>IF(5.56173="","-",5.56173)</f>
        <v>5.5617299999999998</v>
      </c>
      <c r="C37" s="50">
        <f>IF(OR(5.63787="",5.56173=""),"-",5.56173/5.63787*100)</f>
        <v>98.649489966955599</v>
      </c>
      <c r="D37" s="50">
        <f>IF(5.63787="","-",5.63787/2025977.54466*100)</f>
        <v>2.7827899745780003E-4</v>
      </c>
      <c r="E37" s="50">
        <f>IF(5.56173="","-",5.56173/1755499.84492*100)</f>
        <v>3.1681745891885588E-4</v>
      </c>
      <c r="F37" s="50">
        <f>IF(OR(1959536.20883="",6.31776="",5.63787=""),"-",(5.63787-6.31776)/1959536.20883*100)</f>
        <v>-3.469647546885333E-5</v>
      </c>
      <c r="G37" s="50">
        <f>IF(OR(2025977.54466="",5.56173="",5.63787=""),"-",(5.56173-5.63787)/2025977.54466*100)</f>
        <v>-3.7581857805229712E-6</v>
      </c>
    </row>
    <row r="38" spans="1:7" s="9" customFormat="1" ht="25.5" x14ac:dyDescent="0.25">
      <c r="A38" s="39" t="s">
        <v>191</v>
      </c>
      <c r="B38" s="48">
        <f>IF(70117.02573="","-",70117.02573)</f>
        <v>70117.025729999994</v>
      </c>
      <c r="C38" s="48" t="s">
        <v>243</v>
      </c>
      <c r="D38" s="48">
        <f>IF(39837.63036="","-",39837.63036/2025977.54466*100)</f>
        <v>1.9663411603451686</v>
      </c>
      <c r="E38" s="48">
        <f>IF(70117.02573="","-",70117.02573/1755499.84492*100)</f>
        <v>3.994134544238328</v>
      </c>
      <c r="F38" s="48">
        <f>IF(1959536.20883="","-",(39837.63036-49665.2843)/1959536.20883*100)</f>
        <v>-0.50152959132446417</v>
      </c>
      <c r="G38" s="48">
        <f>IF(2025977.54466="","-",(70117.02573-39837.63036)/2025977.54466*100)</f>
        <v>1.4945573039449205</v>
      </c>
    </row>
    <row r="39" spans="1:7" s="9" customFormat="1" x14ac:dyDescent="0.25">
      <c r="A39" s="49" t="s">
        <v>237</v>
      </c>
      <c r="B39" s="50">
        <f>IF(3.3692="","-",3.3692)</f>
        <v>3.3692000000000002</v>
      </c>
      <c r="C39" s="50" t="str">
        <f>IF(OR(""="",3.3692=""),"-",3.3692/""*100)</f>
        <v>-</v>
      </c>
      <c r="D39" s="50" t="str">
        <f>IF(""="","-",""/2025977.54466*100)</f>
        <v>-</v>
      </c>
      <c r="E39" s="50">
        <f>IF(3.3692="","-",3.3692/1755499.84492*100)</f>
        <v>1.9192254614830445E-4</v>
      </c>
      <c r="F39" s="50" t="str">
        <f>IF(OR(1959536.20883="",0.01755="",""=""),"-",(""-0.01755)/1959536.20883*100)</f>
        <v>-</v>
      </c>
      <c r="G39" s="50" t="str">
        <f>IF(OR(2025977.54466="",3.3692="",""=""),"-",(3.3692-"")/2025977.54466*100)</f>
        <v>-</v>
      </c>
    </row>
    <row r="40" spans="1:7" s="9" customFormat="1" ht="25.5" x14ac:dyDescent="0.25">
      <c r="A40" s="49" t="s">
        <v>192</v>
      </c>
      <c r="B40" s="50">
        <f>IF(70088.70819="","-",70088.70819)</f>
        <v>70088.708190000005</v>
      </c>
      <c r="C40" s="50" t="s">
        <v>243</v>
      </c>
      <c r="D40" s="50">
        <f>IF(39820.63982="","-",39820.63982/2025977.54466*100)</f>
        <v>1.9655025261734924</v>
      </c>
      <c r="E40" s="50">
        <f>IF(70088.70819="","-",70088.70819/1755499.84492*100)</f>
        <v>3.992521468618758</v>
      </c>
      <c r="F40" s="50">
        <f>IF(OR(1959536.20883="",49491.52137="",39820.63982=""),"-",(39820.63982-49491.52137)/1959536.20883*100)</f>
        <v>-0.49352910685811197</v>
      </c>
      <c r="G40" s="50">
        <f>IF(OR(2025977.54466="",70088.70819="",39820.63982=""),"-",(70088.70819-39820.63982)/2025977.54466*100)</f>
        <v>1.4939982158133742</v>
      </c>
    </row>
    <row r="41" spans="1:7" s="9" customFormat="1" ht="63.75" x14ac:dyDescent="0.25">
      <c r="A41" s="49" t="s">
        <v>235</v>
      </c>
      <c r="B41" s="50">
        <f>IF(24.94834="","-",24.94834)</f>
        <v>24.948340000000002</v>
      </c>
      <c r="C41" s="50">
        <f>IF(OR(16.99054="",24.94834=""),"-",24.94834/16.99054*100)</f>
        <v>146.83665145427986</v>
      </c>
      <c r="D41" s="50">
        <f>IF(16.99054="","-",16.99054/2025977.54466*100)</f>
        <v>8.386341716759431E-4</v>
      </c>
      <c r="E41" s="50">
        <f>IF(24.94834="","-",24.94834/1755499.84492*100)</f>
        <v>1.4211530734220556E-3</v>
      </c>
      <c r="F41" s="50">
        <f>IF(OR(1959536.20883="",173.74538="",16.99054=""),"-",(16.99054-173.74538)/1959536.20883*100)</f>
        <v>-7.9995888462604733E-3</v>
      </c>
      <c r="G41" s="50">
        <f>IF(OR(2025977.54466="",24.94834="",16.99054=""),"-",(24.94834-16.99054)/2025977.54466*100)</f>
        <v>3.9278816396434854E-4</v>
      </c>
    </row>
    <row r="42" spans="1:7" s="9" customFormat="1" ht="25.5" x14ac:dyDescent="0.25">
      <c r="A42" s="39" t="s">
        <v>193</v>
      </c>
      <c r="B42" s="48">
        <f>IF(91285.74188="","-",91285.74188)</f>
        <v>91285.741880000001</v>
      </c>
      <c r="C42" s="48">
        <f>IF(93043.41309="","-",91285.74188/93043.41309*100)</f>
        <v>98.11091279691145</v>
      </c>
      <c r="D42" s="48">
        <f>IF(93043.41309="","-",93043.41309/2025977.54466*100)</f>
        <v>4.5925194647512528</v>
      </c>
      <c r="E42" s="48">
        <f>IF(91285.74188="","-",91285.74188/1755499.84492*100)</f>
        <v>5.1999857558608893</v>
      </c>
      <c r="F42" s="48">
        <f>IF(1959536.20883="","-",(93043.41309-93629.77426)/1959536.20883*100)</f>
        <v>-2.9923466959057027E-2</v>
      </c>
      <c r="G42" s="48">
        <f>IF(2025977.54466="","-",(91285.74188-93043.41309)/2025977.54466*100)</f>
        <v>-8.6756697507966371E-2</v>
      </c>
    </row>
    <row r="43" spans="1:7" s="9" customFormat="1" x14ac:dyDescent="0.25">
      <c r="A43" s="49" t="s">
        <v>26</v>
      </c>
      <c r="B43" s="50">
        <f>IF(36850.92737="","-",36850.92737)</f>
        <v>36850.927369999998</v>
      </c>
      <c r="C43" s="50" t="s">
        <v>247</v>
      </c>
      <c r="D43" s="50">
        <f>IF(15697.93081="","-",15697.93081/2025977.54466*100)</f>
        <v>0.77483241862063335</v>
      </c>
      <c r="E43" s="50">
        <f>IF(36850.92737="","-",36850.92737/1755499.84492*100)</f>
        <v>2.0991700726512645</v>
      </c>
      <c r="F43" s="50">
        <f>IF(OR(1959536.20883="",19814.44755="",15697.93081=""),"-",(15697.93081-19814.44755)/1959536.20883*100)</f>
        <v>-0.21007607419808236</v>
      </c>
      <c r="G43" s="50">
        <f>IF(OR(2025977.54466="",36850.92737="",15697.93081=""),"-",(36850.92737-15697.93081)/2025977.54466*100)</f>
        <v>1.0440884014610292</v>
      </c>
    </row>
    <row r="44" spans="1:7" s="9" customFormat="1" x14ac:dyDescent="0.25">
      <c r="A44" s="49" t="s">
        <v>27</v>
      </c>
      <c r="B44" s="50">
        <f>IF(1220.67711="","-",1220.67711)</f>
        <v>1220.6771100000001</v>
      </c>
      <c r="C44" s="50">
        <f>IF(OR(1034.86894="",1220.67711=""),"-",1220.67711/1034.86894*100)</f>
        <v>117.95475376814382</v>
      </c>
      <c r="D44" s="50">
        <f>IF(1034.86894="","-",1034.86894/2025977.54466*100)</f>
        <v>5.1079980759296713E-2</v>
      </c>
      <c r="E44" s="50">
        <f>IF(1220.67711="","-",1220.67711/1755499.84492*100)</f>
        <v>6.9534447042667077E-2</v>
      </c>
      <c r="F44" s="50">
        <f>IF(OR(1959536.20883="",846.78571="",1034.86894=""),"-",(1034.86894-846.78571)/1959536.20883*100)</f>
        <v>9.5983544040914061E-3</v>
      </c>
      <c r="G44" s="50">
        <f>IF(OR(2025977.54466="",1220.67711="",1034.86894=""),"-",(1220.67711-1034.86894)/2025977.54466*100)</f>
        <v>9.1712847701469671E-3</v>
      </c>
    </row>
    <row r="45" spans="1:7" s="9" customFormat="1" x14ac:dyDescent="0.25">
      <c r="A45" s="49" t="s">
        <v>194</v>
      </c>
      <c r="B45" s="50">
        <f>IF(596.41372="","-",596.41372)</f>
        <v>596.41372000000001</v>
      </c>
      <c r="C45" s="50">
        <f>IF(OR(662.68057="",596.41372=""),"-",596.41372/662.68057*100)</f>
        <v>90.000182139035715</v>
      </c>
      <c r="D45" s="50">
        <f>IF(662.68057="","-",662.68057/2025977.54466*100)</f>
        <v>3.2709176453938005E-2</v>
      </c>
      <c r="E45" s="50">
        <f>IF(596.41372="","-",596.41372/1755499.84492*100)</f>
        <v>3.3974011545821539E-2</v>
      </c>
      <c r="F45" s="50">
        <f>IF(OR(1959536.20883="",2460.43301="",662.68057=""),"-",(662.68057-2460.43301)/1959536.20883*100)</f>
        <v>-9.1743772424261683E-2</v>
      </c>
      <c r="G45" s="50">
        <f>IF(OR(2025977.54466="",596.41372="",662.68057=""),"-",(596.41372-662.68057)/2025977.54466*100)</f>
        <v>-3.2708580692152192E-3</v>
      </c>
    </row>
    <row r="46" spans="1:7" s="9" customFormat="1" x14ac:dyDescent="0.25">
      <c r="A46" s="49" t="s">
        <v>195</v>
      </c>
      <c r="B46" s="50">
        <f>IF(38677.48211="","-",38677.48211)</f>
        <v>38677.482109999997</v>
      </c>
      <c r="C46" s="50">
        <f>IF(OR(58725.97431="",38677.48211=""),"-",38677.48211/58725.97431*100)</f>
        <v>65.860945798584908</v>
      </c>
      <c r="D46" s="50">
        <f>IF(58725.97431="","-",58725.97431/2025977.54466*100)</f>
        <v>2.8986488258365868</v>
      </c>
      <c r="E46" s="50">
        <f>IF(38677.48211="","-",38677.48211/1755499.84492*100)</f>
        <v>2.2032176318285335</v>
      </c>
      <c r="F46" s="50">
        <f>IF(OR(1959536.20883="",48128.69579="",58725.97431=""),"-",(58725.97431-48128.69579)/1959536.20883*100)</f>
        <v>0.54080544530113195</v>
      </c>
      <c r="G46" s="50">
        <f>IF(OR(2025977.54466="",38677.48211="",58725.97431=""),"-",(38677.48211-58725.97431)/2025977.54466*100)</f>
        <v>-0.98957129376103448</v>
      </c>
    </row>
    <row r="47" spans="1:7" s="9" customFormat="1" ht="38.25" x14ac:dyDescent="0.25">
      <c r="A47" s="49" t="s">
        <v>196</v>
      </c>
      <c r="B47" s="50">
        <f>IF(8913.30984="","-",8913.30984)</f>
        <v>8913.3098399999999</v>
      </c>
      <c r="C47" s="50">
        <f>IF(OR(11749.5945="",8913.30984=""),"-",8913.30984/11749.5945*100)</f>
        <v>75.860574081939603</v>
      </c>
      <c r="D47" s="50">
        <f>IF(11749.5945="","-",11749.5945/2025977.54466*100)</f>
        <v>0.57994692640938528</v>
      </c>
      <c r="E47" s="50">
        <f>IF(8913.30984="","-",8913.30984/1755499.84492*100)</f>
        <v>0.50773629321546243</v>
      </c>
      <c r="F47" s="50">
        <f>IF(OR(1959536.20883="",17175.70891="",11749.5945=""),"-",(11749.5945-17175.70891)/1959536.20883*100)</f>
        <v>-0.27690809618873163</v>
      </c>
      <c r="G47" s="50">
        <f>IF(OR(2025977.54466="",8913.30984="",11749.5945=""),"-",(8913.30984-11749.5945)/2025977.54466*100)</f>
        <v>-0.13999585866466183</v>
      </c>
    </row>
    <row r="48" spans="1:7" s="9" customFormat="1" x14ac:dyDescent="0.25">
      <c r="A48" s="49" t="s">
        <v>197</v>
      </c>
      <c r="B48" s="50">
        <f>IF(2.26425="","-",2.26425)</f>
        <v>2.2642500000000001</v>
      </c>
      <c r="C48" s="50">
        <f>IF(OR(44.34774="",2.26425=""),"-",2.26425/44.34774*100)</f>
        <v>5.1056716757156053</v>
      </c>
      <c r="D48" s="50">
        <f>IF(44.34774="","-",44.34774/2025977.54466*100)</f>
        <v>2.1889551597889232E-3</v>
      </c>
      <c r="E48" s="50">
        <f>IF(2.26425="","-",2.26425/1755499.84492*100)</f>
        <v>1.2898035887341159E-4</v>
      </c>
      <c r="F48" s="50">
        <f>IF(OR(1959536.20883="",15.69622="",44.34774=""),"-",(44.34774-15.69622)/1959536.20883*100)</f>
        <v>1.4621582326925847E-3</v>
      </c>
      <c r="G48" s="50">
        <f>IF(OR(2025977.54466="",2.26425="",44.34774=""),"-",(2.26425-44.34774)/2025977.54466*100)</f>
        <v>-2.0771942962014649E-3</v>
      </c>
    </row>
    <row r="49" spans="1:7" x14ac:dyDescent="0.25">
      <c r="A49" s="49" t="s">
        <v>28</v>
      </c>
      <c r="B49" s="50">
        <f>IF(1507.04652="","-",1507.04652)</f>
        <v>1507.0465200000001</v>
      </c>
      <c r="C49" s="50">
        <f>IF(OR(1604.469="",1507.04652=""),"-",1507.04652/1604.469*100)</f>
        <v>93.928054702209892</v>
      </c>
      <c r="D49" s="50">
        <f>IF(1604.469="","-",1604.469/2025977.54466*100)</f>
        <v>7.9194806686234145E-2</v>
      </c>
      <c r="E49" s="50">
        <f>IF(1507.04652="","-",1507.04652/1755499.84492*100)</f>
        <v>8.5847146290615461E-2</v>
      </c>
      <c r="F49" s="50">
        <f>IF(OR(1959536.20883="",1766.96188="",1604.469=""),"-",(1604.469-1766.96188)/1959536.20883*100)</f>
        <v>-8.2924152800943271E-3</v>
      </c>
      <c r="G49" s="50">
        <f>IF(OR(2025977.54466="",1507.04652="",1604.469=""),"-",(1507.04652-1604.469)/2025977.54466*100)</f>
        <v>-4.8086653406787597E-3</v>
      </c>
    </row>
    <row r="50" spans="1:7" x14ac:dyDescent="0.25">
      <c r="A50" s="49" t="s">
        <v>29</v>
      </c>
      <c r="B50" s="50">
        <f>IF(1710.16462="","-",1710.16462)</f>
        <v>1710.16462</v>
      </c>
      <c r="C50" s="50">
        <f>IF(OR(1906.78238="",1710.16462=""),"-",1710.16462/1906.78238*100)</f>
        <v>89.688505512621731</v>
      </c>
      <c r="D50" s="50">
        <f>IF(1906.78238="","-",1906.78238/2025977.54466*100)</f>
        <v>9.4116659141945072E-2</v>
      </c>
      <c r="E50" s="50">
        <f>IF(1710.16462="","-",1710.16462/1755499.84492*100)</f>
        <v>9.7417531818576375E-2</v>
      </c>
      <c r="F50" s="50">
        <f>IF(OR(1959536.20883="",1461.97665="",1906.78238=""),"-",(1906.78238-1461.97665)/1959536.20883*100)</f>
        <v>2.2699541248364308E-2</v>
      </c>
      <c r="G50" s="50">
        <f>IF(OR(2025977.54466="",1710.16462="",1906.78238=""),"-",(1710.16462-1906.78238)/2025977.54466*100)</f>
        <v>-9.7048341191262582E-3</v>
      </c>
    </row>
    <row r="51" spans="1:7" ht="14.25" customHeight="1" x14ac:dyDescent="0.25">
      <c r="A51" s="49" t="s">
        <v>198</v>
      </c>
      <c r="B51" s="50">
        <f>IF(1807.45634="","-",1807.45634)</f>
        <v>1807.45634</v>
      </c>
      <c r="C51" s="50">
        <f>IF(OR(1616.76484="",1807.45634=""),"-",1807.45634/1616.76484*100)</f>
        <v>111.79463427717786</v>
      </c>
      <c r="D51" s="50">
        <f>IF(1616.76484="","-",1616.76484/2025977.54466*100)</f>
        <v>7.9801715683444352E-2</v>
      </c>
      <c r="E51" s="50">
        <f>IF(1807.45634="","-",1807.45634/1755499.84492*100)</f>
        <v>0.10295964110907498</v>
      </c>
      <c r="F51" s="50">
        <f>IF(OR(1959536.20883="",1959.06854="",1616.76484=""),"-",(1616.76484-1959.06854)/1959536.20883*100)</f>
        <v>-1.7468608054167199E-2</v>
      </c>
      <c r="G51" s="50">
        <f>IF(OR(2025977.54466="",1807.45634="",1616.76484=""),"-",(1807.45634-1616.76484)/2025977.54466*100)</f>
        <v>9.4123205117755543E-3</v>
      </c>
    </row>
    <row r="52" spans="1:7" ht="25.5" x14ac:dyDescent="0.25">
      <c r="A52" s="39" t="s">
        <v>241</v>
      </c>
      <c r="B52" s="48">
        <f>IF(124275.43565="","-",124275.43565)</f>
        <v>124275.43565</v>
      </c>
      <c r="C52" s="48">
        <f>IF(132235.49516="","-",124275.43565/132235.49516*100)</f>
        <v>93.980391194989949</v>
      </c>
      <c r="D52" s="48">
        <f>IF(132235.49516="","-",132235.49516/2025977.54466*100)</f>
        <v>6.526997078943034</v>
      </c>
      <c r="E52" s="48">
        <f>IF(124275.43565="","-",124275.43565/1755499.84492*100)</f>
        <v>7.0792051625423733</v>
      </c>
      <c r="F52" s="48">
        <f>IF(1959536.20883="","-",(132235.49516-134865.68419)/1959536.20883*100)</f>
        <v>-0.13422507928906516</v>
      </c>
      <c r="G52" s="48">
        <f>IF(2025977.54466="","-",(124275.43565-132235.49516)/2025977.54466*100)</f>
        <v>-0.39289969086680326</v>
      </c>
    </row>
    <row r="53" spans="1:7" x14ac:dyDescent="0.25">
      <c r="A53" s="49" t="s">
        <v>199</v>
      </c>
      <c r="B53" s="50">
        <f>IF(528.16446="","-",528.16446)</f>
        <v>528.16445999999996</v>
      </c>
      <c r="C53" s="50">
        <f>IF(OR(438.98971="",528.16446=""),"-",528.16446/438.98971*100)</f>
        <v>120.31363104160231</v>
      </c>
      <c r="D53" s="50">
        <f>IF(438.98971="","-",438.98971/2025977.54466*100)</f>
        <v>2.166804420695943E-2</v>
      </c>
      <c r="E53" s="50">
        <f>IF(528.16446="","-",528.16446/1755499.84492*100)</f>
        <v>3.0086272096712659E-2</v>
      </c>
      <c r="F53" s="50">
        <f>IF(OR(1959536.20883="",1192.50315="",438.98971=""),"-",(438.98971-1192.50315)/1959536.20883*100)</f>
        <v>-3.8453662484242014E-2</v>
      </c>
      <c r="G53" s="50">
        <f>IF(OR(2025977.54466="",528.16446="",438.98971=""),"-",(528.16446-438.98971)/2025977.54466*100)</f>
        <v>4.4015665541330216E-3</v>
      </c>
    </row>
    <row r="54" spans="1:7" x14ac:dyDescent="0.25">
      <c r="A54" s="49" t="s">
        <v>30</v>
      </c>
      <c r="B54" s="50">
        <f>IF(1022.37328="","-",1022.37328)</f>
        <v>1022.37328</v>
      </c>
      <c r="C54" s="50">
        <f>IF(OR(1502.90355="",1022.37328=""),"-",1022.37328/1502.90355*100)</f>
        <v>68.026539693781416</v>
      </c>
      <c r="D54" s="50">
        <f>IF(1502.90355="","-",1502.90355/2025977.54466*100)</f>
        <v>7.4181648950715176E-2</v>
      </c>
      <c r="E54" s="50">
        <f>IF(1022.37328="","-",1022.37328/1755499.84492*100)</f>
        <v>5.823830078700979E-2</v>
      </c>
      <c r="F54" s="50">
        <f>IF(OR(1959536.20883="",1060.7984="",1502.90355=""),"-",(1502.90355-1060.7984)/1959536.20883*100)</f>
        <v>2.2561723943033043E-2</v>
      </c>
      <c r="G54" s="50">
        <f>IF(OR(2025977.54466="",1022.37328="",1502.90355=""),"-",(1022.37328-1502.90355)/2025977.54466*100)</f>
        <v>-2.3718440081755335E-2</v>
      </c>
    </row>
    <row r="55" spans="1:7" ht="15.75" customHeight="1" x14ac:dyDescent="0.25">
      <c r="A55" s="49" t="s">
        <v>200</v>
      </c>
      <c r="B55" s="50">
        <f>IF(14002.28409="","-",14002.28409)</f>
        <v>14002.284089999999</v>
      </c>
      <c r="C55" s="50">
        <f>IF(OR(15476.482="",14002.28409=""),"-",14002.28409/15476.482*100)</f>
        <v>90.474592933975558</v>
      </c>
      <c r="D55" s="50">
        <f>IF(15476.482="","-",15476.482/2025977.54466*100)</f>
        <v>0.76390195146991458</v>
      </c>
      <c r="E55" s="50">
        <f>IF(14002.28409="","-",14002.28409/1755499.84492*100)</f>
        <v>0.79762377254086836</v>
      </c>
      <c r="F55" s="50">
        <f>IF(OR(1959536.20883="",12215.21791="",15476.482=""),"-",(15476.482-12215.21791)/1959536.20883*100)</f>
        <v>0.1664304071190007</v>
      </c>
      <c r="G55" s="50">
        <f>IF(OR(2025977.54466="",14002.28409="",15476.482=""),"-",(14002.28409-15476.482)/2025977.54466*100)</f>
        <v>-7.2764770462813849E-2</v>
      </c>
    </row>
    <row r="56" spans="1:7" ht="25.5" x14ac:dyDescent="0.25">
      <c r="A56" s="49" t="s">
        <v>201</v>
      </c>
      <c r="B56" s="50">
        <f>IF(6966.63226="","-",6966.63226)</f>
        <v>6966.6322600000003</v>
      </c>
      <c r="C56" s="50">
        <f>IF(OR(8240.19053="",6966.63226=""),"-",6966.63226/8240.19053*100)</f>
        <v>84.54455312212302</v>
      </c>
      <c r="D56" s="50">
        <f>IF(8240.19053="","-",8240.19053/2025977.54466*100)</f>
        <v>0.40672664668565567</v>
      </c>
      <c r="E56" s="50">
        <f>IF(6966.63226="","-",6966.63226/1755499.84492*100)</f>
        <v>0.3968460766407802</v>
      </c>
      <c r="F56" s="50">
        <f>IF(OR(1959536.20883="",7279.40161="",8240.19053=""),"-",(8240.19053-7279.40161)/1959536.20883*100)</f>
        <v>4.9031445077183232E-2</v>
      </c>
      <c r="G56" s="50">
        <f>IF(OR(2025977.54466="",6966.63226="",8240.19053=""),"-",(6966.63226-8240.19053)/2025977.54466*100)</f>
        <v>-6.2861420816671912E-2</v>
      </c>
    </row>
    <row r="57" spans="1:7" ht="25.5" x14ac:dyDescent="0.25">
      <c r="A57" s="49" t="s">
        <v>202</v>
      </c>
      <c r="B57" s="50">
        <f>IF(42932.83274="","-",42932.83274)</f>
        <v>42932.832739999998</v>
      </c>
      <c r="C57" s="50">
        <f>IF(OR(47444.22473="",42932.83274=""),"-",42932.83274/47444.22473*100)</f>
        <v>90.49116722704639</v>
      </c>
      <c r="D57" s="50">
        <f>IF(47444.22473="","-",47444.22473/2025977.54466*100)</f>
        <v>2.3417942047310354</v>
      </c>
      <c r="E57" s="50">
        <f>IF(42932.83274="","-",42932.83274/1755499.84492*100)</f>
        <v>2.4456187144782398</v>
      </c>
      <c r="F57" s="50">
        <f>IF(OR(1959536.20883="",54156.36886="",47444.22473=""),"-",(47444.22473-54156.36886)/1959536.20883*100)</f>
        <v>-0.34253738715079363</v>
      </c>
      <c r="G57" s="50">
        <f>IF(OR(2025977.54466="",42932.83274="",47444.22473=""),"-",(42932.83274-47444.22473)/2025977.54466*100)</f>
        <v>-0.22267729481459317</v>
      </c>
    </row>
    <row r="58" spans="1:7" x14ac:dyDescent="0.25">
      <c r="A58" s="49" t="s">
        <v>31</v>
      </c>
      <c r="B58" s="50">
        <f>IF(36930.68036="","-",36930.68036)</f>
        <v>36930.680359999998</v>
      </c>
      <c r="C58" s="50">
        <f>IF(OR(37133.88082="",36930.68036=""),"-",36930.68036/37133.88082*100)</f>
        <v>99.452789593996442</v>
      </c>
      <c r="D58" s="50">
        <f>IF(37133.88082="","-",37133.88082/2025977.54466*100)</f>
        <v>1.832887087908559</v>
      </c>
      <c r="E58" s="50">
        <f>IF(36930.68036="","-",36930.68036/1755499.84492*100)</f>
        <v>2.1037131086549863</v>
      </c>
      <c r="F58" s="50">
        <f>IF(OR(1959536.20883="",37238.75811="",37133.88082=""),"-",(37133.88082-37238.75811)/1959536.20883*100)</f>
        <v>-5.3521486118709768E-3</v>
      </c>
      <c r="G58" s="50">
        <f>IF(OR(2025977.54466="",36930.68036="",37133.88082=""),"-",(36930.68036-37133.88082)/2025977.54466*100)</f>
        <v>-1.002974887533125E-2</v>
      </c>
    </row>
    <row r="59" spans="1:7" ht="15.75" customHeight="1" x14ac:dyDescent="0.25">
      <c r="A59" s="49" t="s">
        <v>203</v>
      </c>
      <c r="B59" s="50">
        <f>IF(1020.31833="","-",1020.31833)</f>
        <v>1020.3183299999999</v>
      </c>
      <c r="C59" s="50">
        <f>IF(OR(2842.73447="",1020.31833=""),"-",1020.31833/2842.73447*100)</f>
        <v>35.892143313687683</v>
      </c>
      <c r="D59" s="50">
        <f>IF(2842.73447="","-",2842.73447/2025977.54466*100)</f>
        <v>0.14031421411815639</v>
      </c>
      <c r="E59" s="50">
        <f>IF(1020.31833="","-",1020.31833/1755499.84492*100)</f>
        <v>5.8121242958383564E-2</v>
      </c>
      <c r="F59" s="50">
        <f>IF(OR(1959536.20883="",2163.68403="",2842.73447=""),"-",(2842.73447-2163.68403)/1959536.20883*100)</f>
        <v>3.4653630636682517E-2</v>
      </c>
      <c r="G59" s="50">
        <f>IF(OR(2025977.54466="",1020.31833="",2842.73447=""),"-",(1020.31833-2842.73447)/2025977.54466*100)</f>
        <v>-8.9952435297393094E-2</v>
      </c>
    </row>
    <row r="60" spans="1:7" x14ac:dyDescent="0.25">
      <c r="A60" s="49" t="s">
        <v>32</v>
      </c>
      <c r="B60" s="50">
        <f>IF(1537.90151="","-",1537.90151)</f>
        <v>1537.9015099999999</v>
      </c>
      <c r="C60" s="50">
        <f>IF(OR(1160.47145="",1537.90151=""),"-",1537.90151/1160.47145*100)</f>
        <v>132.52385571398588</v>
      </c>
      <c r="D60" s="50">
        <f>IF(1160.47145="","-",1160.47145/2025977.54466*100)</f>
        <v>5.7279581062422417E-2</v>
      </c>
      <c r="E60" s="50">
        <f>IF(1537.90151="","-",1537.90151/1755499.84492*100)</f>
        <v>8.7604764788235201E-2</v>
      </c>
      <c r="F60" s="50">
        <f>IF(OR(1959536.20883="",1667.08722="",1160.47145=""),"-",(1160.47145-1667.08722)/1959536.20883*100)</f>
        <v>-2.5853861118621025E-2</v>
      </c>
      <c r="G60" s="50">
        <f>IF(OR(2025977.54466="",1537.90151="",1160.47145=""),"-",(1537.90151-1160.47145)/2025977.54466*100)</f>
        <v>1.8629528298317852E-2</v>
      </c>
    </row>
    <row r="61" spans="1:7" x14ac:dyDescent="0.25">
      <c r="A61" s="49" t="s">
        <v>33</v>
      </c>
      <c r="B61" s="50">
        <f>IF(19334.24862="","-",19334.24862)</f>
        <v>19334.248619999998</v>
      </c>
      <c r="C61" s="50">
        <f>IF(OR(17995.6179="",19334.24862=""),"-",19334.24862/17995.6179*100)</f>
        <v>107.43864827225519</v>
      </c>
      <c r="D61" s="50">
        <f>IF(17995.6179="","-",17995.6179/2025977.54466*100)</f>
        <v>0.88824369980961615</v>
      </c>
      <c r="E61" s="50">
        <f>IF(19334.24862="","-",19334.24862/1755499.84492*100)</f>
        <v>1.1013529095971568</v>
      </c>
      <c r="F61" s="50">
        <f>IF(OR(1959536.20883="",17891.8649="",17995.6179=""),"-",(17995.6179-17891.8649)/1959536.20883*100)</f>
        <v>5.2947733005632731E-3</v>
      </c>
      <c r="G61" s="50">
        <f>IF(OR(2025977.54466="",19334.24862="",17995.6179=""),"-",(19334.24862-17995.6179)/2025977.54466*100)</f>
        <v>6.6073324629303667E-2</v>
      </c>
    </row>
    <row r="62" spans="1:7" ht="15.75" customHeight="1" x14ac:dyDescent="0.25">
      <c r="A62" s="39" t="s">
        <v>204</v>
      </c>
      <c r="B62" s="48">
        <f>IF(402667.5599="","-",402667.5599)</f>
        <v>402667.55989999999</v>
      </c>
      <c r="C62" s="48">
        <f>IF(494103.76861="","-",402667.5599/494103.76861*100)</f>
        <v>81.494533229886912</v>
      </c>
      <c r="D62" s="48">
        <f>IF(494103.76861="","-",494103.76861/2025977.54466*100)</f>
        <v>24.388412888007636</v>
      </c>
      <c r="E62" s="48">
        <f>IF(402667.5599="","-",402667.5599/1755499.84492*100)</f>
        <v>22.937487637223345</v>
      </c>
      <c r="F62" s="48">
        <f>IF(1959536.20883="","-",(494103.76861-421074.79683)/1959536.20883*100)</f>
        <v>3.7268498255311222</v>
      </c>
      <c r="G62" s="48">
        <f>IF(2025977.54466="","-",(402667.5599-494103.76861)/2025977.54466*100)</f>
        <v>-4.5131896427482312</v>
      </c>
    </row>
    <row r="63" spans="1:7" ht="25.5" x14ac:dyDescent="0.25">
      <c r="A63" s="49" t="s">
        <v>205</v>
      </c>
      <c r="B63" s="50">
        <f>IF(1364.3841="","-",1364.3841)</f>
        <v>1364.3841</v>
      </c>
      <c r="C63" s="50">
        <f>IF(OR(3588.37368="",1364.3841=""),"-",1364.3841/3588.37368*100)</f>
        <v>38.022352789077416</v>
      </c>
      <c r="D63" s="50">
        <f>IF(3588.37368="","-",3588.37368/2025977.54466*100)</f>
        <v>0.17711813684500644</v>
      </c>
      <c r="E63" s="50">
        <f>IF(1364.3841="","-",1364.3841/1755499.84492*100)</f>
        <v>7.7720548022160399E-2</v>
      </c>
      <c r="F63" s="50">
        <f>IF(OR(1959536.20883="",2255.92282="",3588.37368=""),"-",(3588.37368-2255.92282)/1959536.20883*100)</f>
        <v>6.7998277041054545E-2</v>
      </c>
      <c r="G63" s="50">
        <f>IF(OR(2025977.54466="",1364.3841="",3588.37368=""),"-",(1364.3841-3588.37368)/2025977.54466*100)</f>
        <v>-0.1097736540003572</v>
      </c>
    </row>
    <row r="64" spans="1:7" ht="25.5" x14ac:dyDescent="0.25">
      <c r="A64" s="49" t="s">
        <v>206</v>
      </c>
      <c r="B64" s="50">
        <f>IF(9832.14419="","-",9832.14419)</f>
        <v>9832.1441900000009</v>
      </c>
      <c r="C64" s="50">
        <f>IF(OR(10477.33276="",9832.14419=""),"-",9832.14419/10477.33276*100)</f>
        <v>93.842053270817388</v>
      </c>
      <c r="D64" s="50">
        <f>IF(10477.33276="","-",10477.33276/2025977.54466*100)</f>
        <v>0.51714950087259282</v>
      </c>
      <c r="E64" s="50">
        <f>IF(9832.14419="","-",9832.14419/1755499.84492*100)</f>
        <v>0.56007661968480904</v>
      </c>
      <c r="F64" s="50">
        <f>IF(OR(1959536.20883="",10770.58487="",10477.33276=""),"-",(10477.33276-10770.58487)/1959536.20883*100)</f>
        <v>-1.4965383577938387E-2</v>
      </c>
      <c r="G64" s="50">
        <f>IF(OR(2025977.54466="",9832.14419="",10477.33276=""),"-",(9832.14419-10477.33276)/2025977.54466*100)</f>
        <v>-3.1845790773968034E-2</v>
      </c>
    </row>
    <row r="65" spans="1:7" ht="25.5" x14ac:dyDescent="0.25">
      <c r="A65" s="49" t="s">
        <v>207</v>
      </c>
      <c r="B65" s="50">
        <f>IF(2276.08505="","-",2276.08505)</f>
        <v>2276.0850500000001</v>
      </c>
      <c r="C65" s="50">
        <f>IF(OR(1881.61451="",2276.08505=""),"-",2276.08505/1881.61451*100)</f>
        <v>120.9644716228299</v>
      </c>
      <c r="D65" s="50">
        <f>IF(1881.61451="","-",1881.61451/2025977.54466*100)</f>
        <v>9.2874401049483163E-2</v>
      </c>
      <c r="E65" s="50">
        <f>IF(2276.08505="","-",2276.08505/1755499.84492*100)</f>
        <v>0.12965452868517477</v>
      </c>
      <c r="F65" s="50">
        <f>IF(OR(1959536.20883="",1711.70063="",1881.61451=""),"-",(1881.61451-1711.70063)/1959536.20883*100)</f>
        <v>8.6711273430079804E-3</v>
      </c>
      <c r="G65" s="50">
        <f>IF(OR(2025977.54466="",2276.08505="",1881.61451=""),"-",(2276.08505-1881.61451)/2025977.54466*100)</f>
        <v>1.9470627452892138E-2</v>
      </c>
    </row>
    <row r="66" spans="1:7" ht="38.25" x14ac:dyDescent="0.25">
      <c r="A66" s="49" t="s">
        <v>208</v>
      </c>
      <c r="B66" s="50">
        <f>IF(15406.79804="","-",15406.79804)</f>
        <v>15406.79804</v>
      </c>
      <c r="C66" s="50">
        <f>IF(OR(17856.77746="",15406.79804=""),"-",15406.79804/17856.77746*100)</f>
        <v>86.279834502680743</v>
      </c>
      <c r="D66" s="50">
        <f>IF(17856.77746="","-",17856.77746/2025977.54466*100)</f>
        <v>0.88139068999388781</v>
      </c>
      <c r="E66" s="50">
        <f>IF(15406.79804="","-",15406.79804/1755499.84492*100)</f>
        <v>0.87763027063679988</v>
      </c>
      <c r="F66" s="50">
        <f>IF(OR(1959536.20883="",15128.47674="",17856.77746=""),"-",(17856.77746-15128.47674)/1959536.20883*100)</f>
        <v>0.13923196252796038</v>
      </c>
      <c r="G66" s="50">
        <f>IF(OR(2025977.54466="",15406.79804="",17856.77746=""),"-",(15406.79804-17856.77746)/2025977.54466*100)</f>
        <v>-0.12092826134512549</v>
      </c>
    </row>
    <row r="67" spans="1:7" ht="25.5" x14ac:dyDescent="0.25">
      <c r="A67" s="49" t="s">
        <v>209</v>
      </c>
      <c r="B67" s="50">
        <f>IF(1404.82446="","-",1404.82446)</f>
        <v>1404.82446</v>
      </c>
      <c r="C67" s="50" t="s">
        <v>104</v>
      </c>
      <c r="D67" s="50">
        <f>IF(840.0443="","-",840.0443/2025977.54466*100)</f>
        <v>4.1463653050556222E-2</v>
      </c>
      <c r="E67" s="50">
        <f>IF(1404.82446="","-",1404.82446/1755499.84492*100)</f>
        <v>8.0024185935716752E-2</v>
      </c>
      <c r="F67" s="50">
        <f>IF(OR(1959536.20883="",948.46296="",840.0443=""),"-",(840.0443-948.46296)/1959536.20883*100)</f>
        <v>-5.5328735193280534E-3</v>
      </c>
      <c r="G67" s="50">
        <f>IF(OR(2025977.54466="",1404.82446="",840.0443=""),"-",(1404.82446-840.0443)/2025977.54466*100)</f>
        <v>2.7876921019614836E-2</v>
      </c>
    </row>
    <row r="68" spans="1:7" ht="38.25" x14ac:dyDescent="0.25">
      <c r="A68" s="49" t="s">
        <v>210</v>
      </c>
      <c r="B68" s="50">
        <f>IF(1824.12796="","-",1824.12796)</f>
        <v>1824.12796</v>
      </c>
      <c r="C68" s="50">
        <f>IF(OR(2497.37914="",1824.12796=""),"-",1824.12796/2497.37914*100)</f>
        <v>73.041691218739018</v>
      </c>
      <c r="D68" s="50">
        <f>IF(2497.37914="","-",2497.37914/2025977.54466*100)</f>
        <v>0.12326785884584476</v>
      </c>
      <c r="E68" s="50">
        <f>IF(1824.12796="","-",1824.12796/1755499.84492*100)</f>
        <v>0.10390932048661772</v>
      </c>
      <c r="F68" s="50">
        <f>IF(OR(1959536.20883="",3157.38329="",2497.37914=""),"-",(2497.37914-3157.38329)/1959536.20883*100)</f>
        <v>-3.3681651149180633E-2</v>
      </c>
      <c r="G68" s="50">
        <f>IF(OR(2025977.54466="",1824.12796="",2497.37914=""),"-",(1824.12796-2497.37914)/2025977.54466*100)</f>
        <v>-3.3230930015711757E-2</v>
      </c>
    </row>
    <row r="69" spans="1:7" ht="51" x14ac:dyDescent="0.25">
      <c r="A69" s="49" t="s">
        <v>211</v>
      </c>
      <c r="B69" s="50">
        <f>IF(333787.80428="","-",333787.80428)</f>
        <v>333787.80427999998</v>
      </c>
      <c r="C69" s="50">
        <f>IF(OR(436274.51042="",333787.80428=""),"-",333787.80428/436274.51042*100)</f>
        <v>76.508665142656071</v>
      </c>
      <c r="D69" s="50">
        <f>IF(436274.51042="","-",436274.51042/2025977.54466*100)</f>
        <v>21.534024973273617</v>
      </c>
      <c r="E69" s="50">
        <f>IF(333787.80428="","-",333787.80428/1755499.84492*100)</f>
        <v>19.013832740908676</v>
      </c>
      <c r="F69" s="50">
        <f>IF(OR(1959536.20883="",371746.26765="",436274.51042=""),"-",(436274.51042-371746.26765)/1959536.20883*100)</f>
        <v>3.2930365093140352</v>
      </c>
      <c r="G69" s="50">
        <f>IF(OR(2025977.54466="",333787.80428="",436274.51042=""),"-",(333787.80428-436274.51042)/2025977.54466*100)</f>
        <v>-5.0586299147357714</v>
      </c>
    </row>
    <row r="70" spans="1:7" ht="25.5" x14ac:dyDescent="0.25">
      <c r="A70" s="49" t="s">
        <v>212</v>
      </c>
      <c r="B70" s="50">
        <f>IF(18352.75494="","-",18352.75494)</f>
        <v>18352.754939999999</v>
      </c>
      <c r="C70" s="50">
        <f>IF(OR(17753.3533="",18352.75494=""),"-",18352.75494/17753.3533*100)</f>
        <v>103.3762728081348</v>
      </c>
      <c r="D70" s="50">
        <f>IF(17753.3533="","-",17753.3533/2025977.54466*100)</f>
        <v>0.87628578839847771</v>
      </c>
      <c r="E70" s="50">
        <f>IF(18352.75494="","-",18352.75494/1755499.84492*100)</f>
        <v>1.045443267517711</v>
      </c>
      <c r="F70" s="50">
        <f>IF(OR(1959536.20883="",14931.6264="",17753.3533=""),"-",(17753.3533-14931.6264)/1959536.20883*100)</f>
        <v>0.14399973255328599</v>
      </c>
      <c r="G70" s="50">
        <f>IF(OR(2025977.54466="",18352.75494="",17753.3533=""),"-",(18352.75494-17753.3533)/2025977.54466*100)</f>
        <v>2.9585798795247347E-2</v>
      </c>
    </row>
    <row r="71" spans="1:7" x14ac:dyDescent="0.25">
      <c r="A71" s="49" t="s">
        <v>34</v>
      </c>
      <c r="B71" s="50">
        <f>IF(18418.63688="","-",18418.63688)</f>
        <v>18418.636879999998</v>
      </c>
      <c r="C71" s="50" t="s">
        <v>282</v>
      </c>
      <c r="D71" s="50">
        <f>IF(2934.38304="","-",2934.38304/2025977.54466*100)</f>
        <v>0.14483788567816772</v>
      </c>
      <c r="E71" s="50">
        <f>IF(18418.63688="","-",18418.63688/1755499.84492*100)</f>
        <v>1.049196155345679</v>
      </c>
      <c r="F71" s="50">
        <f>IF(OR(1959536.20883="",424.37147="",2934.38304=""),"-",(2934.38304-424.37147)/1959536.20883*100)</f>
        <v>0.12809212499822487</v>
      </c>
      <c r="G71" s="50">
        <f>IF(OR(2025977.54466="",18418.63688="",2934.38304=""),"-",(18418.63688-2934.38304)/2025977.54466*100)</f>
        <v>0.7642855608549487</v>
      </c>
    </row>
    <row r="72" spans="1:7" x14ac:dyDescent="0.25">
      <c r="A72" s="39" t="s">
        <v>35</v>
      </c>
      <c r="B72" s="48">
        <f>IF(367622.03902="","-",367622.03902)</f>
        <v>367622.03902000003</v>
      </c>
      <c r="C72" s="48">
        <f>IF(436498.75943="","-",367622.03902/436498.75943*100)</f>
        <v>84.220637763107888</v>
      </c>
      <c r="D72" s="48">
        <f>IF(436498.75943="","-",436498.75943/2025977.54466*100)</f>
        <v>21.545093655184282</v>
      </c>
      <c r="E72" s="48">
        <f>IF(367622.03902="","-",367622.03902/1755499.84492*100)</f>
        <v>20.94116043836808</v>
      </c>
      <c r="F72" s="48">
        <f>IF(1959536.20883="","-",(436498.75943-463174.84693)/1959536.20883*100)</f>
        <v>-1.3613470054696148</v>
      </c>
      <c r="G72" s="48">
        <f>IF(2025977.54466="","-",(367622.03902-436498.75943)/2025977.54466*100)</f>
        <v>-3.3996783721291868</v>
      </c>
    </row>
    <row r="73" spans="1:7" ht="38.25" x14ac:dyDescent="0.25">
      <c r="A73" s="49" t="s">
        <v>238</v>
      </c>
      <c r="B73" s="50">
        <f>IF(7846.84922="","-",7846.84922)</f>
        <v>7846.8492200000001</v>
      </c>
      <c r="C73" s="50">
        <f>IF(OR(6566.46409="",7846.84922=""),"-",7846.84922/6566.46409*100)</f>
        <v>119.49885223540451</v>
      </c>
      <c r="D73" s="50">
        <f>IF(6566.46409="","-",6566.46409/2025977.54466*100)</f>
        <v>0.32411336973144916</v>
      </c>
      <c r="E73" s="50">
        <f>IF(7846.84922="","-",7846.84922/1755499.84492*100)</f>
        <v>0.44698660855521688</v>
      </c>
      <c r="F73" s="50">
        <f>IF(OR(1959536.20883="",5648.18435="",6566.46409=""),"-",(6566.46409-5648.18435)/1959536.20883*100)</f>
        <v>4.6862096033851115E-2</v>
      </c>
      <c r="G73" s="50">
        <f>IF(OR(2025977.54466="",7846.84922="",6566.46409=""),"-",(7846.84922-6566.46409)/2025977.54466*100)</f>
        <v>6.3198387039125559E-2</v>
      </c>
    </row>
    <row r="74" spans="1:7" x14ac:dyDescent="0.25">
      <c r="A74" s="49" t="s">
        <v>213</v>
      </c>
      <c r="B74" s="50">
        <f>IF(93185.63482="","-",93185.63482)</f>
        <v>93185.634820000007</v>
      </c>
      <c r="C74" s="50">
        <f>IF(OR(109437.1801="",93185.63482=""),"-",93185.63482/109437.1801*100)</f>
        <v>85.149886660868006</v>
      </c>
      <c r="D74" s="50">
        <f>IF(109437.1801="","-",109437.1801/2025977.54466*100)</f>
        <v>5.4016975848745536</v>
      </c>
      <c r="E74" s="50">
        <f>IF(93185.63482="","-",93185.63482/1755499.84492*100)</f>
        <v>5.3082109400155817</v>
      </c>
      <c r="F74" s="50">
        <f>IF(OR(1959536.20883="",118408.98441="",109437.1801=""),"-",(109437.1801-118408.98441)/1959536.20883*100)</f>
        <v>-0.4578534588731531</v>
      </c>
      <c r="G74" s="50">
        <f>IF(OR(2025977.54466="",93185.63482="",109437.1801=""),"-",(93185.63482-109437.1801)/2025977.54466*100)</f>
        <v>-0.80215821359102635</v>
      </c>
    </row>
    <row r="75" spans="1:7" x14ac:dyDescent="0.25">
      <c r="A75" s="49" t="s">
        <v>214</v>
      </c>
      <c r="B75" s="50">
        <f>IF(9197.81145="","-",9197.81145)</f>
        <v>9197.8114499999992</v>
      </c>
      <c r="C75" s="50">
        <f>IF(OR(10210.6116="",9197.81145=""),"-",9197.81145/10210.6116*100)</f>
        <v>90.08090612319441</v>
      </c>
      <c r="D75" s="50">
        <f>IF(10210.6116="","-",10210.6116/2025977.54466*100)</f>
        <v>0.50398444084006599</v>
      </c>
      <c r="E75" s="50">
        <f>IF(9197.81145="","-",9197.81145/1755499.84492*100)</f>
        <v>0.52394259541613075</v>
      </c>
      <c r="F75" s="50">
        <f>IF(OR(1959536.20883="",13114.24558="",10210.6116=""),"-",(10210.6116-13114.24558)/1959536.20883*100)</f>
        <v>-0.14817965429348726</v>
      </c>
      <c r="G75" s="50">
        <f>IF(OR(2025977.54466="",9197.81145="",10210.6116=""),"-",(9197.81145-10210.6116)/2025977.54466*100)</f>
        <v>-4.999068981141986E-2</v>
      </c>
    </row>
    <row r="76" spans="1:7" x14ac:dyDescent="0.25">
      <c r="A76" s="49" t="s">
        <v>215</v>
      </c>
      <c r="B76" s="50">
        <f>IF(176155.86571="","-",176155.86571)</f>
        <v>176155.86571000001</v>
      </c>
      <c r="C76" s="50">
        <f>IF(OR(211314.59311="",176155.86571=""),"-",176155.86571/211314.59311*100)</f>
        <v>83.361902799728526</v>
      </c>
      <c r="D76" s="50">
        <f>IF(211314.59311="","-",211314.59311/2025977.54466*100)</f>
        <v>10.430253467861752</v>
      </c>
      <c r="E76" s="50">
        <f>IF(176155.86571="","-",176155.86571/1755499.84492*100)</f>
        <v>10.034513316520835</v>
      </c>
      <c r="F76" s="50">
        <f>IF(OR(1959536.20883="",236269.25074="",211314.59311=""),"-",(211314.59311-236269.25074)/1959536.20883*100)</f>
        <v>-1.2734981633689704</v>
      </c>
      <c r="G76" s="50">
        <f>IF(OR(2025977.54466="",176155.86571="",211314.59311=""),"-",(176155.86571-211314.59311)/2025977.54466*100)</f>
        <v>-1.7353957102175248</v>
      </c>
    </row>
    <row r="77" spans="1:7" x14ac:dyDescent="0.25">
      <c r="A77" s="49" t="s">
        <v>216</v>
      </c>
      <c r="B77" s="50">
        <f>IF(24664.60626="","-",24664.60626)</f>
        <v>24664.60626</v>
      </c>
      <c r="C77" s="50">
        <f>IF(OR(26757.01293="",24664.60626=""),"-",24664.60626/26757.01293*100)</f>
        <v>92.179969133796718</v>
      </c>
      <c r="D77" s="50">
        <f>IF(26757.01293="","-",26757.01293/2025977.54466*100)</f>
        <v>1.3206964213658337</v>
      </c>
      <c r="E77" s="50">
        <f>IF(24664.60626="","-",24664.60626/1755499.84492*100)</f>
        <v>1.404990512039834</v>
      </c>
      <c r="F77" s="50">
        <f>IF(OR(1959536.20883="",28078.01962="",26757.01293=""),"-",(26757.01293-28078.01962)/1959536.20883*100)</f>
        <v>-6.7414252619947518E-2</v>
      </c>
      <c r="G77" s="50">
        <f>IF(OR(2025977.54466="",24664.60626="",26757.01293=""),"-",(24664.60626-26757.01293)/2025977.54466*100)</f>
        <v>-0.1032788677996502</v>
      </c>
    </row>
    <row r="78" spans="1:7" ht="25.5" x14ac:dyDescent="0.25">
      <c r="A78" s="49" t="s">
        <v>239</v>
      </c>
      <c r="B78" s="50">
        <f>IF(15184.3266="","-",15184.3266)</f>
        <v>15184.3266</v>
      </c>
      <c r="C78" s="50">
        <f>IF(OR(20202.42999="",15184.3266=""),"-",15184.3266/20202.42999*100)</f>
        <v>75.160892068509028</v>
      </c>
      <c r="D78" s="50">
        <f>IF(20202.42999="","-",20202.42999/2025977.54466*100)</f>
        <v>0.99716949199406735</v>
      </c>
      <c r="E78" s="50">
        <f>IF(15184.3266="","-",15184.3266/1755499.84492*100)</f>
        <v>0.86495744468105973</v>
      </c>
      <c r="F78" s="50">
        <f>IF(OR(1959536.20883="",16980.22215="",20202.42999=""),"-",(20202.42999-16980.22215)/1959536.20883*100)</f>
        <v>0.16443726967025096</v>
      </c>
      <c r="G78" s="50">
        <f>IF(OR(2025977.54466="",15184.3266="",20202.42999=""),"-",(15184.3266-20202.42999)/2025977.54466*100)</f>
        <v>-0.24768800637630659</v>
      </c>
    </row>
    <row r="79" spans="1:7" ht="25.5" x14ac:dyDescent="0.25">
      <c r="A79" s="49" t="s">
        <v>217</v>
      </c>
      <c r="B79" s="50">
        <f>IF(2132.35067="","-",2132.35067)</f>
        <v>2132.3506699999998</v>
      </c>
      <c r="C79" s="50">
        <f>IF(OR(3082.90534="",2132.35067=""),"-",2132.35067/3082.90534*100)</f>
        <v>69.166919993722544</v>
      </c>
      <c r="D79" s="50">
        <f>IF(3082.90534="","-",3082.90534/2025977.54466*100)</f>
        <v>0.15216878134339706</v>
      </c>
      <c r="E79" s="50">
        <f>IF(2132.35067="","-",2132.35067/1755499.84492*100)</f>
        <v>0.12146686746629552</v>
      </c>
      <c r="F79" s="50">
        <f>IF(OR(1959536.20883="",2754.86802="",3082.90534=""),"-",(3082.90534-2754.86802)/1959536.20883*100)</f>
        <v>1.6740559246714019E-2</v>
      </c>
      <c r="G79" s="50">
        <f>IF(OR(2025977.54466="",2132.35067="",3082.90534=""),"-",(2132.35067-3082.90534)/2025977.54466*100)</f>
        <v>-4.6918322096187022E-2</v>
      </c>
    </row>
    <row r="80" spans="1:7" x14ac:dyDescent="0.25">
      <c r="A80" s="49" t="s">
        <v>36</v>
      </c>
      <c r="B80" s="52">
        <f>IF(39254.59429="","-",39254.59429)</f>
        <v>39254.594290000001</v>
      </c>
      <c r="C80" s="52">
        <f>IF(OR(48927.56227="",39254.59429=""),"-",39254.59429/48927.56227*100)</f>
        <v>80.230022647314698</v>
      </c>
      <c r="D80" s="52">
        <f>IF(48927.56227="","-",48927.56227/2025977.54466*100)</f>
        <v>2.4150100971731669</v>
      </c>
      <c r="E80" s="52">
        <f>IF(39254.59429="","-",39254.59429/1755499.84492*100)</f>
        <v>2.2360921536731251</v>
      </c>
      <c r="F80" s="52">
        <f>IF(OR(1959536.20883="",41921.07206="",48927.56227=""),"-",(48927.56227-41921.07206)/1959536.20883*100)</f>
        <v>0.35755859873512824</v>
      </c>
      <c r="G80" s="52">
        <f>IF(OR(2025977.54466="",39254.59429="",48927.56227=""),"-",(39254.59429-48927.56227)/2025977.54466*100)</f>
        <v>-0.47744694927619846</v>
      </c>
    </row>
    <row r="81" spans="1:7" ht="25.5" x14ac:dyDescent="0.25">
      <c r="A81" s="54" t="s">
        <v>218</v>
      </c>
      <c r="B81" s="55">
        <f>IF(408.3958="","-",408.3958)</f>
        <v>408.39580000000001</v>
      </c>
      <c r="C81" s="55">
        <f>IF(679.39843="","-",408.3958/679.39843*100)</f>
        <v>60.111384125512338</v>
      </c>
      <c r="D81" s="55">
        <f>IF(679.39843="","-",679.39843/2025977.54466*100)</f>
        <v>3.3534351443861472E-2</v>
      </c>
      <c r="E81" s="55">
        <f>IF(408.3958="","-",408.3958/1755499.84492*100)</f>
        <v>2.3263790149671646E-2</v>
      </c>
      <c r="F81" s="55">
        <f>IF(1959536.20883="","-",(679.39843-785.77773)/1959536.20883*100)</f>
        <v>-5.4287999129915042E-3</v>
      </c>
      <c r="G81" s="55">
        <f>IF(2025977.54466="","-",(408.3958-679.39843)/2025977.54466*100)</f>
        <v>-1.3376388633442612E-2</v>
      </c>
    </row>
    <row r="82" spans="1:7" x14ac:dyDescent="0.25">
      <c r="A82" s="39" t="s">
        <v>21</v>
      </c>
    </row>
  </sheetData>
  <mergeCells count="10">
    <mergeCell ref="A1:G1"/>
    <mergeCell ref="A2:G2"/>
    <mergeCell ref="A4:A6"/>
    <mergeCell ref="B4:C4"/>
    <mergeCell ref="D4:E4"/>
    <mergeCell ref="F4:G4"/>
    <mergeCell ref="B5:B6"/>
    <mergeCell ref="C5:C6"/>
    <mergeCell ref="D5:E5"/>
    <mergeCell ref="F5:G5"/>
  </mergeCells>
  <pageMargins left="0.59055118110236227" right="0.39370078740157483" top="0.39370078740157483" bottom="0.39370078740157483" header="0.11811023622047245" footer="0.1181102362204724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81"/>
  <sheetViews>
    <sheetView zoomScaleNormal="100" workbookViewId="0">
      <selection activeCell="J14" sqref="J14"/>
    </sheetView>
  </sheetViews>
  <sheetFormatPr defaultRowHeight="15.75" x14ac:dyDescent="0.25"/>
  <cols>
    <col min="1" max="1" width="27.625" customWidth="1"/>
    <col min="2" max="2" width="12.375" customWidth="1"/>
    <col min="3" max="3" width="10.875" customWidth="1"/>
    <col min="4" max="4" width="8" customWidth="1"/>
    <col min="5" max="5" width="8.125" customWidth="1"/>
    <col min="6" max="6" width="9.5" customWidth="1"/>
    <col min="7" max="7" width="9.75" customWidth="1"/>
  </cols>
  <sheetData>
    <row r="1" spans="1:7" x14ac:dyDescent="0.25">
      <c r="A1" s="96" t="s">
        <v>161</v>
      </c>
      <c r="B1" s="96"/>
      <c r="C1" s="96"/>
      <c r="D1" s="96"/>
      <c r="E1" s="96"/>
      <c r="F1" s="96"/>
      <c r="G1" s="96"/>
    </row>
    <row r="2" spans="1:7" x14ac:dyDescent="0.25">
      <c r="A2" s="96" t="s">
        <v>23</v>
      </c>
      <c r="B2" s="96"/>
      <c r="C2" s="96"/>
      <c r="D2" s="96"/>
      <c r="E2" s="96"/>
      <c r="F2" s="96"/>
      <c r="G2" s="96"/>
    </row>
    <row r="3" spans="1:7" x14ac:dyDescent="0.25">
      <c r="A3" s="5"/>
    </row>
    <row r="4" spans="1:7" ht="57" customHeight="1" x14ac:dyDescent="0.25">
      <c r="A4" s="104"/>
      <c r="B4" s="107" t="s">
        <v>262</v>
      </c>
      <c r="C4" s="102"/>
      <c r="D4" s="107" t="s">
        <v>0</v>
      </c>
      <c r="E4" s="102"/>
      <c r="F4" s="108" t="s">
        <v>120</v>
      </c>
      <c r="G4" s="109"/>
    </row>
    <row r="5" spans="1:7" ht="23.25" customHeight="1" x14ac:dyDescent="0.25">
      <c r="A5" s="105"/>
      <c r="B5" s="110" t="s">
        <v>111</v>
      </c>
      <c r="C5" s="97" t="s">
        <v>263</v>
      </c>
      <c r="D5" s="112" t="s">
        <v>264</v>
      </c>
      <c r="E5" s="112"/>
      <c r="F5" s="112" t="s">
        <v>264</v>
      </c>
      <c r="G5" s="107"/>
    </row>
    <row r="6" spans="1:7" ht="32.25" customHeight="1" x14ac:dyDescent="0.25">
      <c r="A6" s="106"/>
      <c r="B6" s="111"/>
      <c r="C6" s="98"/>
      <c r="D6" s="24">
        <v>2019</v>
      </c>
      <c r="E6" s="24">
        <v>2020</v>
      </c>
      <c r="F6" s="24" t="s">
        <v>122</v>
      </c>
      <c r="G6" s="20" t="s">
        <v>141</v>
      </c>
    </row>
    <row r="7" spans="1:7" x14ac:dyDescent="0.25">
      <c r="A7" s="44" t="s">
        <v>133</v>
      </c>
      <c r="B7" s="45">
        <f>IF(3832063.95895="","-",3832063.95895)</f>
        <v>3832063.9589499999</v>
      </c>
      <c r="C7" s="45">
        <f>IF(4273352.38515="","-",3832063.95895/4273352.38515*100)</f>
        <v>89.67348380317317</v>
      </c>
      <c r="D7" s="45">
        <v>100</v>
      </c>
      <c r="E7" s="45">
        <v>100</v>
      </c>
      <c r="F7" s="45">
        <f>IF(4177554.78501="","-",(4273352.38515-4177554.78501)/4177554.78501*100)</f>
        <v>2.2931500619391856</v>
      </c>
      <c r="G7" s="45">
        <f>IF(4273352.38515="","-",(3832063.95895-4273352.38515)/4273352.38515*100)</f>
        <v>-10.326516196826832</v>
      </c>
    </row>
    <row r="8" spans="1:7" ht="12" customHeight="1" x14ac:dyDescent="0.25">
      <c r="A8" s="46" t="s">
        <v>138</v>
      </c>
      <c r="B8" s="34"/>
      <c r="C8" s="34"/>
      <c r="D8" s="34"/>
      <c r="E8" s="34"/>
      <c r="F8" s="34"/>
      <c r="G8" s="34"/>
    </row>
    <row r="9" spans="1:7" x14ac:dyDescent="0.25">
      <c r="A9" s="39" t="s">
        <v>219</v>
      </c>
      <c r="B9" s="48">
        <f>IF(464922.91077="","-",464922.91077)</f>
        <v>464922.91077000002</v>
      </c>
      <c r="C9" s="48">
        <f>IF(428889.19035="","-",464922.91077/428889.19035*100)</f>
        <v>108.40163875209686</v>
      </c>
      <c r="D9" s="48">
        <f>IF(428889.19035="","-",428889.19035/4273352.38515*100)</f>
        <v>10.036363765375398</v>
      </c>
      <c r="E9" s="48">
        <f>IF(464922.91077="","-",464922.91077/3832063.95895*100)</f>
        <v>12.132441309705872</v>
      </c>
      <c r="F9" s="48">
        <f>IF(4177554.78501="","-",(428889.19035-402754.32885)/4177554.78501*100)</f>
        <v>0.62560188543254347</v>
      </c>
      <c r="G9" s="48">
        <f>IF(4273352.38515="","-",(464922.91077-428889.19035)/4273352.38515*100)</f>
        <v>0.84321902741318622</v>
      </c>
    </row>
    <row r="10" spans="1:7" ht="14.25" customHeight="1" x14ac:dyDescent="0.25">
      <c r="A10" s="49" t="s">
        <v>24</v>
      </c>
      <c r="B10" s="50">
        <f>IF(4787.75834="","-",4787.75834)</f>
        <v>4787.7583400000003</v>
      </c>
      <c r="C10" s="50">
        <f>IF(OR(4285.48252="",4787.75834=""),"-",4787.75834/4285.48252*100)</f>
        <v>111.72040295709806</v>
      </c>
      <c r="D10" s="50">
        <f>IF(4285.48252="","-",4285.48252/4273352.38515*100)</f>
        <v>0.10028385524423755</v>
      </c>
      <c r="E10" s="50">
        <f>IF(4787.75834="","-",4787.75834/3832063.95895*100)</f>
        <v>0.12493941623333094</v>
      </c>
      <c r="F10" s="50">
        <f>IF(OR(4177554.78501="",4068.3955="",4285.48252=""),"-",(4285.48252-4068.3955)/4177554.78501*100)</f>
        <v>5.1965092302070151E-3</v>
      </c>
      <c r="G10" s="50">
        <f>IF(OR(4273352.38515="",4787.75834="",4285.48252=""),"-",(4787.75834-4285.48252)/4273352.38515*100)</f>
        <v>1.1753671935537564E-2</v>
      </c>
    </row>
    <row r="11" spans="1:7" s="9" customFormat="1" x14ac:dyDescent="0.25">
      <c r="A11" s="49" t="s">
        <v>220</v>
      </c>
      <c r="B11" s="50">
        <f>IF(29607.75488="","-",29607.75488)</f>
        <v>29607.75488</v>
      </c>
      <c r="C11" s="50">
        <f>IF(OR(34855.56474="",29607.75488=""),"-",29607.75488/34855.56474*100)</f>
        <v>84.944126141276797</v>
      </c>
      <c r="D11" s="50">
        <f>IF(34855.56474="","-",34855.56474/4273352.38515*100)</f>
        <v>0.81564920461799273</v>
      </c>
      <c r="E11" s="50">
        <f>IF(29607.75488="","-",29607.75488/3832063.95895*100)</f>
        <v>0.77263206452620481</v>
      </c>
      <c r="F11" s="50">
        <f>IF(OR(4177554.78501="",30565.95978="",34855.56474=""),"-",(34855.56474-30565.95978)/4177554.78501*100)</f>
        <v>0.10268219522559133</v>
      </c>
      <c r="G11" s="50">
        <f>IF(OR(4273352.38515="",29607.75488="",34855.56474=""),"-",(29607.75488-34855.56474)/4273352.38515*100)</f>
        <v>-0.12280311537696408</v>
      </c>
    </row>
    <row r="12" spans="1:7" s="9" customFormat="1" x14ac:dyDescent="0.25">
      <c r="A12" s="49" t="s">
        <v>221</v>
      </c>
      <c r="B12" s="50">
        <f>IF(59377.29756="","-",59377.29756)</f>
        <v>59377.297559999999</v>
      </c>
      <c r="C12" s="50">
        <f>IF(OR(47199.80793="",59377.29756=""),"-",59377.29756/47199.80793*100)</f>
        <v>125.79987115214517</v>
      </c>
      <c r="D12" s="50">
        <f>IF(47199.80793="","-",47199.80793/4273352.38515*100)</f>
        <v>1.1045147620874991</v>
      </c>
      <c r="E12" s="50">
        <f>IF(59377.29756="","-",59377.29756/3832063.95895*100)</f>
        <v>1.5494860784178979</v>
      </c>
      <c r="F12" s="50">
        <f>IF(OR(4177554.78501="",42180.16296="",47199.80793=""),"-",(47199.80793-42180.16296)/4177554.78501*100)</f>
        <v>0.12015748992716047</v>
      </c>
      <c r="G12" s="50">
        <f>IF(OR(4273352.38515="",59377.29756="",47199.80793=""),"-",(59377.29756-47199.80793)/4273352.38515*100)</f>
        <v>0.2849633854749975</v>
      </c>
    </row>
    <row r="13" spans="1:7" s="9" customFormat="1" x14ac:dyDescent="0.25">
      <c r="A13" s="49" t="s">
        <v>222</v>
      </c>
      <c r="B13" s="50">
        <f>IF(40228.01371="","-",40228.01371)</f>
        <v>40228.013709999999</v>
      </c>
      <c r="C13" s="50">
        <f>IF(OR(39857.11822="",40228.01371=""),"-",40228.01371/39857.11822*100)</f>
        <v>100.93056273650485</v>
      </c>
      <c r="D13" s="50">
        <f>IF(39857.11822="","-",39857.11822/4273352.38515*100)</f>
        <v>0.93268971588920246</v>
      </c>
      <c r="E13" s="50">
        <f>IF(40228.01371="","-",40228.01371/3832063.95895*100)</f>
        <v>1.0497740679939649</v>
      </c>
      <c r="F13" s="50">
        <f>IF(OR(4177554.78501="",35808.34147="",39857.11822=""),"-",(39857.11822-35808.34147)/4177554.78501*100)</f>
        <v>9.6917382496763724E-2</v>
      </c>
      <c r="G13" s="50">
        <f>IF(OR(4273352.38515="",40228.01371="",39857.11822=""),"-",(40228.01371-39857.11822)/4273352.38515*100)</f>
        <v>8.6792629432778153E-3</v>
      </c>
    </row>
    <row r="14" spans="1:7" s="9" customFormat="1" x14ac:dyDescent="0.25">
      <c r="A14" s="49" t="s">
        <v>223</v>
      </c>
      <c r="B14" s="50">
        <f>IF(71379.62822="","-",71379.62822)</f>
        <v>71379.628219999999</v>
      </c>
      <c r="C14" s="50">
        <f>IF(OR(60548.08084="",71379.62822=""),"-",71379.62822/60548.08084*100)</f>
        <v>117.88916713747322</v>
      </c>
      <c r="D14" s="50">
        <f>IF(60548.08084="","-",60548.08084/4273352.38515*100)</f>
        <v>1.416875450065995</v>
      </c>
      <c r="E14" s="50">
        <f>IF(71379.62822="","-",71379.62822/3832063.95895*100)</f>
        <v>1.8626940725581804</v>
      </c>
      <c r="F14" s="50">
        <f>IF(OR(4177554.78501="",57019.3234="",60548.08084=""),"-",(60548.08084-57019.3234)/4177554.78501*100)</f>
        <v>8.4469447358583333E-2</v>
      </c>
      <c r="G14" s="50">
        <f>IF(OR(4273352.38515="",71379.62822="",60548.08084=""),"-",(71379.62822-60548.08084)/4273352.38515*100)</f>
        <v>0.25346721739213168</v>
      </c>
    </row>
    <row r="15" spans="1:7" s="9" customFormat="1" x14ac:dyDescent="0.25">
      <c r="A15" s="49" t="s">
        <v>224</v>
      </c>
      <c r="B15" s="50">
        <f>IF(122422.58206="","-",122422.58206)</f>
        <v>122422.58206</v>
      </c>
      <c r="C15" s="50">
        <f>IF(OR(114853.24104="",122422.58206=""),"-",122422.58206/114853.24104*100)</f>
        <v>106.59044616543632</v>
      </c>
      <c r="D15" s="50">
        <f>IF(114853.24104="","-",114853.24104/4273352.38515*100)</f>
        <v>2.687661364860003</v>
      </c>
      <c r="E15" s="50">
        <f>IF(122422.58206="","-",122422.58206/3832063.95895*100)</f>
        <v>3.1946904689332025</v>
      </c>
      <c r="F15" s="50">
        <f>IF(OR(4177554.78501="",107056.44956="",114853.24104=""),"-",(114853.24104-107056.44956)/4177554.78501*100)</f>
        <v>0.18663528981059996</v>
      </c>
      <c r="G15" s="50">
        <f>IF(OR(4273352.38515="",122422.58206="",114853.24104=""),"-",(122422.58206-114853.24104)/4273352.38515*100)</f>
        <v>0.1771288753603294</v>
      </c>
    </row>
    <row r="16" spans="1:7" s="9" customFormat="1" ht="14.25" customHeight="1" x14ac:dyDescent="0.25">
      <c r="A16" s="49" t="s">
        <v>181</v>
      </c>
      <c r="B16" s="50">
        <f>IF(11461.71196="","-",11461.71196)</f>
        <v>11461.711960000001</v>
      </c>
      <c r="C16" s="50">
        <f>IF(OR(10861.62408="",11461.71196=""),"-",11461.71196/10861.62408*100)</f>
        <v>105.52484486279513</v>
      </c>
      <c r="D16" s="50">
        <f>IF(10861.62408="","-",10861.62408/4273352.38515*100)</f>
        <v>0.25417103718720685</v>
      </c>
      <c r="E16" s="50">
        <f>IF(11461.71196="","-",11461.71196/3832063.95895*100)</f>
        <v>0.29910022595605512</v>
      </c>
      <c r="F16" s="50">
        <f>IF(OR(4177554.78501="",10851.74466="",10861.62408=""),"-",(10861.62408-10851.74466)/4177554.78501*100)</f>
        <v>2.364881014953739E-4</v>
      </c>
      <c r="G16" s="50">
        <f>IF(OR(4273352.38515="",11461.71196="",10861.62408=""),"-",(11461.71196-10861.62408)/4273352.38515*100)</f>
        <v>1.4042555490750548E-2</v>
      </c>
    </row>
    <row r="17" spans="1:7" s="9" customFormat="1" ht="25.5" x14ac:dyDescent="0.25">
      <c r="A17" s="49" t="s">
        <v>225</v>
      </c>
      <c r="B17" s="50">
        <f>IF(38420.75604="","-",38420.75604)</f>
        <v>38420.75604</v>
      </c>
      <c r="C17" s="50">
        <f>IF(OR(37086.04367="",38420.75604=""),"-",38420.75604/37086.04367*100)</f>
        <v>103.59896132862426</v>
      </c>
      <c r="D17" s="50">
        <f>IF(37086.04367="","-",37086.04367/4273352.38515*100)</f>
        <v>0.8678442666903593</v>
      </c>
      <c r="E17" s="50">
        <f>IF(38420.75604="","-",38420.75604/3832063.95895*100)</f>
        <v>1.0026125986302024</v>
      </c>
      <c r="F17" s="50">
        <f>IF(OR(4177554.78501="",36823.87649="",37086.04367=""),"-",(37086.04367-36823.87649)/4177554.78501*100)</f>
        <v>6.2756132113625683E-3</v>
      </c>
      <c r="G17" s="50">
        <f>IF(OR(4273352.38515="",38420.75604="",37086.04367=""),"-",(38420.75604-37086.04367)/4273352.38515*100)</f>
        <v>3.1233379550868721E-2</v>
      </c>
    </row>
    <row r="18" spans="1:7" s="9" customFormat="1" ht="25.5" x14ac:dyDescent="0.25">
      <c r="A18" s="49" t="s">
        <v>182</v>
      </c>
      <c r="B18" s="50">
        <f>IF(28872.85711="","-",28872.85711)</f>
        <v>28872.857110000001</v>
      </c>
      <c r="C18" s="50">
        <f>IF(OR(23879.71368="",28872.85711=""),"-",28872.85711/23879.71368*100)</f>
        <v>120.90956155048841</v>
      </c>
      <c r="D18" s="50">
        <f>IF(23879.71368="","-",23879.71368/4273352.38515*100)</f>
        <v>0.55880516109512901</v>
      </c>
      <c r="E18" s="50">
        <f>IF(28872.85711="","-",28872.85711/3832063.95895*100)</f>
        <v>0.75345446786100279</v>
      </c>
      <c r="F18" s="50">
        <f>IF(OR(4177554.78501="",27285.11539="",23879.71368=""),"-",(23879.71368-27285.11539)/4177554.78501*100)</f>
        <v>-8.1516625999001627E-2</v>
      </c>
      <c r="G18" s="50">
        <f>IF(OR(4273352.38515="",28872.85711="",23879.71368=""),"-",(28872.85711-23879.71368)/4273352.38515*100)</f>
        <v>0.11684370910649192</v>
      </c>
    </row>
    <row r="19" spans="1:7" s="9" customFormat="1" x14ac:dyDescent="0.25">
      <c r="A19" s="49" t="s">
        <v>226</v>
      </c>
      <c r="B19" s="50">
        <f>IF(58364.55089="","-",58364.55089)</f>
        <v>58364.550889999999</v>
      </c>
      <c r="C19" s="50">
        <f>IF(OR(55462.51363="",58364.55089=""),"-",58364.55089/55462.51363*100)</f>
        <v>105.23243010470095</v>
      </c>
      <c r="D19" s="50">
        <f>IF(55462.51363="","-",55462.51363/4273352.38515*100)</f>
        <v>1.2978689476377734</v>
      </c>
      <c r="E19" s="50">
        <f>IF(58364.55089="","-",58364.55089/3832063.95895*100)</f>
        <v>1.5230578485958284</v>
      </c>
      <c r="F19" s="50">
        <f>IF(OR(4177554.78501="",51094.95964="",55462.51363=""),"-",(55462.51363-51094.95964)/4177554.78501*100)</f>
        <v>0.10454809606978129</v>
      </c>
      <c r="G19" s="50">
        <f>IF(OR(4273352.38515="",58364.55089="",55462.51363=""),"-",(58364.55089-55462.51363)/4273352.38515*100)</f>
        <v>6.7910085535764497E-2</v>
      </c>
    </row>
    <row r="20" spans="1:7" s="9" customFormat="1" x14ac:dyDescent="0.25">
      <c r="A20" s="39" t="s">
        <v>227</v>
      </c>
      <c r="B20" s="48">
        <f>IF(76395.06783="","-",76395.06783)</f>
        <v>76395.06783</v>
      </c>
      <c r="C20" s="48">
        <f>IF(92744.95009="","-",76395.06783/92744.95009*100)</f>
        <v>82.371134768918395</v>
      </c>
      <c r="D20" s="48">
        <f>IF(92744.95009="","-",92744.95009/4273352.38515*100)</f>
        <v>2.1703089689558688</v>
      </c>
      <c r="E20" s="48">
        <f>IF(76395.06783="","-",76395.06783/3832063.95895*100)</f>
        <v>1.9935749676509196</v>
      </c>
      <c r="F20" s="48">
        <f>IF(4177554.78501="","-",(92744.95009-86822.10638)/4177554.78501*100)</f>
        <v>0.14177776270588927</v>
      </c>
      <c r="G20" s="48">
        <f>IF(4273352.38515="","-",(76395.06783-92744.95009)/4273352.38515*100)</f>
        <v>-0.38260084323530685</v>
      </c>
    </row>
    <row r="21" spans="1:7" s="9" customFormat="1" x14ac:dyDescent="0.25">
      <c r="A21" s="49" t="s">
        <v>228</v>
      </c>
      <c r="B21" s="50">
        <f>IF(39547.34071="","-",39547.34071)</f>
        <v>39547.340709999997</v>
      </c>
      <c r="C21" s="50">
        <f>IF(OR(47791.17052="",39547.34071=""),"-",39547.34071/47791.17052*100)</f>
        <v>82.750307807275689</v>
      </c>
      <c r="D21" s="50">
        <f>IF(47791.17052="","-",47791.17052/4273352.38515*100)</f>
        <v>1.1183531385353436</v>
      </c>
      <c r="E21" s="50">
        <f>IF(39547.34071="","-",39547.34071/3832063.95895*100)</f>
        <v>1.0320114991200753</v>
      </c>
      <c r="F21" s="50">
        <f>IF(OR(4177554.78501="",47221.26223="",47791.17052=""),"-",(47791.17052-47221.26223)/4177554.78501*100)</f>
        <v>1.3642149997528642E-2</v>
      </c>
      <c r="G21" s="50">
        <f>IF(OR(4273352.38515="",39547.34071="",47791.17052=""),"-",(39547.34071-47791.17052)/4273352.38515*100)</f>
        <v>-0.19291247402501849</v>
      </c>
    </row>
    <row r="22" spans="1:7" s="9" customFormat="1" x14ac:dyDescent="0.25">
      <c r="A22" s="49" t="s">
        <v>229</v>
      </c>
      <c r="B22" s="50">
        <f>IF(36847.72712="","-",36847.72712)</f>
        <v>36847.727120000003</v>
      </c>
      <c r="C22" s="50">
        <f>IF(OR(44953.77957="",36847.72712=""),"-",36847.72712/44953.77957*100)</f>
        <v>81.968029101140175</v>
      </c>
      <c r="D22" s="50">
        <f>IF(44953.77957="","-",44953.77957/4273352.38515*100)</f>
        <v>1.051955830420525</v>
      </c>
      <c r="E22" s="50">
        <f>IF(36847.72712="","-",36847.72712/3832063.95895*100)</f>
        <v>0.96156346853084418</v>
      </c>
      <c r="F22" s="50">
        <f>IF(OR(4177554.78501="",39600.84415="",44953.77957=""),"-",(44953.77957-39600.84415)/4177554.78501*100)</f>
        <v>0.12813561270836063</v>
      </c>
      <c r="G22" s="50">
        <f>IF(OR(4273352.38515="",36847.72712="",44953.77957=""),"-",(36847.72712-44953.77957)/4273352.38515*100)</f>
        <v>-0.18968836921028834</v>
      </c>
    </row>
    <row r="23" spans="1:7" s="9" customFormat="1" ht="25.5" x14ac:dyDescent="0.25">
      <c r="A23" s="39" t="s">
        <v>25</v>
      </c>
      <c r="B23" s="48">
        <f>IF(104857.23057="","-",104857.23057)</f>
        <v>104857.23057</v>
      </c>
      <c r="C23" s="48">
        <f>IF(112677.29919="","-",104857.23057/112677.29919*100)</f>
        <v>93.059765652694992</v>
      </c>
      <c r="D23" s="48">
        <f>IF(112677.29919="","-",112677.29919/4273352.38515*100)</f>
        <v>2.6367425158186406</v>
      </c>
      <c r="E23" s="48">
        <f>IF(104857.23057="","-",104857.23057/3832063.95895*100)</f>
        <v>2.7363121203940262</v>
      </c>
      <c r="F23" s="48">
        <f>IF(4177554.78501="","-",(112677.29919-104827.39704)/4177554.78501*100)</f>
        <v>0.1879066237064613</v>
      </c>
      <c r="G23" s="48">
        <f>IF(4273352.38515="","-",(104857.23057-112677.29919)/4273352.38515*100)</f>
        <v>-0.18299610973283942</v>
      </c>
    </row>
    <row r="24" spans="1:7" s="9" customFormat="1" x14ac:dyDescent="0.25">
      <c r="A24" s="49" t="s">
        <v>230</v>
      </c>
      <c r="B24" s="50">
        <f>IF(29934.96436="","-",29934.96436)</f>
        <v>29934.964360000002</v>
      </c>
      <c r="C24" s="50">
        <f>IF(OR(29067.36713="",29934.96436=""),"-",29934.96436/29067.36713*100)</f>
        <v>102.98478092673405</v>
      </c>
      <c r="D24" s="50">
        <f>IF(29067.36713="","-",29067.36713/4273352.38515*100)</f>
        <v>0.68020056644543936</v>
      </c>
      <c r="E24" s="50">
        <f>IF(29934.96436="","-",29934.96436/3832063.95895*100)</f>
        <v>0.78117079152828894</v>
      </c>
      <c r="F24" s="50">
        <f>IF(OR(4177554.78501="",32814.88029="",29067.36713=""),"-",(29067.36713-32814.88029)/4177554.78501*100)</f>
        <v>-8.970590100809489E-2</v>
      </c>
      <c r="G24" s="50">
        <f>IF(OR(4273352.38515="",29934.96436="",29067.36713=""),"-",(29934.96436-29067.36713)/4273352.38515*100)</f>
        <v>2.0302496770800454E-2</v>
      </c>
    </row>
    <row r="25" spans="1:7" s="9" customFormat="1" ht="25.5" x14ac:dyDescent="0.25">
      <c r="A25" s="49" t="s">
        <v>231</v>
      </c>
      <c r="B25" s="50">
        <f>IF(1009.92479="","-",1009.92479)</f>
        <v>1009.92479</v>
      </c>
      <c r="C25" s="50">
        <f>IF(OR(1201.43299="",1009.92479=""),"-",1009.92479/1201.43299*100)</f>
        <v>84.060018195438431</v>
      </c>
      <c r="D25" s="50">
        <f>IF(1201.43299="","-",1201.43299/4273352.38515*100)</f>
        <v>2.8114531209151104E-2</v>
      </c>
      <c r="E25" s="50">
        <f>IF(1009.92479="","-",1009.92479/3832063.95895*100)</f>
        <v>2.6354591176414584E-2</v>
      </c>
      <c r="F25" s="50">
        <f>IF(OR(4177554.78501="",695.27057="",1201.43299=""),"-",(1201.43299-695.27057)/4177554.78501*100)</f>
        <v>1.2116236555801107E-2</v>
      </c>
      <c r="G25" s="50">
        <f>IF(OR(4273352.38515="",1009.92479="",1201.43299=""),"-",(1009.92479-1201.43299)/4273352.38515*100)</f>
        <v>-4.4814511591764698E-3</v>
      </c>
    </row>
    <row r="26" spans="1:7" s="9" customFormat="1" x14ac:dyDescent="0.25">
      <c r="A26" s="49" t="s">
        <v>232</v>
      </c>
      <c r="B26" s="50">
        <f>IF(28770.66143="","-",28770.66143)</f>
        <v>28770.66143</v>
      </c>
      <c r="C26" s="50">
        <f>IF(OR(29178.10084="",28770.66143=""),"-",28770.66143/29178.10084*100)</f>
        <v>98.603612304192723</v>
      </c>
      <c r="D26" s="50">
        <f>IF(29178.10084="","-",29178.10084/4273352.38515*100)</f>
        <v>0.6827918273577106</v>
      </c>
      <c r="E26" s="50">
        <f>IF(28770.66143="","-",28770.66143/3832063.95895*100)</f>
        <v>0.75078761049393528</v>
      </c>
      <c r="F26" s="50">
        <f>IF(OR(4177554.78501="",26050.90775="",29178.10084=""),"-",(29178.10084-26050.90775)/4177554.78501*100)</f>
        <v>7.4857021653457853E-2</v>
      </c>
      <c r="G26" s="50">
        <f>IF(OR(4273352.38515="",28770.66143="",29178.10084=""),"-",(28770.66143-29178.10084)/4273352.38515*100)</f>
        <v>-9.5344210652007211E-3</v>
      </c>
    </row>
    <row r="27" spans="1:7" s="9" customFormat="1" x14ac:dyDescent="0.25">
      <c r="A27" s="49" t="s">
        <v>183</v>
      </c>
      <c r="B27" s="50">
        <f>IF(340.09257="","-",340.09257)</f>
        <v>340.09257000000002</v>
      </c>
      <c r="C27" s="50">
        <f>IF(OR(351.17866="",340.09257=""),"-",340.09257/351.17866*100)</f>
        <v>96.843176632657588</v>
      </c>
      <c r="D27" s="50">
        <f>IF(351.17866="","-",351.17866/4273352.38515*100)</f>
        <v>8.2178727226042501E-3</v>
      </c>
      <c r="E27" s="50">
        <f>IF(340.09257="","-",340.09257/3832063.95895*100)</f>
        <v>8.8749189377618498E-3</v>
      </c>
      <c r="F27" s="50">
        <f>IF(OR(4177554.78501="",401.72853="",351.17866=""),"-",(351.17866-401.72853)/4177554.78501*100)</f>
        <v>-1.2100348792883392E-3</v>
      </c>
      <c r="G27" s="50">
        <f>IF(OR(4273352.38515="",340.09257="",351.17866=""),"-",(340.09257-351.17866)/4273352.38515*100)</f>
        <v>-2.5942372640562895E-4</v>
      </c>
    </row>
    <row r="28" spans="1:7" s="9" customFormat="1" ht="14.25" customHeight="1" x14ac:dyDescent="0.25">
      <c r="A28" s="49" t="s">
        <v>184</v>
      </c>
      <c r="B28" s="50">
        <f>IF(5484.63696="","-",5484.63696)</f>
        <v>5484.6369599999998</v>
      </c>
      <c r="C28" s="50">
        <f>IF(OR(5683.45638="",5484.63696=""),"-",5484.63696/5683.45638*100)</f>
        <v>96.501786822898083</v>
      </c>
      <c r="D28" s="50">
        <f>IF(5683.45638="","-",5683.45638/4273352.38515*100)</f>
        <v>0.13299760627628426</v>
      </c>
      <c r="E28" s="50">
        <f>IF(5484.63696="","-",5484.63696/3832063.95895*100)</f>
        <v>0.14312488044961577</v>
      </c>
      <c r="F28" s="50">
        <f>IF(OR(4177554.78501="",6159.59107="",5683.45638=""),"-",(5683.45638-6159.59107)/4177554.78501*100)</f>
        <v>-1.1397449333482792E-2</v>
      </c>
      <c r="G28" s="50">
        <f>IF(OR(4273352.38515="",5484.63696="",5683.45638=""),"-",(5484.63696-5683.45638)/4273352.38515*100)</f>
        <v>-4.6525397879871068E-3</v>
      </c>
    </row>
    <row r="29" spans="1:7" s="9" customFormat="1" ht="15.75" customHeight="1" x14ac:dyDescent="0.25">
      <c r="A29" s="49" t="s">
        <v>185</v>
      </c>
      <c r="B29" s="50">
        <f>IF(12323.86048="","-",12323.86048)</f>
        <v>12323.860479999999</v>
      </c>
      <c r="C29" s="50">
        <f>IF(OR(19718.1611="",12323.86048=""),"-",12323.86048/19718.1611*100)</f>
        <v>62.500049662338938</v>
      </c>
      <c r="D29" s="50">
        <f>IF(19718.1611="","-",19718.1611/4273352.38515*100)</f>
        <v>0.46142136952059171</v>
      </c>
      <c r="E29" s="50">
        <f>IF(12323.86048="","-",12323.86048/3832063.95895*100)</f>
        <v>0.32159850701909432</v>
      </c>
      <c r="F29" s="50">
        <f>IF(OR(4177554.78501="",11197.75584="",19718.1611=""),"-",(19718.1611-11197.75584)/4177554.78501*100)</f>
        <v>0.20395675696637466</v>
      </c>
      <c r="G29" s="50">
        <f>IF(OR(4273352.38515="",12323.86048="",19718.1611=""),"-",(12323.86048-19718.1611)/4273352.38515*100)</f>
        <v>-0.17303278441757741</v>
      </c>
    </row>
    <row r="30" spans="1:7" s="9" customFormat="1" ht="15" customHeight="1" x14ac:dyDescent="0.25">
      <c r="A30" s="49" t="s">
        <v>186</v>
      </c>
      <c r="B30" s="50">
        <f>IF(1177.58555="","-",1177.58555)</f>
        <v>1177.58555</v>
      </c>
      <c r="C30" s="50">
        <f>IF(OR(1128.02837="",1177.58555=""),"-",1177.58555/1128.02837*100)</f>
        <v>104.39325652775915</v>
      </c>
      <c r="D30" s="50">
        <f>IF(1128.02837="","-",1128.02837/4273352.38515*100)</f>
        <v>2.6396802049836212E-2</v>
      </c>
      <c r="E30" s="50">
        <f>IF(1177.58555="","-",1177.58555/3832063.95895*100)</f>
        <v>3.0729798944239516E-2</v>
      </c>
      <c r="F30" s="50">
        <f>IF(OR(4177554.78501="",805.02076="",1128.02837=""),"-",(1128.02837-805.02076)/4177554.78501*100)</f>
        <v>7.7319778344744497E-3</v>
      </c>
      <c r="G30" s="50">
        <f>IF(OR(4273352.38515="",1177.58555="",1128.02837=""),"-",(1177.58555-1128.02837)/4273352.38515*100)</f>
        <v>1.1596792291740877E-3</v>
      </c>
    </row>
    <row r="31" spans="1:7" s="9" customFormat="1" ht="25.5" x14ac:dyDescent="0.25">
      <c r="A31" s="49" t="s">
        <v>187</v>
      </c>
      <c r="B31" s="50">
        <f>IF(25815.50443="","-",25815.50443)</f>
        <v>25815.504430000001</v>
      </c>
      <c r="C31" s="50">
        <f>IF(OR(26331.43372="",25815.50443=""),"-",25815.50443/26331.43372*100)</f>
        <v>98.040633504858761</v>
      </c>
      <c r="D31" s="50">
        <f>IF(26331.43372="","-",26331.43372/4273352.38515*100)</f>
        <v>0.61617744914981387</v>
      </c>
      <c r="E31" s="50">
        <f>IF(25815.50443="","-",25815.50443/3832063.95895*100)</f>
        <v>0.67367102184467575</v>
      </c>
      <c r="F31" s="50">
        <f>IF(OR(4177554.78501="",26662.66925="",26331.43372=""),"-",(26331.43372-26662.66925)/4177554.78501*100)</f>
        <v>-7.9289332407691017E-3</v>
      </c>
      <c r="G31" s="50">
        <f>IF(OR(4273352.38515="",25815.50443="",26331.43372=""),"-",(25815.50443-26331.43372)/4273352.38515*100)</f>
        <v>-1.2073174489257342E-2</v>
      </c>
    </row>
    <row r="32" spans="1:7" s="9" customFormat="1" ht="25.5" x14ac:dyDescent="0.25">
      <c r="A32" s="39" t="s">
        <v>188</v>
      </c>
      <c r="B32" s="48">
        <f>IF(426397.80188="","-",426397.80188)</f>
        <v>426397.80187999998</v>
      </c>
      <c r="C32" s="48">
        <f>IF(665455.14806="","-",426397.80188/665455.14806*100)</f>
        <v>64.076114389238199</v>
      </c>
      <c r="D32" s="48">
        <f>IF(665455.14806="","-",665455.14806/4273352.38515*100)</f>
        <v>15.572203929927994</v>
      </c>
      <c r="E32" s="48">
        <f>IF(426397.80188="","-",426397.80188/3832063.95895*100)</f>
        <v>11.12710556106779</v>
      </c>
      <c r="F32" s="48">
        <f>IF(4177554.78501="","-",(665455.14806-689324.30972)/4177554.78501*100)</f>
        <v>-0.57136681356395058</v>
      </c>
      <c r="G32" s="48">
        <f>IF(4273352.38515="","-",(426397.80188-665455.14806)/4273352.38515*100)</f>
        <v>-5.5941407268618875</v>
      </c>
    </row>
    <row r="33" spans="1:7" s="9" customFormat="1" x14ac:dyDescent="0.25">
      <c r="A33" s="49" t="s">
        <v>233</v>
      </c>
      <c r="B33" s="50">
        <f>IF(11436.68369="","-",11436.68369)</f>
        <v>11436.68369</v>
      </c>
      <c r="C33" s="50">
        <f>IF(OR(14219.10669="",11436.68369=""),"-",11436.68369/14219.10669*100)</f>
        <v>80.431801654904106</v>
      </c>
      <c r="D33" s="50">
        <f>IF(14219.10669="","-",14219.10669/4273352.38515*100)</f>
        <v>0.33273892271116534</v>
      </c>
      <c r="E33" s="50">
        <f>IF(11436.68369="","-",11436.68369/3832063.95895*100)</f>
        <v>0.29844709828730764</v>
      </c>
      <c r="F33" s="50">
        <f>IF(OR(4177554.78501="",11913.23644="",14219.10669=""),"-",(14219.10669-11913.23644)/4177554.78501*100)</f>
        <v>5.5196648964939428E-2</v>
      </c>
      <c r="G33" s="50">
        <f>IF(OR(4273352.38515="",11436.68369="",14219.10669=""),"-",(11436.68369-14219.10669)/4273352.38515*100)</f>
        <v>-6.5111012367456186E-2</v>
      </c>
    </row>
    <row r="34" spans="1:7" s="9" customFormat="1" ht="25.5" x14ac:dyDescent="0.25">
      <c r="A34" s="49" t="s">
        <v>189</v>
      </c>
      <c r="B34" s="50">
        <f>IF(274032.39224="","-",274032.39224)</f>
        <v>274032.39224000002</v>
      </c>
      <c r="C34" s="50">
        <f>IF(OR(431992.75026="",274032.39224=""),"-",274032.39224/431992.75026*100)</f>
        <v>63.434488674884093</v>
      </c>
      <c r="D34" s="50">
        <f>IF(431992.75026="","-",431992.75026/4273352.38515*100)</f>
        <v>10.108989648529452</v>
      </c>
      <c r="E34" s="50">
        <f>IF(274032.39224="","-",274032.39224/3832063.95895*100)</f>
        <v>7.1510391051793913</v>
      </c>
      <c r="F34" s="50">
        <f>IF(OR(4177554.78501="",466889.5273="",431992.75026=""),"-",(431992.75026-466889.5273)/4177554.78501*100)</f>
        <v>-0.83533978214283267</v>
      </c>
      <c r="G34" s="50">
        <f>IF(OR(4273352.38515="",274032.39224="",431992.75026=""),"-",(274032.39224-431992.75026)/4273352.38515*100)</f>
        <v>-3.6964037547878319</v>
      </c>
    </row>
    <row r="35" spans="1:7" s="9" customFormat="1" ht="25.5" x14ac:dyDescent="0.25">
      <c r="A35" s="49" t="s">
        <v>234</v>
      </c>
      <c r="B35" s="50">
        <f>IF(132817.25246="","-",132817.25246)</f>
        <v>132817.25245999999</v>
      </c>
      <c r="C35" s="50">
        <f>IF(OR(188234.69335="",132817.25246=""),"-",132817.25246/188234.69335*100)</f>
        <v>70.55939056518244</v>
      </c>
      <c r="D35" s="50">
        <f>IF(188234.69335="","-",188234.69335/4273352.38515*100)</f>
        <v>4.4048483809601091</v>
      </c>
      <c r="E35" s="50">
        <f>IF(132817.25246="","-",132817.25246/3832063.95895*100)</f>
        <v>3.4659456074525545</v>
      </c>
      <c r="F35" s="50">
        <f>IF(OR(4177554.78501="",171161.37151="",188234.69335=""),"-",(188234.69335-171161.37151)/4177554.78501*100)</f>
        <v>0.40869175196128804</v>
      </c>
      <c r="G35" s="50">
        <f>IF(OR(4273352.38515="",132817.25246="",188234.69335=""),"-",(132817.25246-188234.69335)/4273352.38515*100)</f>
        <v>-1.2968142080343503</v>
      </c>
    </row>
    <row r="36" spans="1:7" s="9" customFormat="1" x14ac:dyDescent="0.25">
      <c r="A36" s="49" t="s">
        <v>190</v>
      </c>
      <c r="B36" s="50">
        <f>IF(8111.47349="","-",8111.47349)</f>
        <v>8111.4734900000003</v>
      </c>
      <c r="C36" s="50">
        <f>IF(OR(31008.59776="",8111.47349=""),"-",8111.47349/31008.59776*100)</f>
        <v>26.158788452096715</v>
      </c>
      <c r="D36" s="50">
        <f>IF(31008.59776="","-",31008.59776/4273352.38515*100)</f>
        <v>0.72562697772726636</v>
      </c>
      <c r="E36" s="50">
        <f>IF(8111.47349="","-",8111.47349/3832063.95895*100)</f>
        <v>0.21167375014853809</v>
      </c>
      <c r="F36" s="50">
        <f>IF(OR(4177554.78501="",39360.17447="",31008.59776=""),"-",(31008.59776-39360.17447)/4177554.78501*100)</f>
        <v>-0.19991543234734638</v>
      </c>
      <c r="G36" s="50">
        <f>IF(OR(4273352.38515="",8111.47349="",31008.59776=""),"-",(8111.47349-31008.59776)/4273352.38515*100)</f>
        <v>-0.53581175167224782</v>
      </c>
    </row>
    <row r="37" spans="1:7" s="9" customFormat="1" ht="25.5" x14ac:dyDescent="0.25">
      <c r="A37" s="39" t="s">
        <v>191</v>
      </c>
      <c r="B37" s="48">
        <f>IF(8057.8904="","-",8057.8904)</f>
        <v>8057.8904000000002</v>
      </c>
      <c r="C37" s="48">
        <f>IF(8375.94097="","-",8057.8904/8375.94097*100)</f>
        <v>96.202807885834474</v>
      </c>
      <c r="D37" s="48">
        <f>IF(8375.94097="","-",8375.94097/4273352.38515*100)</f>
        <v>0.19600398504711641</v>
      </c>
      <c r="E37" s="48">
        <f>IF(8057.8904="","-",8057.8904/3832063.95895*100)</f>
        <v>0.21027546738045291</v>
      </c>
      <c r="F37" s="48">
        <f>IF(4177554.78501="","-",(8375.94097-8256.96124)/4177554.78501*100)</f>
        <v>2.8480710875875273E-3</v>
      </c>
      <c r="G37" s="48">
        <f>IF(4273352.38515="","-",(8057.8904-8375.94097)/4273352.38515*100)</f>
        <v>-7.4426478636592814E-3</v>
      </c>
    </row>
    <row r="38" spans="1:7" s="9" customFormat="1" x14ac:dyDescent="0.25">
      <c r="A38" s="49" t="s">
        <v>237</v>
      </c>
      <c r="B38" s="50">
        <f>IF(1222.03864="","-",1222.03864)</f>
        <v>1222.03864</v>
      </c>
      <c r="C38" s="50">
        <f>IF(OR(1227.90088="",1222.03864=""),"-",1222.03864/1227.90088*100)</f>
        <v>99.522580356811858</v>
      </c>
      <c r="D38" s="50">
        <f>IF(1227.90088="","-",1227.90088/4273352.38515*100)</f>
        <v>2.8733901848744893E-2</v>
      </c>
      <c r="E38" s="50">
        <f>IF(1222.03864="","-",1222.03864/3832063.95895*100)</f>
        <v>3.1889828903973808E-2</v>
      </c>
      <c r="F38" s="50">
        <f>IF(OR(4177554.78501="",1122.91965="",1227.90088=""),"-",(1227.90088-1122.91965)/4177554.78501*100)</f>
        <v>2.5129827232115774E-3</v>
      </c>
      <c r="G38" s="50">
        <f>IF(OR(4273352.38515="",1222.03864="",1227.90088=""),"-",(1222.03864-1227.90088)/4273352.38515*100)</f>
        <v>-1.3718129168030583E-4</v>
      </c>
    </row>
    <row r="39" spans="1:7" s="9" customFormat="1" ht="25.5" x14ac:dyDescent="0.25">
      <c r="A39" s="49" t="s">
        <v>192</v>
      </c>
      <c r="B39" s="50">
        <f>IF(5585.43017="","-",5585.43017)</f>
        <v>5585.4301699999996</v>
      </c>
      <c r="C39" s="50">
        <f>IF(OR(5183.63066="",5585.43017=""),"-",5585.43017/5183.63066*100)</f>
        <v>107.7513144040243</v>
      </c>
      <c r="D39" s="50">
        <f>IF(5183.63066="","-",5183.63066/4273352.38515*100)</f>
        <v>0.121301268718518</v>
      </c>
      <c r="E39" s="50">
        <f>IF(5585.43017="","-",5585.43017/3832063.95895*100)</f>
        <v>0.14575513952356967</v>
      </c>
      <c r="F39" s="50">
        <f>IF(OR(4177554.78501="",5153.6745="",5183.63066=""),"-",(5183.63066-5153.6745)/4177554.78501*100)</f>
        <v>7.1707401917239051E-4</v>
      </c>
      <c r="G39" s="50">
        <f>IF(OR(4273352.38515="",5585.43017="",5183.63066=""),"-",(5585.43017-5183.63066)/4273352.38515*100)</f>
        <v>9.4024427144427068E-3</v>
      </c>
    </row>
    <row r="40" spans="1:7" s="9" customFormat="1" ht="63.75" x14ac:dyDescent="0.25">
      <c r="A40" s="49" t="s">
        <v>235</v>
      </c>
      <c r="B40" s="50">
        <f>IF(1250.42159="","-",1250.42159)</f>
        <v>1250.4215899999999</v>
      </c>
      <c r="C40" s="50">
        <f>IF(OR(1964.40943="",1250.42159=""),"-",1250.42159/1964.40943*100)</f>
        <v>63.653817320557252</v>
      </c>
      <c r="D40" s="50">
        <f>IF(1964.40943="","-",1964.40943/4273352.38515*100)</f>
        <v>4.5968814479853543E-2</v>
      </c>
      <c r="E40" s="50">
        <f>IF(1250.42159="","-",1250.42159/3832063.95895*100)</f>
        <v>3.263049895290944E-2</v>
      </c>
      <c r="F40" s="50">
        <f>IF(OR(4177554.78501="",1980.36709="",1964.40943=""),"-",(1964.40943-1980.36709)/4177554.78501*100)</f>
        <v>-3.8198565479642975E-4</v>
      </c>
      <c r="G40" s="50">
        <f>IF(OR(4273352.38515="",1250.42159="",1964.40943=""),"-",(1250.42159-1964.40943)/4273352.38515*100)</f>
        <v>-1.6707909286421695E-2</v>
      </c>
    </row>
    <row r="41" spans="1:7" s="9" customFormat="1" ht="25.5" x14ac:dyDescent="0.25">
      <c r="A41" s="39" t="s">
        <v>193</v>
      </c>
      <c r="B41" s="48">
        <f>IF(607541.81086="","-",607541.81086)</f>
        <v>607541.81085999997</v>
      </c>
      <c r="C41" s="48">
        <f>IF(625415.61724="","-",607541.81086/625415.61724*100)</f>
        <v>97.142091452900019</v>
      </c>
      <c r="D41" s="48">
        <f>IF(625415.61724="","-",625415.61724/4273352.38515*100)</f>
        <v>14.635245607484512</v>
      </c>
      <c r="E41" s="48">
        <f>IF(607541.81086="","-",607541.81086/3832063.95895*100)</f>
        <v>15.854166771957241</v>
      </c>
      <c r="F41" s="48">
        <f>IF(4177554.78501="","-",(625415.61724-611909.28067)/4177554.78501*100)</f>
        <v>0.32330722791389349</v>
      </c>
      <c r="G41" s="48">
        <f>IF(4273352.38515="","-",(607541.81086-625415.61724)/4273352.38515*100)</f>
        <v>-0.41826193510537479</v>
      </c>
    </row>
    <row r="42" spans="1:7" s="9" customFormat="1" x14ac:dyDescent="0.25">
      <c r="A42" s="49" t="s">
        <v>26</v>
      </c>
      <c r="B42" s="50">
        <f>IF(9016.06663="","-",9016.06663)</f>
        <v>9016.0666299999993</v>
      </c>
      <c r="C42" s="50">
        <f>IF(OR(16652.3463="",9016.06663=""),"-",9016.06663/16652.3463*100)</f>
        <v>54.142920568496699</v>
      </c>
      <c r="D42" s="50">
        <f>IF(16652.3463="","-",16652.3463/4273352.38515*100)</f>
        <v>0.38967875333350216</v>
      </c>
      <c r="E42" s="50">
        <f>IF(9016.06663="","-",9016.06663/3832063.95895*100)</f>
        <v>0.23527964894590214</v>
      </c>
      <c r="F42" s="50">
        <f>IF(OR(4177554.78501="",17014.04549="",16652.3463=""),"-",(16652.3463-17014.04549)/4177554.78501*100)</f>
        <v>-8.6581555147488866E-3</v>
      </c>
      <c r="G42" s="50">
        <f>IF(OR(4273352.38515="",9016.06663="",16652.3463=""),"-",(9016.06663-16652.3463)/4273352.38515*100)</f>
        <v>-0.17869529544383592</v>
      </c>
    </row>
    <row r="43" spans="1:7" s="9" customFormat="1" x14ac:dyDescent="0.25">
      <c r="A43" s="49" t="s">
        <v>27</v>
      </c>
      <c r="B43" s="50">
        <f>IF(12036.92228="","-",12036.92228)</f>
        <v>12036.922280000001</v>
      </c>
      <c r="C43" s="50">
        <f>IF(OR(14013.51541="",12036.92228=""),"-",12036.92228/14013.51541*100)</f>
        <v>85.895094327369776</v>
      </c>
      <c r="D43" s="50">
        <f>IF(14013.51541="","-",14013.51541/4273352.38515*100)</f>
        <v>0.32792791576695834</v>
      </c>
      <c r="E43" s="50">
        <f>IF(12036.92228="","-",12036.92228/3832063.95895*100)</f>
        <v>0.31411068314470836</v>
      </c>
      <c r="F43" s="50">
        <f>IF(OR(4177554.78501="",11704.44583="",14013.51541=""),"-",(14013.51541-11704.44583)/4177554.78501*100)</f>
        <v>5.5273232760117398E-2</v>
      </c>
      <c r="G43" s="50">
        <f>IF(OR(4273352.38515="",12036.92228="",14013.51541=""),"-",(12036.92228-14013.51541)/4273352.38515*100)</f>
        <v>-4.625392319315174E-2</v>
      </c>
    </row>
    <row r="44" spans="1:7" s="9" customFormat="1" x14ac:dyDescent="0.25">
      <c r="A44" s="49" t="s">
        <v>194</v>
      </c>
      <c r="B44" s="50">
        <f>IF(31730.44096="","-",31730.44096)</f>
        <v>31730.44096</v>
      </c>
      <c r="C44" s="50">
        <f>IF(OR(29512.29993="",31730.44096=""),"-",31730.44096/29512.29993*100)</f>
        <v>107.51598836844703</v>
      </c>
      <c r="D44" s="50">
        <f>IF(29512.29993="","-",29512.29993/4273352.38515*100)</f>
        <v>0.69061236402024628</v>
      </c>
      <c r="E44" s="50">
        <f>IF(31730.44096="","-",31730.44096/3832063.95895*100)</f>
        <v>0.82802482682711431</v>
      </c>
      <c r="F44" s="50">
        <f>IF(OR(4177554.78501="",28360.18829="",29512.29993=""),"-",(29512.29993-28360.18829)/4177554.78501*100)</f>
        <v>2.7578612353188925E-2</v>
      </c>
      <c r="G44" s="50">
        <f>IF(OR(4273352.38515="",31730.44096="",29512.29993=""),"-",(31730.44096-29512.29993)/4273352.38515*100)</f>
        <v>5.1906344950818722E-2</v>
      </c>
    </row>
    <row r="45" spans="1:7" s="9" customFormat="1" x14ac:dyDescent="0.25">
      <c r="A45" s="49" t="s">
        <v>195</v>
      </c>
      <c r="B45" s="50">
        <f>IF(176406.26582="","-",176406.26582)</f>
        <v>176406.26582</v>
      </c>
      <c r="C45" s="50">
        <f>IF(OR(183273.51946="",176406.26582=""),"-",176406.26582/183273.51946*100)</f>
        <v>96.253002801368254</v>
      </c>
      <c r="D45" s="50">
        <f>IF(183273.51946="","-",183273.51946/4273352.38515*100)</f>
        <v>4.2887527856789855</v>
      </c>
      <c r="E45" s="50">
        <f>IF(176406.26582="","-",176406.26582/3832063.95895*100)</f>
        <v>4.6034269706796849</v>
      </c>
      <c r="F45" s="50">
        <f>IF(OR(4177554.78501="",165826.07775="",183273.51946=""),"-",(183273.51946-165826.07775)/4177554.78501*100)</f>
        <v>0.41764722685637379</v>
      </c>
      <c r="G45" s="50">
        <f>IF(OR(4273352.38515="",176406.26582="",183273.51946=""),"-",(176406.26582-183273.51946)/4273352.38515*100)</f>
        <v>-0.16069944673563261</v>
      </c>
    </row>
    <row r="46" spans="1:7" s="9" customFormat="1" ht="38.25" x14ac:dyDescent="0.25">
      <c r="A46" s="49" t="s">
        <v>196</v>
      </c>
      <c r="B46" s="50">
        <f>IF(80661.30483="","-",80661.30483)</f>
        <v>80661.304829999994</v>
      </c>
      <c r="C46" s="50">
        <f>IF(OR(83045.68298="",80661.30483=""),"-",80661.30483/83045.68298*100)</f>
        <v>97.128835522282074</v>
      </c>
      <c r="D46" s="50">
        <f>IF(83045.68298="","-",83045.68298/4273352.38515*100)</f>
        <v>1.9433380516099183</v>
      </c>
      <c r="E46" s="50">
        <f>IF(80661.30483="","-",80661.30483/3832063.95895*100)</f>
        <v>2.1049049727265379</v>
      </c>
      <c r="F46" s="50">
        <f>IF(OR(4177554.78501="",82724.26034="",83045.68298=""),"-",(83045.68298-82724.26034)/4177554.78501*100)</f>
        <v>7.6940376976823988E-3</v>
      </c>
      <c r="G46" s="50">
        <f>IF(OR(4273352.38515="",80661.30483="",83045.68298=""),"-",(80661.30483-83045.68298)/4273352.38515*100)</f>
        <v>-5.5796431819799694E-2</v>
      </c>
    </row>
    <row r="47" spans="1:7" s="9" customFormat="1" x14ac:dyDescent="0.25">
      <c r="A47" s="49" t="s">
        <v>197</v>
      </c>
      <c r="B47" s="50">
        <f>IF(65606.72628="","-",65606.72628)</f>
        <v>65606.726280000003</v>
      </c>
      <c r="C47" s="50">
        <f>IF(OR(70604.93355="",65606.72628=""),"-",65606.72628/70604.93355*100)</f>
        <v>92.920880994158239</v>
      </c>
      <c r="D47" s="50">
        <f>IF(70604.93355="","-",70604.93355/4273352.38515*100)</f>
        <v>1.6522141678592621</v>
      </c>
      <c r="E47" s="50">
        <f>IF(65606.72628="","-",65606.72628/3832063.95895*100)</f>
        <v>1.7120467451168666</v>
      </c>
      <c r="F47" s="50">
        <f>IF(OR(4177554.78501="",71990.52964="",70604.93355=""),"-",(70604.93355-71990.52964)/4177554.78501*100)</f>
        <v>-3.3167634209653456E-2</v>
      </c>
      <c r="G47" s="50">
        <f>IF(OR(4273352.38515="",65606.72628="",70604.93355=""),"-",(65606.72628-70604.93355)/4273352.38515*100)</f>
        <v>-0.11696220717413537</v>
      </c>
    </row>
    <row r="48" spans="1:7" s="9" customFormat="1" x14ac:dyDescent="0.25">
      <c r="A48" s="49" t="s">
        <v>28</v>
      </c>
      <c r="B48" s="50">
        <f>IF(34439.86117="","-",34439.86117)</f>
        <v>34439.861169999996</v>
      </c>
      <c r="C48" s="50">
        <f>IF(OR(39916.70106="",34439.86117=""),"-",34439.86117/39916.70106*100)</f>
        <v>86.279327337778739</v>
      </c>
      <c r="D48" s="50">
        <f>IF(39916.70106="","-",39916.70106/4273352.38515*100)</f>
        <v>0.93408400390081259</v>
      </c>
      <c r="E48" s="50">
        <f>IF(34439.86117="","-",34439.86117/3832063.95895*100)</f>
        <v>0.89872876702811222</v>
      </c>
      <c r="F48" s="50">
        <f>IF(OR(4177554.78501="",43783.3404="",39916.70106=""),"-",(39916.70106-43783.3404)/4177554.78501*100)</f>
        <v>-9.2557477734926841E-2</v>
      </c>
      <c r="G48" s="50">
        <f>IF(OR(4273352.38515="",34439.86117="",39916.70106=""),"-",(34439.86117-39916.70106)/4273352.38515*100)</f>
        <v>-0.12816260856540054</v>
      </c>
    </row>
    <row r="49" spans="1:7" s="9" customFormat="1" x14ac:dyDescent="0.25">
      <c r="A49" s="49" t="s">
        <v>29</v>
      </c>
      <c r="B49" s="50">
        <f>IF(86196.87634="","-",86196.87634)</f>
        <v>86196.876340000003</v>
      </c>
      <c r="C49" s="50">
        <f>IF(OR(84975.82113="",86196.87634=""),"-",86196.87634/84975.82113*100)</f>
        <v>101.43694429046116</v>
      </c>
      <c r="D49" s="50">
        <f>IF(84975.82113="","-",84975.82113/4273352.38515*100)</f>
        <v>1.9885048896340252</v>
      </c>
      <c r="E49" s="50">
        <f>IF(86196.87634="","-",86196.87634/3832063.95895*100)</f>
        <v>2.2493590207095155</v>
      </c>
      <c r="F49" s="50">
        <f>IF(OR(4177554.78501="",82862.36192="",84975.82113=""),"-",(84975.82113-82862.36192)/4177554.78501*100)</f>
        <v>5.0590819720271879E-2</v>
      </c>
      <c r="G49" s="50">
        <f>IF(OR(4273352.38515="",86196.87634="",84975.82113=""),"-",(86196.87634-84975.82113)/4273352.38515*100)</f>
        <v>2.8573707477136716E-2</v>
      </c>
    </row>
    <row r="50" spans="1:7" s="9" customFormat="1" x14ac:dyDescent="0.25">
      <c r="A50" s="49" t="s">
        <v>198</v>
      </c>
      <c r="B50" s="50">
        <f>IF(111447.34655="","-",111447.34655)</f>
        <v>111447.34655</v>
      </c>
      <c r="C50" s="50">
        <f>IF(OR(103420.79742="",111447.34655=""),"-",111447.34655/103420.79742*100)</f>
        <v>107.7610590231707</v>
      </c>
      <c r="D50" s="50">
        <f>IF(103420.79742="","-",103420.79742/4273352.38515*100)</f>
        <v>2.4201326756808004</v>
      </c>
      <c r="E50" s="50">
        <f>IF(111447.34655="","-",111447.34655/3832063.95895*100)</f>
        <v>2.9082851367787974</v>
      </c>
      <c r="F50" s="50">
        <f>IF(OR(4177554.78501="",107644.03101="",103420.79742=""),"-",(103420.79742-107644.03101)/4177554.78501*100)</f>
        <v>-0.10109343401441219</v>
      </c>
      <c r="G50" s="50">
        <f>IF(OR(4273352.38515="",111447.34655="",103420.79742=""),"-",(111447.34655-103420.79742)/4273352.38515*100)</f>
        <v>0.18782792539862722</v>
      </c>
    </row>
    <row r="51" spans="1:7" s="9" customFormat="1" ht="25.5" x14ac:dyDescent="0.25">
      <c r="A51" s="39" t="s">
        <v>241</v>
      </c>
      <c r="B51" s="48">
        <f>IF(758639.45128="","-",758639.45128)</f>
        <v>758639.45128000004</v>
      </c>
      <c r="C51" s="48">
        <f>IF(841356.82282="","-",758639.45128/841356.82282*100)</f>
        <v>90.168574224815373</v>
      </c>
      <c r="D51" s="48">
        <f>IF(841356.82282="","-",841356.82282/4273352.38515*100)</f>
        <v>19.688449418394203</v>
      </c>
      <c r="E51" s="48">
        <f>IF(758639.45128="","-",758639.45128/3832063.95895*100)</f>
        <v>19.79715003211664</v>
      </c>
      <c r="F51" s="48">
        <f>IF(4177554.78501="","-",(841356.82282-849504.18162)/4177554.78501*100)</f>
        <v>-0.19502697676723688</v>
      </c>
      <c r="G51" s="48">
        <f>IF(4273352.38515="","-",(758639.45128-841356.82282)/4273352.38515*100)</f>
        <v>-1.935655290854196</v>
      </c>
    </row>
    <row r="52" spans="1:7" s="9" customFormat="1" x14ac:dyDescent="0.25">
      <c r="A52" s="49" t="s">
        <v>199</v>
      </c>
      <c r="B52" s="50">
        <f>IF(32873.7579499999="","-",32873.7579499999)</f>
        <v>32873.757949999897</v>
      </c>
      <c r="C52" s="50">
        <f>IF(OR(39325.25741="",32873.7579499999=""),"-",32873.7579499999/39325.25741*100)</f>
        <v>83.594514353109986</v>
      </c>
      <c r="D52" s="50">
        <f>IF(39325.25741="","-",39325.25741/4273352.38515*100)</f>
        <v>0.92024373058154973</v>
      </c>
      <c r="E52" s="50">
        <f>IF(32873.7579499999="","-",32873.7579499999/3832063.95895*100)</f>
        <v>0.85786036721076631</v>
      </c>
      <c r="F52" s="50">
        <f>IF(OR(4177554.78501="",42536.47321="",39325.25741=""),"-",(39325.25741-42536.47321)/4177554.78501*100)</f>
        <v>-7.6868310896186398E-2</v>
      </c>
      <c r="G52" s="50">
        <f>IF(OR(4273352.38515="",32873.7579499999="",39325.25741=""),"-",(32873.7579499999-39325.25741)/4273352.38515*100)</f>
        <v>-0.15097045313696134</v>
      </c>
    </row>
    <row r="53" spans="1:7" s="9" customFormat="1" x14ac:dyDescent="0.25">
      <c r="A53" s="49" t="s">
        <v>30</v>
      </c>
      <c r="B53" s="50">
        <f>IF(42289.95531="","-",42289.95531)</f>
        <v>42289.955309999998</v>
      </c>
      <c r="C53" s="50">
        <f>IF(OR(49273.71597="",42289.95531=""),"-",42289.95531/49273.71597*100)</f>
        <v>85.826600404459001</v>
      </c>
      <c r="D53" s="50">
        <f>IF(49273.71597="","-",49273.71597/4273352.38515*100)</f>
        <v>1.1530459351123794</v>
      </c>
      <c r="E53" s="50">
        <f>IF(42289.95531="","-",42289.95531/3832063.95895*100)</f>
        <v>1.1035816667733178</v>
      </c>
      <c r="F53" s="50">
        <f>IF(OR(4177554.78501="",49058.27484="",49273.71597=""),"-",(49273.71597-49058.27484)/4177554.78501*100)</f>
        <v>5.1571108240890135E-3</v>
      </c>
      <c r="G53" s="50">
        <f>IF(OR(4273352.38515="",42289.95531="",49273.71597=""),"-",(42289.95531-49273.71597)/4273352.38515*100)</f>
        <v>-0.16342580790361994</v>
      </c>
    </row>
    <row r="54" spans="1:7" s="9" customFormat="1" x14ac:dyDescent="0.25">
      <c r="A54" s="49" t="s">
        <v>200</v>
      </c>
      <c r="B54" s="50">
        <f>IF(63861.6421="","-",63861.6421)</f>
        <v>63861.642099999997</v>
      </c>
      <c r="C54" s="50">
        <f>IF(OR(68463.17404="",63861.6421=""),"-",63861.6421/68463.17404*100)</f>
        <v>93.27882178335534</v>
      </c>
      <c r="D54" s="50">
        <f>IF(68463.17404="","-",68463.17404/4273352.38515*100)</f>
        <v>1.6020952140036737</v>
      </c>
      <c r="E54" s="50">
        <f>IF(63861.6421="","-",63861.6421/3832063.95895*100)</f>
        <v>1.6665077301449407</v>
      </c>
      <c r="F54" s="50">
        <f>IF(OR(4177554.78501="",63839.86499="",68463.17404=""),"-",(68463.17404-63839.86499)/4177554.78501*100)</f>
        <v>0.1106702194927392</v>
      </c>
      <c r="G54" s="50">
        <f>IF(OR(4273352.38515="",63861.6421="",68463.17404=""),"-",(63861.6421-68463.17404)/4273352.38515*100)</f>
        <v>-0.10767967453352155</v>
      </c>
    </row>
    <row r="55" spans="1:7" s="9" customFormat="1" ht="25.5" x14ac:dyDescent="0.25">
      <c r="A55" s="49" t="s">
        <v>201</v>
      </c>
      <c r="B55" s="50">
        <f>IF(67690.55893="","-",67690.55893)</f>
        <v>67690.558929999999</v>
      </c>
      <c r="C55" s="50">
        <f>IF(OR(78177.48049="",67690.55893=""),"-",67690.55893/78177.48049*100)</f>
        <v>86.585751428326702</v>
      </c>
      <c r="D55" s="50">
        <f>IF(78177.48049="","-",78177.48049/4273352.38515*100)</f>
        <v>1.829418064413985</v>
      </c>
      <c r="E55" s="50">
        <f>IF(67690.55893="","-",67690.55893/3832063.95895*100)</f>
        <v>1.7664256039334862</v>
      </c>
      <c r="F55" s="50">
        <f>IF(OR(4177554.78501="",73024.71452="",78177.48049=""),"-",(78177.48049-73024.71452)/4177554.78501*100)</f>
        <v>0.1233440669285603</v>
      </c>
      <c r="G55" s="50">
        <f>IF(OR(4273352.38515="",67690.55893="",78177.48049=""),"-",(67690.55893-78177.48049)/4273352.38515*100)</f>
        <v>-0.24540268657558645</v>
      </c>
    </row>
    <row r="56" spans="1:7" s="9" customFormat="1" ht="25.5" x14ac:dyDescent="0.25">
      <c r="A56" s="49" t="s">
        <v>202</v>
      </c>
      <c r="B56" s="50">
        <f>IF(185806.25427="","-",185806.25427)</f>
        <v>185806.25427</v>
      </c>
      <c r="C56" s="50">
        <f>IF(OR(203347.78404="",185806.25427=""),"-",185806.25427/203347.78404*100)</f>
        <v>91.373631213729155</v>
      </c>
      <c r="D56" s="50">
        <f>IF(203347.78404="","-",203347.78404/4273352.38515*100)</f>
        <v>4.7585072728062006</v>
      </c>
      <c r="E56" s="50">
        <f>IF(185806.25427="","-",185806.25427/3832063.95895*100)</f>
        <v>4.8487252890453227</v>
      </c>
      <c r="F56" s="50">
        <f>IF(OR(4177554.78501="",222010.97085="",203347.78404=""),"-",(203347.78404-222010.97085)/4177554.78501*100)</f>
        <v>-0.44674906184277213</v>
      </c>
      <c r="G56" s="50">
        <f>IF(OR(4273352.38515="",185806.25427="",203347.78404=""),"-",(185806.25427-203347.78404)/4273352.38515*100)</f>
        <v>-0.41048638607378179</v>
      </c>
    </row>
    <row r="57" spans="1:7" s="9" customFormat="1" x14ac:dyDescent="0.25">
      <c r="A57" s="49" t="s">
        <v>31</v>
      </c>
      <c r="B57" s="50">
        <f>IF(102200.679="","-",102200.679)</f>
        <v>102200.679</v>
      </c>
      <c r="C57" s="50">
        <f>IF(OR(97381.81358="",102200.679=""),"-",102200.679/97381.81358*100)</f>
        <v>104.94842439552767</v>
      </c>
      <c r="D57" s="50">
        <f>IF(97381.81358="","-",97381.81358/4273352.38515*100)</f>
        <v>2.2788154311449738</v>
      </c>
      <c r="E57" s="50">
        <f>IF(102200.679="","-",102200.679/3832063.95895*100)</f>
        <v>2.666987818961231</v>
      </c>
      <c r="F57" s="50">
        <f>IF(OR(4177554.78501="",93352.13601="",97381.81358=""),"-",(97381.81358-93352.13601)/4177554.78501*100)</f>
        <v>9.6460196870652257E-2</v>
      </c>
      <c r="G57" s="50">
        <f>IF(OR(4273352.38515="",102200.679="",97381.81358=""),"-",(102200.679-97381.81358)/4273352.38515*100)</f>
        <v>0.11276545872382704</v>
      </c>
    </row>
    <row r="58" spans="1:7" s="9" customFormat="1" ht="16.5" customHeight="1" x14ac:dyDescent="0.25">
      <c r="A58" s="49" t="s">
        <v>203</v>
      </c>
      <c r="B58" s="50">
        <f>IF(99147.60253="","-",99147.60253)</f>
        <v>99147.602530000004</v>
      </c>
      <c r="C58" s="50">
        <f>IF(OR(106051.73025="",99147.60253=""),"-",99147.60253/106051.73025*100)</f>
        <v>93.489849054112923</v>
      </c>
      <c r="D58" s="50">
        <f>IF(106051.73025="","-",106051.73025/4273352.38515*100)</f>
        <v>2.481698692074453</v>
      </c>
      <c r="E58" s="50">
        <f>IF(99147.60253="","-",99147.60253/3832063.95895*100)</f>
        <v>2.5873159632013767</v>
      </c>
      <c r="F58" s="50">
        <f>IF(OR(4177554.78501="",104046.50816="",106051.73025=""),"-",(106051.73025-104046.50816)/4177554.78501*100)</f>
        <v>4.7999899299829188E-2</v>
      </c>
      <c r="G58" s="50">
        <f>IF(OR(4273352.38515="",99147.60253="",106051.73025=""),"-",(99147.60253-106051.73025)/4273352.38515*100)</f>
        <v>-0.16156233087615229</v>
      </c>
    </row>
    <row r="59" spans="1:7" s="9" customFormat="1" ht="16.5" customHeight="1" x14ac:dyDescent="0.25">
      <c r="A59" s="49" t="s">
        <v>32</v>
      </c>
      <c r="B59" s="50">
        <f>IF(45527.3363="","-",45527.3363)</f>
        <v>45527.336300000003</v>
      </c>
      <c r="C59" s="50">
        <f>IF(OR(70921.14616="",45527.3363=""),"-",45527.3363/70921.14616*100)</f>
        <v>64.19430418861127</v>
      </c>
      <c r="D59" s="50">
        <f>IF(70921.14616="","-",70921.14616/4273352.38515*100)</f>
        <v>1.6596138059302725</v>
      </c>
      <c r="E59" s="50">
        <f>IF(45527.3363="","-",45527.3363/3832063.95895*100)</f>
        <v>1.1880630591686332</v>
      </c>
      <c r="F59" s="50">
        <f>IF(OR(4177554.78501="",78567.80885="",70921.14616=""),"-",(70921.14616-78567.80885)/4177554.78501*100)</f>
        <v>-0.18304158972224449</v>
      </c>
      <c r="G59" s="50">
        <f>IF(OR(4273352.38515="",45527.3363="",70921.14616=""),"-",(45527.3363-70921.14616)/4273352.38515*100)</f>
        <v>-0.59423627099520471</v>
      </c>
    </row>
    <row r="60" spans="1:7" s="9" customFormat="1" ht="16.5" customHeight="1" x14ac:dyDescent="0.25">
      <c r="A60" s="49" t="s">
        <v>33</v>
      </c>
      <c r="B60" s="50">
        <f>IF(119241.66489="","-",119241.66489)</f>
        <v>119241.66489</v>
      </c>
      <c r="C60" s="50">
        <f>IF(OR(128414.72088="",119241.66489=""),"-",119241.66489/128414.72088*100)</f>
        <v>92.856694367173091</v>
      </c>
      <c r="D60" s="50">
        <f>IF(128414.72088="","-",128414.72088/4273352.38515*100)</f>
        <v>3.0050112723267137</v>
      </c>
      <c r="E60" s="50">
        <f>IF(119241.66489="","-",119241.66489/3832063.95895*100)</f>
        <v>3.1116825336775609</v>
      </c>
      <c r="F60" s="50">
        <f>IF(OR(4177554.78501="",123067.43019="",128414.72088=""),"-",(128414.72088-123067.43019)/4177554.78501*100)</f>
        <v>0.12800049227809696</v>
      </c>
      <c r="G60" s="50">
        <f>IF(OR(4273352.38515="",119241.66489="",128414.72088=""),"-",(119241.66489-128414.72088)/4273352.38515*100)</f>
        <v>-0.21465713948319773</v>
      </c>
    </row>
    <row r="61" spans="1:7" s="9" customFormat="1" ht="15.75" customHeight="1" x14ac:dyDescent="0.25">
      <c r="A61" s="39" t="s">
        <v>204</v>
      </c>
      <c r="B61" s="48">
        <f>IF(980699.57778="","-",980699.57778)</f>
        <v>980699.57778000005</v>
      </c>
      <c r="C61" s="48">
        <f>IF(1035801.38753="","-",980699.57778/1035801.38753*100)</f>
        <v>94.680272645569914</v>
      </c>
      <c r="D61" s="48">
        <f>IF(1035801.38753="","-",1035801.38753/4273352.38515*100)</f>
        <v>24.238613953986899</v>
      </c>
      <c r="E61" s="48">
        <f>IF(980699.57778="","-",980699.57778/3832063.95895*100)</f>
        <v>25.591941791303384</v>
      </c>
      <c r="F61" s="48">
        <f>IF(4177554.78501="","-",(1035801.38753-1001267.82541)/4177554.78501*100)</f>
        <v>0.82664534392018119</v>
      </c>
      <c r="G61" s="48">
        <f>IF(4273352.38515="","-",(980699.57778-1035801.38753)/4273352.38515*100)</f>
        <v>-1.2894281768449514</v>
      </c>
    </row>
    <row r="62" spans="1:7" s="9" customFormat="1" ht="25.5" x14ac:dyDescent="0.25">
      <c r="A62" s="49" t="s">
        <v>205</v>
      </c>
      <c r="B62" s="50">
        <f>IF(14730.04818="","-",14730.04818)</f>
        <v>14730.04818</v>
      </c>
      <c r="C62" s="50">
        <f>IF(OR(15420.6227="",14730.04818=""),"-",14730.04818/15420.6227*100)</f>
        <v>95.52174686175286</v>
      </c>
      <c r="D62" s="50">
        <f>IF(15420.6227="","-",15420.6227/4273352.38515*100)</f>
        <v>0.36085539665736494</v>
      </c>
      <c r="E62" s="50">
        <f>IF(14730.04818="","-",14730.04818/3832063.95895*100)</f>
        <v>0.38438941358473799</v>
      </c>
      <c r="F62" s="50">
        <f>IF(OR(4177554.78501="",18774.34788="",15420.6227=""),"-",(15420.6227-18774.34788)/4177554.78501*100)</f>
        <v>-8.0279621754666547E-2</v>
      </c>
      <c r="G62" s="50">
        <f>IF(OR(4273352.38515="",14730.04818="",15420.6227=""),"-",(14730.04818-15420.6227)/4273352.38515*100)</f>
        <v>-1.6160018125342596E-2</v>
      </c>
    </row>
    <row r="63" spans="1:7" s="9" customFormat="1" ht="25.5" x14ac:dyDescent="0.25">
      <c r="A63" s="49" t="s">
        <v>206</v>
      </c>
      <c r="B63" s="50">
        <f>IF(120921.52027="","-",120921.52027)</f>
        <v>120921.52026999999</v>
      </c>
      <c r="C63" s="50">
        <f>IF(OR(151720.10565="",120921.52027=""),"-",120921.52027/151720.10565*100)</f>
        <v>79.700392872749077</v>
      </c>
      <c r="D63" s="50">
        <f>IF(151720.10565="","-",151720.10565/4273352.38515*100)</f>
        <v>3.5503766592530712</v>
      </c>
      <c r="E63" s="50">
        <f>IF(120921.52027="","-",120921.52027/3832063.95895*100)</f>
        <v>3.155519364116588</v>
      </c>
      <c r="F63" s="50">
        <f>IF(OR(4177554.78501="",164924.47474="",151720.10565=""),"-",(151720.10565-164924.47474)/4177554.78501*100)</f>
        <v>-0.31607889709502357</v>
      </c>
      <c r="G63" s="50">
        <f>IF(OR(4273352.38515="",120921.52027="",151720.10565=""),"-",(120921.52027-151720.10565)/4273352.38515*100)</f>
        <v>-0.72071251336598929</v>
      </c>
    </row>
    <row r="64" spans="1:7" s="9" customFormat="1" ht="25.5" x14ac:dyDescent="0.25">
      <c r="A64" s="49" t="s">
        <v>207</v>
      </c>
      <c r="B64" s="50">
        <f>IF(10334.03567="","-",10334.03567)</f>
        <v>10334.035669999999</v>
      </c>
      <c r="C64" s="50">
        <f>IF(OR(8192.83164="",10334.03567=""),"-",10334.03567/8192.83164*100)</f>
        <v>126.13509131013949</v>
      </c>
      <c r="D64" s="50">
        <f>IF(8192.83164="","-",8192.83164/4273352.38515*100)</f>
        <v>0.19171907443135935</v>
      </c>
      <c r="E64" s="50">
        <f>IF(10334.03567="","-",10334.03567/3832063.95895*100)</f>
        <v>0.26967283898965938</v>
      </c>
      <c r="F64" s="50">
        <f>IF(OR(4177554.78501="",10320.90675="",8192.83164=""),"-",(8192.83164-10320.90675)/4177554.78501*100)</f>
        <v>-5.0940687064978979E-2</v>
      </c>
      <c r="G64" s="50">
        <f>IF(OR(4273352.38515="",10334.03567="",8192.83164=""),"-",(10334.03567-8192.83164)/4273352.38515*100)</f>
        <v>5.0105955161590075E-2</v>
      </c>
    </row>
    <row r="65" spans="1:7" s="9" customFormat="1" ht="27" customHeight="1" x14ac:dyDescent="0.25">
      <c r="A65" s="49" t="s">
        <v>208</v>
      </c>
      <c r="B65" s="50">
        <f>IF(148785.95816="","-",148785.95816)</f>
        <v>148785.95816000001</v>
      </c>
      <c r="C65" s="50">
        <f>IF(OR(144101.26242="",148785.95816=""),"-",148785.95816/144101.26242*100)</f>
        <v>103.25097480849675</v>
      </c>
      <c r="D65" s="50">
        <f>IF(144101.26242="","-",144101.26242/4273352.38515*100)</f>
        <v>3.3720893910072864</v>
      </c>
      <c r="E65" s="50">
        <f>IF(148785.95816="","-",148785.95816/3832063.95895*100)</f>
        <v>3.8826585295504286</v>
      </c>
      <c r="F65" s="50">
        <f>IF(OR(4177554.78501="",130568.6206="",144101.26242=""),"-",(144101.26242-130568.6206)/4177554.78501*100)</f>
        <v>0.32393690846516632</v>
      </c>
      <c r="G65" s="50">
        <f>IF(OR(4273352.38515="",148785.95816="",144101.26242=""),"-",(148785.95816-144101.26242)/4273352.38515*100)</f>
        <v>0.1096257766216384</v>
      </c>
    </row>
    <row r="66" spans="1:7" s="9" customFormat="1" ht="25.5" x14ac:dyDescent="0.25">
      <c r="A66" s="49" t="s">
        <v>209</v>
      </c>
      <c r="B66" s="50">
        <f>IF(37252.51655="","-",37252.51655)</f>
        <v>37252.51655</v>
      </c>
      <c r="C66" s="50">
        <f>IF(OR(32573.36006="",37252.51655=""),"-",37252.51655/32573.36006*100)</f>
        <v>114.36497948440388</v>
      </c>
      <c r="D66" s="50">
        <f>IF(32573.36006="","-",32573.36006/4273352.38515*100)</f>
        <v>0.76224371697483195</v>
      </c>
      <c r="E66" s="50">
        <f>IF(37252.51655="","-",37252.51655/3832063.95895*100)</f>
        <v>0.97212669070918456</v>
      </c>
      <c r="F66" s="50">
        <f>IF(OR(4177554.78501="",39458.88355="",32573.36006=""),"-",(32573.36006-39458.88355)/4177554.78501*100)</f>
        <v>-0.16482185978043415</v>
      </c>
      <c r="G66" s="50">
        <f>IF(OR(4273352.38515="",37252.51655="",32573.36006=""),"-",(37252.51655-32573.36006)/4273352.38515*100)</f>
        <v>0.10949615356459204</v>
      </c>
    </row>
    <row r="67" spans="1:7" s="9" customFormat="1" ht="38.25" x14ac:dyDescent="0.25">
      <c r="A67" s="49" t="s">
        <v>210</v>
      </c>
      <c r="B67" s="50">
        <f>IF(114151.21008="","-",114151.21008)</f>
        <v>114151.21008</v>
      </c>
      <c r="C67" s="50">
        <f>IF(OR(116787.49976="",114151.21008=""),"-",114151.21008/116787.49976*100)</f>
        <v>97.742661084946931</v>
      </c>
      <c r="D67" s="50">
        <f>IF(116787.49976="","-",116787.49976/4273352.38515*100)</f>
        <v>2.7329246276492269</v>
      </c>
      <c r="E67" s="50">
        <f>IF(114151.21008="","-",114151.21008/3832063.95895*100)</f>
        <v>2.9788440720931462</v>
      </c>
      <c r="F67" s="50">
        <f>IF(OR(4177554.78501="",103880.00731="",116787.49976=""),"-",(116787.49976-103880.00731)/4177554.78501*100)</f>
        <v>0.30897242799340352</v>
      </c>
      <c r="G67" s="50">
        <f>IF(OR(4273352.38515="",114151.21008="",116787.49976=""),"-",(114151.21008-116787.49976)/4273352.38515*100)</f>
        <v>-6.1691371138995463E-2</v>
      </c>
    </row>
    <row r="68" spans="1:7" s="9" customFormat="1" ht="51" x14ac:dyDescent="0.25">
      <c r="A68" s="49" t="s">
        <v>211</v>
      </c>
      <c r="B68" s="50">
        <f>IF(283706.08778="","-",283706.08778)</f>
        <v>283706.08778</v>
      </c>
      <c r="C68" s="50">
        <f>IF(OR(320824.92581="",283706.08778=""),"-",283706.08778/320824.92581*100)</f>
        <v>88.430188852600992</v>
      </c>
      <c r="D68" s="50">
        <f>IF(320824.92581="","-",320824.92581/4273352.38515*100)</f>
        <v>7.5075700970711923</v>
      </c>
      <c r="E68" s="50">
        <f>IF(283706.08778="","-",283706.08778/3832063.95895*100)</f>
        <v>7.4034799736937735</v>
      </c>
      <c r="F68" s="50">
        <f>IF(OR(4177554.78501="",311623.38335="",320824.92581=""),"-",(320824.92581-311623.38335)/4177554.78501*100)</f>
        <v>0.22026144320158667</v>
      </c>
      <c r="G68" s="50">
        <f>IF(OR(4273352.38515="",283706.08778="",320824.92581=""),"-",(283706.08778-320824.92581)/4273352.38515*100)</f>
        <v>-0.86861168198973748</v>
      </c>
    </row>
    <row r="69" spans="1:7" s="9" customFormat="1" ht="25.5" x14ac:dyDescent="0.25">
      <c r="A69" s="49" t="s">
        <v>212</v>
      </c>
      <c r="B69" s="50">
        <f>IF(198487.79483="","-",198487.79483)</f>
        <v>198487.79483</v>
      </c>
      <c r="C69" s="50">
        <f>IF(OR(240099.51285="",198487.79483=""),"-",198487.79483/240099.51285*100)</f>
        <v>82.668970242352586</v>
      </c>
      <c r="D69" s="50">
        <f>IF(240099.51285="","-",240099.51285/4273352.38515*100)</f>
        <v>5.6185282937197369</v>
      </c>
      <c r="E69" s="50">
        <f>IF(198487.79483="","-",198487.79483/3832063.95895*100)</f>
        <v>5.1796576715902836</v>
      </c>
      <c r="F69" s="50">
        <f>IF(OR(4177554.78501="",218506.16343="",240099.51285=""),"-",(240099.51285-218506.16343)/4177554.78501*100)</f>
        <v>0.51688967664725249</v>
      </c>
      <c r="G69" s="50">
        <f>IF(OR(4273352.38515="",198487.79483="",240099.51285=""),"-",(198487.79483-240099.51285)/4273352.38515*100)</f>
        <v>-0.9737488105264076</v>
      </c>
    </row>
    <row r="70" spans="1:7" s="9" customFormat="1" x14ac:dyDescent="0.25">
      <c r="A70" s="49" t="s">
        <v>34</v>
      </c>
      <c r="B70" s="50">
        <f>IF(52330.40626="","-",52330.40626)</f>
        <v>52330.406260000003</v>
      </c>
      <c r="C70" s="50" t="s">
        <v>283</v>
      </c>
      <c r="D70" s="50">
        <f>IF(6081.26664="","-",6081.26664/4273352.38515*100)</f>
        <v>0.1423066972228301</v>
      </c>
      <c r="E70" s="50">
        <f>IF(52330.40626="","-",52330.40626/3832063.95895*100)</f>
        <v>1.3655932369755837</v>
      </c>
      <c r="F70" s="50">
        <f>IF(OR(4177554.78501="",3211.0378="",6081.26664=""),"-",(6081.26664-3211.0378)/4177554.78501*100)</f>
        <v>6.870595330787814E-2</v>
      </c>
      <c r="G70" s="50">
        <f>IF(OR(4273352.38515="",52330.40626="",6081.26664=""),"-",(52330.40626-6081.26664)/4273352.38515*100)</f>
        <v>1.082268332953698</v>
      </c>
    </row>
    <row r="71" spans="1:7" s="9" customFormat="1" x14ac:dyDescent="0.25">
      <c r="A71" s="39" t="s">
        <v>35</v>
      </c>
      <c r="B71" s="48">
        <f>IF(404364.32625="","-",404364.32625)</f>
        <v>404364.32624999998</v>
      </c>
      <c r="C71" s="48">
        <f>IF(462490.83881="","-",404364.32625/462490.83881*100)</f>
        <v>87.431856442916597</v>
      </c>
      <c r="D71" s="48">
        <f>IF(462490.83881="","-",462490.83881/4273352.38515*100)</f>
        <v>10.822670286147392</v>
      </c>
      <c r="E71" s="48">
        <f>IF(404364.32625="","-",404364.32625/3832063.95895*100)</f>
        <v>10.552128841836902</v>
      </c>
      <c r="F71" s="48">
        <f>IF(4177554.78501="","-",(462490.83881-422580.00067)/4177554.78501*100)</f>
        <v>0.95536360847280832</v>
      </c>
      <c r="G71" s="48">
        <f>IF(4273352.38515="","-",(404364.32625-462490.83881)/4273352.38515*100)</f>
        <v>-1.3602087382728134</v>
      </c>
    </row>
    <row r="72" spans="1:7" s="9" customFormat="1" ht="38.25" x14ac:dyDescent="0.25">
      <c r="A72" s="49" t="s">
        <v>238</v>
      </c>
      <c r="B72" s="50">
        <f>IF(35814.03172="","-",35814.03172)</f>
        <v>35814.031719999999</v>
      </c>
      <c r="C72" s="50">
        <f>IF(OR(34935.36115="",35814.03172=""),"-",35814.03172/34935.36115*100)</f>
        <v>102.51513235036359</v>
      </c>
      <c r="D72" s="50">
        <f>IF(34935.36115="","-",34935.36115/4273352.38515*100)</f>
        <v>0.81751650697941969</v>
      </c>
      <c r="E72" s="50">
        <f>IF(35814.03172="","-",35814.03172/3832063.95895*100)</f>
        <v>0.93458856907527132</v>
      </c>
      <c r="F72" s="50">
        <f>IF(OR(4177554.78501="",30650.34372="",34935.36115=""),"-",(34935.36115-30650.34372)/4177554.78501*100)</f>
        <v>0.10257238146524363</v>
      </c>
      <c r="G72" s="50">
        <f>IF(OR(4273352.38515="",35814.03172="",34935.36115=""),"-",(35814.03172-34935.36115)/4273352.38515*100)</f>
        <v>2.0561622136601766E-2</v>
      </c>
    </row>
    <row r="73" spans="1:7" s="9" customFormat="1" x14ac:dyDescent="0.25">
      <c r="A73" s="49" t="s">
        <v>213</v>
      </c>
      <c r="B73" s="50">
        <f>IF(37265.09331="","-",37265.09331)</f>
        <v>37265.093309999997</v>
      </c>
      <c r="C73" s="50">
        <f>IF(OR(41682.85747="",37265.09331=""),"-",37265.09331/41682.85747*100)</f>
        <v>89.401484379568842</v>
      </c>
      <c r="D73" s="50">
        <f>IF(41682.85747="","-",41682.85747/4273352.38515*100)</f>
        <v>0.97541353282375942</v>
      </c>
      <c r="E73" s="50">
        <f>IF(37265.09331="","-",37265.09331/3832063.95895*100)</f>
        <v>0.97245488878037345</v>
      </c>
      <c r="F73" s="50">
        <f>IF(OR(4177554.78501="",37400.02607="",41682.85747=""),"-",(41682.85747-37400.02607)/4177554.78501*100)</f>
        <v>0.1025200534860191</v>
      </c>
      <c r="G73" s="50">
        <f>IF(OR(4273352.38515="",37265.09331="",41682.85747=""),"-",(37265.09331-41682.85747)/4273352.38515*100)</f>
        <v>-0.10337935564012554</v>
      </c>
    </row>
    <row r="74" spans="1:7" x14ac:dyDescent="0.25">
      <c r="A74" s="49" t="s">
        <v>214</v>
      </c>
      <c r="B74" s="50">
        <f>IF(6353.97715="","-",6353.97715)</f>
        <v>6353.9771499999997</v>
      </c>
      <c r="C74" s="50">
        <f>IF(OR(6994.82613="",6353.97715=""),"-",6353.97715/6994.82613*100)</f>
        <v>90.838242894251891</v>
      </c>
      <c r="D74" s="50">
        <f>IF(6994.82613="","-",6994.82613/4273352.38515*100)</f>
        <v>0.16368474910487571</v>
      </c>
      <c r="E74" s="50">
        <f>IF(6353.97715="","-",6353.97715/3832063.95895*100)</f>
        <v>0.16581083244082945</v>
      </c>
      <c r="F74" s="50">
        <f>IF(OR(4177554.78501="",6350.92726="",6994.82613=""),"-",(6994.82613-6350.92726)/4177554.78501*100)</f>
        <v>1.5413295651093626E-2</v>
      </c>
      <c r="G74" s="50">
        <f>IF(OR(4273352.38515="",6353.97715="",6994.82613=""),"-",(6353.97715-6994.82613)/4273352.38515*100)</f>
        <v>-1.4996399132141919E-2</v>
      </c>
    </row>
    <row r="75" spans="1:7" x14ac:dyDescent="0.25">
      <c r="A75" s="49" t="s">
        <v>215</v>
      </c>
      <c r="B75" s="50">
        <f>IF(94016.04157="","-",94016.04157)</f>
        <v>94016.041570000001</v>
      </c>
      <c r="C75" s="50">
        <f>IF(OR(106141.49024="",94016.04157=""),"-",94016.04157/106141.49024*100)</f>
        <v>88.576146196381117</v>
      </c>
      <c r="D75" s="50">
        <f>IF(106141.49024="","-",106141.49024/4273352.38515*100)</f>
        <v>2.4837991504946832</v>
      </c>
      <c r="E75" s="50">
        <f>IF(94016.04157="","-",94016.04157/3832063.95895*100)</f>
        <v>2.4534048120574887</v>
      </c>
      <c r="F75" s="50">
        <f>IF(OR(4177554.78501="",107018.67744="",106141.49024=""),"-",(106141.49024-107018.67744)/4177554.78501*100)</f>
        <v>-2.0997622895277016E-2</v>
      </c>
      <c r="G75" s="50">
        <f>IF(OR(4273352.38515="",94016.04157="",106141.49024=""),"-",(94016.04157-106141.49024)/4273352.38515*100)</f>
        <v>-0.28374558372804021</v>
      </c>
    </row>
    <row r="76" spans="1:7" x14ac:dyDescent="0.25">
      <c r="A76" s="49" t="s">
        <v>216</v>
      </c>
      <c r="B76" s="50">
        <f>IF(28289.62971="","-",28289.62971)</f>
        <v>28289.629710000001</v>
      </c>
      <c r="C76" s="50">
        <f>IF(OR(36289.4206="",28289.62971=""),"-",28289.62971/36289.4206*100)</f>
        <v>77.955583865122392</v>
      </c>
      <c r="D76" s="50">
        <f>IF(36289.4206="","-",36289.4206/4273352.38515*100)</f>
        <v>0.84920262429343718</v>
      </c>
      <c r="E76" s="50">
        <f>IF(28289.62971="","-",28289.62971/3832063.95895*100)</f>
        <v>0.73823480017675558</v>
      </c>
      <c r="F76" s="50">
        <f>IF(OR(4177554.78501="",31260.59="",36289.4206=""),"-",(36289.4206-31260.59)/4177554.78501*100)</f>
        <v>0.12037737046667982</v>
      </c>
      <c r="G76" s="50">
        <f>IF(OR(4273352.38515="",28289.62971="",36289.4206=""),"-",(28289.62971-36289.4206)/4273352.38515*100)</f>
        <v>-0.18720176032754654</v>
      </c>
    </row>
    <row r="77" spans="1:7" ht="25.5" x14ac:dyDescent="0.25">
      <c r="A77" s="49" t="s">
        <v>239</v>
      </c>
      <c r="B77" s="50">
        <f>IF(40549.44045="","-",40549.44045)</f>
        <v>40549.440450000002</v>
      </c>
      <c r="C77" s="50">
        <f>IF(OR(47546.56125="",40549.44045=""),"-",40549.44045/47546.56125*100)</f>
        <v>85.28364488188933</v>
      </c>
      <c r="D77" s="50">
        <f>IF(47546.56125="","-",47546.56125/4273352.38515*100)</f>
        <v>1.1126290781735064</v>
      </c>
      <c r="E77" s="50">
        <f>IF(40549.44045="","-",40549.44045/3832063.95895*100)</f>
        <v>1.0581618909385506</v>
      </c>
      <c r="F77" s="50">
        <f>IF(OR(4177554.78501="",42064.45475="",47546.56125=""),"-",(47546.56125-42064.45475)/4177554.78501*100)</f>
        <v>0.13122763870556586</v>
      </c>
      <c r="G77" s="50">
        <f>IF(OR(4273352.38515="",40549.44045="",47546.56125=""),"-",(40549.44045-47546.56125)/4273352.38515*100)</f>
        <v>-0.16373844629137432</v>
      </c>
    </row>
    <row r="78" spans="1:7" ht="25.5" x14ac:dyDescent="0.25">
      <c r="A78" s="49" t="s">
        <v>217</v>
      </c>
      <c r="B78" s="50">
        <f>IF(7655.82007="","-",7655.82007)</f>
        <v>7655.8200699999998</v>
      </c>
      <c r="C78" s="50">
        <f>IF(OR(8646.22586="",7655.82007=""),"-",7655.82007/8646.22586*100)</f>
        <v>88.545224170213842</v>
      </c>
      <c r="D78" s="50">
        <f>IF(8646.22586="","-",8646.22586/4273352.38515*100)</f>
        <v>0.20232887627160911</v>
      </c>
      <c r="E78" s="50">
        <f>IF(7655.82007="","-",7655.82007/3832063.95895*100)</f>
        <v>0.1997832017422205</v>
      </c>
      <c r="F78" s="50">
        <f>IF(OR(4177554.78501="",9022.4307="",8646.22586=""),"-",(8646.22586-9022.4307)/4177554.78501*100)</f>
        <v>-9.0053837558254721E-3</v>
      </c>
      <c r="G78" s="50">
        <f>IF(OR(4273352.38515="",7655.82007="",8646.22586=""),"-",(7655.82007-8646.22586)/4273352.38515*100)</f>
        <v>-2.3176319215838227E-2</v>
      </c>
    </row>
    <row r="79" spans="1:7" x14ac:dyDescent="0.25">
      <c r="A79" s="49" t="s">
        <v>36</v>
      </c>
      <c r="B79" s="52">
        <f>IF(154420.29227="","-",154420.29227)</f>
        <v>154420.29227000001</v>
      </c>
      <c r="C79" s="52">
        <f>IF(OR(180254.09611="",154420.29227=""),"-",154420.29227/180254.09611*100)</f>
        <v>85.668118285514623</v>
      </c>
      <c r="D79" s="52">
        <f>IF(180254.09611="","-",180254.09611/4273352.38515*100)</f>
        <v>4.2180957680061031</v>
      </c>
      <c r="E79" s="52">
        <f>IF(154420.29227="","-",154420.29227/3832063.95895*100)</f>
        <v>4.0296898466254136</v>
      </c>
      <c r="F79" s="52">
        <f>IF(OR(4177554.78501="",158812.55073="",180254.09611=""),"-",(180254.09611-158812.55073)/4177554.78501*100)</f>
        <v>0.51325587534930917</v>
      </c>
      <c r="G79" s="52">
        <f>IF(OR(4273352.38515="",154420.29227="",180254.09611=""),"-",(154420.29227-180254.09611)/4273352.38515*100)</f>
        <v>-0.60453249607434856</v>
      </c>
    </row>
    <row r="80" spans="1:7" ht="25.5" x14ac:dyDescent="0.25">
      <c r="A80" s="54" t="s">
        <v>218</v>
      </c>
      <c r="B80" s="55">
        <f>IF(187.89133="","-",187.89133)</f>
        <v>187.89133000000001</v>
      </c>
      <c r="C80" s="55">
        <f>IF(145.19009="","-",187.89133/145.19009*100)</f>
        <v>129.41057478509725</v>
      </c>
      <c r="D80" s="55">
        <f>IF(145.19009="","-",145.19009/4273352.38515*100)</f>
        <v>3.3975688619674559E-3</v>
      </c>
      <c r="E80" s="55">
        <f>IF(187.89133="","-",187.89133/3832063.95895*100)</f>
        <v>4.9031365867777156E-3</v>
      </c>
      <c r="F80" s="55">
        <f>IF(4177554.78501="","-",(145.19009-308.39341)/4177554.78501*100)</f>
        <v>-3.9066709689986592E-3</v>
      </c>
      <c r="G80" s="55">
        <f>IF(4273352.38515="","-",(187.89133-145.19009)/4273352.38515*100)</f>
        <v>9.9924453102411643E-4</v>
      </c>
    </row>
    <row r="81" spans="1:1" x14ac:dyDescent="0.25">
      <c r="A81" s="26" t="s">
        <v>21</v>
      </c>
    </row>
  </sheetData>
  <mergeCells count="10">
    <mergeCell ref="A1:G1"/>
    <mergeCell ref="A2:G2"/>
    <mergeCell ref="A4:A6"/>
    <mergeCell ref="B4:C4"/>
    <mergeCell ref="D4:E4"/>
    <mergeCell ref="F4:G4"/>
    <mergeCell ref="B5:B6"/>
    <mergeCell ref="C5:C6"/>
    <mergeCell ref="D5:E5"/>
    <mergeCell ref="F5:G5"/>
  </mergeCells>
  <pageMargins left="0.59055118110236227" right="0.39370078740157483" top="0.39370078740157483" bottom="0.39370078740157483" header="0.11811023622047245" footer="0.1181102362204724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81"/>
  <sheetViews>
    <sheetView zoomScale="99" zoomScaleNormal="99" workbookViewId="0">
      <selection activeCell="H18" sqref="H18"/>
    </sheetView>
  </sheetViews>
  <sheetFormatPr defaultRowHeight="15.75" x14ac:dyDescent="0.25"/>
  <cols>
    <col min="1" max="1" width="42.625" customWidth="1"/>
    <col min="2" max="2" width="14.5" customWidth="1"/>
    <col min="3" max="3" width="14.125" customWidth="1"/>
    <col min="4" max="4" width="15.875" customWidth="1"/>
    <col min="6" max="6" width="12.125" bestFit="1" customWidth="1"/>
  </cols>
  <sheetData>
    <row r="1" spans="1:6" x14ac:dyDescent="0.25">
      <c r="A1" s="96" t="s">
        <v>162</v>
      </c>
      <c r="B1" s="96"/>
      <c r="C1" s="96"/>
      <c r="D1" s="96"/>
    </row>
    <row r="2" spans="1:6" x14ac:dyDescent="0.25">
      <c r="A2" s="96" t="s">
        <v>23</v>
      </c>
      <c r="B2" s="96"/>
      <c r="C2" s="96"/>
      <c r="D2" s="96"/>
    </row>
    <row r="3" spans="1:6" x14ac:dyDescent="0.25">
      <c r="A3" s="5"/>
    </row>
    <row r="4" spans="1:6" ht="22.5" customHeight="1" x14ac:dyDescent="0.25">
      <c r="A4" s="97"/>
      <c r="B4" s="101" t="s">
        <v>266</v>
      </c>
      <c r="C4" s="102"/>
      <c r="D4" s="108" t="s">
        <v>268</v>
      </c>
      <c r="E4" s="1"/>
    </row>
    <row r="5" spans="1:6" ht="34.5" customHeight="1" x14ac:dyDescent="0.25">
      <c r="A5" s="98"/>
      <c r="B5" s="21">
        <v>2019</v>
      </c>
      <c r="C5" s="20">
        <v>2020</v>
      </c>
      <c r="D5" s="113"/>
      <c r="E5" s="1"/>
    </row>
    <row r="6" spans="1:6" ht="14.25" customHeight="1" x14ac:dyDescent="0.25">
      <c r="A6" s="44" t="s">
        <v>140</v>
      </c>
      <c r="B6" s="45">
        <f>IF(-2247374.84049="","-",-2247374.84049)</f>
        <v>-2247374.8404899999</v>
      </c>
      <c r="C6" s="45">
        <f>IF(-2076564.11403="","-",-2076564.11403)</f>
        <v>-2076564.1140300001</v>
      </c>
      <c r="D6" s="56">
        <f>IF(-2247374.84049="","-",-2076564.11403/-2247374.84049*100)</f>
        <v>92.399544420335431</v>
      </c>
      <c r="F6" s="18"/>
    </row>
    <row r="7" spans="1:6" x14ac:dyDescent="0.25">
      <c r="A7" s="46" t="s">
        <v>138</v>
      </c>
      <c r="B7" s="35"/>
      <c r="C7" s="42"/>
      <c r="D7" s="43"/>
    </row>
    <row r="8" spans="1:6" x14ac:dyDescent="0.25">
      <c r="A8" s="39" t="s">
        <v>219</v>
      </c>
      <c r="B8" s="48">
        <f>IF(20072.33834="","-",20072.33834)</f>
        <v>20072.338339999998</v>
      </c>
      <c r="C8" s="48">
        <f>IF(-58392.10397="","-",-58392.10397)</f>
        <v>-58392.103969999996</v>
      </c>
      <c r="D8" s="57" t="s">
        <v>22</v>
      </c>
    </row>
    <row r="9" spans="1:6" x14ac:dyDescent="0.25">
      <c r="A9" s="49" t="s">
        <v>24</v>
      </c>
      <c r="B9" s="50">
        <f>IF(OR(4041.5796="",4041.5796=0),"-",4041.5796)</f>
        <v>4041.5796</v>
      </c>
      <c r="C9" s="50">
        <f>IF(OR(3693.75123="",3693.75123=0),"-",3693.75123)</f>
        <v>3693.7512299999999</v>
      </c>
      <c r="D9" s="58">
        <f>IF(OR(4041.5796="",3693.75123="",4041.5796=0,3693.75123=0),"-",3693.75123/4041.5796*100)</f>
        <v>91.393751839008686</v>
      </c>
    </row>
    <row r="10" spans="1:6" x14ac:dyDescent="0.25">
      <c r="A10" s="49" t="s">
        <v>220</v>
      </c>
      <c r="B10" s="50">
        <f>IF(OR(-29789.77968="",-29789.77968=0),"-",-29789.77968)</f>
        <v>-29789.77968</v>
      </c>
      <c r="C10" s="50">
        <f>IF(OR(-26186.86687="",-26186.86687=0),"-",-26186.86687)</f>
        <v>-26186.866870000002</v>
      </c>
      <c r="D10" s="58">
        <f>IF(OR(-29789.77968="",-26186.86687="",-29789.77968=0,-26186.86687=0),"-",-26186.86687/-29789.77968*100)</f>
        <v>87.905540595794037</v>
      </c>
    </row>
    <row r="11" spans="1:6" x14ac:dyDescent="0.25">
      <c r="A11" s="49" t="s">
        <v>221</v>
      </c>
      <c r="B11" s="50">
        <f>IF(OR(-34389.06812="",-34389.06812=0),"-",-34389.06812)</f>
        <v>-34389.068120000004</v>
      </c>
      <c r="C11" s="50">
        <f>IF(OR(-50925.61173="",-50925.61173=0),"-",-50925.61173)</f>
        <v>-50925.611729999997</v>
      </c>
      <c r="D11" s="58">
        <f>IF(OR(-34389.06812="",-50925.61173="",-34389.06812=0,-50925.61173=0),"-",-50925.61173/-34389.06812*100)</f>
        <v>148.08662901912911</v>
      </c>
    </row>
    <row r="12" spans="1:6" x14ac:dyDescent="0.25">
      <c r="A12" s="49" t="s">
        <v>222</v>
      </c>
      <c r="B12" s="50">
        <f>IF(OR(-39836.18713="",-39836.18713=0),"-",-39836.18713)</f>
        <v>-39836.187129999998</v>
      </c>
      <c r="C12" s="50">
        <f>IF(OR(-40224.83874="",-40224.83874=0),"-",-40224.83874)</f>
        <v>-40224.838739999999</v>
      </c>
      <c r="D12" s="58">
        <f>IF(OR(-39836.18713="",-40224.83874="",-39836.18713=0,-40224.83874=0),"-",-40224.83874/-39836.18713*100)</f>
        <v>100.975624521322</v>
      </c>
    </row>
    <row r="13" spans="1:6" x14ac:dyDescent="0.25">
      <c r="A13" s="49" t="s">
        <v>223</v>
      </c>
      <c r="B13" s="50">
        <f>IF(OR(130587.05056="",130587.05056=0),"-",130587.05056)</f>
        <v>130587.05056</v>
      </c>
      <c r="C13" s="50">
        <f>IF(OR(52768.64349="",52768.64349=0),"-",52768.64349)</f>
        <v>52768.643490000002</v>
      </c>
      <c r="D13" s="58">
        <f>IF(OR(130587.05056="",52768.64349="",130587.05056=0,52768.64349=0),"-",52768.64349/130587.05056*100)</f>
        <v>40.408787290708219</v>
      </c>
    </row>
    <row r="14" spans="1:6" x14ac:dyDescent="0.25">
      <c r="A14" s="49" t="s">
        <v>224</v>
      </c>
      <c r="B14" s="50">
        <f>IF(OR(79481.8907="",79481.8907=0),"-",79481.8907)</f>
        <v>79481.890700000004</v>
      </c>
      <c r="C14" s="50">
        <f>IF(OR(99706.10179="",99706.10179=0),"-",99706.10179)</f>
        <v>99706.101790000001</v>
      </c>
      <c r="D14" s="58">
        <f>IF(OR(79481.8907="",99706.10179="",79481.8907=0,99706.10179=0),"-",99706.10179/79481.8907*100)</f>
        <v>125.4450553602646</v>
      </c>
    </row>
    <row r="15" spans="1:6" x14ac:dyDescent="0.25">
      <c r="A15" s="49" t="s">
        <v>181</v>
      </c>
      <c r="B15" s="50">
        <f>IF(OR(2795.55648="",2795.55648=0),"-",2795.55648)</f>
        <v>2795.5564800000002</v>
      </c>
      <c r="C15" s="50">
        <f>IF(OR(2292.23801="",2292.23801=0),"-",2292.23801)</f>
        <v>2292.23801</v>
      </c>
      <c r="D15" s="58">
        <f>IF(OR(2795.55648="",2292.23801="",2795.55648=0,2292.23801=0),"-",2292.23801/2795.55648*100)</f>
        <v>81.995768155612438</v>
      </c>
    </row>
    <row r="16" spans="1:6" x14ac:dyDescent="0.25">
      <c r="A16" s="49" t="s">
        <v>225</v>
      </c>
      <c r="B16" s="50">
        <f>IF(OR(-29882.60468="",-29882.60468=0),"-",-29882.60468)</f>
        <v>-29882.60468</v>
      </c>
      <c r="C16" s="50">
        <f>IF(OR(-32820.4953="",-32820.4953=0),"-",-32820.4953)</f>
        <v>-32820.495300000002</v>
      </c>
      <c r="D16" s="58">
        <f>IF(OR(-29882.60468="",-32820.4953="",-29882.60468=0,-32820.4953=0),"-",-32820.4953/-29882.60468*100)</f>
        <v>109.83144090503694</v>
      </c>
    </row>
    <row r="17" spans="1:4" x14ac:dyDescent="0.25">
      <c r="A17" s="49" t="s">
        <v>182</v>
      </c>
      <c r="B17" s="50">
        <f>IF(OR(-9572.15567="",-9572.15567=0),"-",-9572.15567)</f>
        <v>-9572.1556700000001</v>
      </c>
      <c r="C17" s="50">
        <f>IF(OR(-10817.9431="",-10817.9431=0),"-",-10817.9431)</f>
        <v>-10817.9431</v>
      </c>
      <c r="D17" s="58">
        <f>IF(OR(-9572.15567="",-10817.9431="",-9572.15567=0,-10817.9431=0),"-",-10817.9431/-9572.15567*100)</f>
        <v>113.01470089861169</v>
      </c>
    </row>
    <row r="18" spans="1:4" x14ac:dyDescent="0.25">
      <c r="A18" s="49" t="s">
        <v>226</v>
      </c>
      <c r="B18" s="50">
        <f>IF(OR(-53363.94372="",-53363.94372=0),"-",-53363.94372)</f>
        <v>-53363.943720000003</v>
      </c>
      <c r="C18" s="50">
        <f>IF(OR(-55877.08275="",-55877.08275=0),"-",-55877.08275)</f>
        <v>-55877.082750000001</v>
      </c>
      <c r="D18" s="58">
        <f>IF(OR(-53363.94372="",-55877.08275="",-53363.94372=0,-55877.08275=0),"-",-55877.08275/-53363.94372*100)</f>
        <v>104.70943272706081</v>
      </c>
    </row>
    <row r="19" spans="1:4" x14ac:dyDescent="0.25">
      <c r="A19" s="39" t="s">
        <v>227</v>
      </c>
      <c r="B19" s="48">
        <f>IF(65900.40904="","-",65900.40904)</f>
        <v>65900.409039999999</v>
      </c>
      <c r="C19" s="48">
        <f>IF(55037.99074="","-",55037.99074)</f>
        <v>55037.990740000001</v>
      </c>
      <c r="D19" s="57">
        <f>IF(65900.40904="","-",55037.99074/65900.40904*100)</f>
        <v>83.51691824339548</v>
      </c>
    </row>
    <row r="20" spans="1:4" x14ac:dyDescent="0.25">
      <c r="A20" s="49" t="s">
        <v>228</v>
      </c>
      <c r="B20" s="50">
        <f>IF(OR(92334.97069="",92334.97069=0),"-",92334.97069)</f>
        <v>92334.970690000002</v>
      </c>
      <c r="C20" s="50">
        <f>IF(OR(85707.54246="",85707.54246=0),"-",85707.54246)</f>
        <v>85707.542459999997</v>
      </c>
      <c r="D20" s="58">
        <f>IF(OR(92334.97069="",85707.54246="",92334.97069=0,85707.54246=0),"-",85707.54246/92334.97069*100)</f>
        <v>92.822407176311842</v>
      </c>
    </row>
    <row r="21" spans="1:4" x14ac:dyDescent="0.25">
      <c r="A21" s="49" t="s">
        <v>229</v>
      </c>
      <c r="B21" s="50">
        <f>IF(OR(-26434.56165="",-26434.56165=0),"-",-26434.56165)</f>
        <v>-26434.56165</v>
      </c>
      <c r="C21" s="50">
        <f>IF(OR(-30669.55172="",-30669.55172=0),"-",-30669.55172)</f>
        <v>-30669.551719999999</v>
      </c>
      <c r="D21" s="58">
        <f>IF(OR(-26434.56165="",-30669.55172="",-26434.56165=0,-30669.55172=0),"-",-30669.55172/-26434.56165*100)</f>
        <v>116.02065555719174</v>
      </c>
    </row>
    <row r="22" spans="1:4" x14ac:dyDescent="0.25">
      <c r="A22" s="39" t="s">
        <v>25</v>
      </c>
      <c r="B22" s="48">
        <f>IF(100866.21243="","-",100866.21243)</f>
        <v>100866.21243</v>
      </c>
      <c r="C22" s="48">
        <f>IF(47515.1238="","-",47515.1238)</f>
        <v>47515.123800000001</v>
      </c>
      <c r="D22" s="57">
        <f>IF(100866.21243="","-",47515.1238/100866.21243*100)</f>
        <v>47.107076448394409</v>
      </c>
    </row>
    <row r="23" spans="1:4" x14ac:dyDescent="0.25">
      <c r="A23" s="49" t="s">
        <v>236</v>
      </c>
      <c r="B23" s="50">
        <f>IF(OR(1171.54379="",1171.54379=0),"-",1171.54379)</f>
        <v>1171.5437899999999</v>
      </c>
      <c r="C23" s="50">
        <f>IF(OR(956.5476="",956.5476=0),"-",956.5476)</f>
        <v>956.54759999999999</v>
      </c>
      <c r="D23" s="58">
        <f>IF(OR(1171.54379="",956.5476="",1171.54379=0,956.5476=0),"-",956.5476/1171.54379*100)</f>
        <v>81.648471714403442</v>
      </c>
    </row>
    <row r="24" spans="1:4" x14ac:dyDescent="0.25">
      <c r="A24" s="49" t="s">
        <v>230</v>
      </c>
      <c r="B24" s="50">
        <f>IF(OR(157886.70236="",157886.70236=0),"-",157886.70236)</f>
        <v>157886.70236</v>
      </c>
      <c r="C24" s="50">
        <f>IF(OR(92944.45685="",92944.45685=0),"-",92944.45685)</f>
        <v>92944.456850000002</v>
      </c>
      <c r="D24" s="58">
        <f>IF(OR(157886.70236="",92944.45685="",157886.70236=0,92944.45685=0),"-",92944.45685/157886.70236*100)</f>
        <v>58.867818163733546</v>
      </c>
    </row>
    <row r="25" spans="1:4" x14ac:dyDescent="0.25">
      <c r="A25" s="49" t="s">
        <v>231</v>
      </c>
      <c r="B25" s="50">
        <f>IF(OR(-1200.84742="",-1200.84742=0),"-",-1200.84742)</f>
        <v>-1200.8474200000001</v>
      </c>
      <c r="C25" s="50">
        <f>IF(OR(-1009.77767="",-1009.77767=0),"-",-1009.77767)</f>
        <v>-1009.7776699999999</v>
      </c>
      <c r="D25" s="58">
        <f>IF(OR(-1200.84742="",-1009.77767="",-1200.84742=0,-1009.77767=0),"-",-1009.77767/-1200.84742*100)</f>
        <v>84.088757087890471</v>
      </c>
    </row>
    <row r="26" spans="1:4" x14ac:dyDescent="0.25">
      <c r="A26" s="49" t="s">
        <v>232</v>
      </c>
      <c r="B26" s="50">
        <f>IF(OR(-28517.16127="",-28517.16127=0),"-",-28517.16127)</f>
        <v>-28517.161270000001</v>
      </c>
      <c r="C26" s="50">
        <f>IF(OR(-27582.71268="",-27582.71268=0),"-",-27582.71268)</f>
        <v>-27582.712680000001</v>
      </c>
      <c r="D26" s="58">
        <f>IF(OR(-28517.16127="",-27582.71268="",-28517.16127=0,-27582.71268=0),"-",-27582.71268/-28517.16127*100)</f>
        <v>96.723206138392754</v>
      </c>
    </row>
    <row r="27" spans="1:4" x14ac:dyDescent="0.25">
      <c r="A27" s="49" t="s">
        <v>183</v>
      </c>
      <c r="B27" s="50">
        <f>IF(OR(1693.98176="",1693.98176=0),"-",1693.98176)</f>
        <v>1693.9817599999999</v>
      </c>
      <c r="C27" s="50">
        <f>IF(OR(1057.34734="",1057.34734=0),"-",1057.34734)</f>
        <v>1057.34734</v>
      </c>
      <c r="D27" s="58">
        <f>IF(OR(1693.98176="",1057.34734="",1693.98176=0,1057.34734=0),"-",1057.34734/1693.98176*100)</f>
        <v>62.417870426184521</v>
      </c>
    </row>
    <row r="28" spans="1:4" ht="25.5" x14ac:dyDescent="0.25">
      <c r="A28" s="49" t="s">
        <v>184</v>
      </c>
      <c r="B28" s="50">
        <f>IF(OR(-5421.78566="",-5421.78566=0),"-",-5421.78566)</f>
        <v>-5421.7856599999996</v>
      </c>
      <c r="C28" s="50">
        <f>IF(OR(-5340.22791="",-5340.22791=0),"-",-5340.22791)</f>
        <v>-5340.2279099999996</v>
      </c>
      <c r="D28" s="58">
        <f>IF(OR(-5421.78566="",-5340.22791="",-5421.78566=0,-5340.22791=0),"-",-5340.22791/-5421.78566*100)</f>
        <v>98.495740054762692</v>
      </c>
    </row>
    <row r="29" spans="1:4" ht="25.5" x14ac:dyDescent="0.25">
      <c r="A29" s="49" t="s">
        <v>185</v>
      </c>
      <c r="B29" s="50">
        <f>IF(OR(-12431.76409="",-12431.76409=0),"-",-12431.76409)</f>
        <v>-12431.764090000001</v>
      </c>
      <c r="C29" s="50">
        <f>IF(OR(-5797.78114="",-5797.78114=0),"-",-5797.78114)</f>
        <v>-5797.7811400000001</v>
      </c>
      <c r="D29" s="58">
        <f>IF(OR(-12431.76409="",-5797.78114="",-12431.76409=0,-5797.78114=0),"-",-5797.78114/-12431.76409*100)</f>
        <v>46.636833662759763</v>
      </c>
    </row>
    <row r="30" spans="1:4" x14ac:dyDescent="0.25">
      <c r="A30" s="49" t="s">
        <v>186</v>
      </c>
      <c r="B30" s="50">
        <f>IF(OR(11435.13739="",11435.13739=0),"-",11435.13739)</f>
        <v>11435.13739</v>
      </c>
      <c r="C30" s="50">
        <f>IF(OR(15070.62853="",15070.62853=0),"-",15070.62853)</f>
        <v>15070.62853</v>
      </c>
      <c r="D30" s="58">
        <f>IF(OR(11435.13739="",15070.62853="",11435.13739=0,15070.62853=0),"-",15070.62853/11435.13739*100)</f>
        <v>131.79228212141314</v>
      </c>
    </row>
    <row r="31" spans="1:4" x14ac:dyDescent="0.25">
      <c r="A31" s="49" t="s">
        <v>187</v>
      </c>
      <c r="B31" s="50">
        <f>IF(OR(-23749.59443="",-23749.59443=0),"-",-23749.59443)</f>
        <v>-23749.594430000001</v>
      </c>
      <c r="C31" s="50">
        <f>IF(OR(-22783.35712="",-22783.35712=0),"-",-22783.35712)</f>
        <v>-22783.357120000001</v>
      </c>
      <c r="D31" s="58">
        <f>IF(OR(-23749.59443="",-22783.35712="",-23749.59443=0,-22783.35712=0),"-",-22783.35712/-23749.59443*100)</f>
        <v>95.93156290374597</v>
      </c>
    </row>
    <row r="32" spans="1:4" x14ac:dyDescent="0.25">
      <c r="A32" s="39" t="s">
        <v>188</v>
      </c>
      <c r="B32" s="48">
        <f>IF(-657026.46792="","-",-657026.46792)</f>
        <v>-657026.46791999997</v>
      </c>
      <c r="C32" s="48">
        <f>IF(-417610.37468="","-",-417610.37468)</f>
        <v>-417610.37468000001</v>
      </c>
      <c r="D32" s="57">
        <f>IF(-657026.46792="","-",-417610.37468/-657026.46792*100)</f>
        <v>63.560662327967066</v>
      </c>
    </row>
    <row r="33" spans="1:4" x14ac:dyDescent="0.25">
      <c r="A33" s="49" t="s">
        <v>233</v>
      </c>
      <c r="B33" s="50">
        <f>IF(OR(-14215.12266="",-14215.12266=0),"-",-14215.12266)</f>
        <v>-14215.122660000001</v>
      </c>
      <c r="C33" s="50">
        <f>IF(OR(-11379.82801="",-11379.82801=0),"-",-11379.82801)</f>
        <v>-11379.828009999999</v>
      </c>
      <c r="D33" s="58">
        <f>IF(OR(-14215.12266="",-11379.82801="",-14215.12266=0,-11379.82801=0),"-",-11379.82801/-14215.12266*100)</f>
        <v>80.054377877594746</v>
      </c>
    </row>
    <row r="34" spans="1:4" x14ac:dyDescent="0.25">
      <c r="A34" s="49" t="s">
        <v>189</v>
      </c>
      <c r="B34" s="50">
        <f>IF(OR(-423573.69202="",-423573.69202=0),"-",-423573.69202)</f>
        <v>-423573.69202000002</v>
      </c>
      <c r="C34" s="50">
        <f>IF(OR(-265832.76009="",-265832.76009=0),"-",-265832.76009)</f>
        <v>-265832.76009</v>
      </c>
      <c r="D34" s="58">
        <f>IF(OR(-423573.69202="",-265832.76009="",-423573.69202=0,-265832.76009=0),"-",-265832.76009/-423573.69202*100)</f>
        <v>62.759506810316282</v>
      </c>
    </row>
    <row r="35" spans="1:4" x14ac:dyDescent="0.25">
      <c r="A35" s="49" t="s">
        <v>234</v>
      </c>
      <c r="B35" s="50">
        <f>IF(OR(-188234.69335="",-188234.69335=0),"-",-188234.69335)</f>
        <v>-188234.69334999999</v>
      </c>
      <c r="C35" s="50">
        <f>IF(OR(-132291.87482="",-132291.87482=0),"-",-132291.87482)</f>
        <v>-132291.87482</v>
      </c>
      <c r="D35" s="58">
        <f>IF(OR(-188234.69335="",-132291.87482="",-188234.69335=0,-132291.87482=0),"-",-132291.87482/-188234.69335*100)</f>
        <v>70.280282803138221</v>
      </c>
    </row>
    <row r="36" spans="1:4" x14ac:dyDescent="0.25">
      <c r="A36" s="49" t="s">
        <v>190</v>
      </c>
      <c r="B36" s="50">
        <f>IF(OR(-31002.95989="",-31002.95989=0),"-",-31002.95989)</f>
        <v>-31002.959889999998</v>
      </c>
      <c r="C36" s="50">
        <f>IF(OR(-8105.91176="",-8105.91176=0),"-",-8105.91176)</f>
        <v>-8105.91176</v>
      </c>
      <c r="D36" s="58">
        <f>IF(OR(-31002.95989="",-8105.91176="",-31002.95989=0,-8105.91176=0),"-",-8105.91176/-31002.95989*100)</f>
        <v>26.145606060712161</v>
      </c>
    </row>
    <row r="37" spans="1:4" x14ac:dyDescent="0.25">
      <c r="A37" s="39" t="s">
        <v>191</v>
      </c>
      <c r="B37" s="48">
        <f>IF(31461.68939="","-",31461.68939)</f>
        <v>31461.68939</v>
      </c>
      <c r="C37" s="48">
        <f>IF(62059.13533="","-",62059.13533)</f>
        <v>62059.135329999997</v>
      </c>
      <c r="D37" s="57" t="s">
        <v>20</v>
      </c>
    </row>
    <row r="38" spans="1:4" x14ac:dyDescent="0.25">
      <c r="A38" s="49" t="s">
        <v>237</v>
      </c>
      <c r="B38" s="50">
        <f>IF(OR(-1227.90088="",-1227.90088=0),"-",-1227.90088)</f>
        <v>-1227.9008799999999</v>
      </c>
      <c r="C38" s="50">
        <f>IF(OR(-1218.66944="",-1218.66944=0),"-",-1218.66944)</f>
        <v>-1218.6694399999999</v>
      </c>
      <c r="D38" s="58">
        <f>IF(OR(-1227.90088="",-1218.66944="",-1227.90088=0,-1218.66944=0),"-",-1218.66944/-1227.90088*100)</f>
        <v>99.248193388378382</v>
      </c>
    </row>
    <row r="39" spans="1:4" ht="14.25" customHeight="1" x14ac:dyDescent="0.25">
      <c r="A39" s="49" t="s">
        <v>192</v>
      </c>
      <c r="B39" s="50">
        <f>IF(OR(34637.00916="",34637.00916=0),"-",34637.00916)</f>
        <v>34637.009160000001</v>
      </c>
      <c r="C39" s="50">
        <f>IF(OR(64503.27802="",64503.27802=0),"-",64503.27802)</f>
        <v>64503.278019999998</v>
      </c>
      <c r="D39" s="58" t="s">
        <v>106</v>
      </c>
    </row>
    <row r="40" spans="1:4" ht="38.25" x14ac:dyDescent="0.25">
      <c r="A40" s="49" t="s">
        <v>235</v>
      </c>
      <c r="B40" s="50">
        <f>IF(OR(-1947.41889="",-1947.41889=0),"-",-1947.41889)</f>
        <v>-1947.4188899999999</v>
      </c>
      <c r="C40" s="50">
        <f>IF(OR(-1225.47325="",-1225.47325=0),"-",-1225.47325)</f>
        <v>-1225.47325</v>
      </c>
      <c r="D40" s="58">
        <f>IF(OR(-1947.41889="",-1225.47325="",-1947.41889=0,-1225.47325=0),"-",-1225.47325/-1947.41889*100)</f>
        <v>62.928076557786703</v>
      </c>
    </row>
    <row r="41" spans="1:4" ht="15" customHeight="1" x14ac:dyDescent="0.25">
      <c r="A41" s="39" t="s">
        <v>193</v>
      </c>
      <c r="B41" s="48">
        <f>IF(-532372.20415="","-",-532372.20415)</f>
        <v>-532372.20415000001</v>
      </c>
      <c r="C41" s="48">
        <f>IF(-516256.06898="","-",-516256.06898)</f>
        <v>-516256.06897999998</v>
      </c>
      <c r="D41" s="57">
        <f>IF(-532372.20415="","-",-516256.06898/-532372.20415*100)</f>
        <v>96.972769230930922</v>
      </c>
    </row>
    <row r="42" spans="1:4" x14ac:dyDescent="0.25">
      <c r="A42" s="49" t="s">
        <v>26</v>
      </c>
      <c r="B42" s="50">
        <f>IF(OR(-954.41549="",-954.41549=0),"-",-954.41549)</f>
        <v>-954.41548999999998</v>
      </c>
      <c r="C42" s="50">
        <f>IF(OR(27834.86074="",27834.86074=0),"-",27834.86074)</f>
        <v>27834.86074</v>
      </c>
      <c r="D42" s="58" t="s">
        <v>22</v>
      </c>
    </row>
    <row r="43" spans="1:4" x14ac:dyDescent="0.25">
      <c r="A43" s="49" t="s">
        <v>27</v>
      </c>
      <c r="B43" s="50">
        <f>IF(OR(-12978.64647="",-12978.64647=0),"-",-12978.64647)</f>
        <v>-12978.64647</v>
      </c>
      <c r="C43" s="50">
        <f>IF(OR(-10816.24517="",-10816.24517=0),"-",-10816.24517)</f>
        <v>-10816.24517</v>
      </c>
      <c r="D43" s="58">
        <f>IF(OR(-12978.64647="",-10816.24517="",-12978.64647=0,-10816.24517=0),"-",-10816.24517/-12978.64647*100)</f>
        <v>83.338776466418381</v>
      </c>
    </row>
    <row r="44" spans="1:4" x14ac:dyDescent="0.25">
      <c r="A44" s="49" t="s">
        <v>194</v>
      </c>
      <c r="B44" s="50">
        <f>IF(OR(-28849.61936="",-28849.61936=0),"-",-28849.61936)</f>
        <v>-28849.619360000001</v>
      </c>
      <c r="C44" s="50">
        <f>IF(OR(-31134.02724="",-31134.02724=0),"-",-31134.02724)</f>
        <v>-31134.027239999999</v>
      </c>
      <c r="D44" s="58">
        <f>IF(OR(-28849.61936="",-31134.02724="",-28849.61936=0,-31134.02724=0),"-",-31134.02724/-28849.61936*100)</f>
        <v>107.91832935989211</v>
      </c>
    </row>
    <row r="45" spans="1:4" x14ac:dyDescent="0.25">
      <c r="A45" s="49" t="s">
        <v>195</v>
      </c>
      <c r="B45" s="50">
        <f>IF(OR(-124547.54515="",-124547.54515=0),"-",-124547.54515)</f>
        <v>-124547.54515000001</v>
      </c>
      <c r="C45" s="50">
        <f>IF(OR(-137728.78371="",-137728.78371=0),"-",-137728.78371)</f>
        <v>-137728.78370999999</v>
      </c>
      <c r="D45" s="58">
        <f>IF(OR(-124547.54515="",-137728.78371="",-124547.54515=0,-137728.78371=0),"-",-137728.78371/-124547.54515*100)</f>
        <v>110.5832985661219</v>
      </c>
    </row>
    <row r="46" spans="1:4" ht="25.5" x14ac:dyDescent="0.25">
      <c r="A46" s="49" t="s">
        <v>196</v>
      </c>
      <c r="B46" s="50">
        <f>IF(OR(-71296.08848="",-71296.08848=0),"-",-71296.08848)</f>
        <v>-71296.088480000006</v>
      </c>
      <c r="C46" s="50">
        <f>IF(OR(-71747.99499="",-71747.99499=0),"-",-71747.99499)</f>
        <v>-71747.994990000007</v>
      </c>
      <c r="D46" s="58">
        <f>IF(OR(-71296.08848="",-71747.99499="",-71296.08848=0,-71747.99499=0),"-",-71747.99499/-71296.08848*100)</f>
        <v>100.63384474468999</v>
      </c>
    </row>
    <row r="47" spans="1:4" x14ac:dyDescent="0.25">
      <c r="A47" s="49" t="s">
        <v>197</v>
      </c>
      <c r="B47" s="50">
        <f>IF(OR(-70560.58581="",-70560.58581=0),"-",-70560.58581)</f>
        <v>-70560.585810000004</v>
      </c>
      <c r="C47" s="50">
        <f>IF(OR(-65604.46203="",-65604.46203=0),"-",-65604.46203)</f>
        <v>-65604.462029999995</v>
      </c>
      <c r="D47" s="58">
        <f>IF(OR(-70560.58581="",-65604.46203="",-70560.58581=0,-65604.46203=0),"-",-65604.46203/-70560.58581*100)</f>
        <v>92.976073365737818</v>
      </c>
    </row>
    <row r="48" spans="1:4" x14ac:dyDescent="0.25">
      <c r="A48" s="49" t="s">
        <v>28</v>
      </c>
      <c r="B48" s="50">
        <f>IF(OR(-38312.23206="",-38312.23206=0),"-",-38312.23206)</f>
        <v>-38312.232060000002</v>
      </c>
      <c r="C48" s="50">
        <f>IF(OR(-32932.81465="",-32932.81465=0),"-",-32932.81465)</f>
        <v>-32932.81465</v>
      </c>
      <c r="D48" s="58">
        <f>IF(OR(-38312.23206="",-32932.81465="",-38312.23206=0,-32932.81465=0),"-",-32932.81465/-38312.23206*100)</f>
        <v>85.959008074561126</v>
      </c>
    </row>
    <row r="49" spans="1:4" x14ac:dyDescent="0.25">
      <c r="A49" s="49" t="s">
        <v>29</v>
      </c>
      <c r="B49" s="50">
        <f>IF(OR(-83069.03875="",-83069.03875=0),"-",-83069.03875)</f>
        <v>-83069.038750000007</v>
      </c>
      <c r="C49" s="50">
        <f>IF(OR(-84486.71172="",-84486.71172=0),"-",-84486.71172)</f>
        <v>-84486.711720000007</v>
      </c>
      <c r="D49" s="58">
        <f>IF(OR(-83069.03875="",-84486.71172="",-83069.03875=0,-84486.71172=0),"-",-84486.71172/-83069.03875*100)</f>
        <v>101.70662016959959</v>
      </c>
    </row>
    <row r="50" spans="1:4" x14ac:dyDescent="0.25">
      <c r="A50" s="49" t="s">
        <v>198</v>
      </c>
      <c r="B50" s="50">
        <f>IF(OR(-101804.03258="",-101804.03258=0),"-",-101804.03258)</f>
        <v>-101804.03258</v>
      </c>
      <c r="C50" s="50">
        <f>IF(OR(-109639.89021="",-109639.89021=0),"-",-109639.89021)</f>
        <v>-109639.89021</v>
      </c>
      <c r="D50" s="58">
        <f>IF(OR(-101804.03258="",-109639.89021="",-101804.03258=0,-109639.89021=0),"-",-109639.89021/-101804.03258*100)</f>
        <v>107.69700122030275</v>
      </c>
    </row>
    <row r="51" spans="1:4" ht="25.5" x14ac:dyDescent="0.25">
      <c r="A51" s="39" t="s">
        <v>241</v>
      </c>
      <c r="B51" s="48">
        <f>IF(-709121.32766="","-",-709121.32766)</f>
        <v>-709121.32765999995</v>
      </c>
      <c r="C51" s="48">
        <f>IF(-634364.01563="","-",-634364.01563)</f>
        <v>-634364.01563000004</v>
      </c>
      <c r="D51" s="57">
        <f>IF(-709121.32766="","-",-634364.01563/-709121.32766*100)</f>
        <v>89.457754390678318</v>
      </c>
    </row>
    <row r="52" spans="1:4" x14ac:dyDescent="0.25">
      <c r="A52" s="49" t="s">
        <v>199</v>
      </c>
      <c r="B52" s="50">
        <f>IF(OR(-38886.2677="",-38886.2677=0),"-",-38886.2677)</f>
        <v>-38886.267699999997</v>
      </c>
      <c r="C52" s="50">
        <f>IF(OR(-32345.59349="",-32345.59349=0),"-",-32345.59349)</f>
        <v>-32345.593489999999</v>
      </c>
      <c r="D52" s="58">
        <f>IF(OR(-38886.2677="",-32345.59349="",-38886.2677=0,-32345.59349=0),"-",-32345.59349/-38886.2677*100)</f>
        <v>83.179989757669645</v>
      </c>
    </row>
    <row r="53" spans="1:4" x14ac:dyDescent="0.25">
      <c r="A53" s="49" t="s">
        <v>30</v>
      </c>
      <c r="B53" s="50">
        <f>IF(OR(-47770.81242="",-47770.81242=0),"-",-47770.81242)</f>
        <v>-47770.812420000002</v>
      </c>
      <c r="C53" s="50">
        <f>IF(OR(-41267.58203="",-41267.58203=0),"-",-41267.58203)</f>
        <v>-41267.582029999998</v>
      </c>
      <c r="D53" s="58">
        <f>IF(OR(-47770.81242="",-41267.58203="",-47770.81242=0,-41267.58203=0),"-",-41267.58203/-47770.81242*100)</f>
        <v>86.386602905506948</v>
      </c>
    </row>
    <row r="54" spans="1:4" x14ac:dyDescent="0.25">
      <c r="A54" s="49" t="s">
        <v>200</v>
      </c>
      <c r="B54" s="50">
        <f>IF(OR(-52986.69204="",-52986.69204=0),"-",-52986.69204)</f>
        <v>-52986.692040000002</v>
      </c>
      <c r="C54" s="50">
        <f>IF(OR(-49859.35801="",-49859.35801=0),"-",-49859.35801)</f>
        <v>-49859.358010000004</v>
      </c>
      <c r="D54" s="58">
        <f>IF(OR(-52986.69204="",-49859.35801="",-52986.69204=0,-49859.35801=0),"-",-49859.35801/-52986.69204*100)</f>
        <v>94.097887772199201</v>
      </c>
    </row>
    <row r="55" spans="1:4" ht="25.5" x14ac:dyDescent="0.25">
      <c r="A55" s="49" t="s">
        <v>201</v>
      </c>
      <c r="B55" s="50">
        <f>IF(OR(-69937.28996="",-69937.28996=0),"-",-69937.28996)</f>
        <v>-69937.289959999995</v>
      </c>
      <c r="C55" s="50">
        <f>IF(OR(-60723.92667="",-60723.92667=0),"-",-60723.92667)</f>
        <v>-60723.926670000001</v>
      </c>
      <c r="D55" s="58">
        <f>IF(OR(-69937.28996="",-60723.92667="",-69937.28996=0,-60723.92667=0),"-",-60723.92667/-69937.28996*100)</f>
        <v>86.826250637865016</v>
      </c>
    </row>
    <row r="56" spans="1:4" ht="25.5" x14ac:dyDescent="0.25">
      <c r="A56" s="49" t="s">
        <v>202</v>
      </c>
      <c r="B56" s="50">
        <f>IF(OR(-155903.55931="",-155903.55931=0),"-",-155903.55931)</f>
        <v>-155903.55931000001</v>
      </c>
      <c r="C56" s="50">
        <f>IF(OR(-142873.42153="",-142873.42153=0),"-",-142873.42153)</f>
        <v>-142873.42152999999</v>
      </c>
      <c r="D56" s="58">
        <f>IF(OR(-155903.55931="",-142873.42153="",-155903.55931=0,-142873.42153=0),"-",-142873.42153/-155903.55931*100)</f>
        <v>91.64218069319972</v>
      </c>
    </row>
    <row r="57" spans="1:4" x14ac:dyDescent="0.25">
      <c r="A57" s="49" t="s">
        <v>31</v>
      </c>
      <c r="B57" s="50">
        <f>IF(OR(-60247.93276="",-60247.93276=0),"-",-60247.93276)</f>
        <v>-60247.932760000003</v>
      </c>
      <c r="C57" s="50">
        <f>IF(OR(-65269.99864="",-65269.99864=0),"-",-65269.99864)</f>
        <v>-65269.998639999998</v>
      </c>
      <c r="D57" s="58">
        <f>IF(OR(-60247.93276="",-65269.99864="",-60247.93276=0,-65269.99864=0),"-",-65269.99864/-60247.93276*100)</f>
        <v>108.33566505925705</v>
      </c>
    </row>
    <row r="58" spans="1:4" x14ac:dyDescent="0.25">
      <c r="A58" s="49" t="s">
        <v>203</v>
      </c>
      <c r="B58" s="50">
        <f>IF(OR(-103208.99578="",-103208.99578=0),"-",-103208.99578)</f>
        <v>-103208.99578</v>
      </c>
      <c r="C58" s="50">
        <f>IF(OR(-98127.2842="",-98127.2842=0),"-",-98127.2842)</f>
        <v>-98127.284199999995</v>
      </c>
      <c r="D58" s="58">
        <f>IF(OR(-103208.99578="",-98127.2842="",-103208.99578=0,-98127.2842=0),"-",-98127.2842/-103208.99578*100)</f>
        <v>95.076290064063642</v>
      </c>
    </row>
    <row r="59" spans="1:4" x14ac:dyDescent="0.25">
      <c r="A59" s="49" t="s">
        <v>32</v>
      </c>
      <c r="B59" s="50">
        <f>IF(OR(-69760.67471="",-69760.67471=0),"-",-69760.67471)</f>
        <v>-69760.674710000007</v>
      </c>
      <c r="C59" s="50">
        <f>IF(OR(-43989.43479="",-43989.43479=0),"-",-43989.43479)</f>
        <v>-43989.434789999999</v>
      </c>
      <c r="D59" s="58">
        <f>IF(OR(-69760.67471="",-43989.43479="",-69760.67471=0,-43989.43479=0),"-",-43989.43479/-69760.67471*100)</f>
        <v>63.057639526663337</v>
      </c>
    </row>
    <row r="60" spans="1:4" x14ac:dyDescent="0.25">
      <c r="A60" s="49" t="s">
        <v>33</v>
      </c>
      <c r="B60" s="50">
        <f>IF(OR(-110419.10298="",-110419.10298=0),"-",-110419.10298)</f>
        <v>-110419.10298</v>
      </c>
      <c r="C60" s="50">
        <f>IF(OR(-99907.41627="",-99907.41627=0),"-",-99907.41627)</f>
        <v>-99907.416270000002</v>
      </c>
      <c r="D60" s="58">
        <f>IF(OR(-110419.10298="",-99907.41627="",-110419.10298=0,-99907.41627=0),"-",-99907.41627/-110419.10298*100)</f>
        <v>90.480191899490464</v>
      </c>
    </row>
    <row r="61" spans="1:4" x14ac:dyDescent="0.25">
      <c r="A61" s="39" t="s">
        <v>204</v>
      </c>
      <c r="B61" s="48">
        <f>IF(-541697.61892="","-",-541697.61892)</f>
        <v>-541697.61892000004</v>
      </c>
      <c r="C61" s="48">
        <f>IF(-578032.01788="","-",-578032.01788)</f>
        <v>-578032.01788000006</v>
      </c>
      <c r="D61" s="57">
        <f>IF(-541697.61892="","-",-578032.01788/-541697.61892*100)</f>
        <v>106.70750575430645</v>
      </c>
    </row>
    <row r="62" spans="1:4" x14ac:dyDescent="0.25">
      <c r="A62" s="49" t="s">
        <v>205</v>
      </c>
      <c r="B62" s="50">
        <f>IF(OR(-11832.24902="",-11832.24902=0),"-",-11832.24902)</f>
        <v>-11832.249019999999</v>
      </c>
      <c r="C62" s="50">
        <f>IF(OR(-13365.66408="",-13365.66408=0),"-",-13365.66408)</f>
        <v>-13365.66408</v>
      </c>
      <c r="D62" s="58">
        <f>IF(OR(-11832.24902="",-13365.66408="",-11832.24902=0,-13365.66408=0),"-",-13365.66408/-11832.24902*100)</f>
        <v>112.95962464454625</v>
      </c>
    </row>
    <row r="63" spans="1:4" x14ac:dyDescent="0.25">
      <c r="A63" s="49" t="s">
        <v>206</v>
      </c>
      <c r="B63" s="50">
        <f>IF(OR(-141242.77289="",-141242.77289=0),"-",-141242.77289)</f>
        <v>-141242.77288999999</v>
      </c>
      <c r="C63" s="50">
        <f>IF(OR(-111089.37608="",-111089.37608=0),"-",-111089.37608)</f>
        <v>-111089.37608</v>
      </c>
      <c r="D63" s="58">
        <f>IF(OR(-141242.77289="",-111089.37608="",-141242.77289=0,-111089.37608=0),"-",-111089.37608/-141242.77289*100)</f>
        <v>78.651370124626851</v>
      </c>
    </row>
    <row r="64" spans="1:4" x14ac:dyDescent="0.25">
      <c r="A64" s="49" t="s">
        <v>207</v>
      </c>
      <c r="B64" s="50">
        <f>IF(OR(-6311.21713="",-6311.21713=0),"-",-6311.21713)</f>
        <v>-6311.21713</v>
      </c>
      <c r="C64" s="50">
        <f>IF(OR(-8057.95062="",-8057.95062=0),"-",-8057.95062)</f>
        <v>-8057.9506199999996</v>
      </c>
      <c r="D64" s="58">
        <f>IF(OR(-6311.21713="",-8057.95062="",-6311.21713=0,-8057.95062=0),"-",-8057.95062/-6311.21713*100)</f>
        <v>127.67665022483547</v>
      </c>
    </row>
    <row r="65" spans="1:4" ht="25.5" x14ac:dyDescent="0.25">
      <c r="A65" s="49" t="s">
        <v>208</v>
      </c>
      <c r="B65" s="50">
        <f>IF(OR(-126244.48496="",-126244.48496=0),"-",-126244.48496)</f>
        <v>-126244.48496</v>
      </c>
      <c r="C65" s="50">
        <f>IF(OR(-133379.16012="",-133379.16012=0),"-",-133379.16012)</f>
        <v>-133379.16011999999</v>
      </c>
      <c r="D65" s="58">
        <f>IF(OR(-126244.48496="",-133379.16012="",-126244.48496=0,-133379.16012=0),"-",-133379.16012/-126244.48496*100)</f>
        <v>105.65147472561718</v>
      </c>
    </row>
    <row r="66" spans="1:4" ht="25.5" x14ac:dyDescent="0.25">
      <c r="A66" s="49" t="s">
        <v>209</v>
      </c>
      <c r="B66" s="50">
        <f>IF(OR(-31733.31576="",-31733.31576=0),"-",-31733.31576)</f>
        <v>-31733.315760000001</v>
      </c>
      <c r="C66" s="50">
        <f>IF(OR(-35847.69209="",-35847.69209=0),"-",-35847.69209)</f>
        <v>-35847.692089999997</v>
      </c>
      <c r="D66" s="58">
        <f>IF(OR(-31733.31576="",-35847.69209="",-31733.31576=0,-35847.69209=0),"-",-35847.69209/-31733.31576*100)</f>
        <v>112.96547880819372</v>
      </c>
    </row>
    <row r="67" spans="1:4" ht="25.5" x14ac:dyDescent="0.25">
      <c r="A67" s="49" t="s">
        <v>210</v>
      </c>
      <c r="B67" s="50">
        <f>IF(OR(-114290.12062="",-114290.12062=0),"-",-114290.12062)</f>
        <v>-114290.12062</v>
      </c>
      <c r="C67" s="50">
        <f>IF(OR(-112327.08212="",-112327.08212=0),"-",-112327.08212)</f>
        <v>-112327.08212000001</v>
      </c>
      <c r="D67" s="58">
        <f>IF(OR(-114290.12062="",-112327.08212="",-114290.12062=0,-112327.08212=0),"-",-112327.08212/-114290.12062*100)</f>
        <v>98.282407535007465</v>
      </c>
    </row>
    <row r="68" spans="1:4" ht="26.25" customHeight="1" x14ac:dyDescent="0.25">
      <c r="A68" s="49" t="s">
        <v>211</v>
      </c>
      <c r="B68" s="50">
        <f>IF(OR(115449.58461="",115449.58461=0),"-",115449.58461)</f>
        <v>115449.58461000001</v>
      </c>
      <c r="C68" s="50">
        <f>IF(OR(50081.7165="",50081.7165=0),"-",50081.7165)</f>
        <v>50081.716500000002</v>
      </c>
      <c r="D68" s="58">
        <f>IF(OR(115449.58461="",50081.7165="",115449.58461=0,50081.7165=0),"-",50081.7165/115449.58461*100)</f>
        <v>43.379728622827827</v>
      </c>
    </row>
    <row r="69" spans="1:4" x14ac:dyDescent="0.25">
      <c r="A69" s="49" t="s">
        <v>212</v>
      </c>
      <c r="B69" s="50">
        <f>IF(OR(-222346.15955="",-222346.15955=0),"-",-222346.15955)</f>
        <v>-222346.15955000001</v>
      </c>
      <c r="C69" s="50">
        <f>IF(OR(-180135.03989="",-180135.03989=0),"-",-180135.03989)</f>
        <v>-180135.03988999999</v>
      </c>
      <c r="D69" s="58">
        <f>IF(OR(-222346.15955="",-180135.03989="",-222346.15955=0,-180135.03989=0),"-",-180135.03989/-222346.15955*100)</f>
        <v>81.01558410299063</v>
      </c>
    </row>
    <row r="70" spans="1:4" x14ac:dyDescent="0.25">
      <c r="A70" s="49" t="s">
        <v>34</v>
      </c>
      <c r="B70" s="50">
        <f>IF(OR(-3146.8836="",-3146.8836=0),"-",-3146.8836)</f>
        <v>-3146.8836000000001</v>
      </c>
      <c r="C70" s="50">
        <f>IF(OR(-33911.76938="",-33911.76938=0),"-",-33911.76938)</f>
        <v>-33911.769379999998</v>
      </c>
      <c r="D70" s="58" t="s">
        <v>284</v>
      </c>
    </row>
    <row r="71" spans="1:4" x14ac:dyDescent="0.25">
      <c r="A71" s="39" t="s">
        <v>35</v>
      </c>
      <c r="B71" s="48">
        <f>IF(-25992.07938="","-",-25992.07938)</f>
        <v>-25992.079379999999</v>
      </c>
      <c r="C71" s="48">
        <f>IF(-36742.28723="","-",-36742.28723)</f>
        <v>-36742.287230000002</v>
      </c>
      <c r="D71" s="57">
        <f>IF(-25992.07938="","-",-36742.28723/-25992.07938*100)</f>
        <v>141.3595530116452</v>
      </c>
    </row>
    <row r="72" spans="1:4" ht="25.5" x14ac:dyDescent="0.25">
      <c r="A72" s="49" t="s">
        <v>238</v>
      </c>
      <c r="B72" s="50">
        <f>IF(OR(-28368.89706="",-28368.89706=0),"-",-28368.89706)</f>
        <v>-28368.897059999999</v>
      </c>
      <c r="C72" s="50">
        <f>IF(OR(-27967.1825="",-27967.1825=0),"-",-27967.1825)</f>
        <v>-27967.182499999999</v>
      </c>
      <c r="D72" s="58">
        <f>IF(OR(-28368.89706="",-27967.1825="",-28368.89706=0,-27967.1825=0),"-",-27967.1825/-28368.89706*100)</f>
        <v>98.583961303992979</v>
      </c>
    </row>
    <row r="73" spans="1:4" x14ac:dyDescent="0.25">
      <c r="A73" s="49" t="s">
        <v>213</v>
      </c>
      <c r="B73" s="50">
        <f>IF(OR(67754.32263="",67754.32263=0),"-",67754.32263)</f>
        <v>67754.322629999995</v>
      </c>
      <c r="C73" s="50">
        <f>IF(OR(55920.54151="",55920.54151=0),"-",55920.54151)</f>
        <v>55920.541510000003</v>
      </c>
      <c r="D73" s="58">
        <f>IF(OR(67754.32263="",55920.54151="",67754.32263=0,55920.54151=0),"-",55920.54151/67754.32263*100)</f>
        <v>82.53427875794263</v>
      </c>
    </row>
    <row r="74" spans="1:4" x14ac:dyDescent="0.25">
      <c r="A74" s="49" t="s">
        <v>214</v>
      </c>
      <c r="B74" s="50">
        <f>IF(OR(3215.78547="",3215.78547=0),"-",3215.78547)</f>
        <v>3215.7854699999998</v>
      </c>
      <c r="C74" s="50">
        <f>IF(OR(2843.8343="",2843.8343=0),"-",2843.8343)</f>
        <v>2843.8343</v>
      </c>
      <c r="D74" s="58">
        <f>IF(OR(3215.78547="",2843.8343="",3215.78547=0,2843.8343=0),"-",2843.8343/3215.78547*100)</f>
        <v>88.433582604625684</v>
      </c>
    </row>
    <row r="75" spans="1:4" x14ac:dyDescent="0.25">
      <c r="A75" s="49" t="s">
        <v>215</v>
      </c>
      <c r="B75" s="50">
        <f>IF(OR(105173.10287="",105173.10287=0),"-",105173.10287)</f>
        <v>105173.10287</v>
      </c>
      <c r="C75" s="50">
        <f>IF(OR(82139.82414="",82139.82414=0),"-",82139.82414)</f>
        <v>82139.824139999997</v>
      </c>
      <c r="D75" s="58">
        <f>IF(OR(105173.10287="",82139.82414="",105173.10287=0,82139.82414=0),"-",82139.82414/105173.10287*100)</f>
        <v>78.099648958279317</v>
      </c>
    </row>
    <row r="76" spans="1:4" x14ac:dyDescent="0.25">
      <c r="A76" s="49" t="s">
        <v>216</v>
      </c>
      <c r="B76" s="50">
        <f>IF(OR(-9532.40767="",-9532.40767=0),"-",-9532.40767)</f>
        <v>-9532.4076700000005</v>
      </c>
      <c r="C76" s="50">
        <f>IF(OR(-3625.02345="",-3625.02345=0),"-",-3625.02345)</f>
        <v>-3625.0234500000001</v>
      </c>
      <c r="D76" s="58">
        <f>IF(OR(-9532.40767="",-3625.02345="",-9532.40767=0,-3625.02345=0),"-",-3625.02345/-9532.40767*100)</f>
        <v>38.028413969416398</v>
      </c>
    </row>
    <row r="77" spans="1:4" x14ac:dyDescent="0.25">
      <c r="A77" s="49" t="s">
        <v>239</v>
      </c>
      <c r="B77" s="50">
        <f>IF(OR(-27344.13126="",-27344.13126=0),"-",-27344.13126)</f>
        <v>-27344.131259999998</v>
      </c>
      <c r="C77" s="50">
        <f>IF(OR(-25365.11385="",-25365.11385=0),"-",-25365.11385)</f>
        <v>-25365.113850000002</v>
      </c>
      <c r="D77" s="58">
        <f>IF(OR(-27344.13126="",-25365.11385="",-27344.13126=0,-25365.11385=0),"-",-25365.11385/-27344.13126*100)</f>
        <v>92.762551528214104</v>
      </c>
    </row>
    <row r="78" spans="1:4" ht="25.5" x14ac:dyDescent="0.25">
      <c r="A78" s="49" t="s">
        <v>217</v>
      </c>
      <c r="B78" s="50">
        <f>IF(OR(-5563.32052="",-5563.32052=0),"-",-5563.32052)</f>
        <v>-5563.3205200000002</v>
      </c>
      <c r="C78" s="50">
        <f>IF(OR(-5523.4694="",-5523.4694=0),"-",-5523.4694)</f>
        <v>-5523.4694</v>
      </c>
      <c r="D78" s="58">
        <f>IF(OR(-5563.32052="",-5523.4694="",-5563.32052=0,-5523.4694=0),"-",-5523.4694/-5563.32052*100)</f>
        <v>99.283681034433727</v>
      </c>
    </row>
    <row r="79" spans="1:4" x14ac:dyDescent="0.25">
      <c r="A79" s="49" t="s">
        <v>36</v>
      </c>
      <c r="B79" s="52">
        <f>IF(OR(-131326.53384="",-131326.53384=0),"-",-131326.53384)</f>
        <v>-131326.53383999999</v>
      </c>
      <c r="C79" s="52">
        <f>IF(OR(-115165.69798="",-115165.69798=0),"-",-115165.69798)</f>
        <v>-115165.69798</v>
      </c>
      <c r="D79" s="59">
        <f>IF(OR(-131326.53384="",-115165.69798="",-131326.53384=0,-115165.69798=0),"-",-115165.69798/-131326.53384*100)</f>
        <v>87.694157922656103</v>
      </c>
    </row>
    <row r="80" spans="1:4" x14ac:dyDescent="0.25">
      <c r="A80" s="54" t="s">
        <v>218</v>
      </c>
      <c r="B80" s="55">
        <f>IF(534.20834="","-",534.20834)</f>
        <v>534.20834000000002</v>
      </c>
      <c r="C80" s="55">
        <f>IF(220.50447="","-",220.50447)</f>
        <v>220.50447</v>
      </c>
      <c r="D80" s="60">
        <f>IF(534.20834="","-",220.50447/534.20834*100)</f>
        <v>41.276867747890265</v>
      </c>
    </row>
    <row r="81" spans="1:1" x14ac:dyDescent="0.25">
      <c r="A81" s="26" t="s">
        <v>21</v>
      </c>
    </row>
  </sheetData>
  <mergeCells count="5">
    <mergeCell ref="A1:D1"/>
    <mergeCell ref="A2:D2"/>
    <mergeCell ref="A4:A5"/>
    <mergeCell ref="D4:D5"/>
    <mergeCell ref="B4:C4"/>
  </mergeCells>
  <pageMargins left="0.59055118110236227" right="0.39370078740157483" top="0.39370078740157483" bottom="0.39370078740157483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Export_Tari</vt:lpstr>
      <vt:lpstr>Import_Tari</vt:lpstr>
      <vt:lpstr>Balanta Comerciala_Tari</vt:lpstr>
      <vt:lpstr>Export_Moduri_Transport</vt:lpstr>
      <vt:lpstr>Import_Moduri_Transport</vt:lpstr>
      <vt:lpstr>Export_Grupe_Marfuri_CSCI</vt:lpstr>
      <vt:lpstr>Import_Grupe_Marfuri_CSCI</vt:lpstr>
      <vt:lpstr>Balanta_Comerciala_Gr_Marf_CSCI</vt:lpstr>
      <vt:lpstr>'Balanta Comerciala_Tari'!Print_Titles</vt:lpstr>
      <vt:lpstr>Balanta_Comerciala_Gr_Marf_CSCI!Print_Titles</vt:lpstr>
      <vt:lpstr>Export_Grupe_Marfuri_CSCI!Print_Titles</vt:lpstr>
      <vt:lpstr>Export_Tari!Print_Titles</vt:lpstr>
      <vt:lpstr>Import_Grupe_Marfuri_CSCI!Print_Titles</vt:lpstr>
      <vt:lpstr>Import_Tari!Print_Titles</vt:lpstr>
    </vt:vector>
  </TitlesOfParts>
  <Company>BNS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Eni</dc:creator>
  <cp:lastModifiedBy>Doina Vudvud</cp:lastModifiedBy>
  <cp:lastPrinted>2020-11-12T13:26:07Z</cp:lastPrinted>
  <dcterms:created xsi:type="dcterms:W3CDTF">2016-09-01T07:59:47Z</dcterms:created>
  <dcterms:modified xsi:type="dcterms:W3CDTF">2020-11-13T18:40:30Z</dcterms:modified>
</cp:coreProperties>
</file>