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75" activeTab="0"/>
  </bookViews>
  <sheets>
    <sheet name="Export_Tari" sheetId="1" r:id="rId1"/>
    <sheet name="Import_Tari" sheetId="2" r:id="rId2"/>
    <sheet name="Balanta Comerciala_Tari" sheetId="3" r:id="rId3"/>
    <sheet name="Export_Moduri_Transport" sheetId="4" r:id="rId4"/>
    <sheet name="Import_Moduri_Transport" sheetId="5" r:id="rId5"/>
    <sheet name="Export_Grupe_Marfuri_CSCI" sheetId="6" r:id="rId6"/>
    <sheet name="Import_Grupe_Marfuri_CSCI" sheetId="7" r:id="rId7"/>
    <sheet name="Balanta_Comerciala_Gr_Marf_CSCI" sheetId="8" r:id="rId8"/>
  </sheets>
  <definedNames>
    <definedName name="_xlnm.Print_Titles" localSheetId="2">'Balanta Comerciala_Tari'!$3:$4</definedName>
    <definedName name="_xlnm.Print_Titles" localSheetId="7">'Balanta_Comerciala_Gr_Marf_CSCI'!$4:$5</definedName>
    <definedName name="_xlnm.Print_Titles" localSheetId="5">'Export_Grupe_Marfuri_CSCI'!$4:$6</definedName>
    <definedName name="_xlnm.Print_Titles" localSheetId="0">'Export_Tari'!$3:$5</definedName>
    <definedName name="_xlnm.Print_Titles" localSheetId="6">'Import_Grupe_Marfuri_CSCI'!$4:$6</definedName>
    <definedName name="_xlnm.Print_Titles" localSheetId="1">'Import_Tari'!$3:$5</definedName>
  </definedNames>
  <calcPr fullCalcOnLoad="1"/>
</workbook>
</file>

<file path=xl/sharedStrings.xml><?xml version="1.0" encoding="utf-8"?>
<sst xmlns="http://schemas.openxmlformats.org/spreadsheetml/2006/main" count="816" uniqueCount="288">
  <si>
    <t>Structura, %</t>
  </si>
  <si>
    <t>Gradul de influenţă a ţărilor, grupelor de ţări  la creşterea (+),  scăderea (-) exporturilor, %</t>
  </si>
  <si>
    <t>România</t>
  </si>
  <si>
    <t>Italia</t>
  </si>
  <si>
    <t>Germania</t>
  </si>
  <si>
    <t>Polonia</t>
  </si>
  <si>
    <t>Bulgaria</t>
  </si>
  <si>
    <t>Republica Cehă</t>
  </si>
  <si>
    <t>Austria</t>
  </si>
  <si>
    <t>Grecia</t>
  </si>
  <si>
    <t>Olanda</t>
  </si>
  <si>
    <t>Belarus</t>
  </si>
  <si>
    <t>Ucraina</t>
  </si>
  <si>
    <t>Kazahstan</t>
  </si>
  <si>
    <t>Azerbaidjan</t>
  </si>
  <si>
    <t>Uzbekistan</t>
  </si>
  <si>
    <t>Turkmenistan</t>
  </si>
  <si>
    <t>Armenia</t>
  </si>
  <si>
    <t>Tadjikistan</t>
  </si>
  <si>
    <t>Statele Unite ale Americii</t>
  </si>
  <si>
    <t>de 2,0 ori</t>
  </si>
  <si>
    <t>¹ În preţuri curente</t>
  </si>
  <si>
    <t>x</t>
  </si>
  <si>
    <t>conform Clasificării Standard de Comerţ Internaţional</t>
  </si>
  <si>
    <t>Produse alimentare şi animale vii</t>
  </si>
  <si>
    <t>Animale vii</t>
  </si>
  <si>
    <t>Carne şi preparate din carne</t>
  </si>
  <si>
    <t>Produse lactate şi ouă de păsări</t>
  </si>
  <si>
    <t>Peşte, crustacee, moluşte</t>
  </si>
  <si>
    <t>Cereale şi preparate pe bază de cereale</t>
  </si>
  <si>
    <t>Legume şi fructe</t>
  </si>
  <si>
    <t>Zahăr, preparate pe bază de zahăr; miere</t>
  </si>
  <si>
    <t>Cafea, ceai, cacao, condimente şi înlocuitori ai acestora</t>
  </si>
  <si>
    <t>Hrană destinată animalelor (exclusiv cereale nemăcinate)</t>
  </si>
  <si>
    <t>Produse şi preparate alimentare diverse</t>
  </si>
  <si>
    <t>Băuturi şi tutun</t>
  </si>
  <si>
    <t>Tutun brut şi prelucrat</t>
  </si>
  <si>
    <t>Materiale brute necomestibile, exclusiv combustibili</t>
  </si>
  <si>
    <t>Piei crude, piei tăbăcite şi blănuri brute</t>
  </si>
  <si>
    <t>Seminţe şi fructe oleaginoase</t>
  </si>
  <si>
    <t>Cauciuc brut (inclusiv cauciuc sintetic şi regenerat)</t>
  </si>
  <si>
    <t>Lemn şi plută</t>
  </si>
  <si>
    <t>Îngrăşăminte naturale şi minerale naturale (exclusiv cărbune, petrol şi pietre preţioase)</t>
  </si>
  <si>
    <t>Minereuri metalifere şi deşeuri de metale</t>
  </si>
  <si>
    <t>Alte materii brute de origine animală sau vegetală</t>
  </si>
  <si>
    <t>Combustibili minerali, lubrifianţi şi materiale derivate</t>
  </si>
  <si>
    <t>Cărbune, cocs şi brichete</t>
  </si>
  <si>
    <t>Petrol, produse petroliere şi produse înrudite</t>
  </si>
  <si>
    <t>Gaz şi produse industriale obţinute din gaz</t>
  </si>
  <si>
    <t>Energie electrică</t>
  </si>
  <si>
    <t>Uleiuri, grăsimi şi ceruri de origine animală sau vegetală</t>
  </si>
  <si>
    <t>Uleiuri şi grăsimi de origine animală</t>
  </si>
  <si>
    <t>Grăsimi şi uleiuri vegetale fixate, brute, rafinate sau fracţionate</t>
  </si>
  <si>
    <t>Produse chimice şi produse derivate nespecificate în altă parte</t>
  </si>
  <si>
    <t>Produse chimice organice</t>
  </si>
  <si>
    <t>Produse chimice anorganice</t>
  </si>
  <si>
    <t>Produse tanante şi colorante</t>
  </si>
  <si>
    <t>Produse medicinale şi farmaceutice</t>
  </si>
  <si>
    <t>Uleiuri esenţiale, rezinoide şi substanţe parfumate, preparate pentru toaletă, produse pentru înfrumuseţare</t>
  </si>
  <si>
    <t>Îngrăşăminte minerale sau chimice</t>
  </si>
  <si>
    <t>Materiale plastice sub forme primare</t>
  </si>
  <si>
    <t>Materiale plastice prelucrate</t>
  </si>
  <si>
    <t>Alte materiale şi produse chimice</t>
  </si>
  <si>
    <t>Mărfuri manufacturate, clasificate mai ales după materia primă</t>
  </si>
  <si>
    <t>Piele, altă piele şi blană prelucrate</t>
  </si>
  <si>
    <t>Cauciuc prelucrat</t>
  </si>
  <si>
    <t>Articole din lemn (exclusiv mobilă)</t>
  </si>
  <si>
    <t>Articole din minerale nemetalice</t>
  </si>
  <si>
    <t>Fier şi oţel</t>
  </si>
  <si>
    <t>Metale neferoase</t>
  </si>
  <si>
    <t>Articole prelucrate din metal</t>
  </si>
  <si>
    <t>Maşini  generatoare de putere şi echipamentele lor</t>
  </si>
  <si>
    <t>Maşini şi aparate pentru prelucrarea metalelor</t>
  </si>
  <si>
    <t>Maşini şi aparate industriale cu aplicaţii generale; părţi şi piese detaşate ale acestor maşini</t>
  </si>
  <si>
    <t>Maşini şi aparate de birou sau pentru prelucrarea automată a datelor</t>
  </si>
  <si>
    <t>Aparate şi echipamente de telecomunicaţii şi pentru înregistrarea şi reproducerea sunetului şi imaginii</t>
  </si>
  <si>
    <t>Vehicule rutiere (inclusiv vehicule cu pernă de aer)</t>
  </si>
  <si>
    <t>Alte echipamente de transport</t>
  </si>
  <si>
    <t>Articole manufacturate diverse</t>
  </si>
  <si>
    <t>Mobilă şi părţile ei</t>
  </si>
  <si>
    <t>Articole de voiaj; sacoşe şi similare</t>
  </si>
  <si>
    <t>Îmbrăcăminte şi accesorii</t>
  </si>
  <si>
    <t>Încălţăminte</t>
  </si>
  <si>
    <t>Aparate fotografice, echipamente şi furnituri de optică; ceasuri şi orologii</t>
  </si>
  <si>
    <t>Alte articole diverse</t>
  </si>
  <si>
    <t>Coreea de Sud</t>
  </si>
  <si>
    <t>Arabia Saudită</t>
  </si>
  <si>
    <t>Hong Kong, RAS a Chinei</t>
  </si>
  <si>
    <t>Africa de Sud</t>
  </si>
  <si>
    <t>Spania</t>
  </si>
  <si>
    <t>Belgia</t>
  </si>
  <si>
    <t>Ungaria</t>
  </si>
  <si>
    <t>Lituania</t>
  </si>
  <si>
    <t>Slovacia</t>
  </si>
  <si>
    <t>Letonia</t>
  </si>
  <si>
    <t>Estonia</t>
  </si>
  <si>
    <t>Cipru</t>
  </si>
  <si>
    <t>Danemarca</t>
  </si>
  <si>
    <t>Finlanda</t>
  </si>
  <si>
    <t>Suedia</t>
  </si>
  <si>
    <t>Portugalia</t>
  </si>
  <si>
    <t>Slovenia</t>
  </si>
  <si>
    <t>Irlanda</t>
  </si>
  <si>
    <t>Luxemburg</t>
  </si>
  <si>
    <t>Malta</t>
  </si>
  <si>
    <t>Turcia</t>
  </si>
  <si>
    <t>Irak</t>
  </si>
  <si>
    <t>Georgia</t>
  </si>
  <si>
    <t>China</t>
  </si>
  <si>
    <t>Liban</t>
  </si>
  <si>
    <t>Malaysia</t>
  </si>
  <si>
    <t>Israel</t>
  </si>
  <si>
    <t>Egipt</t>
  </si>
  <si>
    <t>Myanmar</t>
  </si>
  <si>
    <t>Indonezia</t>
  </si>
  <si>
    <t>Serbia</t>
  </si>
  <si>
    <t>Iordania</t>
  </si>
  <si>
    <t>Canada</t>
  </si>
  <si>
    <t>India</t>
  </si>
  <si>
    <t>Taiwan,  provincie a Chinei</t>
  </si>
  <si>
    <t>Bangladesh</t>
  </si>
  <si>
    <t>Vietnam</t>
  </si>
  <si>
    <t>Iran</t>
  </si>
  <si>
    <t>Pakistan</t>
  </si>
  <si>
    <t>Emiratele Arabe Unite</t>
  </si>
  <si>
    <t>Japonia</t>
  </si>
  <si>
    <t>Nigeria</t>
  </si>
  <si>
    <t>Norvegia</t>
  </si>
  <si>
    <t>Cambodjia</t>
  </si>
  <si>
    <t>Ecuador</t>
  </si>
  <si>
    <t>Islanda</t>
  </si>
  <si>
    <t>Argentina</t>
  </si>
  <si>
    <t>Thailanda</t>
  </si>
  <si>
    <t>Brazilia</t>
  </si>
  <si>
    <t>Mexic</t>
  </si>
  <si>
    <t>Maroc</t>
  </si>
  <si>
    <t>Singapore</t>
  </si>
  <si>
    <t>Filipine</t>
  </si>
  <si>
    <t>Chile</t>
  </si>
  <si>
    <t>Costa Rica</t>
  </si>
  <si>
    <t>Uruguay</t>
  </si>
  <si>
    <t>Tunisia</t>
  </si>
  <si>
    <t>Columbia</t>
  </si>
  <si>
    <t>Australia</t>
  </si>
  <si>
    <t>Noua Zeelandă</t>
  </si>
  <si>
    <t>de 2,1 ori</t>
  </si>
  <si>
    <t>Mongolia</t>
  </si>
  <si>
    <t>Peru</t>
  </si>
  <si>
    <t>Kenya</t>
  </si>
  <si>
    <t>de 2,2 ori</t>
  </si>
  <si>
    <t>mii dolari        SUA</t>
  </si>
  <si>
    <t>EXPORT - total</t>
  </si>
  <si>
    <t>BALANŢA COMERCIALĂ – total, mii dolari SUA</t>
  </si>
  <si>
    <t>Oman</t>
  </si>
  <si>
    <t>Albania</t>
  </si>
  <si>
    <t>de 1,8 ori</t>
  </si>
  <si>
    <t>de 1,7 ori</t>
  </si>
  <si>
    <t>de 1,6 ori</t>
  </si>
  <si>
    <t>de 1,9 ori</t>
  </si>
  <si>
    <t>Gradul de influenţă a grupelor de mărfuri  la creşterea (+),  scăderea (-) exporturilor, %</t>
  </si>
  <si>
    <t>Qatar</t>
  </si>
  <si>
    <t xml:space="preserve">. </t>
  </si>
  <si>
    <t>Ponderea, %</t>
  </si>
  <si>
    <t>Swaziland</t>
  </si>
  <si>
    <t>de 2,3 ori</t>
  </si>
  <si>
    <t>mii dolari         SUA</t>
  </si>
  <si>
    <t>Belize</t>
  </si>
  <si>
    <t>de 3,2 ori</t>
  </si>
  <si>
    <t>de 3,6 ori</t>
  </si>
  <si>
    <t>Transport maritim</t>
  </si>
  <si>
    <t>Transport feroviar</t>
  </si>
  <si>
    <t>Transport rutier</t>
  </si>
  <si>
    <t>Transport aerian</t>
  </si>
  <si>
    <t>Celelalte țări ale lumii</t>
  </si>
  <si>
    <t>Expedieri poștale</t>
  </si>
  <si>
    <t>Instalații fixe de transport</t>
  </si>
  <si>
    <t>Autopropulsie</t>
  </si>
  <si>
    <r>
      <rPr>
        <b/>
        <sz val="12"/>
        <rFont val="Times New Roman"/>
        <family val="1"/>
      </rPr>
      <t xml:space="preserve">Anexa 1. </t>
    </r>
    <r>
      <rPr>
        <b/>
        <i/>
        <sz val="12"/>
        <rFont val="Times New Roman"/>
        <family val="1"/>
      </rPr>
      <t>Exporturile structurate pe principalele ţări de destinaţie a mărfurilor şi grupe de ţări</t>
    </r>
  </si>
  <si>
    <r>
      <rPr>
        <b/>
        <sz val="12"/>
        <color indexed="8"/>
        <rFont val="Times New Roman"/>
        <family val="1"/>
      </rPr>
      <t xml:space="preserve">Anexa 2. </t>
    </r>
    <r>
      <rPr>
        <b/>
        <i/>
        <sz val="12"/>
        <color indexed="8"/>
        <rFont val="Times New Roman"/>
        <family val="1"/>
      </rPr>
      <t>Importurile structurate pe principalele ţări de origine a mărfurilor şi grupe de ţări</t>
    </r>
  </si>
  <si>
    <r>
      <rPr>
        <b/>
        <sz val="12"/>
        <color indexed="8"/>
        <rFont val="Times New Roman"/>
        <family val="1"/>
      </rPr>
      <t xml:space="preserve">Anexa 3. </t>
    </r>
    <r>
      <rPr>
        <b/>
        <i/>
        <sz val="12"/>
        <color indexed="8"/>
        <rFont val="Times New Roman"/>
        <family val="1"/>
      </rPr>
      <t>Balanţa comercială structurată pe principalele ţări şi grupe de ţări</t>
    </r>
  </si>
  <si>
    <r>
      <rPr>
        <b/>
        <sz val="12"/>
        <rFont val="Times New Roman"/>
        <family val="1"/>
      </rPr>
      <t xml:space="preserve">Anexa 4. </t>
    </r>
    <r>
      <rPr>
        <b/>
        <i/>
        <sz val="12"/>
        <rFont val="Times New Roman"/>
        <family val="1"/>
      </rPr>
      <t xml:space="preserve">Exporturile structurate pe grupe de ţări și moduri de transport a mărfurilor </t>
    </r>
  </si>
  <si>
    <r>
      <rPr>
        <b/>
        <sz val="12"/>
        <rFont val="Times New Roman"/>
        <family val="1"/>
      </rPr>
      <t>Anexa 5.</t>
    </r>
    <r>
      <rPr>
        <b/>
        <i/>
        <sz val="12"/>
        <rFont val="Times New Roman"/>
        <family val="1"/>
      </rPr>
      <t xml:space="preserve"> Importurile structurate pe grupe de ţări și moduri de transport a mărfurilor</t>
    </r>
  </si>
  <si>
    <r>
      <rPr>
        <b/>
        <sz val="12"/>
        <color indexed="8"/>
        <rFont val="Times New Roman"/>
        <family val="1"/>
      </rPr>
      <t>Anexa 6.</t>
    </r>
    <r>
      <rPr>
        <b/>
        <i/>
        <sz val="12"/>
        <color indexed="8"/>
        <rFont val="Times New Roman"/>
        <family val="1"/>
      </rPr>
      <t xml:space="preserve"> Exporturile structurate pe grupe de mărfuri, </t>
    </r>
  </si>
  <si>
    <r>
      <rPr>
        <b/>
        <sz val="12"/>
        <color indexed="8"/>
        <rFont val="Times New Roman"/>
        <family val="1"/>
      </rPr>
      <t>Anexa 7.</t>
    </r>
    <r>
      <rPr>
        <b/>
        <i/>
        <sz val="12"/>
        <color indexed="8"/>
        <rFont val="Times New Roman"/>
        <family val="1"/>
      </rPr>
      <t xml:space="preserve"> Importurile structurate pe grupe de mărfuri, </t>
    </r>
  </si>
  <si>
    <r>
      <rPr>
        <b/>
        <sz val="12"/>
        <color indexed="8"/>
        <rFont val="Times New Roman"/>
        <family val="1"/>
      </rPr>
      <t xml:space="preserve">Anexa 8. </t>
    </r>
    <r>
      <rPr>
        <b/>
        <i/>
        <sz val="12"/>
        <color indexed="8"/>
        <rFont val="Times New Roman"/>
        <family val="1"/>
      </rPr>
      <t xml:space="preserve">Balanţa comercială structurată pe grupe de mărfuri, </t>
    </r>
  </si>
  <si>
    <t xml:space="preserve"> </t>
  </si>
  <si>
    <t>Gradul de influenţă a grupelor de mărfuri  la creşterea (+),  scăderea (-) importurilor, %</t>
  </si>
  <si>
    <t>Gradul de influenţă a ţărilor, grupelor de ţări  la creşterea (+),  scăderea (-) importurilor, %</t>
  </si>
  <si>
    <t>2019¹</t>
  </si>
  <si>
    <t>mii dolari             SUA</t>
  </si>
  <si>
    <t>Ţările Uniunii Europene - total</t>
  </si>
  <si>
    <t>Regatul Unit al Marii Britanii şi Irlandei de Nord</t>
  </si>
  <si>
    <t>Franţa</t>
  </si>
  <si>
    <t>Croaţia</t>
  </si>
  <si>
    <t>Ţările CSI - total</t>
  </si>
  <si>
    <t>Federaţia Rusă</t>
  </si>
  <si>
    <t>de 1,5 ori</t>
  </si>
  <si>
    <t>Kârgâzstan</t>
  </si>
  <si>
    <t>Celelalte ţări ale lumii - total</t>
  </si>
  <si>
    <t>Elveţia</t>
  </si>
  <si>
    <t>Siria</t>
  </si>
  <si>
    <t>Afganistan</t>
  </si>
  <si>
    <t>IMPORT - total</t>
  </si>
  <si>
    <t>de 3,0 ori</t>
  </si>
  <si>
    <t>San Marino</t>
  </si>
  <si>
    <t>Şri Lanka</t>
  </si>
  <si>
    <t>Etiopia</t>
  </si>
  <si>
    <t>Bahrain</t>
  </si>
  <si>
    <t>Senegal</t>
  </si>
  <si>
    <t xml:space="preserve">   din care:</t>
  </si>
  <si>
    <t xml:space="preserve">IMPORT - total      </t>
  </si>
  <si>
    <t>Țările Uniunii Europene (UE-28)</t>
  </si>
  <si>
    <t xml:space="preserve">Țările CSI </t>
  </si>
  <si>
    <t xml:space="preserve">Celelalte țări ale lumii </t>
  </si>
  <si>
    <t>BALANŢA COMERCIALĂ - total, mii dolari SUA</t>
  </si>
  <si>
    <t>Pastă de hârtie şi deşeuri de hârtie</t>
  </si>
  <si>
    <t>Fibre textile (cu excepţia lânii în fuior şi a lânii pieptănate) şi deşeurile lor (neprelucrate în fire sau ţesături)</t>
  </si>
  <si>
    <t>Alte uleiuri şi grăsimi animale sau vegetale prelucrate; ceară de origine animală sau vegetală, amestecuri sau preparate necomestibile din uleiuri animale sau vegetale</t>
  </si>
  <si>
    <t>Hârtie, carton şi articole din pastă de celuloză, din hârtie sau din carton</t>
  </si>
  <si>
    <t>Construcţii prefabricate; alte instalaţii şi accesorii pentru instalaţii sanitare, de încălzit şi de iluminat</t>
  </si>
  <si>
    <t>Bunuri neclasificate în altă secţiune din CSCI</t>
  </si>
  <si>
    <t>Băuturi (alcoolice şi nealcoolice)</t>
  </si>
  <si>
    <t>în % faţă de ianuarie-februarie 2019¹</t>
  </si>
  <si>
    <t>2020¹</t>
  </si>
  <si>
    <t>Bosnia şi Herţegovina</t>
  </si>
  <si>
    <t>Burkina Faso</t>
  </si>
  <si>
    <t>Macedonia de Nord</t>
  </si>
  <si>
    <t>Andorra</t>
  </si>
  <si>
    <t>Cote D'Ivoire</t>
  </si>
  <si>
    <t>de 230,4 ori</t>
  </si>
  <si>
    <t>de 3,1 ori</t>
  </si>
  <si>
    <t>de 2,5 ori</t>
  </si>
  <si>
    <t>de 16,3 ori</t>
  </si>
  <si>
    <t>de 3,8 ori</t>
  </si>
  <si>
    <t>de 11,8 ori</t>
  </si>
  <si>
    <t>de 32,5 ori</t>
  </si>
  <si>
    <t>de 8,8 ori</t>
  </si>
  <si>
    <t>de 27,9 ori</t>
  </si>
  <si>
    <t>de 23,3 ori</t>
  </si>
  <si>
    <t>de 137,9 ori</t>
  </si>
  <si>
    <t>de 3,7 ori</t>
  </si>
  <si>
    <t>de 5,7 ori</t>
  </si>
  <si>
    <t>Insulele Feroe</t>
  </si>
  <si>
    <t>Antigua şi Barbuda</t>
  </si>
  <si>
    <t>Insulele Folkland</t>
  </si>
  <si>
    <t>Kuwait</t>
  </si>
  <si>
    <t>Laos</t>
  </si>
  <si>
    <t>Insulele Georgia şi Sandwich de Sud</t>
  </si>
  <si>
    <t>de 2,6 ori</t>
  </si>
  <si>
    <t>de 24,9 ori</t>
  </si>
  <si>
    <t>de 2,4 ori</t>
  </si>
  <si>
    <t>de 12,5 ori</t>
  </si>
  <si>
    <t>de 3,4 ori</t>
  </si>
  <si>
    <t>de 19,4 ori</t>
  </si>
  <si>
    <t>de 14,8 ori</t>
  </si>
  <si>
    <t>de 2,9 ori</t>
  </si>
  <si>
    <t>Fire, tesături, articole textile necuprinse în altă parte şi produse conexe</t>
  </si>
  <si>
    <t>Maşini şi echipamente pentru transport</t>
  </si>
  <si>
    <t>Maşini şi aparate specializate pentru industriile specifice</t>
  </si>
  <si>
    <t>Maşini şi aparate electrice şi părţi ale acestora (inclusiv echivalente neelectrice ale maşinilor şi aparatelor de uz casnic)</t>
  </si>
  <si>
    <t>Instrumente şi aparate, profesionale, ştiintifice şi de control</t>
  </si>
  <si>
    <t>Aur nemonetar</t>
  </si>
  <si>
    <t>de 10,1 ori</t>
  </si>
  <si>
    <t>de 3,3 ori</t>
  </si>
  <si>
    <t>Construcţii prefabricate; alte instalaţii şi accesorii pentru instalaţii sanitare, de încalzit şi de iluminat</t>
  </si>
  <si>
    <t>Instrumente şi aparate, profesionale, ştiinţifice şi de control</t>
  </si>
  <si>
    <t>Operatiuni neidentificate (ajutor umanitar)</t>
  </si>
  <si>
    <t>de 6,8 ori</t>
  </si>
  <si>
    <t>de 7,0 ori</t>
  </si>
  <si>
    <t>de 18,1 ori</t>
  </si>
  <si>
    <t xml:space="preserve">EXPORT- total      </t>
  </si>
  <si>
    <t xml:space="preserve"> - </t>
  </si>
  <si>
    <t xml:space="preserve"> -</t>
  </si>
  <si>
    <t>Ianuarie - februarie 2020</t>
  </si>
  <si>
    <t>ianuarie - februarie</t>
  </si>
  <si>
    <t>Ianuarie - februarie</t>
  </si>
  <si>
    <t>Ianuarie - februarie 2020    în % faţă de                          ianuarie - februarie 2019¹</t>
  </si>
  <si>
    <t>în % faţă de ianuarie - februarie 2019¹</t>
  </si>
  <si>
    <t>Ianuarie - februarie 2020      în % faţă de                          ianuarie - februarie 2019¹</t>
  </si>
  <si>
    <t xml:space="preserve">     din care:</t>
  </si>
  <si>
    <t>Mauritius</t>
  </si>
  <si>
    <t>Republica Dominicană</t>
  </si>
  <si>
    <t>de 5,1 ori</t>
  </si>
  <si>
    <t>de 5,2 ori</t>
  </si>
  <si>
    <t>de 5,4 ori</t>
  </si>
  <si>
    <t>de 4,9 ori</t>
  </si>
  <si>
    <t>de 3,5 ori</t>
  </si>
  <si>
    <t>de 20,4 ori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</si>
</sst>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66">
    <font>
      <sz val="12"/>
      <color indexed="8"/>
      <name val="Times New Roman"/>
      <family val="2"/>
    </font>
    <font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6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name val="Times New Roman"/>
      <family val="2"/>
    </font>
    <font>
      <sz val="10"/>
      <name val="Times New Roman"/>
      <family val="1"/>
    </font>
    <font>
      <b/>
      <i/>
      <sz val="8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b/>
      <i/>
      <sz val="12"/>
      <name val="Times New Roman"/>
      <family val="1"/>
    </font>
    <font>
      <sz val="12"/>
      <color indexed="6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9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Calibri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sz val="12"/>
      <color rgb="FFC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</cellStyleXfs>
  <cellXfs count="10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165" fontId="12" fillId="0" borderId="0" xfId="0" applyNumberFormat="1" applyFont="1" applyFill="1" applyAlignment="1" applyProtection="1">
      <alignment horizontal="right"/>
      <protection/>
    </xf>
    <xf numFmtId="165" fontId="10" fillId="0" borderId="0" xfId="0" applyNumberFormat="1" applyFont="1" applyFill="1" applyAlignment="1" applyProtection="1">
      <alignment horizontal="right"/>
      <protection/>
    </xf>
    <xf numFmtId="0" fontId="13" fillId="0" borderId="0" xfId="0" applyFont="1" applyAlignment="1">
      <alignment/>
    </xf>
    <xf numFmtId="0" fontId="8" fillId="0" borderId="0" xfId="0" applyFont="1" applyBorder="1" applyAlignment="1">
      <alignment vertical="top" wrapText="1"/>
    </xf>
    <xf numFmtId="4" fontId="10" fillId="0" borderId="0" xfId="0" applyNumberFormat="1" applyFont="1" applyFill="1" applyAlignment="1" applyProtection="1">
      <alignment horizontal="right"/>
      <protection/>
    </xf>
    <xf numFmtId="164" fontId="10" fillId="0" borderId="0" xfId="0" applyNumberFormat="1" applyFont="1" applyFill="1" applyAlignment="1" applyProtection="1">
      <alignment horizontal="right"/>
      <protection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14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2" fontId="13" fillId="0" borderId="0" xfId="0" applyNumberFormat="1" applyFont="1" applyFill="1" applyAlignment="1" applyProtection="1">
      <alignment horizontal="right"/>
      <protection/>
    </xf>
    <xf numFmtId="4" fontId="0" fillId="0" borderId="0" xfId="0" applyNumberForma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38" fontId="12" fillId="0" borderId="0" xfId="0" applyNumberFormat="1" applyFont="1" applyFill="1" applyBorder="1" applyAlignment="1" applyProtection="1">
      <alignment horizontal="left" vertical="top" wrapText="1"/>
      <protection/>
    </xf>
    <xf numFmtId="38" fontId="22" fillId="0" borderId="0" xfId="0" applyNumberFormat="1" applyFont="1" applyFill="1" applyBorder="1" applyAlignment="1" applyProtection="1">
      <alignment horizontal="left" vertical="top" wrapText="1"/>
      <protection/>
    </xf>
    <xf numFmtId="4" fontId="63" fillId="0" borderId="0" xfId="0" applyNumberFormat="1" applyFont="1" applyFill="1" applyBorder="1" applyAlignment="1" applyProtection="1">
      <alignment horizontal="right" vertical="top" wrapText="1"/>
      <protection/>
    </xf>
    <xf numFmtId="4" fontId="63" fillId="0" borderId="0" xfId="0" applyNumberFormat="1" applyFont="1" applyFill="1" applyBorder="1" applyAlignment="1" applyProtection="1">
      <alignment horizontal="right" vertical="top" wrapText="1" indent="1"/>
      <protection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4" fontId="64" fillId="0" borderId="0" xfId="0" applyNumberFormat="1" applyFont="1" applyFill="1" applyAlignment="1" applyProtection="1">
      <alignment horizontal="right" vertical="top" wrapText="1" indent="1"/>
      <protection/>
    </xf>
    <xf numFmtId="0" fontId="25" fillId="0" borderId="13" xfId="0" applyNumberFormat="1" applyFont="1" applyFill="1" applyBorder="1" applyAlignment="1" applyProtection="1">
      <alignment horizontal="left" vertical="top" wrapText="1"/>
      <protection/>
    </xf>
    <xf numFmtId="4" fontId="25" fillId="0" borderId="13" xfId="0" applyNumberFormat="1" applyFont="1" applyFill="1" applyBorder="1" applyAlignment="1" applyProtection="1">
      <alignment horizontal="right" vertical="top"/>
      <protection/>
    </xf>
    <xf numFmtId="0" fontId="12" fillId="0" borderId="0" xfId="0" applyNumberFormat="1" applyFont="1" applyFill="1" applyAlignment="1" applyProtection="1">
      <alignment horizontal="left" vertical="top" wrapText="1"/>
      <protection/>
    </xf>
    <xf numFmtId="4" fontId="12" fillId="0" borderId="0" xfId="0" applyNumberFormat="1" applyFont="1" applyFill="1" applyAlignment="1" applyProtection="1">
      <alignment horizontal="right" vertical="top"/>
      <protection/>
    </xf>
    <xf numFmtId="38" fontId="10" fillId="0" borderId="0" xfId="0" applyNumberFormat="1" applyFont="1" applyFill="1" applyAlignment="1" applyProtection="1">
      <alignment horizontal="left" vertical="top" wrapText="1"/>
      <protection/>
    </xf>
    <xf numFmtId="4" fontId="10" fillId="0" borderId="0" xfId="0" applyNumberFormat="1" applyFont="1" applyFill="1" applyAlignment="1" applyProtection="1">
      <alignment horizontal="right" vertical="top"/>
      <protection/>
    </xf>
    <xf numFmtId="38" fontId="10" fillId="0" borderId="14" xfId="0" applyNumberFormat="1" applyFont="1" applyFill="1" applyBorder="1" applyAlignment="1" applyProtection="1">
      <alignment horizontal="left" vertical="top" wrapText="1"/>
      <protection/>
    </xf>
    <xf numFmtId="4" fontId="10" fillId="0" borderId="14" xfId="0" applyNumberFormat="1" applyFont="1" applyFill="1" applyBorder="1" applyAlignment="1" applyProtection="1">
      <alignment horizontal="right" vertical="top"/>
      <protection/>
    </xf>
    <xf numFmtId="4" fontId="10" fillId="0" borderId="0" xfId="0" applyNumberFormat="1" applyFont="1" applyFill="1" applyBorder="1" applyAlignment="1" applyProtection="1">
      <alignment horizontal="left" vertical="top" wrapText="1"/>
      <protection/>
    </xf>
    <xf numFmtId="4" fontId="25" fillId="0" borderId="13" xfId="0" applyNumberFormat="1" applyFont="1" applyFill="1" applyBorder="1" applyAlignment="1" applyProtection="1">
      <alignment horizontal="left" vertical="top" wrapText="1"/>
      <protection/>
    </xf>
    <xf numFmtId="0" fontId="12" fillId="0" borderId="0" xfId="0" applyNumberFormat="1" applyFont="1" applyFill="1" applyBorder="1" applyAlignment="1" applyProtection="1">
      <alignment horizontal="left" vertical="top" wrapText="1"/>
      <protection/>
    </xf>
    <xf numFmtId="38" fontId="10" fillId="0" borderId="0" xfId="0" applyNumberFormat="1" applyFont="1" applyFill="1" applyBorder="1" applyAlignment="1" applyProtection="1">
      <alignment horizontal="left" vertical="top" wrapText="1"/>
      <protection/>
    </xf>
    <xf numFmtId="38" fontId="12" fillId="0" borderId="0" xfId="0" applyNumberFormat="1" applyFont="1" applyFill="1" applyAlignment="1" applyProtection="1">
      <alignment horizontal="left" vertical="top" wrapText="1"/>
      <protection/>
    </xf>
    <xf numFmtId="4" fontId="26" fillId="0" borderId="0" xfId="0" applyNumberFormat="1" applyFont="1" applyAlignment="1">
      <alignment horizontal="left" vertical="top" wrapText="1"/>
    </xf>
    <xf numFmtId="4" fontId="3" fillId="0" borderId="0" xfId="0" applyNumberFormat="1" applyFont="1" applyAlignment="1">
      <alignment horizontal="left" vertical="top" wrapText="1"/>
    </xf>
    <xf numFmtId="4" fontId="25" fillId="0" borderId="13" xfId="0" applyNumberFormat="1" applyFont="1" applyFill="1" applyBorder="1" applyAlignment="1" applyProtection="1">
      <alignment horizontal="right" vertical="top" indent="1"/>
      <protection/>
    </xf>
    <xf numFmtId="4" fontId="12" fillId="0" borderId="0" xfId="0" applyNumberFormat="1" applyFont="1" applyFill="1" applyAlignment="1" applyProtection="1">
      <alignment horizontal="right" vertical="top" indent="1"/>
      <protection/>
    </xf>
    <xf numFmtId="4" fontId="10" fillId="0" borderId="0" xfId="0" applyNumberFormat="1" applyFont="1" applyFill="1" applyAlignment="1" applyProtection="1">
      <alignment horizontal="right" vertical="top" indent="1"/>
      <protection/>
    </xf>
    <xf numFmtId="4" fontId="10" fillId="0" borderId="14" xfId="0" applyNumberFormat="1" applyFont="1" applyFill="1" applyBorder="1" applyAlignment="1" applyProtection="1">
      <alignment horizontal="right" vertical="top" indent="1"/>
      <protection/>
    </xf>
    <xf numFmtId="0" fontId="25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NumberFormat="1" applyFont="1" applyFill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14" xfId="0" applyNumberFormat="1" applyFont="1" applyFill="1" applyBorder="1" applyAlignment="1" applyProtection="1">
      <alignment horizontal="left" vertical="top" wrapText="1"/>
      <protection/>
    </xf>
    <xf numFmtId="4" fontId="10" fillId="0" borderId="0" xfId="0" applyNumberFormat="1" applyFont="1" applyAlignment="1">
      <alignment horizontal="right" vertical="top" wrapText="1" indent="1"/>
    </xf>
    <xf numFmtId="4" fontId="10" fillId="0" borderId="0" xfId="0" applyNumberFormat="1" applyFont="1" applyBorder="1" applyAlignment="1">
      <alignment horizontal="right" vertical="top" wrapText="1" indent="1"/>
    </xf>
    <xf numFmtId="4" fontId="65" fillId="0" borderId="0" xfId="0" applyNumberFormat="1" applyFont="1" applyAlignment="1">
      <alignment horizontal="right" vertical="top" wrapText="1" indent="1"/>
    </xf>
    <xf numFmtId="4" fontId="10" fillId="0" borderId="0" xfId="0" applyNumberFormat="1" applyFont="1" applyFill="1" applyAlignment="1" applyProtection="1">
      <alignment horizontal="right" vertical="top" wrapText="1" indent="1"/>
      <protection/>
    </xf>
    <xf numFmtId="4" fontId="10" fillId="0" borderId="14" xfId="0" applyNumberFormat="1" applyFont="1" applyBorder="1" applyAlignment="1">
      <alignment horizontal="right" vertical="top" wrapText="1" indent="1"/>
    </xf>
    <xf numFmtId="4" fontId="12" fillId="0" borderId="0" xfId="0" applyNumberFormat="1" applyFont="1" applyFill="1" applyBorder="1" applyAlignment="1" applyProtection="1">
      <alignment horizontal="right" vertical="top" indent="1"/>
      <protection/>
    </xf>
    <xf numFmtId="4" fontId="25" fillId="0" borderId="0" xfId="0" applyNumberFormat="1" applyFont="1" applyFill="1" applyBorder="1" applyAlignment="1" applyProtection="1">
      <alignment horizontal="right" vertical="top" indent="1"/>
      <protection/>
    </xf>
    <xf numFmtId="4" fontId="10" fillId="0" borderId="0" xfId="0" applyNumberFormat="1" applyFont="1" applyFill="1" applyBorder="1" applyAlignment="1" applyProtection="1">
      <alignment horizontal="right" vertical="top" indent="1"/>
      <protection/>
    </xf>
    <xf numFmtId="4" fontId="25" fillId="0" borderId="0" xfId="0" applyNumberFormat="1" applyFont="1" applyFill="1" applyAlignment="1" applyProtection="1">
      <alignment horizontal="right" vertical="top" indent="1"/>
      <protection/>
    </xf>
    <xf numFmtId="4" fontId="25" fillId="0" borderId="0" xfId="0" applyNumberFormat="1" applyFont="1" applyFill="1" applyAlignment="1" applyProtection="1">
      <alignment horizontal="right" vertical="top" wrapText="1" indent="1"/>
      <protection/>
    </xf>
    <xf numFmtId="4" fontId="64" fillId="0" borderId="0" xfId="0" applyNumberFormat="1" applyFont="1" applyFill="1" applyBorder="1" applyAlignment="1" applyProtection="1">
      <alignment horizontal="right" vertical="top" wrapText="1" indent="1"/>
      <protection/>
    </xf>
    <xf numFmtId="4" fontId="64" fillId="0" borderId="0" xfId="0" applyNumberFormat="1" applyFont="1" applyAlignment="1">
      <alignment horizontal="right" vertical="top" wrapText="1" indent="1"/>
    </xf>
    <xf numFmtId="0" fontId="59" fillId="0" borderId="0" xfId="0" applyFont="1" applyAlignment="1">
      <alignment/>
    </xf>
    <xf numFmtId="0" fontId="17" fillId="0" borderId="0" xfId="0" applyFont="1" applyAlignment="1">
      <alignment horizontal="center"/>
    </xf>
    <xf numFmtId="0" fontId="10" fillId="0" borderId="15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10" fillId="0" borderId="17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2" xfId="63"/>
    <cellStyle name="Обычный 3" xfId="64"/>
    <cellStyle name="Обычный 3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96"/>
  <sheetViews>
    <sheetView tabSelected="1" zoomScalePageLayoutView="0" workbookViewId="0" topLeftCell="A1">
      <selection activeCell="M23" sqref="M23"/>
    </sheetView>
  </sheetViews>
  <sheetFormatPr defaultColWidth="9.00390625" defaultRowHeight="15.75"/>
  <cols>
    <col min="1" max="1" width="28.75390625" style="9" customWidth="1"/>
    <col min="2" max="2" width="13.125" style="9" customWidth="1"/>
    <col min="3" max="3" width="10.75390625" style="9" customWidth="1"/>
    <col min="4" max="4" width="8.875" style="9" customWidth="1"/>
    <col min="5" max="5" width="9.00390625" style="9" customWidth="1"/>
    <col min="6" max="6" width="9.75390625" style="9" customWidth="1"/>
    <col min="7" max="7" width="9.375" style="9" customWidth="1"/>
  </cols>
  <sheetData>
    <row r="1" spans="1:7" ht="15.75">
      <c r="A1" s="74" t="s">
        <v>177</v>
      </c>
      <c r="B1" s="74"/>
      <c r="C1" s="74"/>
      <c r="D1" s="74"/>
      <c r="E1" s="74"/>
      <c r="F1" s="74"/>
      <c r="G1" s="74"/>
    </row>
    <row r="3" spans="1:7" ht="54" customHeight="1">
      <c r="A3" s="75"/>
      <c r="B3" s="78" t="s">
        <v>273</v>
      </c>
      <c r="C3" s="79"/>
      <c r="D3" s="78" t="s">
        <v>162</v>
      </c>
      <c r="E3" s="79"/>
      <c r="F3" s="80" t="s">
        <v>1</v>
      </c>
      <c r="G3" s="81"/>
    </row>
    <row r="4" spans="1:7" ht="24" customHeight="1">
      <c r="A4" s="76"/>
      <c r="B4" s="82" t="s">
        <v>150</v>
      </c>
      <c r="C4" s="84" t="s">
        <v>222</v>
      </c>
      <c r="D4" s="86" t="s">
        <v>274</v>
      </c>
      <c r="E4" s="86"/>
      <c r="F4" s="86" t="s">
        <v>274</v>
      </c>
      <c r="G4" s="78"/>
    </row>
    <row r="5" spans="1:7" ht="29.25" customHeight="1">
      <c r="A5" s="77"/>
      <c r="B5" s="83"/>
      <c r="C5" s="85"/>
      <c r="D5" s="25">
        <v>2019</v>
      </c>
      <c r="E5" s="25">
        <v>2020</v>
      </c>
      <c r="F5" s="25" t="s">
        <v>188</v>
      </c>
      <c r="G5" s="21" t="s">
        <v>223</v>
      </c>
    </row>
    <row r="6" spans="1:7" ht="15.75" customHeight="1">
      <c r="A6" s="37" t="s">
        <v>151</v>
      </c>
      <c r="B6" s="52">
        <f>IF(464782.89562="","-",464782.89562)</f>
        <v>464782.89562</v>
      </c>
      <c r="C6" s="52">
        <f>IF(475663.92916="","-",464782.89562/475663.92916*100)</f>
        <v>97.71245350489045</v>
      </c>
      <c r="D6" s="52">
        <v>100</v>
      </c>
      <c r="E6" s="52">
        <v>100</v>
      </c>
      <c r="F6" s="52">
        <f>IF(435794.05199="","-",(475663.92916-435794.05199)/435794.05199*100)</f>
        <v>9.148788742741921</v>
      </c>
      <c r="G6" s="52">
        <f>IF(475663.92916="","-",(464782.89562-475663.92916)/475663.92916*100)</f>
        <v>-2.287546495109555</v>
      </c>
    </row>
    <row r="7" spans="1:7" ht="15.75" customHeight="1">
      <c r="A7" s="45" t="s">
        <v>209</v>
      </c>
      <c r="B7" s="67"/>
      <c r="C7" s="67"/>
      <c r="D7" s="67"/>
      <c r="E7" s="67"/>
      <c r="F7" s="67"/>
      <c r="G7" s="67"/>
    </row>
    <row r="8" spans="1:7" ht="15.75" customHeight="1">
      <c r="A8" s="39" t="s">
        <v>190</v>
      </c>
      <c r="B8" s="53">
        <f>IF(318347.7102="","-",318347.7102)</f>
        <v>318347.7102</v>
      </c>
      <c r="C8" s="53">
        <f>IF(306576.76474="","-",318347.7102/306576.76474*100)</f>
        <v>103.8394773556902</v>
      </c>
      <c r="D8" s="53">
        <f>IF(306576.76474="","-",306576.76474/475663.92916*100)</f>
        <v>64.45238874459119</v>
      </c>
      <c r="E8" s="53">
        <f>IF(318347.7102="","-",318347.7102/464782.89562*100)</f>
        <v>68.49385233407483</v>
      </c>
      <c r="F8" s="53">
        <f>IF(435794.05199="","-",(306576.76474-292947.72716)/435794.05199*100)</f>
        <v>3.1274033038690354</v>
      </c>
      <c r="G8" s="53">
        <f>IF(475663.92916="","-",(318347.7102-306576.76474)/475663.92916*100)</f>
        <v>2.4746348710500063</v>
      </c>
    </row>
    <row r="9" spans="1:7" ht="13.5" customHeight="1">
      <c r="A9" s="41" t="s">
        <v>2</v>
      </c>
      <c r="B9" s="54">
        <f>IF(116848.86265="","-",116848.86265)</f>
        <v>116848.86265</v>
      </c>
      <c r="C9" s="54">
        <f>IF(OR(122615.69329="",116848.86265=""),"-",116848.86265/122615.69329*100)</f>
        <v>95.29682499420299</v>
      </c>
      <c r="D9" s="54">
        <f>IF(122615.69329="","-",122615.69329/475663.92916*100)</f>
        <v>25.777799360681712</v>
      </c>
      <c r="E9" s="54">
        <f>IF(116848.86265="","-",116848.86265/464782.89562*100)</f>
        <v>25.14052555529797</v>
      </c>
      <c r="F9" s="54">
        <f>IF(OR(435794.05199="",104949.13186="",122615.69329=""),"-",(122615.69329-104949.13186)/435794.05199*100)</f>
        <v>4.05387851195486</v>
      </c>
      <c r="G9" s="54">
        <f>IF(OR(475663.92916="",116848.86265="",122615.69329=""),"-",(116848.86265-122615.69329)/475663.92916*100)</f>
        <v>-1.2123750165760834</v>
      </c>
    </row>
    <row r="10" spans="1:7" ht="15.75" customHeight="1">
      <c r="A10" s="41" t="s">
        <v>4</v>
      </c>
      <c r="B10" s="54">
        <f>IF(45193.45809="","-",45193.45809)</f>
        <v>45193.45809</v>
      </c>
      <c r="C10" s="54">
        <f>IF(OR(41248.94533="",45193.45809=""),"-",45193.45809/41248.94533*100)</f>
        <v>109.56269967254457</v>
      </c>
      <c r="D10" s="54">
        <f>IF(41248.94533="","-",41248.94533/475663.92916*100)</f>
        <v>8.671867425987859</v>
      </c>
      <c r="E10" s="54">
        <f>IF(45193.45809="","-",45193.45809/464782.89562*100)</f>
        <v>9.723563090615437</v>
      </c>
      <c r="F10" s="54">
        <f>IF(OR(435794.05199="",39183.93116="",41248.94533=""),"-",(41248.94533-39183.93116)/435794.05199*100)</f>
        <v>0.47385093040402193</v>
      </c>
      <c r="G10" s="54">
        <f>IF(OR(475663.92916="",45193.45809="",41248.94533=""),"-",(45193.45809-41248.94533)/475663.92916*100)</f>
        <v>0.82926463794844</v>
      </c>
    </row>
    <row r="11" spans="1:7" s="16" customFormat="1" ht="15.75">
      <c r="A11" s="41" t="s">
        <v>3</v>
      </c>
      <c r="B11" s="54">
        <f>IF(44871.19236="","-",44871.19236)</f>
        <v>44871.19236</v>
      </c>
      <c r="C11" s="54">
        <f>IF(OR(57991.42218="",44871.19236=""),"-",44871.19236/57991.42218*100)</f>
        <v>77.37556809819904</v>
      </c>
      <c r="D11" s="54">
        <f>IF(57991.42218="","-",57991.42218/475663.92916*100)</f>
        <v>12.191679592440426</v>
      </c>
      <c r="E11" s="54">
        <f>IF(44871.19236="","-",44871.19236/464782.89562*100)</f>
        <v>9.654226259798953</v>
      </c>
      <c r="F11" s="54">
        <f>IF(OR(435794.05199="",47689.46772="",57991.42218=""),"-",(57991.42218-47689.46772)/435794.05199*100)</f>
        <v>2.3639502221192306</v>
      </c>
      <c r="G11" s="54">
        <f>IF(OR(475663.92916="",44871.19236="",57991.42218=""),"-",(44871.19236-57991.42218)/475663.92916*100)</f>
        <v>-2.7582982470774495</v>
      </c>
    </row>
    <row r="12" spans="1:7" s="16" customFormat="1" ht="15.75">
      <c r="A12" s="41" t="s">
        <v>5</v>
      </c>
      <c r="B12" s="54">
        <f>IF(20320.25712="","-",20320.25712)</f>
        <v>20320.25712</v>
      </c>
      <c r="C12" s="54">
        <f>IF(OR(16849.0360199999="",20320.25712=""),"-",20320.25712/16849.0360199999*100)</f>
        <v>120.60189731851565</v>
      </c>
      <c r="D12" s="54">
        <f>IF(16849.0360199999="","-",16849.0360199999/475663.92916*100)</f>
        <v>3.5422143633540815</v>
      </c>
      <c r="E12" s="54">
        <f>IF(20320.25712="","-",20320.25712/464782.89562*100)</f>
        <v>4.371989010674255</v>
      </c>
      <c r="F12" s="54">
        <f>IF(OR(435794.05199="",14146.86786="",16849.0360199999=""),"-",(16849.0360199999-14146.86786)/435794.05199*100)</f>
        <v>0.6200562278582697</v>
      </c>
      <c r="G12" s="54">
        <f>IF(OR(475663.92916="",20320.25712="",16849.0360199999=""),"-",(20320.25712-16849.0360199999)/475663.92916*100)</f>
        <v>0.729763365939921</v>
      </c>
    </row>
    <row r="13" spans="1:7" s="16" customFormat="1" ht="15.75">
      <c r="A13" s="41" t="s">
        <v>7</v>
      </c>
      <c r="B13" s="54">
        <f>IF(16109.71497="","-",16109.71497)</f>
        <v>16109.71497</v>
      </c>
      <c r="C13" s="54" t="s">
        <v>20</v>
      </c>
      <c r="D13" s="54">
        <f>IF(7978.21117="","-",7978.21117/475663.92916*100)</f>
        <v>1.6772789948754665</v>
      </c>
      <c r="E13" s="54">
        <f>IF(16109.71497="","-",16109.71497/464782.89562*100)</f>
        <v>3.4660731110834764</v>
      </c>
      <c r="F13" s="54">
        <f>IF(OR(435794.05199="",6236.84933="",7978.21117=""),"-",(7978.21117-6236.84933)/435794.05199*100)</f>
        <v>0.3995836639000199</v>
      </c>
      <c r="G13" s="54">
        <f>IF(OR(475663.92916="",16109.71497="",7978.21117=""),"-",(16109.71497-7978.21117)/475663.92916*100)</f>
        <v>1.7095060822374848</v>
      </c>
    </row>
    <row r="14" spans="1:7" s="16" customFormat="1" ht="15.75">
      <c r="A14" s="41" t="s">
        <v>6</v>
      </c>
      <c r="B14" s="54">
        <f>IF(10354.20923="","-",10354.20923)</f>
        <v>10354.20923</v>
      </c>
      <c r="C14" s="54" t="s">
        <v>156</v>
      </c>
      <c r="D14" s="54">
        <f>IF(6247.67522="","-",6247.67522/475663.92916*100)</f>
        <v>1.31346415756879</v>
      </c>
      <c r="E14" s="54">
        <f>IF(10354.20923="","-",10354.20923/464782.89562*100)</f>
        <v>2.2277517799332824</v>
      </c>
      <c r="F14" s="54">
        <f>IF(OR(435794.05199="",9343.96284="",6247.67522=""),"-",(6247.67522-9343.96284)/435794.05199*100)</f>
        <v>-0.7104933180848116</v>
      </c>
      <c r="G14" s="54">
        <f>IF(OR(475663.92916="",10354.20923="",6247.67522=""),"-",(10354.20923-6247.67522)/475663.92916*100)</f>
        <v>0.8633267646028878</v>
      </c>
    </row>
    <row r="15" spans="1:7" s="16" customFormat="1" ht="15.75">
      <c r="A15" s="41" t="s">
        <v>89</v>
      </c>
      <c r="B15" s="54">
        <f>IF(9853.51103="","-",9853.51103)</f>
        <v>9853.51103</v>
      </c>
      <c r="C15" s="54">
        <f>IF(OR(6725.0276="",9853.51103=""),"-",9853.51103/6725.0276*100)</f>
        <v>146.5200087803357</v>
      </c>
      <c r="D15" s="54">
        <f>IF(6725.0276="","-",6725.0276/475663.92916*100)</f>
        <v>1.4138191247497116</v>
      </c>
      <c r="E15" s="54">
        <f>IF(9853.51103="","-",9853.51103/464782.89562*100)</f>
        <v>2.1200244507397046</v>
      </c>
      <c r="F15" s="54">
        <f>IF(OR(435794.05199="",10242.00963="",6725.0276=""),"-",(6725.0276-10242.00963)/435794.05199*100)</f>
        <v>-0.8070284607924623</v>
      </c>
      <c r="G15" s="54">
        <f>IF(OR(475663.92916="",9853.51103="",6725.0276=""),"-",(9853.51103-6725.0276)/475663.92916*100)</f>
        <v>0.6577087809716312</v>
      </c>
    </row>
    <row r="16" spans="1:7" s="16" customFormat="1" ht="15.75">
      <c r="A16" s="41" t="s">
        <v>192</v>
      </c>
      <c r="B16" s="54">
        <f>IF(9241.62246="","-",9241.62246)</f>
        <v>9241.62246</v>
      </c>
      <c r="C16" s="54">
        <f>IF(OR(7456.19019="",9241.62246=""),"-",9241.62246/7456.19019*100)</f>
        <v>123.9456374435642</v>
      </c>
      <c r="D16" s="54">
        <f>IF(7456.19019="","-",7456.19019/475663.92916*100)</f>
        <v>1.5675332378402709</v>
      </c>
      <c r="E16" s="54">
        <f>IF(9241.62246="","-",9241.62246/464782.89562*100)</f>
        <v>1.9883740445465579</v>
      </c>
      <c r="F16" s="54">
        <f>IF(OR(435794.05199="",9012.11748="",7456.19019=""),"-",(7456.19019-9012.11748)/435794.05199*100)</f>
        <v>-0.3570327045298231</v>
      </c>
      <c r="G16" s="54">
        <f>IF(OR(475663.92916="",9241.62246="",7456.19019=""),"-",(9241.62246-7456.19019)/475663.92916*100)</f>
        <v>0.375355825940594</v>
      </c>
    </row>
    <row r="17" spans="1:7" s="18" customFormat="1" ht="25.5">
      <c r="A17" s="41" t="s">
        <v>191</v>
      </c>
      <c r="B17" s="54">
        <f>IF(8220.90733="","-",8220.90733)</f>
        <v>8220.90733</v>
      </c>
      <c r="C17" s="54">
        <f>IF(OR(7607.37641="",8220.90733=""),"-",8220.90733/7607.37641*100)</f>
        <v>108.06494758420926</v>
      </c>
      <c r="D17" s="54">
        <f>IF(7607.37641="","-",7607.37641/475663.92916*100)</f>
        <v>1.5993174894371889</v>
      </c>
      <c r="E17" s="54">
        <f>IF(8220.90733="","-",8220.90733/464782.89562*100)</f>
        <v>1.7687628799320745</v>
      </c>
      <c r="F17" s="54">
        <f>IF(OR(435794.05199="",19406.63131="",7607.37641=""),"-",(7607.37641-19406.63131)/435794.05199*100)</f>
        <v>-2.7075300468467045</v>
      </c>
      <c r="G17" s="54">
        <f>IF(OR(475663.92916="",8220.90733="",7607.37641=""),"-",(8220.90733-7607.37641)/475663.92916*100)</f>
        <v>0.12898411722820075</v>
      </c>
    </row>
    <row r="18" spans="1:7" s="16" customFormat="1" ht="15.75">
      <c r="A18" s="41" t="s">
        <v>9</v>
      </c>
      <c r="B18" s="54">
        <f>IF(8052.92152="","-",8052.92152)</f>
        <v>8052.92152</v>
      </c>
      <c r="C18" s="54">
        <f>IF(OR(6194.48905="",8052.92152=""),"-",8052.92152/6194.48905*100)</f>
        <v>130.00138437568148</v>
      </c>
      <c r="D18" s="54">
        <f>IF(6194.48905="","-",6194.48905/475663.92916*100)</f>
        <v>1.3022826979836741</v>
      </c>
      <c r="E18" s="54">
        <f>IF(8052.92152="","-",8052.92152/464782.89562*100)</f>
        <v>1.732620024507949</v>
      </c>
      <c r="F18" s="54">
        <f>IF(OR(435794.05199="",8192.50424="",6194.48905=""),"-",(6194.48905-8192.50424)/435794.05199*100)</f>
        <v>-0.4584769298425046</v>
      </c>
      <c r="G18" s="54">
        <f>IF(OR(475663.92916="",8052.92152="",6194.48905=""),"-",(8052.92152-6194.48905)/475663.92916*100)</f>
        <v>0.3907028378800771</v>
      </c>
    </row>
    <row r="19" spans="1:7" s="16" customFormat="1" ht="15.75">
      <c r="A19" s="41" t="s">
        <v>10</v>
      </c>
      <c r="B19" s="54">
        <f>IF(5609.82176="","-",5609.82176)</f>
        <v>5609.82176</v>
      </c>
      <c r="C19" s="54">
        <f>IF(OR(6809.35646="",5609.82176=""),"-",5609.82176/6809.35646*100)</f>
        <v>82.38402252773238</v>
      </c>
      <c r="D19" s="54">
        <f>IF(6809.35646="","-",6809.35646/475663.92916*100)</f>
        <v>1.4315477887980705</v>
      </c>
      <c r="E19" s="54">
        <f>IF(5609.82176="","-",5609.82176/464782.89562*100)</f>
        <v>1.2069768084982437</v>
      </c>
      <c r="F19" s="54">
        <f>IF(OR(435794.05199="",7372.49789="",6809.35646=""),"-",(6809.35646-7372.49789)/435794.05199*100)</f>
        <v>-0.12922191742371966</v>
      </c>
      <c r="G19" s="54">
        <f>IF(OR(475663.92916="",5609.82176="",6809.35646=""),"-",(5609.82176-6809.35646)/475663.92916*100)</f>
        <v>-0.2521811359794134</v>
      </c>
    </row>
    <row r="20" spans="1:7" s="16" customFormat="1" ht="15.75">
      <c r="A20" s="41" t="s">
        <v>8</v>
      </c>
      <c r="B20" s="54">
        <f>IF(5203.31296="","-",5203.31296)</f>
        <v>5203.31296</v>
      </c>
      <c r="C20" s="54">
        <f>IF(OR(5721.29706="",5203.31296=""),"-",5203.31296/5721.29706*100)</f>
        <v>90.94638690199388</v>
      </c>
      <c r="D20" s="54">
        <f>IF(5721.29706="","-",5721.29706/475663.92916*100)</f>
        <v>1.2028023798448497</v>
      </c>
      <c r="E20" s="54">
        <f>IF(5203.31296="","-",5203.31296/464782.89562*100)</f>
        <v>1.1195147259149905</v>
      </c>
      <c r="F20" s="54">
        <f>IF(OR(435794.05199="",6967.05772="",5721.29706=""),"-",(5721.29706-6967.05772)/435794.05199*100)</f>
        <v>-0.2858599502015658</v>
      </c>
      <c r="G20" s="54">
        <f>IF(OR(475663.92916="",5203.31296="",5721.29706=""),"-",(5203.31296-5721.29706)/475663.92916*100)</f>
        <v>-0.10889707380476277</v>
      </c>
    </row>
    <row r="21" spans="1:7" s="16" customFormat="1" ht="15.75">
      <c r="A21" s="41" t="s">
        <v>100</v>
      </c>
      <c r="B21" s="54">
        <f>IF(4514.94353="","-",4514.94353)</f>
        <v>4514.94353</v>
      </c>
      <c r="C21" s="54" t="s">
        <v>229</v>
      </c>
      <c r="D21" s="54">
        <f>IF(19.59225="","-",19.59225/475663.92916*100)</f>
        <v>0.004118926998437528</v>
      </c>
      <c r="E21" s="54">
        <f>IF(4514.94353="","-",4514.94353/464782.89562*100)</f>
        <v>0.9714091401701137</v>
      </c>
      <c r="F21" s="54">
        <f>IF(OR(435794.05199="",10.68725="",19.59225=""),"-",(19.59225-10.68725)/435794.05199*100)</f>
        <v>0.0020433964069349756</v>
      </c>
      <c r="G21" s="54">
        <f>IF(OR(475663.92916="",4514.94353="",19.59225=""),"-",(4514.94353-19.59225)/475663.92916*100)</f>
        <v>0.945068777432541</v>
      </c>
    </row>
    <row r="22" spans="1:9" s="16" customFormat="1" ht="15.75">
      <c r="A22" s="41" t="s">
        <v>96</v>
      </c>
      <c r="B22" s="54">
        <f>IF(3270.34122="","-",3270.34122)</f>
        <v>3270.34122</v>
      </c>
      <c r="C22" s="54">
        <f>IF(OR(4203.81576="",3270.34122=""),"-",3270.34122/4203.81576*100)</f>
        <v>77.79458964681172</v>
      </c>
      <c r="D22" s="54">
        <f>IF(4203.81576="","-",4203.81576/475663.92916*100)</f>
        <v>0.8837785466355922</v>
      </c>
      <c r="E22" s="54">
        <f>IF(3270.34122="","-",3270.34122/464782.89562*100)</f>
        <v>0.7036277046377767</v>
      </c>
      <c r="F22" s="54">
        <f>IF(OR(435794.05199="",102.90893="",4203.81576=""),"-",(4203.81576-102.90893)/435794.05199*100)</f>
        <v>0.941019458910399</v>
      </c>
      <c r="G22" s="54">
        <f>IF(OR(475663.92916="",3270.34122="",4203.81576=""),"-",(3270.34122-4203.81576)/475663.92916*100)</f>
        <v>-0.1962466528938767</v>
      </c>
      <c r="I22" s="16" t="s">
        <v>185</v>
      </c>
    </row>
    <row r="23" spans="1:7" s="16" customFormat="1" ht="15.75">
      <c r="A23" s="41" t="s">
        <v>91</v>
      </c>
      <c r="B23" s="54">
        <f>IF(3184.15928="","-",3184.15928)</f>
        <v>3184.15928</v>
      </c>
      <c r="C23" s="54" t="s">
        <v>230</v>
      </c>
      <c r="D23" s="54">
        <f>IF(1018.59827="","-",1018.59827/475663.92916*100)</f>
        <v>0.2141424244211236</v>
      </c>
      <c r="E23" s="54">
        <f>IF(3184.15928="","-",3184.15928/464782.89562*100)</f>
        <v>0.6850852968142193</v>
      </c>
      <c r="F23" s="54">
        <f>IF(OR(435794.05199="",1182.22269="",1018.59827=""),"-",(1018.59827-1182.22269)/435794.05199*100)</f>
        <v>-0.037546271972467106</v>
      </c>
      <c r="G23" s="54">
        <f>IF(OR(475663.92916="",3184.15928="",1018.59827=""),"-",(3184.15928-1018.59827)/475663.92916*100)</f>
        <v>0.45527122769731104</v>
      </c>
    </row>
    <row r="24" spans="1:7" s="9" customFormat="1" ht="15.75">
      <c r="A24" s="41" t="s">
        <v>93</v>
      </c>
      <c r="B24" s="54">
        <f>IF(2006.3504="","-",2006.3504)</f>
        <v>2006.3504</v>
      </c>
      <c r="C24" s="54">
        <f>IF(OR(1667.12894="",2006.3504=""),"-",2006.3504/1667.12894*100)</f>
        <v>120.3476438960984</v>
      </c>
      <c r="D24" s="54">
        <f>IF(1667.12894="","-",1667.12894/475663.92916*100)</f>
        <v>0.3504846253412721</v>
      </c>
      <c r="E24" s="54">
        <f>IF(2006.3504="","-",2006.3504/464782.89562*100)</f>
        <v>0.43167474941684686</v>
      </c>
      <c r="F24" s="54">
        <f>IF(OR(435794.05199="",1866.39971="",1667.12894=""),"-",(1667.12894-1866.39971)/435794.05199*100)</f>
        <v>-0.04572590403426902</v>
      </c>
      <c r="G24" s="54">
        <f>IF(OR(475663.92916="",2006.3504="",1667.12894=""),"-",(2006.3504-1667.12894)/475663.92916*100)</f>
        <v>0.0713153634750167</v>
      </c>
    </row>
    <row r="25" spans="1:7" s="9" customFormat="1" ht="15.75">
      <c r="A25" s="41" t="s">
        <v>90</v>
      </c>
      <c r="B25" s="54">
        <f>IF(1773.43127="","-",1773.43127)</f>
        <v>1773.43127</v>
      </c>
      <c r="C25" s="54">
        <f>IF(OR(2580.53296="",1773.43127=""),"-",1773.43127/2580.53296*100)</f>
        <v>68.72344967064478</v>
      </c>
      <c r="D25" s="54">
        <f>IF(2580.53296="","-",2580.53296/475663.92916*100)</f>
        <v>0.5425118033560163</v>
      </c>
      <c r="E25" s="54">
        <f>IF(1773.43127="","-",1773.43127/464782.89562*100)</f>
        <v>0.3815612163684123</v>
      </c>
      <c r="F25" s="54">
        <f>IF(OR(435794.05199="",2643.67995="",2580.53296=""),"-",(2580.53296-2643.67995)/435794.05199*100)</f>
        <v>-0.01449009909879385</v>
      </c>
      <c r="G25" s="54">
        <f>IF(OR(475663.92916="",1773.43127="",2580.53296=""),"-",(1773.43127-2580.53296)/475663.92916*100)</f>
        <v>-0.16967897721933706</v>
      </c>
    </row>
    <row r="26" spans="1:7" s="16" customFormat="1" ht="15.75">
      <c r="A26" s="41" t="s">
        <v>92</v>
      </c>
      <c r="B26" s="54">
        <f>IF(1188.09688="","-",1188.09688)</f>
        <v>1188.09688</v>
      </c>
      <c r="C26" s="54">
        <f>IF(OR(1524.37549="",1188.09688=""),"-",1188.09688/1524.37549*100)</f>
        <v>77.93990967409219</v>
      </c>
      <c r="D26" s="54">
        <f>IF(1524.37549="","-",1524.37549/475663.92916*100)</f>
        <v>0.32047321576222415</v>
      </c>
      <c r="E26" s="54">
        <f>IF(1188.09688="","-",1188.09688/464782.89562*100)</f>
        <v>0.25562405398226434</v>
      </c>
      <c r="F26" s="54">
        <f>IF(OR(435794.05199="",1460.72075="",1524.37549=""),"-",(1524.37549-1460.72075)/435794.05199*100)</f>
        <v>0.014606610555910159</v>
      </c>
      <c r="G26" s="54">
        <f>IF(OR(475663.92916="",1188.09688="",1524.37549=""),"-",(1188.09688-1524.37549)/475663.92916*100)</f>
        <v>-0.0706966808674881</v>
      </c>
    </row>
    <row r="27" spans="1:7" s="16" customFormat="1" ht="15.75">
      <c r="A27" s="41" t="s">
        <v>95</v>
      </c>
      <c r="B27" s="54">
        <f>IF(1149.62103="","-",1149.62103)</f>
        <v>1149.62103</v>
      </c>
      <c r="C27" s="54" t="s">
        <v>231</v>
      </c>
      <c r="D27" s="54">
        <f>IF(452.83576="","-",452.83576/475663.92916*100)</f>
        <v>0.09520077774232041</v>
      </c>
      <c r="E27" s="54">
        <f>IF(1149.62103="","-",1149.62103/464782.89562*100)</f>
        <v>0.2473458126006242</v>
      </c>
      <c r="F27" s="54">
        <f>IF(OR(435794.05199="",784.29374="",452.83576=""),"-",(452.83576-784.29374)/435794.05199*100)</f>
        <v>-0.07605839925681358</v>
      </c>
      <c r="G27" s="54">
        <f>IF(OR(475663.92916="",1149.62103="",452.83576=""),"-",(1149.62103-452.83576)/475663.92916*100)</f>
        <v>0.14648688439135796</v>
      </c>
    </row>
    <row r="28" spans="1:7" s="9" customFormat="1" ht="15.75">
      <c r="A28" s="41" t="s">
        <v>94</v>
      </c>
      <c r="B28" s="54">
        <f>IF(655.4969="","-",655.4969)</f>
        <v>655.4969</v>
      </c>
      <c r="C28" s="54">
        <f>IF(OR(1197.91967="",655.4969=""),"-",655.4969/1197.91967*100)</f>
        <v>54.71960402820667</v>
      </c>
      <c r="D28" s="54">
        <f>IF(1197.91967="","-",1197.91967/475663.92916*100)</f>
        <v>0.25184160424261504</v>
      </c>
      <c r="E28" s="54">
        <f>IF(655.4969="","-",655.4969/464782.89562*100)</f>
        <v>0.1410329222906527</v>
      </c>
      <c r="F28" s="54">
        <f>IF(OR(435794.05199="",1012.06542="",1197.91967=""),"-",(1197.91967-1012.06542)/435794.05199*100)</f>
        <v>0.042647266329432304</v>
      </c>
      <c r="G28" s="54">
        <f>IF(OR(475663.92916="",655.4969="",1197.91967=""),"-",(655.4969-1197.91967)/475663.92916*100)</f>
        <v>-0.11403487562277279</v>
      </c>
    </row>
    <row r="29" spans="1:7" s="9" customFormat="1" ht="15.75">
      <c r="A29" s="41" t="s">
        <v>98</v>
      </c>
      <c r="B29" s="54">
        <f>IF(194.40132="","-",194.40132)</f>
        <v>194.40132</v>
      </c>
      <c r="C29" s="54">
        <f>IF(OR(133.133="",194.40132=""),"-",194.40132/133.133*100)</f>
        <v>146.02038562940817</v>
      </c>
      <c r="D29" s="54">
        <f>IF(133.133="","-",133.133/475663.92916*100)</f>
        <v>0.02798887866799288</v>
      </c>
      <c r="E29" s="54">
        <f>IF(194.40132="","-",194.40132/464782.89562*100)</f>
        <v>0.04182626379584755</v>
      </c>
      <c r="F29" s="54">
        <f>IF(OR(435794.05199="",1.63235="",133.133=""),"-",(133.133-1.63235)/435794.05199*100)</f>
        <v>0.030174952916295766</v>
      </c>
      <c r="G29" s="54">
        <f>IF(OR(475663.92916="",194.40132="",133.133=""),"-",(194.40132-133.133)/475663.92916*100)</f>
        <v>0.012880589896357486</v>
      </c>
    </row>
    <row r="30" spans="1:7" s="9" customFormat="1" ht="15.75">
      <c r="A30" s="41" t="s">
        <v>193</v>
      </c>
      <c r="B30" s="54">
        <f>IF(153.94229="","-",153.94229)</f>
        <v>153.94229</v>
      </c>
      <c r="C30" s="54" t="s">
        <v>155</v>
      </c>
      <c r="D30" s="54">
        <f>IF(85.99316="","-",85.99316/475663.92916*100)</f>
        <v>0.018078553938672595</v>
      </c>
      <c r="E30" s="54">
        <f>IF(153.94229="","-",153.94229/464782.89562*100)</f>
        <v>0.03312133287406107</v>
      </c>
      <c r="F30" s="54">
        <f>IF(OR(435794.05199="",124.59162="",85.99316=""),"-",(85.99316-124.59162)/435794.05199*100)</f>
        <v>-0.00885704149098522</v>
      </c>
      <c r="G30" s="54">
        <f>IF(OR(475663.92916="",153.94229="",85.99316=""),"-",(153.94229-85.99316)/475663.92916*100)</f>
        <v>0.01428511304609432</v>
      </c>
    </row>
    <row r="31" spans="1:7" s="9" customFormat="1" ht="15.75">
      <c r="A31" s="41" t="s">
        <v>97</v>
      </c>
      <c r="B31" s="54">
        <f>IF(149.35023="","-",149.35023)</f>
        <v>149.35023</v>
      </c>
      <c r="C31" s="54">
        <f>IF(OR(141.60971="",149.35023=""),"-",149.35023/141.60971*100)</f>
        <v>105.46609409764345</v>
      </c>
      <c r="D31" s="54">
        <f>IF(141.60971="","-",141.60971/475663.92916*100)</f>
        <v>0.029770958300343705</v>
      </c>
      <c r="E31" s="54">
        <f>IF(149.35023="","-",149.35023/464782.89562*100)</f>
        <v>0.03213333180016733</v>
      </c>
      <c r="F31" s="54">
        <f>IF(OR(435794.05199="",549.89909="",141.60971=""),"-",(141.60971-549.89909)/435794.05199*100)</f>
        <v>-0.09368860775763155</v>
      </c>
      <c r="G31" s="54">
        <f>IF(OR(475663.92916="",149.35023="",141.60971=""),"-",(149.35023-141.60971)/475663.92916*100)</f>
        <v>0.0016273085944669792</v>
      </c>
    </row>
    <row r="32" spans="1:7" s="9" customFormat="1" ht="15.75">
      <c r="A32" s="41" t="s">
        <v>99</v>
      </c>
      <c r="B32" s="54">
        <f>IF(104.10859="","-",104.10859)</f>
        <v>104.10859</v>
      </c>
      <c r="C32" s="54" t="s">
        <v>157</v>
      </c>
      <c r="D32" s="54">
        <f>IF(64.84103="","-",64.84103/475663.92916*100)</f>
        <v>0.01363168952384222</v>
      </c>
      <c r="E32" s="54">
        <f>IF(104.10859="","-",104.10859/464782.89562*100)</f>
        <v>0.022399402168430428</v>
      </c>
      <c r="F32" s="54">
        <f>IF(OR(435794.05199="",155.59583="",64.84103=""),"-",(64.84103-155.59583)/435794.05199*100)</f>
        <v>-0.020825158027187235</v>
      </c>
      <c r="G32" s="54">
        <f>IF(OR(475663.92916="",104.10859="",64.84103=""),"-",(104.10859-64.84103)/475663.92916*100)</f>
        <v>0.008255315905358782</v>
      </c>
    </row>
    <row r="33" spans="1:7" s="9" customFormat="1" ht="15.75">
      <c r="A33" s="41" t="s">
        <v>102</v>
      </c>
      <c r="B33" s="54">
        <f>IF(72.95247="","-",72.95247)</f>
        <v>72.95247</v>
      </c>
      <c r="C33" s="54" t="s">
        <v>232</v>
      </c>
      <c r="D33" s="54">
        <f>IF(4.47867="","-",4.47867/475663.92916*100)</f>
        <v>0.0009415618308306706</v>
      </c>
      <c r="E33" s="54">
        <f>IF(72.95247="","-",72.95247/464782.89562*100)</f>
        <v>0.01569603156387341</v>
      </c>
      <c r="F33" s="54">
        <f>IF(OR(435794.05199="",310.00079="",4.47867=""),"-",(4.47867-310.00079)/435794.05199*100)</f>
        <v>-0.07010699632197152</v>
      </c>
      <c r="G33" s="54">
        <f>IF(OR(475663.92916="",72.95247="",4.47867=""),"-",(72.95247-4.47867)/475663.92916*100)</f>
        <v>0.014395415713132064</v>
      </c>
    </row>
    <row r="34" spans="1:7" s="9" customFormat="1" ht="15.75">
      <c r="A34" s="41" t="s">
        <v>103</v>
      </c>
      <c r="B34" s="54">
        <f>IF(25.65794="","-",25.65794)</f>
        <v>25.65794</v>
      </c>
      <c r="C34" s="54">
        <f>IF(OR(30.57552="",25.65794=""),"-",25.65794/30.57552*100)</f>
        <v>83.91661041251301</v>
      </c>
      <c r="D34" s="54">
        <f>IF(30.57552="","-",30.57552/475663.92916*100)</f>
        <v>0.006427966916472923</v>
      </c>
      <c r="E34" s="54">
        <f>IF(25.65794="","-",25.65794/464782.89562*100)</f>
        <v>0.00552041399152037</v>
      </c>
      <c r="F34" s="54" t="str">
        <f>IF(OR(435794.05199="",""="",30.57552=""),"-",(30.57552-"")/435794.05199*100)</f>
        <v>-</v>
      </c>
      <c r="G34" s="54">
        <f>IF(OR(475663.92916="",25.65794="",30.57552=""),"-",(25.65794-30.57552)/475663.92916*100)</f>
        <v>-0.0010338349617311144</v>
      </c>
    </row>
    <row r="35" spans="1:7" s="9" customFormat="1" ht="15.75">
      <c r="A35" s="41" t="s">
        <v>101</v>
      </c>
      <c r="B35" s="54">
        <f>IF(25.06537="","-",25.06537)</f>
        <v>25.06537</v>
      </c>
      <c r="C35" s="54" t="s">
        <v>233</v>
      </c>
      <c r="D35" s="54">
        <f>IF(6.61457="","-",6.61457/475663.92916*100)</f>
        <v>0.0013905973513024241</v>
      </c>
      <c r="E35" s="54">
        <f>IF(25.06537="","-",25.06537/464782.89562*100)</f>
        <v>0.005392920057129877</v>
      </c>
      <c r="F35" s="54" t="str">
        <f>IF(OR(435794.05199="",""="",6.61457=""),"-",(6.61457-"")/435794.05199*100)</f>
        <v>-</v>
      </c>
      <c r="G35" s="54">
        <f>IF(OR(475663.92916="",25.06537="",6.61457=""),"-",(25.06537-6.61457)/475663.92916*100)</f>
        <v>0.0038789571520765178</v>
      </c>
    </row>
    <row r="36" spans="1:7" s="9" customFormat="1" ht="14.25" customHeight="1">
      <c r="A36" s="39" t="s">
        <v>194</v>
      </c>
      <c r="B36" s="53">
        <f>IF(59896.35018="","-",59896.35018)</f>
        <v>59896.35018</v>
      </c>
      <c r="C36" s="53">
        <f>IF(64729.50993="","-",59896.35018/64729.50993*100)</f>
        <v>92.53329778762934</v>
      </c>
      <c r="D36" s="53">
        <f>IF(64729.50993="","-",64729.50993/475663.92916*100)</f>
        <v>13.608244384708602</v>
      </c>
      <c r="E36" s="53">
        <f>IF(59896.35018="","-",59896.35018/464782.89562*100)</f>
        <v>12.88695232644069</v>
      </c>
      <c r="F36" s="53">
        <f>IF(435794.05199="","-",(64729.50993-70745.77557)/435794.05199*100)</f>
        <v>-1.3805295442944803</v>
      </c>
      <c r="G36" s="53">
        <f>IF(475663.92916="","-",(59896.35018-64729.50993)/475663.92916*100)</f>
        <v>-1.0160870845378438</v>
      </c>
    </row>
    <row r="37" spans="1:7" s="17" customFormat="1" ht="14.25" customHeight="1">
      <c r="A37" s="41" t="s">
        <v>195</v>
      </c>
      <c r="B37" s="54">
        <f>IF(33223.298="","-",33223.298)</f>
        <v>33223.298</v>
      </c>
      <c r="C37" s="54">
        <f>IF(OR(37637.32979="",33223.298=""),"-",33223.298/37637.32979*100)</f>
        <v>88.27219727162266</v>
      </c>
      <c r="D37" s="54">
        <f>IF(37637.32979="","-",37637.32979/475663.92916*100)</f>
        <v>7.912588590954489</v>
      </c>
      <c r="E37" s="54">
        <f>IF(33223.298="","-",33223.298/464782.89562*100)</f>
        <v>7.148132668626193</v>
      </c>
      <c r="F37" s="54">
        <f>IF(OR(435794.05199="",40613.68444="",37637.32979=""),"-",(37637.32979-40613.68444)/435794.05199*100)</f>
        <v>-0.682972756605749</v>
      </c>
      <c r="G37" s="54">
        <f>IF(OR(475663.92916="",33223.298="",37637.32979=""),"-",(33223.298-37637.32979)/475663.92916*100)</f>
        <v>-0.9279727806552354</v>
      </c>
    </row>
    <row r="38" spans="1:7" s="17" customFormat="1" ht="14.25" customHeight="1">
      <c r="A38" s="41" t="s">
        <v>12</v>
      </c>
      <c r="B38" s="54">
        <f>IF(12112.66953="","-",12112.66953)</f>
        <v>12112.66953</v>
      </c>
      <c r="C38" s="54">
        <f>IF(OR(10834.85249="",12112.66953=""),"-",12112.66953/10834.85249*100)</f>
        <v>111.79358040341904</v>
      </c>
      <c r="D38" s="54">
        <f>IF(10834.85249="","-",10834.85249/475663.92916*100)</f>
        <v>2.277837739164674</v>
      </c>
      <c r="E38" s="54">
        <f>IF(12112.66953="","-",12112.66953/464782.89562*100)</f>
        <v>2.6060919289730378</v>
      </c>
      <c r="F38" s="54">
        <f>IF(OR(435794.05199="",11039.44837="",10834.85249=""),"-",(10834.85249-11039.44837)/435794.05199*100)</f>
        <v>-0.04694783672832128</v>
      </c>
      <c r="G38" s="54">
        <f>IF(OR(475663.92916="",12112.66953="",10834.85249=""),"-",(12112.66953-10834.85249)/475663.92916*100)</f>
        <v>0.2686386252278083</v>
      </c>
    </row>
    <row r="39" spans="1:7" s="17" customFormat="1" ht="14.25" customHeight="1">
      <c r="A39" s="41" t="s">
        <v>11</v>
      </c>
      <c r="B39" s="54">
        <f>IF(10768.93199="","-",10768.93199)</f>
        <v>10768.93199</v>
      </c>
      <c r="C39" s="54">
        <f>IF(OR(14286.81155="",10768.93199=""),"-",10768.93199/14286.81155*100)</f>
        <v>75.3767343560992</v>
      </c>
      <c r="D39" s="54">
        <f>IF(14286.81155="","-",14286.81155/475663.92916*100)</f>
        <v>3.003551598968169</v>
      </c>
      <c r="E39" s="54">
        <f>IF(10768.93199="","-",10768.93199/464782.89562*100)</f>
        <v>2.3169811306491206</v>
      </c>
      <c r="F39" s="54">
        <f>IF(OR(435794.05199="",15720.23514="",14286.81155=""),"-",(14286.81155-15720.23514)/435794.05199*100)</f>
        <v>-0.32892224743647774</v>
      </c>
      <c r="G39" s="54">
        <f>IF(OR(475663.92916="",10768.93199="",14286.81155=""),"-",(10768.93199-14286.81155)/475663.92916*100)</f>
        <v>-0.7395724889655624</v>
      </c>
    </row>
    <row r="40" spans="1:7" s="15" customFormat="1" ht="14.25" customHeight="1">
      <c r="A40" s="41" t="s">
        <v>13</v>
      </c>
      <c r="B40" s="54">
        <f>IF(2286.38216="","-",2286.38216)</f>
        <v>2286.38216</v>
      </c>
      <c r="C40" s="54" t="s">
        <v>203</v>
      </c>
      <c r="D40" s="54">
        <f>IF(751.72265="","-",751.72265/475663.92916*100)</f>
        <v>0.1580365051702589</v>
      </c>
      <c r="E40" s="54">
        <f>IF(2286.38216="","-",2286.38216/464782.89562*100)</f>
        <v>0.49192476348555525</v>
      </c>
      <c r="F40" s="54">
        <f>IF(OR(435794.05199="",1732.12305="",751.72265=""),"-",(751.72265-1732.12305)/435794.05199*100)</f>
        <v>-0.2249687428093894</v>
      </c>
      <c r="G40" s="54">
        <f>IF(OR(475663.92916="",2286.38216="",751.72265=""),"-",(2286.38216-751.72265)/475663.92916*100)</f>
        <v>0.3226352506296065</v>
      </c>
    </row>
    <row r="41" spans="1:7" s="17" customFormat="1" ht="14.25" customHeight="1">
      <c r="A41" s="41" t="s">
        <v>14</v>
      </c>
      <c r="B41" s="54">
        <f>IF(605.20225="","-",605.20225)</f>
        <v>605.20225</v>
      </c>
      <c r="C41" s="54">
        <f>IF(OR(414.47334="",605.20225=""),"-",605.20225/414.47334*100)</f>
        <v>146.0171720574356</v>
      </c>
      <c r="D41" s="54">
        <f>IF(414.47334="","-",414.47334/475663.92916*100)</f>
        <v>0.08713575164968686</v>
      </c>
      <c r="E41" s="54">
        <f>IF(605.20225="","-",605.20225/464782.89562*100)</f>
        <v>0.13021181624867814</v>
      </c>
      <c r="F41" s="54">
        <f>IF(OR(435794.05199="",808.28391="",414.47334=""),"-",(414.47334-808.28391)/435794.05199*100)</f>
        <v>-0.09036621041561085</v>
      </c>
      <c r="G41" s="54">
        <f>IF(OR(475663.92916="",605.20225="",414.47334=""),"-",(605.20225-414.47334)/475663.92916*100)</f>
        <v>0.04009740876017617</v>
      </c>
    </row>
    <row r="42" spans="1:7" s="15" customFormat="1" ht="14.25" customHeight="1">
      <c r="A42" s="41" t="s">
        <v>15</v>
      </c>
      <c r="B42" s="54">
        <f>IF(579.28494="","-",579.28494)</f>
        <v>579.28494</v>
      </c>
      <c r="C42" s="54">
        <f>IF(OR(452.23268="",579.28494=""),"-",579.28494/452.23268*100)</f>
        <v>128.09444465623315</v>
      </c>
      <c r="D42" s="54">
        <f>IF(452.23268="","-",452.23268/475663.92916*100)</f>
        <v>0.09507399074775788</v>
      </c>
      <c r="E42" s="54">
        <f>IF(579.28494="","-",579.28494/464782.89562*100)</f>
        <v>0.12463559770788452</v>
      </c>
      <c r="F42" s="54">
        <f>IF(OR(435794.05199="",300.9674="",452.23268=""),"-",(452.23268-300.9674)/435794.05199*100)</f>
        <v>0.03471026722582966</v>
      </c>
      <c r="G42" s="54">
        <f>IF(OR(475663.92916="",579.28494="",452.23268=""),"-",(579.28494-452.23268)/475663.92916*100)</f>
        <v>0.02671050971310107</v>
      </c>
    </row>
    <row r="43" spans="1:7" s="15" customFormat="1" ht="14.25" customHeight="1">
      <c r="A43" s="41" t="s">
        <v>17</v>
      </c>
      <c r="B43" s="54">
        <f>IF(185.3358="","-",185.3358)</f>
        <v>185.3358</v>
      </c>
      <c r="C43" s="54">
        <f>IF(OR(135.26441="",185.3358=""),"-",185.3358/135.26441*100)</f>
        <v>137.0174164808023</v>
      </c>
      <c r="D43" s="54">
        <f>IF(135.26441="","-",135.26441/475663.92916*100)</f>
        <v>0.028436970244699978</v>
      </c>
      <c r="E43" s="54">
        <f>IF(185.3358="","-",185.3358/464782.89562*100)</f>
        <v>0.03987577893820085</v>
      </c>
      <c r="F43" s="54">
        <f>IF(OR(435794.05199="",304.44762="",135.26441=""),"-",(135.26441-304.44762)/435794.05199*100)</f>
        <v>-0.03882182632540431</v>
      </c>
      <c r="G43" s="54">
        <f>IF(OR(475663.92916="",185.3358="",135.26441=""),"-",(185.3358-135.26441)/475663.92916*100)</f>
        <v>0.01052663171000242</v>
      </c>
    </row>
    <row r="44" spans="1:7" s="15" customFormat="1" ht="14.25" customHeight="1">
      <c r="A44" s="41" t="s">
        <v>18</v>
      </c>
      <c r="B44" s="54">
        <f>IF(95.15689="","-",95.15689)</f>
        <v>95.15689</v>
      </c>
      <c r="C44" s="54" t="s">
        <v>157</v>
      </c>
      <c r="D44" s="54">
        <f>IF(59.17266="","-",59.17266/475663.92916*100)</f>
        <v>0.012440014130248665</v>
      </c>
      <c r="E44" s="54">
        <f>IF(95.15689="","-",95.15689/464782.89562*100)</f>
        <v>0.020473406163767038</v>
      </c>
      <c r="F44" s="54">
        <f>IF(OR(435794.05199="",94.22308="",59.17266=""),"-",(59.17266-94.22308)/435794.05199*100)</f>
        <v>-0.00804288627620009</v>
      </c>
      <c r="G44" s="54">
        <f>IF(OR(475663.92916="",95.15689="",59.17266=""),"-",(95.15689-59.17266)/475663.92916*100)</f>
        <v>0.007565053348389577</v>
      </c>
    </row>
    <row r="45" spans="1:7" s="15" customFormat="1" ht="14.25" customHeight="1">
      <c r="A45" s="41" t="s">
        <v>197</v>
      </c>
      <c r="B45" s="54">
        <f>IF(40.08862="","-",40.08862)</f>
        <v>40.08862</v>
      </c>
      <c r="C45" s="54">
        <f>IF(OR(110.97636="",40.08862=""),"-",40.08862/110.97636*100)</f>
        <v>36.12356721737855</v>
      </c>
      <c r="D45" s="54">
        <f>IF(110.97636="","-",110.97636/475663.92916*100)</f>
        <v>0.02333083364046103</v>
      </c>
      <c r="E45" s="54">
        <f>IF(40.08862="","-",40.08862/464782.89562*100)</f>
        <v>0.008625235648253264</v>
      </c>
      <c r="F45" s="54">
        <f>IF(OR(435794.05199="",76.41608="",110.97636=""),"-",(110.97636-76.41608)/435794.05199*100)</f>
        <v>0.007930415718659935</v>
      </c>
      <c r="G45" s="54">
        <f>IF(OR(475663.92916="",40.08862="",110.97636=""),"-",(40.08862-110.97636)/475663.92916*100)</f>
        <v>-0.014902904267974325</v>
      </c>
    </row>
    <row r="46" spans="1:7" s="9" customFormat="1" ht="15.75">
      <c r="A46" s="39" t="s">
        <v>198</v>
      </c>
      <c r="B46" s="53">
        <f>IF(86538.83524="","-",86538.83524)</f>
        <v>86538.83524</v>
      </c>
      <c r="C46" s="53">
        <f>IF(104357.65449="","-",86538.83524/104357.65449*100)</f>
        <v>82.92523980432362</v>
      </c>
      <c r="D46" s="53">
        <f>IF(104357.65449="","-",104357.65449/475663.92916*100)</f>
        <v>21.93936687070022</v>
      </c>
      <c r="E46" s="53">
        <f>IF(86538.83524="","-",86538.83524/464782.89562*100)</f>
        <v>18.619195339484467</v>
      </c>
      <c r="F46" s="53">
        <f>IF(435794.05199="","-",(104357.65449-72100.54926)/435794.05199*100)</f>
        <v>7.401914983167368</v>
      </c>
      <c r="G46" s="53">
        <f>IF(475663.92916="","-",(86538.83524-104357.65449)/475663.92916*100)</f>
        <v>-3.7460942816217306</v>
      </c>
    </row>
    <row r="47" spans="1:7" s="9" customFormat="1" ht="15.75">
      <c r="A47" s="41" t="s">
        <v>105</v>
      </c>
      <c r="B47" s="54">
        <f>IF(33490.1862="","-",33490.1862)</f>
        <v>33490.1862</v>
      </c>
      <c r="C47" s="54">
        <f>IF(OR(47631.72599="",33490.1862=""),"-",33490.1862/47631.72599*100)</f>
        <v>70.31067109982759</v>
      </c>
      <c r="D47" s="54">
        <f>IF(47631.72599="","-",47631.72599/475663.92916*100)</f>
        <v>10.013735133146499</v>
      </c>
      <c r="E47" s="54">
        <f>IF(33490.1862="","-",33490.1862/464782.89562*100)</f>
        <v>7.205554790334003</v>
      </c>
      <c r="F47" s="54">
        <f>IF(OR(435794.05199="",19142.23418="",47631.72599=""),"-",(47631.72599-19142.23418)/435794.05199*100)</f>
        <v>6.5373750926398</v>
      </c>
      <c r="G47" s="54">
        <f>IF(OR(475663.92916="",33490.1862="",47631.72599=""),"-",(33490.1862-47631.72599)/475663.92916*100)</f>
        <v>-2.9730107588719816</v>
      </c>
    </row>
    <row r="48" spans="1:7" s="16" customFormat="1" ht="15.75">
      <c r="A48" s="41" t="s">
        <v>199</v>
      </c>
      <c r="B48" s="54">
        <f>IF(18384.2268="","-",18384.2268)</f>
        <v>18384.2268</v>
      </c>
      <c r="C48" s="54">
        <f>IF(OR(15991.42065="",18384.2268=""),"-",18384.2268/15991.42065*100)</f>
        <v>114.96306177150058</v>
      </c>
      <c r="D48" s="54">
        <f>IF(15991.42065="","-",15991.42065/475663.92916*100)</f>
        <v>3.3619157707081326</v>
      </c>
      <c r="E48" s="54">
        <f>IF(18384.2268="","-",18384.2268/464782.89562*100)</f>
        <v>3.955443923011893</v>
      </c>
      <c r="F48" s="54">
        <f>IF(OR(435794.05199="",15076.10028="",15991.42065=""),"-",(15991.42065-15076.10028)/435794.05199*100)</f>
        <v>0.21003507638993726</v>
      </c>
      <c r="G48" s="54">
        <f>IF(OR(475663.92916="",18384.2268="",15991.42065=""),"-",(18384.2268-15991.42065)/475663.92916*100)</f>
        <v>0.5030455334768779</v>
      </c>
    </row>
    <row r="49" spans="1:7" s="18" customFormat="1" ht="15.75">
      <c r="A49" s="41" t="s">
        <v>107</v>
      </c>
      <c r="B49" s="54">
        <f>IF(3720.28207="","-",3720.28207)</f>
        <v>3720.28207</v>
      </c>
      <c r="C49" s="54">
        <f>IF(OR(2599.38399="",3720.28207=""),"-",3720.28207/2599.38399*100)</f>
        <v>143.12168130265357</v>
      </c>
      <c r="D49" s="54">
        <f>IF(2599.38399="","-",2599.38399/475663.92916*100)</f>
        <v>0.5464749018472747</v>
      </c>
      <c r="E49" s="54">
        <f>IF(3720.28207="","-",3720.28207/464782.89562*100)</f>
        <v>0.8004343759331561</v>
      </c>
      <c r="F49" s="54">
        <f>IF(OR(435794.05199="",3835.04647="",2599.38399=""),"-",(2599.38399-3835.04647)/435794.05199*100)</f>
        <v>-0.2835427593280586</v>
      </c>
      <c r="G49" s="54">
        <f>IF(OR(475663.92916="",3720.28207="",2599.38399=""),"-",(3720.28207-2599.38399)/475663.92916*100)</f>
        <v>0.2356491655735707</v>
      </c>
    </row>
    <row r="50" spans="1:7" s="9" customFormat="1" ht="15.75">
      <c r="A50" s="41" t="s">
        <v>19</v>
      </c>
      <c r="B50" s="54">
        <f>IF(3694.57142="","-",3694.57142)</f>
        <v>3694.57142</v>
      </c>
      <c r="C50" s="54">
        <f>IF(OR(3479.67266999999="",3694.57142=""),"-",3694.57142/3479.67266999999*100)</f>
        <v>106.17583233770121</v>
      </c>
      <c r="D50" s="54">
        <f>IF(3479.67266999999="","-",3479.67266999999/475663.92916*100)</f>
        <v>0.731540160328097</v>
      </c>
      <c r="E50" s="54">
        <f>IF(3694.57142="","-",3694.57142/464782.89562*100)</f>
        <v>0.7949026211628558</v>
      </c>
      <c r="F50" s="54">
        <f>IF(OR(435794.05199="",3073.88247="",3479.67266999999=""),"-",(3479.67266999999-3073.88247)/435794.05199*100)</f>
        <v>0.09311513044911898</v>
      </c>
      <c r="G50" s="54">
        <f>IF(OR(475663.92916="",3694.57142="",3479.67266999999=""),"-",(3694.57142-3479.67266999999)/475663.92916*100)</f>
        <v>0.04517869378481385</v>
      </c>
    </row>
    <row r="51" spans="1:7" s="18" customFormat="1" ht="15.75">
      <c r="A51" s="41" t="s">
        <v>109</v>
      </c>
      <c r="B51" s="54">
        <f>IF(3121.87521="","-",3121.87521)</f>
        <v>3121.87521</v>
      </c>
      <c r="C51" s="54" t="s">
        <v>234</v>
      </c>
      <c r="D51" s="54">
        <f>IF(264.554="","-",264.554/475663.92916*100)</f>
        <v>0.055617839357125484</v>
      </c>
      <c r="E51" s="54">
        <f>IF(3121.87521="","-",3121.87521/464782.89562*100)</f>
        <v>0.6716846164993991</v>
      </c>
      <c r="F51" s="54">
        <f>IF(OR(435794.05199="",2867.36355="",264.554=""),"-",(264.554-2867.36355)/435794.05199*100)</f>
        <v>-0.5972567863454286</v>
      </c>
      <c r="G51" s="54">
        <f>IF(OR(475663.92916="",3121.87521="",264.554=""),"-",(3121.87521-264.554)/475663.92916*100)</f>
        <v>0.6007016792393517</v>
      </c>
    </row>
    <row r="52" spans="1:7" s="16" customFormat="1" ht="15.75">
      <c r="A52" s="41" t="s">
        <v>114</v>
      </c>
      <c r="B52" s="54">
        <f>IF(2287.14891="","-",2287.14891)</f>
        <v>2287.14891</v>
      </c>
      <c r="C52" s="54">
        <f>IF(OR(3131.13596="",2287.14891=""),"-",2287.14891/3131.13596*100)</f>
        <v>73.04534006884836</v>
      </c>
      <c r="D52" s="54">
        <f>IF(3131.13596="","-",3131.13596/475663.92916*100)</f>
        <v>0.658266428890128</v>
      </c>
      <c r="E52" s="54">
        <f>IF(2287.14891="","-",2287.14891/464782.89562*100)</f>
        <v>0.4920897329814694</v>
      </c>
      <c r="F52" s="54">
        <f>IF(OR(435794.05199="",1394.38331="",3131.13596=""),"-",(3131.13596-1394.38331)/435794.05199*100)</f>
        <v>0.3985260106395056</v>
      </c>
      <c r="G52" s="54">
        <f>IF(OR(475663.92916="",2287.14891="",3131.13596=""),"-",(2287.14891-3131.13596)/475663.92916*100)</f>
        <v>-0.1774334773482701</v>
      </c>
    </row>
    <row r="53" spans="1:7" s="9" customFormat="1" ht="15.75">
      <c r="A53" s="41" t="s">
        <v>108</v>
      </c>
      <c r="B53" s="54">
        <f>IF(2002.13072="","-",2002.13072)</f>
        <v>2002.13072</v>
      </c>
      <c r="C53" s="54">
        <f>IF(OR(2370.294="",2002.13072=""),"-",2002.13072/2370.294*100)</f>
        <v>84.46761119084807</v>
      </c>
      <c r="D53" s="54">
        <f>IF(2370.294="","-",2370.294/475663.92916*100)</f>
        <v>0.4983127487059671</v>
      </c>
      <c r="E53" s="54">
        <f>IF(2002.13072="","-",2002.13072/464782.89562*100)</f>
        <v>0.4307668674702939</v>
      </c>
      <c r="F53" s="54">
        <f>IF(OR(435794.05199="",2297.37412="",2370.294=""),"-",(2370.294-2297.37412)/435794.05199*100)</f>
        <v>0.016732646915904485</v>
      </c>
      <c r="G53" s="54">
        <f>IF(OR(475663.92916="",2002.13072="",2370.294=""),"-",(2002.13072-2370.294)/475663.92916*100)</f>
        <v>-0.07739987361458303</v>
      </c>
    </row>
    <row r="54" spans="1:7" s="9" customFormat="1" ht="15.75">
      <c r="A54" s="41" t="s">
        <v>110</v>
      </c>
      <c r="B54" s="54">
        <f>IF(1471.11904="","-",1471.11904)</f>
        <v>1471.11904</v>
      </c>
      <c r="C54" s="54" t="s">
        <v>196</v>
      </c>
      <c r="D54" s="54">
        <f>IF(973.90521="","-",973.90521/475663.92916*100)</f>
        <v>0.2047464922807728</v>
      </c>
      <c r="E54" s="54">
        <f>IF(1471.11904="","-",1471.11904/464782.89562*100)</f>
        <v>0.3165174652216045</v>
      </c>
      <c r="F54" s="54">
        <f>IF(OR(435794.05199="",1108.46532="",973.90521=""),"-",(973.90521-1108.46532)/435794.05199*100)</f>
        <v>-0.03087699554079451</v>
      </c>
      <c r="G54" s="54">
        <f>IF(OR(475663.92916="",1471.11904="",973.90521=""),"-",(1471.11904-973.90521)/475663.92916*100)</f>
        <v>0.10453048875874531</v>
      </c>
    </row>
    <row r="55" spans="1:7" s="18" customFormat="1" ht="15.75">
      <c r="A55" s="41" t="s">
        <v>106</v>
      </c>
      <c r="B55" s="54">
        <f>IF(1319.99911="","-",1319.99911)</f>
        <v>1319.99911</v>
      </c>
      <c r="C55" s="54">
        <f>IF(OR(1888.66151="",1319.99911=""),"-",1319.99911/1888.66151*100)</f>
        <v>69.89071906272925</v>
      </c>
      <c r="D55" s="54">
        <f>IF(1888.66151="","-",1888.66151/475663.92916*100)</f>
        <v>0.3970579634523237</v>
      </c>
      <c r="E55" s="54">
        <f>IF(1319.99911="","-",1319.99911/464782.89562*100)</f>
        <v>0.28400337500354417</v>
      </c>
      <c r="F55" s="54">
        <f>IF(OR(435794.05199="",2097.80026="",1888.66151=""),"-",(1888.66151-2097.80026)/435794.05199*100)</f>
        <v>-0.04799027179122653</v>
      </c>
      <c r="G55" s="54">
        <f>IF(OR(475663.92916="",1319.99911="",1888.66151=""),"-",(1319.99911-1888.66151)/475663.92916*100)</f>
        <v>-0.11955129769966599</v>
      </c>
    </row>
    <row r="56" spans="1:7" s="9" customFormat="1" ht="15.75">
      <c r="A56" s="41" t="s">
        <v>115</v>
      </c>
      <c r="B56" s="54">
        <f>IF(1078.97621="","-",1078.97621)</f>
        <v>1078.97621</v>
      </c>
      <c r="C56" s="54">
        <f>IF(OR(1995.1669="",1078.97621=""),"-",1078.97621/1995.1669*100)</f>
        <v>54.0794963068002</v>
      </c>
      <c r="D56" s="54">
        <f>IF(1995.1669="","-",1995.1669/475663.92916*100)</f>
        <v>0.4194488540519291</v>
      </c>
      <c r="E56" s="54">
        <f>IF(1078.97621="","-",1078.97621/464782.89562*100)</f>
        <v>0.23214628166569967</v>
      </c>
      <c r="F56" s="54">
        <f>IF(OR(435794.05199="",1069.07675="",1995.1669=""),"-",(1995.1669-1069.07675)/435794.05199*100)</f>
        <v>0.2125063767555163</v>
      </c>
      <c r="G56" s="54">
        <f>IF(OR(475663.92916="",1078.97621="",1995.1669=""),"-",(1078.97621-1995.1669)/475663.92916*100)</f>
        <v>-0.19261302651600035</v>
      </c>
    </row>
    <row r="57" spans="1:7" s="16" customFormat="1" ht="15.75">
      <c r="A57" s="41" t="s">
        <v>117</v>
      </c>
      <c r="B57" s="54">
        <f>IF(1041.81964="","-",1041.81964)</f>
        <v>1041.81964</v>
      </c>
      <c r="C57" s="54">
        <f>IF(OR(2722.62646="",1041.81964=""),"-",1041.81964/2722.62646*100)</f>
        <v>38.26524333418841</v>
      </c>
      <c r="D57" s="54">
        <f>IF(2722.62646="","-",2722.62646/475663.92916*100)</f>
        <v>0.5723844700202577</v>
      </c>
      <c r="E57" s="54">
        <f>IF(1041.81964="","-",1041.81964/464782.89562*100)</f>
        <v>0.22415188893951404</v>
      </c>
      <c r="F57" s="54">
        <f>IF(OR(435794.05199="",516.00345="",2722.62646=""),"-",(2722.62646-516.00345)/435794.05199*100)</f>
        <v>0.5063453711503695</v>
      </c>
      <c r="G57" s="54">
        <f>IF(OR(475663.92916="",1041.81964="",2722.62646=""),"-",(1041.81964-2722.62646)/475663.92916*100)</f>
        <v>-0.35336015975990137</v>
      </c>
    </row>
    <row r="58" spans="1:7" s="9" customFormat="1" ht="15.75">
      <c r="A58" s="41" t="s">
        <v>116</v>
      </c>
      <c r="B58" s="54">
        <f>IF(723.8061="","-",723.8061)</f>
        <v>723.8061</v>
      </c>
      <c r="C58" s="54" t="s">
        <v>235</v>
      </c>
      <c r="D58" s="54">
        <f>IF(22.26872="","-",22.26872/475663.92916*100)</f>
        <v>0.004681607882129197</v>
      </c>
      <c r="E58" s="54">
        <f>IF(723.8061="","-",723.8061/464782.89562*100)</f>
        <v>0.1557299347331778</v>
      </c>
      <c r="F58" s="54" t="str">
        <f>IF(OR(435794.05199="",""="",22.26872=""),"-",(22.26872-"")/435794.05199*100)</f>
        <v>-</v>
      </c>
      <c r="G58" s="54">
        <f>IF(OR(475663.92916="",723.8061="",22.26872=""),"-",(723.8061-22.26872)/475663.92916*100)</f>
        <v>0.1474859321872234</v>
      </c>
    </row>
    <row r="59" spans="1:7" s="16" customFormat="1" ht="15.75">
      <c r="A59" s="41" t="s">
        <v>86</v>
      </c>
      <c r="B59" s="54">
        <f>IF(720.97577="","-",720.97577)</f>
        <v>720.97577</v>
      </c>
      <c r="C59" s="54">
        <f>IF(OR(568.2411="",720.97577=""),"-",720.97577/568.2411*100)</f>
        <v>126.87849752508222</v>
      </c>
      <c r="D59" s="54">
        <f>IF(568.2411="","-",568.2411/475663.92916*100)</f>
        <v>0.11946272676246164</v>
      </c>
      <c r="E59" s="54">
        <f>IF(720.97577="","-",720.97577/464782.89562*100)</f>
        <v>0.1551209772980673</v>
      </c>
      <c r="F59" s="54">
        <f>IF(OR(435794.05199="",982.89577="",568.2411=""),"-",(568.2411-982.89577)/435794.05199*100)</f>
        <v>-0.09514922659144393</v>
      </c>
      <c r="G59" s="54">
        <f>IF(OR(475663.92916="",720.97577="",568.2411=""),"-",(720.97577-568.2411)/475663.92916*100)</f>
        <v>0.032109786056244004</v>
      </c>
    </row>
    <row r="60" spans="1:7" s="9" customFormat="1" ht="15.75">
      <c r="A60" s="41" t="s">
        <v>111</v>
      </c>
      <c r="B60" s="54">
        <f>IF(660.80087="","-",660.80087)</f>
        <v>660.80087</v>
      </c>
      <c r="C60" s="54">
        <f>IF(OR(710.68077="",660.80087=""),"-",660.80087/710.68077*100)</f>
        <v>92.98139163101318</v>
      </c>
      <c r="D60" s="54">
        <f>IF(710.68077="","-",710.68077/475663.92916*100)</f>
        <v>0.14940816959886546</v>
      </c>
      <c r="E60" s="54">
        <f>IF(660.80087="","-",660.80087/464782.89562*100)</f>
        <v>0.1421740938031983</v>
      </c>
      <c r="F60" s="54">
        <f>IF(OR(435794.05199="",371.56042="",710.68077=""),"-",(710.68077-371.56042)/435794.05199*100)</f>
        <v>0.07781665409416412</v>
      </c>
      <c r="G60" s="54">
        <f>IF(OR(475663.92916="",660.80087="",710.68077=""),"-",(660.80087-710.68077)/475663.92916*100)</f>
        <v>-0.010486374295416002</v>
      </c>
    </row>
    <row r="61" spans="1:7" s="16" customFormat="1" ht="15.75">
      <c r="A61" s="41" t="s">
        <v>113</v>
      </c>
      <c r="B61" s="54">
        <f>IF(409.21867="","-",409.21867)</f>
        <v>409.21867</v>
      </c>
      <c r="C61" s="54">
        <f>IF(OR(538.30478="",409.21867=""),"-",409.21867/538.30478*100)</f>
        <v>76.01988412586638</v>
      </c>
      <c r="D61" s="54">
        <f>IF(538.30478="","-",538.30478/475663.92916*100)</f>
        <v>0.11316914043716135</v>
      </c>
      <c r="E61" s="54">
        <f>IF(409.21867="","-",409.21867/464782.89562*100)</f>
        <v>0.08804512254137928</v>
      </c>
      <c r="F61" s="54">
        <f>IF(OR(435794.05199="",285.99519="",538.30478=""),"-",(538.30478-285.99519)/435794.05199*100)</f>
        <v>0.057896519892334304</v>
      </c>
      <c r="G61" s="54">
        <f>IF(OR(475663.92916="",409.21867="",538.30478=""),"-",(409.21867-538.30478)/475663.92916*100)</f>
        <v>-0.027138091010592297</v>
      </c>
    </row>
    <row r="62" spans="1:7" s="9" customFormat="1" ht="15.75">
      <c r="A62" s="41" t="s">
        <v>137</v>
      </c>
      <c r="B62" s="54">
        <f>IF(405.78058="","-",405.78058)</f>
        <v>405.78058</v>
      </c>
      <c r="C62" s="54" t="s">
        <v>236</v>
      </c>
      <c r="D62" s="54">
        <f>IF(46.01995="","-",46.01995/475663.92916*100)</f>
        <v>0.009674887494889314</v>
      </c>
      <c r="E62" s="54">
        <f>IF(405.78058="","-",405.78058/464782.89562*100)</f>
        <v>0.08730540297932145</v>
      </c>
      <c r="F62" s="54" t="str">
        <f>IF(OR(435794.05199="",""="",46.01995=""),"-",(46.01995-"")/435794.05199*100)</f>
        <v>-</v>
      </c>
      <c r="G62" s="54">
        <f>IF(OR(475663.92916="",405.78058="",46.01995=""),"-",(405.78058-46.01995)/475663.92916*100)</f>
        <v>0.0756333637985374</v>
      </c>
    </row>
    <row r="63" spans="1:7" s="9" customFormat="1" ht="15.75">
      <c r="A63" s="41" t="s">
        <v>119</v>
      </c>
      <c r="B63" s="54">
        <f>IF(388.78293="","-",388.78293)</f>
        <v>388.78293</v>
      </c>
      <c r="C63" s="54" t="s">
        <v>237</v>
      </c>
      <c r="D63" s="54">
        <f>IF(13.9509="","-",13.9509/475663.92916*100)</f>
        <v>0.002932932086029023</v>
      </c>
      <c r="E63" s="54">
        <f>IF(388.78293="","-",388.78293/464782.89562*100)</f>
        <v>0.08364828690207728</v>
      </c>
      <c r="F63" s="54">
        <f>IF(OR(435794.05199="",210.92619="",13.9509=""),"-",(13.9509-210.92619)/435794.05199*100)</f>
        <v>-0.04519916898831834</v>
      </c>
      <c r="G63" s="54">
        <f>IF(OR(475663.92916="",388.78293="",13.9509=""),"-",(388.78293-13.9509)/475663.92916*100)</f>
        <v>0.07880186136080061</v>
      </c>
    </row>
    <row r="64" spans="1:7" s="16" customFormat="1" ht="15.75">
      <c r="A64" s="41" t="s">
        <v>224</v>
      </c>
      <c r="B64" s="54">
        <f>IF(339.75008="","-",339.75008)</f>
        <v>339.75008</v>
      </c>
      <c r="C64" s="54">
        <f>IF(OR(232.49105="",339.75008=""),"-",339.75008/232.49105*100)</f>
        <v>146.13469206664084</v>
      </c>
      <c r="D64" s="54">
        <f>IF(232.49105="","-",232.49105/475663.92916*100)</f>
        <v>0.04887716636629736</v>
      </c>
      <c r="E64" s="54">
        <f>IF(339.75008="","-",339.75008/464782.89562*100)</f>
        <v>0.07309866245116192</v>
      </c>
      <c r="F64" s="54">
        <f>IF(OR(435794.05199="",322.20038="",232.49105=""),"-",(232.49105-322.20038)/435794.05199*100)</f>
        <v>-0.020585258011290734</v>
      </c>
      <c r="G64" s="54">
        <f>IF(OR(475663.92916="",339.75008="",232.49105=""),"-",(339.75008-232.49105)/475663.92916*100)</f>
        <v>0.022549330193991038</v>
      </c>
    </row>
    <row r="65" spans="1:7" s="18" customFormat="1" ht="15.75">
      <c r="A65" s="41" t="s">
        <v>143</v>
      </c>
      <c r="B65" s="54">
        <f>IF(327.66508="","-",327.66508)</f>
        <v>327.66508</v>
      </c>
      <c r="C65" s="54" t="s">
        <v>238</v>
      </c>
      <c r="D65" s="54">
        <f>IF(14.07414="","-",14.07414/475663.92916*100)</f>
        <v>0.0029588411349278187</v>
      </c>
      <c r="E65" s="54">
        <f>IF(327.66508="","-",327.66508/464782.89562*100)</f>
        <v>0.07049852373825184</v>
      </c>
      <c r="F65" s="54">
        <f>IF(OR(435794.05199="",73.08415="",14.07414=""),"-",(14.07414-73.08415)/435794.05199*100)</f>
        <v>-0.013540802067063106</v>
      </c>
      <c r="G65" s="54">
        <f>IF(OR(475663.92916="",327.66508="",14.07414=""),"-",(327.66508-14.07414)/475663.92916*100)</f>
        <v>0.06592699609444568</v>
      </c>
    </row>
    <row r="66" spans="1:7" s="9" customFormat="1" ht="15.75">
      <c r="A66" s="41" t="s">
        <v>135</v>
      </c>
      <c r="B66" s="54">
        <f>IF(293.39559="","-",293.39559)</f>
        <v>293.39559</v>
      </c>
      <c r="C66" s="54">
        <f>IF(OR(669.26124="",293.39559=""),"-",293.39559/669.26124*100)</f>
        <v>43.838724322358786</v>
      </c>
      <c r="D66" s="54">
        <f>IF(669.26124="","-",669.26124/475663.92916*100)</f>
        <v>0.14070043973733382</v>
      </c>
      <c r="E66" s="54">
        <f>IF(293.39559="","-",293.39559/464782.89562*100)</f>
        <v>0.06312529844899373</v>
      </c>
      <c r="F66" s="54">
        <f>IF(OR(435794.05199="",245.09572="",669.26124=""),"-",(669.26124-245.09572)/435794.05199*100)</f>
        <v>0.09733164508856885</v>
      </c>
      <c r="G66" s="54">
        <f>IF(OR(475663.92916="",293.39559="",669.26124=""),"-",(293.39559-669.26124)/475663.92916*100)</f>
        <v>-0.07901916184053749</v>
      </c>
    </row>
    <row r="67" spans="1:7" s="9" customFormat="1" ht="15.75">
      <c r="A67" s="41" t="s">
        <v>88</v>
      </c>
      <c r="B67" s="54">
        <f>IF(241.53697="","-",241.53697)</f>
        <v>241.53697</v>
      </c>
      <c r="C67" s="54">
        <f>IF(OR(344.01872="",241.53697=""),"-",241.53697/344.01872*100)</f>
        <v>70.21041471231567</v>
      </c>
      <c r="D67" s="54">
        <f>IF(344.01872="","-",344.01872/475663.92916*100)</f>
        <v>0.07232390326664474</v>
      </c>
      <c r="E67" s="54">
        <f>IF(241.53697="","-",241.53697/464782.89562*100)</f>
        <v>0.05196769766619752</v>
      </c>
      <c r="F67" s="54">
        <f>IF(OR(435794.05199="",158.88765="",344.01872=""),"-",(344.01872-158.88765)/435794.05199*100)</f>
        <v>0.042481320971367476</v>
      </c>
      <c r="G67" s="54">
        <f>IF(OR(475663.92916="",241.53697="",344.01872=""),"-",(241.53697-344.01872)/475663.92916*100)</f>
        <v>-0.021544990846999457</v>
      </c>
    </row>
    <row r="68" spans="1:7" s="9" customFormat="1" ht="15.75">
      <c r="A68" s="41" t="s">
        <v>126</v>
      </c>
      <c r="B68" s="54">
        <f>IF(235.95389="","-",235.95389)</f>
        <v>235.95389</v>
      </c>
      <c r="C68" s="54">
        <f>IF(OR(183.69074="",235.95389=""),"-",235.95389/183.69074*100)</f>
        <v>128.45170638432833</v>
      </c>
      <c r="D68" s="54">
        <f>IF(183.69074="","-",183.69074/475663.92916*100)</f>
        <v>0.03861775693700154</v>
      </c>
      <c r="E68" s="54">
        <f>IF(235.95389="","-",235.95389/464782.89562*100)</f>
        <v>0.050766474460134305</v>
      </c>
      <c r="F68" s="54">
        <f>IF(OR(435794.05199="",200.54705="",183.69074=""),"-",(183.69074-200.54705)/435794.05199*100)</f>
        <v>-0.0038679532047369027</v>
      </c>
      <c r="G68" s="54">
        <f>IF(OR(475663.92916="",235.95389="",183.69074=""),"-",(235.95389-183.69074)/475663.92916*100)</f>
        <v>0.010987410815929273</v>
      </c>
    </row>
    <row r="69" spans="1:7" s="9" customFormat="1" ht="15.75">
      <c r="A69" s="41" t="s">
        <v>125</v>
      </c>
      <c r="B69" s="54">
        <f>IF(197.68344="","-",197.68344)</f>
        <v>197.68344</v>
      </c>
      <c r="C69" s="54">
        <f>IF(OR(203.52005="",197.68344=""),"-",197.68344/203.52005*100)</f>
        <v>97.13216953317375</v>
      </c>
      <c r="D69" s="54">
        <f>IF(203.52005="","-",203.52005/475663.92916*100)</f>
        <v>0.04278652164342308</v>
      </c>
      <c r="E69" s="54">
        <f>IF(197.68344="","-",197.68344/464782.89562*100)</f>
        <v>0.0425324257546739</v>
      </c>
      <c r="F69" s="54">
        <f>IF(OR(435794.05199="",134.00666="",203.52005=""),"-",(203.52005-134.00666)/435794.05199*100)</f>
        <v>0.0159509726400752</v>
      </c>
      <c r="G69" s="54">
        <f>IF(OR(475663.92916="",197.68344="",203.52005=""),"-",(197.68344-203.52005)/475663.92916*100)</f>
        <v>-0.0012270449033852924</v>
      </c>
    </row>
    <row r="70" spans="1:7" s="9" customFormat="1" ht="15.75">
      <c r="A70" s="41" t="s">
        <v>136</v>
      </c>
      <c r="B70" s="54">
        <f>IF(193.7004="","-",193.7004)</f>
        <v>193.7004</v>
      </c>
      <c r="C70" s="54" t="s">
        <v>239</v>
      </c>
      <c r="D70" s="54">
        <f>IF(1.40515="","-",1.40515/475663.92916*100)</f>
        <v>0.00029540814719363487</v>
      </c>
      <c r="E70" s="54">
        <f>IF(193.7004="","-",193.7004/464782.89562*100)</f>
        <v>0.04167545790204094</v>
      </c>
      <c r="F70" s="54">
        <f>IF(OR(435794.05199="",25.58452="",1.40515=""),"-",(1.40515-25.58452)/435794.05199*100)</f>
        <v>-0.00554834786973064</v>
      </c>
      <c r="G70" s="54">
        <f>IF(OR(475663.92916="",193.7004="",1.40515=""),"-",(193.7004-1.40515)/475663.92916*100)</f>
        <v>0.04042670427828831</v>
      </c>
    </row>
    <row r="71" spans="1:7" s="9" customFormat="1" ht="15.75">
      <c r="A71" s="41" t="s">
        <v>225</v>
      </c>
      <c r="B71" s="54">
        <f>IF(179.95698="","-",179.95698)</f>
        <v>179.95698</v>
      </c>
      <c r="C71" s="54" t="str">
        <f>IF(OR(""="",179.95698=""),"-",179.95698/""*100)</f>
        <v>-</v>
      </c>
      <c r="D71" s="54" t="str">
        <f>IF(""="","-",""/475663.92916*100)</f>
        <v>-</v>
      </c>
      <c r="E71" s="54">
        <f>IF(179.95698="","-",179.95698/464782.89562*100)</f>
        <v>0.03871850313250991</v>
      </c>
      <c r="F71" s="54" t="str">
        <f>IF(OR(435794.05199="",""="",""=""),"-",(""-"")/435794.05199*100)</f>
        <v>-</v>
      </c>
      <c r="G71" s="54" t="str">
        <f>IF(OR(475663.92916="",179.95698="",""=""),"-",(179.95698-"")/475663.92916*100)</f>
        <v>-</v>
      </c>
    </row>
    <row r="72" spans="1:7" s="9" customFormat="1" ht="15.75">
      <c r="A72" s="41" t="s">
        <v>200</v>
      </c>
      <c r="B72" s="54">
        <f>IF(177.3="","-",177.3)</f>
        <v>177.3</v>
      </c>
      <c r="C72" s="54">
        <f>IF(OR(2525.75194="",177.3=""),"-",177.3/2525.75194*100)</f>
        <v>7.019691727921626</v>
      </c>
      <c r="D72" s="54">
        <f>IF(2525.75194="","-",2525.75194/475663.92916*100)</f>
        <v>0.5309950545252313</v>
      </c>
      <c r="E72" s="54">
        <f>IF(177.3="","-",177.3/464782.89562*100)</f>
        <v>0.038146842680923006</v>
      </c>
      <c r="F72" s="54">
        <f>IF(OR(435794.05199="",15.03="",2525.75194=""),"-",(2525.75194-15.03)/435794.05199*100)</f>
        <v>0.5761257934877947</v>
      </c>
      <c r="G72" s="54">
        <f>IF(OR(475663.92916="",177.3="",2525.75194=""),"-",(177.3-2525.75194)/475663.92916*100)</f>
        <v>-0.49372083860705074</v>
      </c>
    </row>
    <row r="73" spans="1:7" s="9" customFormat="1" ht="15.75">
      <c r="A73" s="41" t="s">
        <v>226</v>
      </c>
      <c r="B73" s="54">
        <f>IF(168.79628="","-",168.79628)</f>
        <v>168.79628</v>
      </c>
      <c r="C73" s="54">
        <f>IF(OR(206.6237="",168.79628=""),"-",168.79628/206.6237*100)</f>
        <v>81.69260351063309</v>
      </c>
      <c r="D73" s="54">
        <f>IF(206.6237="","-",206.6237/475663.92916*100)</f>
        <v>0.04343900963120909</v>
      </c>
      <c r="E73" s="54">
        <f>IF(168.79628="","-",168.79628/464782.89562*100)</f>
        <v>0.03631723146240852</v>
      </c>
      <c r="F73" s="54">
        <f>IF(OR(435794.05199="",361.93525="",206.6237=""),"-",(206.6237-361.93525)/435794.05199*100)</f>
        <v>-0.03563874937961839</v>
      </c>
      <c r="G73" s="54">
        <f>IF(OR(475663.92916="",168.79628="",206.6237=""),"-",(168.79628-206.6237)/475663.92916*100)</f>
        <v>-0.007952551724239728</v>
      </c>
    </row>
    <row r="74" spans="1:7" s="9" customFormat="1" ht="15.75">
      <c r="A74" s="41" t="s">
        <v>132</v>
      </c>
      <c r="B74" s="54">
        <f>IF(147.40515="","-",147.40515)</f>
        <v>147.40515</v>
      </c>
      <c r="C74" s="54" t="str">
        <f>IF(OR(""="",147.40515=""),"-",147.40515/""*100)</f>
        <v>-</v>
      </c>
      <c r="D74" s="54" t="str">
        <f>IF(""="","-",""/475663.92916*100)</f>
        <v>-</v>
      </c>
      <c r="E74" s="54">
        <f>IF(147.40515="","-",147.40515/464782.89562*100)</f>
        <v>0.03171483963569012</v>
      </c>
      <c r="F74" s="54" t="str">
        <f>IF(OR(435794.05199="",307.14211="",""=""),"-",(""-307.14211)/435794.05199*100)</f>
        <v>-</v>
      </c>
      <c r="G74" s="54" t="str">
        <f>IF(OR(475663.92916="",147.40515="",""=""),"-",(147.40515-"")/475663.92916*100)</f>
        <v>-</v>
      </c>
    </row>
    <row r="75" spans="1:7" ht="15.75">
      <c r="A75" s="41" t="s">
        <v>146</v>
      </c>
      <c r="B75" s="54">
        <f>IF(144.76891="","-",144.76891)</f>
        <v>144.76891</v>
      </c>
      <c r="C75" s="54">
        <f>IF(OR(237.80074="",144.76891=""),"-",144.76891/237.80074*100)</f>
        <v>60.87824201051688</v>
      </c>
      <c r="D75" s="54">
        <f>IF(237.80074="","-",237.80074/475663.92916*100)</f>
        <v>0.04999343557960025</v>
      </c>
      <c r="E75" s="54">
        <f>IF(144.76891="","-",144.76891/464782.89562*100)</f>
        <v>0.03114764148256459</v>
      </c>
      <c r="F75" s="54">
        <f>IF(OR(435794.05199="",199.00663="",237.80074=""),"-",(237.80074-199.00663)/435794.05199*100)</f>
        <v>0.008901936550728825</v>
      </c>
      <c r="G75" s="54">
        <f>IF(OR(475663.92916="",144.76891="",237.80074=""),"-",(144.76891-237.80074)/475663.92916*100)</f>
        <v>-0.01955831087807936</v>
      </c>
    </row>
    <row r="76" spans="1:7" ht="15.75">
      <c r="A76" s="41" t="s">
        <v>207</v>
      </c>
      <c r="B76" s="54">
        <f>IF(138.71352="","-",138.71352)</f>
        <v>138.71352</v>
      </c>
      <c r="C76" s="54" t="s">
        <v>240</v>
      </c>
      <c r="D76" s="54">
        <f>IF(37.954="","-",37.954/475663.92916*100)</f>
        <v>0.00797916294956924</v>
      </c>
      <c r="E76" s="54">
        <f>IF(138.71352="","-",138.71352/464782.89562*100)</f>
        <v>0.02984479878825193</v>
      </c>
      <c r="F76" s="54">
        <f>IF(OR(435794.05199="",7.147="",37.954=""),"-",(37.954-7.147)/435794.05199*100)</f>
        <v>0.007069164863385266</v>
      </c>
      <c r="G76" s="54">
        <f>IF(OR(475663.92916="",138.71352="",37.954=""),"-",(138.71352-37.954)/475663.92916*100)</f>
        <v>0.02118292219002953</v>
      </c>
    </row>
    <row r="77" spans="1:7" ht="15.75">
      <c r="A77" s="41" t="s">
        <v>205</v>
      </c>
      <c r="B77" s="54">
        <f>IF(137.60055="","-",137.60055)</f>
        <v>137.60055</v>
      </c>
      <c r="C77" s="54" t="str">
        <f>IF(OR(""="",137.60055=""),"-",137.60055/""*100)</f>
        <v>-</v>
      </c>
      <c r="D77" s="54" t="str">
        <f>IF(""="","-",""/475663.92916*100)</f>
        <v>-</v>
      </c>
      <c r="E77" s="54">
        <f>IF(137.60055="","-",137.60055/464782.89562*100)</f>
        <v>0.02960533859931461</v>
      </c>
      <c r="F77" s="54" t="str">
        <f>IF(OR(435794.05199="",""="",""=""),"-",(""-"")/435794.05199*100)</f>
        <v>-</v>
      </c>
      <c r="G77" s="54" t="str">
        <f>IF(OR(475663.92916="",137.60055="",""=""),"-",(137.60055-"")/475663.92916*100)</f>
        <v>-</v>
      </c>
    </row>
    <row r="78" spans="1:7" ht="15.75">
      <c r="A78" s="41" t="s">
        <v>87</v>
      </c>
      <c r="B78" s="54">
        <f>IF(137.06371="","-",137.06371)</f>
        <v>137.06371</v>
      </c>
      <c r="C78" s="54">
        <f>IF(OR(167.60732="",137.06371=""),"-",137.06371/167.60732*100)</f>
        <v>81.77668493237647</v>
      </c>
      <c r="D78" s="54">
        <f>IF(167.60732="","-",167.60732/475663.92916*100)</f>
        <v>0.035236499916230055</v>
      </c>
      <c r="E78" s="54">
        <f>IF(137.06371="","-",137.06371/464782.89562*100)</f>
        <v>0.02948983520943967</v>
      </c>
      <c r="F78" s="54">
        <f>IF(OR(435794.05199="",10.49768="",167.60732=""),"-",(167.60732-10.49768)/435794.05199*100)</f>
        <v>0.03605135023816367</v>
      </c>
      <c r="G78" s="54">
        <f>IF(OR(475663.92916="",137.06371="",167.60732=""),"-",(137.06371-167.60732)/475663.92916*100)</f>
        <v>-0.006421258398537508</v>
      </c>
    </row>
    <row r="79" spans="1:7" ht="15.75">
      <c r="A79" s="41" t="s">
        <v>124</v>
      </c>
      <c r="B79" s="54">
        <f>IF(134.6794="","-",134.6794)</f>
        <v>134.6794</v>
      </c>
      <c r="C79" s="54">
        <f>IF(OR(305.37925="",134.6794=""),"-",134.6794/305.37925*100)</f>
        <v>44.102341596555746</v>
      </c>
      <c r="D79" s="54">
        <f>IF(305.37925="","-",305.37925/475663.92916*100)</f>
        <v>0.06420063226978033</v>
      </c>
      <c r="E79" s="54">
        <f>IF(134.6794="","-",134.6794/464782.89562*100)</f>
        <v>0.028976840858212644</v>
      </c>
      <c r="F79" s="54">
        <f>IF(OR(435794.05199="",5469.01356="",305.37925=""),"-",(305.37925-5469.01356)/435794.05199*100)</f>
        <v>-1.184879482962399</v>
      </c>
      <c r="G79" s="54">
        <f>IF(OR(475663.92916="",134.6794="",305.37925=""),"-",(134.6794-305.37925)/475663.92916*100)</f>
        <v>-0.0358866501190132</v>
      </c>
    </row>
    <row r="80" spans="1:7" ht="15.75">
      <c r="A80" s="41" t="s">
        <v>133</v>
      </c>
      <c r="B80" s="54">
        <f>IF(130.39804="","-",130.39804)</f>
        <v>130.39804</v>
      </c>
      <c r="C80" s="54">
        <f>IF(OR(344.72972="",130.39804=""),"-",130.39804/344.72972*100)</f>
        <v>37.826167120142706</v>
      </c>
      <c r="D80" s="54">
        <f>IF(344.72972="","-",344.72972/475663.92916*100)</f>
        <v>0.07247337854875319</v>
      </c>
      <c r="E80" s="54">
        <f>IF(130.39804="","-",130.39804/464782.89562*100)</f>
        <v>0.028055688199552765</v>
      </c>
      <c r="F80" s="54">
        <f>IF(OR(435794.05199="",0.02089="",344.72972=""),"-",(344.72972-0.02089)/435794.05199*100)</f>
        <v>0.07909902129823237</v>
      </c>
      <c r="G80" s="54">
        <f>IF(OR(475663.92916="",130.39804="",344.72972=""),"-",(130.39804-344.72972)/475663.92916*100)</f>
        <v>-0.04505947726128815</v>
      </c>
    </row>
    <row r="81" spans="1:7" ht="15.75">
      <c r="A81" s="41" t="s">
        <v>120</v>
      </c>
      <c r="B81" s="54">
        <f>IF(129.2811="","-",129.2811)</f>
        <v>129.2811</v>
      </c>
      <c r="C81" s="54">
        <f>IF(OR(152.44384="",129.2811=""),"-",129.2811/152.44384*100)</f>
        <v>84.80572255330226</v>
      </c>
      <c r="D81" s="54">
        <f>IF(152.44384="","-",152.44384/475663.92916*100)</f>
        <v>0.03204864414865525</v>
      </c>
      <c r="E81" s="54">
        <f>IF(129.2811="","-",129.2811/464782.89562*100)</f>
        <v>0.027815373848373803</v>
      </c>
      <c r="F81" s="54" t="str">
        <f>IF(OR(435794.05199="",""="",152.44384=""),"-",(152.44384-"")/435794.05199*100)</f>
        <v>-</v>
      </c>
      <c r="G81" s="54">
        <f>IF(OR(475663.92916="",129.2811="",152.44384=""),"-",(129.2811-152.44384)/475663.92916*100)</f>
        <v>-0.0048695599098515395</v>
      </c>
    </row>
    <row r="82" spans="1:7" ht="15.75">
      <c r="A82" s="41" t="s">
        <v>163</v>
      </c>
      <c r="B82" s="54">
        <f>IF(117.96236="","-",117.96236)</f>
        <v>117.96236</v>
      </c>
      <c r="C82" s="54">
        <f>IF(OR(325.60447="",117.96236=""),"-",117.96236/325.60447*100)</f>
        <v>36.22872867807988</v>
      </c>
      <c r="D82" s="54">
        <f>IF(325.60447="","-",325.60447/475663.92916*100)</f>
        <v>0.06845263011113795</v>
      </c>
      <c r="E82" s="54">
        <f>IF(117.96236="","-",117.96236/464782.89562*100)</f>
        <v>0.02538009920581165</v>
      </c>
      <c r="F82" s="54">
        <f>IF(OR(435794.05199="",421.13265="",325.60447=""),"-",(325.60447-421.13265)/435794.05199*100)</f>
        <v>-0.021920487341160883</v>
      </c>
      <c r="G82" s="54">
        <f>IF(OR(475663.92916="",117.96236="",325.60447=""),"-",(117.96236-325.60447)/475663.92916*100)</f>
        <v>-0.043653112475164166</v>
      </c>
    </row>
    <row r="83" spans="1:7" ht="15.75">
      <c r="A83" s="41" t="s">
        <v>121</v>
      </c>
      <c r="B83" s="54">
        <f>IF(84.22537="","-",84.22537)</f>
        <v>84.22537</v>
      </c>
      <c r="C83" s="54">
        <f>IF(OR(176.56459="",84.22537=""),"-",84.22537/176.56459*100)</f>
        <v>47.702299764635704</v>
      </c>
      <c r="D83" s="54">
        <f>IF(176.56459="","-",176.56459/475663.92916*100)</f>
        <v>0.0371196088616189</v>
      </c>
      <c r="E83" s="54">
        <f>IF(84.22537="","-",84.22537/464782.89562*100)</f>
        <v>0.01812144353712652</v>
      </c>
      <c r="F83" s="54">
        <f>IF(OR(435794.05199="",57.744="",176.56459=""),"-",(176.56459-57.744)/435794.05199*100)</f>
        <v>0.02726530788050465</v>
      </c>
      <c r="G83" s="54">
        <f>IF(OR(475663.92916="",84.22537="",176.56459=""),"-",(84.22537-176.56459)/475663.92916*100)</f>
        <v>-0.019412701770989173</v>
      </c>
    </row>
    <row r="84" spans="1:7" ht="15.75">
      <c r="A84" s="41" t="s">
        <v>122</v>
      </c>
      <c r="B84" s="54">
        <f>IF(70.05237="","-",70.05237)</f>
        <v>70.05237</v>
      </c>
      <c r="C84" s="54" t="str">
        <f>IF(OR(""="",70.05237=""),"-",70.05237/""*100)</f>
        <v>-</v>
      </c>
      <c r="D84" s="54" t="str">
        <f>IF(""="","-",""/475663.92916*100)</f>
        <v>-</v>
      </c>
      <c r="E84" s="54">
        <f>IF(70.05237="","-",70.05237/464782.89562*100)</f>
        <v>0.015072062819040104</v>
      </c>
      <c r="F84" s="54" t="str">
        <f>IF(OR(435794.05199="",71.04334="",""=""),"-",(""-71.04334)/435794.05199*100)</f>
        <v>-</v>
      </c>
      <c r="G84" s="54" t="str">
        <f>IF(OR(475663.92916="",70.05237="",""=""),"-",(70.05237-"")/475663.92916*100)</f>
        <v>-</v>
      </c>
    </row>
    <row r="85" spans="1:7" ht="15.75">
      <c r="A85" s="41" t="s">
        <v>201</v>
      </c>
      <c r="B85" s="54">
        <f>IF(64.81247="","-",64.81247)</f>
        <v>64.81247</v>
      </c>
      <c r="C85" s="54">
        <f>IF(OR(2430.76171="",64.81247=""),"-",64.81247/2430.76171*100)</f>
        <v>2.6663440407739514</v>
      </c>
      <c r="D85" s="54">
        <f>IF(2430.76171="","-",2430.76171/475663.92916*100)</f>
        <v>0.5110250243890914</v>
      </c>
      <c r="E85" s="54">
        <f>IF(64.81247="","-",64.81247/464782.89562*100)</f>
        <v>0.013944676237180159</v>
      </c>
      <c r="F85" s="54">
        <f>IF(OR(435794.05199="",6.52542="",2430.76171=""),"-",(2430.76171-6.52542)/435794.05199*100)</f>
        <v>0.5562802610384476</v>
      </c>
      <c r="G85" s="54">
        <f>IF(OR(475663.92916="",64.81247="",2430.76171=""),"-",(64.81247-2430.76171)/475663.92916*100)</f>
        <v>-0.4973993391044292</v>
      </c>
    </row>
    <row r="86" spans="1:7" ht="15.75">
      <c r="A86" s="41" t="s">
        <v>160</v>
      </c>
      <c r="B86" s="54">
        <f>IF(56.53675="","-",56.53675)</f>
        <v>56.53675</v>
      </c>
      <c r="C86" s="54">
        <f>IF(OR(100.36322="",56.53675=""),"-",56.53675/100.36322*100)</f>
        <v>56.33214039964043</v>
      </c>
      <c r="D86" s="54">
        <f>IF(100.36322="","-",100.36322/475663.92916*100)</f>
        <v>0.02109960706443238</v>
      </c>
      <c r="E86" s="54">
        <f>IF(56.53675="","-",56.53675/464782.89562*100)</f>
        <v>0.012164120180150444</v>
      </c>
      <c r="F86" s="54">
        <f>IF(OR(435794.05199="",61.43709="",100.36322=""),"-",(100.36322-61.43709)/435794.05199*100)</f>
        <v>0.008932230676910024</v>
      </c>
      <c r="G86" s="54">
        <f>IF(OR(475663.92916="",56.53675="",100.36322=""),"-",(56.53675-100.36322)/475663.92916*100)</f>
        <v>-0.009213746789123883</v>
      </c>
    </row>
    <row r="87" spans="1:7" ht="15.75">
      <c r="A87" s="41" t="s">
        <v>154</v>
      </c>
      <c r="B87" s="54">
        <f>IF(56.09281="","-",56.09281)</f>
        <v>56.09281</v>
      </c>
      <c r="C87" s="54" t="s">
        <v>157</v>
      </c>
      <c r="D87" s="54">
        <f>IF(34.39035="","-",34.39035/475663.92916*100)</f>
        <v>0.0072299680282109525</v>
      </c>
      <c r="E87" s="54">
        <f>IF(56.09281="","-",56.09281/464782.89562*100)</f>
        <v>0.01206860461703838</v>
      </c>
      <c r="F87" s="54">
        <f>IF(OR(435794.05199="",0.03437="",34.39035=""),"-",(34.39035-0.03437)/435794.05199*100)</f>
        <v>0.00788353577638741</v>
      </c>
      <c r="G87" s="54">
        <f>IF(OR(475663.92916="",56.09281="",34.39035=""),"-",(56.09281-34.39035)/475663.92916*100)</f>
        <v>0.004562561646901736</v>
      </c>
    </row>
    <row r="88" spans="1:7" ht="15.75">
      <c r="A88" s="41" t="s">
        <v>127</v>
      </c>
      <c r="B88" s="54">
        <f>IF(54.71266="","-",54.71266)</f>
        <v>54.71266</v>
      </c>
      <c r="C88" s="54" t="s">
        <v>241</v>
      </c>
      <c r="D88" s="54">
        <f>IF(9.62318="","-",9.62318/475663.92916*100)</f>
        <v>0.0020231048456825556</v>
      </c>
      <c r="E88" s="54">
        <f>IF(54.71266="","-",54.71266/464782.89562*100)</f>
        <v>0.011771659524392719</v>
      </c>
      <c r="F88" s="54">
        <f>IF(OR(435794.05199="",117.56713="",9.62318=""),"-",(9.62318-117.56713)/435794.05199*100)</f>
        <v>-0.02476948675804252</v>
      </c>
      <c r="G88" s="54">
        <f>IF(OR(475663.92916="",54.71266="",9.62318=""),"-",(54.71266-9.62318)/475663.92916*100)</f>
        <v>0.009479272493843687</v>
      </c>
    </row>
    <row r="89" spans="1:7" ht="15.75">
      <c r="A89" s="41" t="s">
        <v>153</v>
      </c>
      <c r="B89" s="54">
        <f>IF(47.89125="","-",47.89125)</f>
        <v>47.89125</v>
      </c>
      <c r="C89" s="54">
        <f>IF(OR(82.76864="",47.89125=""),"-",47.89125/82.76864*100)</f>
        <v>57.86158864033527</v>
      </c>
      <c r="D89" s="54">
        <f>IF(82.76864="","-",82.76864/475663.92916*100)</f>
        <v>0.01740065515292814</v>
      </c>
      <c r="E89" s="54">
        <f>IF(47.89125="","-",47.89125/464782.89562*100)</f>
        <v>0.010304004396744242</v>
      </c>
      <c r="F89" s="54" t="str">
        <f>IF(OR(435794.05199="",""="",82.76864=""),"-",(82.76864-"")/435794.05199*100)</f>
        <v>-</v>
      </c>
      <c r="G89" s="54">
        <f>IF(OR(475663.92916="",47.89125="",82.76864=""),"-",(47.89125-82.76864)/475663.92916*100)</f>
        <v>-0.007332359647617559</v>
      </c>
    </row>
    <row r="90" spans="1:7" ht="15.75">
      <c r="A90" s="41" t="s">
        <v>208</v>
      </c>
      <c r="B90" s="54">
        <f>IF(42.93746="","-",42.93746)</f>
        <v>42.93746</v>
      </c>
      <c r="C90" s="54">
        <f>IF(OR(44.1089="",42.93746=""),"-",42.93746/44.1089*100)</f>
        <v>97.34420944525935</v>
      </c>
      <c r="D90" s="54">
        <f>IF(44.1089="","-",44.1089/475663.92916*100)</f>
        <v>0.009273122744012612</v>
      </c>
      <c r="E90" s="54">
        <f>IF(42.93746="","-",42.93746/464782.89562*100)</f>
        <v>0.009238175587921175</v>
      </c>
      <c r="F90" s="54">
        <f>IF(OR(435794.05199="",42.54274="",44.1089=""),"-",(44.1089-42.54274)/435794.05199*100)</f>
        <v>0.00035938076548964337</v>
      </c>
      <c r="G90" s="54">
        <f>IF(OR(475663.92916="",42.93746="",44.1089=""),"-",(42.93746-44.1089)/475663.92916*100)</f>
        <v>-0.0002462747179649936</v>
      </c>
    </row>
    <row r="91" spans="1:7" ht="15.75">
      <c r="A91" s="41" t="s">
        <v>123</v>
      </c>
      <c r="B91" s="54">
        <f>IF(41.78618="","-",41.78618)</f>
        <v>41.78618</v>
      </c>
      <c r="C91" s="54">
        <f>IF(OR(166.64737="",41.78618=""),"-",41.78618/166.64737*100)</f>
        <v>25.074611138477614</v>
      </c>
      <c r="D91" s="54">
        <f>IF(166.64737="","-",166.64737/475663.92916*100)</f>
        <v>0.03503468726213723</v>
      </c>
      <c r="E91" s="54">
        <f>IF(41.78618="","-",41.78618/464782.89562*100)</f>
        <v>0.00899047284092911</v>
      </c>
      <c r="F91" s="54" t="str">
        <f>IF(OR(435794.05199="",""="",166.64737=""),"-",(166.64737-"")/435794.05199*100)</f>
        <v>-</v>
      </c>
      <c r="G91" s="54">
        <f>IF(OR(475663.92916="",41.78618="",166.64737=""),"-",(41.78618-166.64737)/475663.92916*100)</f>
        <v>-0.02624987566757457</v>
      </c>
    </row>
    <row r="92" spans="1:7" ht="15.75">
      <c r="A92" s="41" t="s">
        <v>227</v>
      </c>
      <c r="B92" s="54">
        <f>IF(40.419="","-",40.419)</f>
        <v>40.419</v>
      </c>
      <c r="C92" s="54" t="str">
        <f>IF(OR(""="",40.419=""),"-",40.419/""*100)</f>
        <v>-</v>
      </c>
      <c r="D92" s="54" t="str">
        <f>IF(""="","-",""/475663.92916*100)</f>
        <v>-</v>
      </c>
      <c r="E92" s="54">
        <f>IF(40.419="","-",40.419/464782.89562*100)</f>
        <v>0.008696318298478438</v>
      </c>
      <c r="F92" s="54" t="str">
        <f>IF(OR(435794.05199="",""="",""=""),"-",(""-"")/435794.05199*100)</f>
        <v>-</v>
      </c>
      <c r="G92" s="54" t="str">
        <f>IF(OR(475663.92916="",40.419="",""=""),"-",(40.419-"")/475663.92916*100)</f>
        <v>-</v>
      </c>
    </row>
    <row r="93" spans="1:7" ht="15.75">
      <c r="A93" s="41" t="s">
        <v>85</v>
      </c>
      <c r="B93" s="54">
        <f>IF(38.08343="","-",38.08343)</f>
        <v>38.08343</v>
      </c>
      <c r="C93" s="54">
        <f>IF(OR(50.67151="",38.08343=""),"-",38.08343/50.67151*100)</f>
        <v>75.1574800119436</v>
      </c>
      <c r="D93" s="54">
        <f>IF(50.67151="","-",50.67151/475663.92916*100)</f>
        <v>0.010652796416470656</v>
      </c>
      <c r="E93" s="54">
        <f>IF(38.08343="","-",38.08343/464782.89562*100)</f>
        <v>0.008193810563789868</v>
      </c>
      <c r="F93" s="54">
        <f>IF(OR(435794.05199="",18="",50.67151=""),"-",(50.67151-18)/435794.05199*100)</f>
        <v>0.007497006866158352</v>
      </c>
      <c r="G93" s="54">
        <f>IF(OR(475663.92916="",38.08343="",50.67151=""),"-",(38.08343-50.67151)/475663.92916*100)</f>
        <v>-0.002646423079048679</v>
      </c>
    </row>
    <row r="94" spans="1:7" ht="15.75">
      <c r="A94" s="41" t="s">
        <v>140</v>
      </c>
      <c r="B94" s="54">
        <f>IF(31.01059="","-",31.01059)</f>
        <v>31.01059</v>
      </c>
      <c r="C94" s="54" t="s">
        <v>230</v>
      </c>
      <c r="D94" s="54">
        <f>IF(10.16064="","-",10.16064/475663.92916*100)</f>
        <v>0.002136096385938537</v>
      </c>
      <c r="E94" s="54">
        <f>IF(31.01059="","-",31.01059/464782.89562*100)</f>
        <v>0.006672059211351406</v>
      </c>
      <c r="F94" s="54">
        <f>IF(OR(435794.05199="",28.47269="",10.16064=""),"-",(10.16064-28.47269)/435794.05199*100)</f>
        <v>-0.0042019963137129275</v>
      </c>
      <c r="G94" s="54">
        <f>IF(OR(475663.92916="",31.01059="",10.16064=""),"-",(31.01059-10.16064)/475663.92916*100)</f>
        <v>0.004383336368771966</v>
      </c>
    </row>
    <row r="95" spans="1:7" ht="15.75">
      <c r="A95" s="43" t="s">
        <v>228</v>
      </c>
      <c r="B95" s="55">
        <f>IF(24.70613="","-",24.70613)</f>
        <v>24.70613</v>
      </c>
      <c r="C95" s="55">
        <f>IF(OR(35.94494="",24.70613=""),"-",24.70613/35.94494*100)</f>
        <v>68.73326259551415</v>
      </c>
      <c r="D95" s="55">
        <f>IF(35.94494="","-",35.94494/475663.92916*100)</f>
        <v>0.007556793314867719</v>
      </c>
      <c r="E95" s="55">
        <f>IF(24.70613="","-",24.70613/464782.89562*100)</f>
        <v>0.005315628056200973</v>
      </c>
      <c r="F95" s="55">
        <f>IF(OR(435794.05199="",55.37915="",35.94494=""),"-",(35.94494-55.37915)/435794.05199*100)</f>
        <v>-0.004459494091591215</v>
      </c>
      <c r="G95" s="55">
        <f>IF(OR(475663.92916="",24.70613="",35.94494=""),"-",(24.70613-35.94494)/475663.92916*100)</f>
        <v>-0.002362762721959432</v>
      </c>
    </row>
    <row r="96" ht="15.75">
      <c r="A96" s="28" t="s">
        <v>21</v>
      </c>
    </row>
  </sheetData>
  <sheetProtection/>
  <mergeCells count="9">
    <mergeCell ref="A1:G1"/>
    <mergeCell ref="A3:A5"/>
    <mergeCell ref="B3:C3"/>
    <mergeCell ref="D3:E3"/>
    <mergeCell ref="F3:G3"/>
    <mergeCell ref="B4:B5"/>
    <mergeCell ref="C4:C5"/>
    <mergeCell ref="D4:E4"/>
    <mergeCell ref="F4:G4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G109"/>
  <sheetViews>
    <sheetView zoomScalePageLayoutView="0" workbookViewId="0" topLeftCell="A1">
      <selection activeCell="K8" sqref="K8"/>
    </sheetView>
  </sheetViews>
  <sheetFormatPr defaultColWidth="9.00390625" defaultRowHeight="15.75"/>
  <cols>
    <col min="1" max="1" width="28.50390625" style="0" customWidth="1"/>
    <col min="2" max="2" width="12.875" style="0" customWidth="1"/>
    <col min="3" max="3" width="10.00390625" style="0" customWidth="1"/>
    <col min="4" max="4" width="9.125" style="0" customWidth="1"/>
    <col min="5" max="5" width="9.50390625" style="0" customWidth="1"/>
    <col min="6" max="7" width="9.875" style="0" customWidth="1"/>
  </cols>
  <sheetData>
    <row r="1" spans="1:7" ht="15.75">
      <c r="A1" s="87" t="s">
        <v>178</v>
      </c>
      <c r="B1" s="87"/>
      <c r="C1" s="87"/>
      <c r="D1" s="87"/>
      <c r="E1" s="87"/>
      <c r="F1" s="87"/>
      <c r="G1" s="87"/>
    </row>
    <row r="2" ht="15.75">
      <c r="A2" s="2"/>
    </row>
    <row r="3" spans="1:7" ht="55.5" customHeight="1">
      <c r="A3" s="75"/>
      <c r="B3" s="78" t="s">
        <v>273</v>
      </c>
      <c r="C3" s="79"/>
      <c r="D3" s="78" t="s">
        <v>162</v>
      </c>
      <c r="E3" s="79"/>
      <c r="F3" s="80" t="s">
        <v>187</v>
      </c>
      <c r="G3" s="81"/>
    </row>
    <row r="4" spans="1:7" ht="25.5" customHeight="1">
      <c r="A4" s="76"/>
      <c r="B4" s="82" t="s">
        <v>150</v>
      </c>
      <c r="C4" s="84" t="s">
        <v>222</v>
      </c>
      <c r="D4" s="86" t="s">
        <v>274</v>
      </c>
      <c r="E4" s="86"/>
      <c r="F4" s="86" t="s">
        <v>274</v>
      </c>
      <c r="G4" s="78"/>
    </row>
    <row r="5" spans="1:7" ht="26.25" customHeight="1">
      <c r="A5" s="77"/>
      <c r="B5" s="83"/>
      <c r="C5" s="85"/>
      <c r="D5" s="33">
        <v>2019</v>
      </c>
      <c r="E5" s="33">
        <v>2020</v>
      </c>
      <c r="F5" s="33" t="s">
        <v>188</v>
      </c>
      <c r="G5" s="32" t="s">
        <v>223</v>
      </c>
    </row>
    <row r="6" spans="1:7" s="3" customFormat="1" ht="15">
      <c r="A6" s="46" t="s">
        <v>202</v>
      </c>
      <c r="B6" s="52">
        <f>IF(864817.21761="","-",864817.21761)</f>
        <v>864817.21761</v>
      </c>
      <c r="C6" s="52">
        <f>IF(831736.70692="","-",864817.21761/831736.70692*100)</f>
        <v>103.97728156215449</v>
      </c>
      <c r="D6" s="52">
        <v>100</v>
      </c>
      <c r="E6" s="52">
        <v>100</v>
      </c>
      <c r="F6" s="52">
        <f>IF(801858.14608="","-",(831736.70692-801858.14608)/801858.14608*100)</f>
        <v>3.72616540544805</v>
      </c>
      <c r="G6" s="52">
        <f>IF(831736.70692="","-",(864817.21761-831736.70692)/831736.70692*100)</f>
        <v>3.9772815621544826</v>
      </c>
    </row>
    <row r="7" spans="1:7" s="3" customFormat="1" ht="15">
      <c r="A7" s="45" t="s">
        <v>209</v>
      </c>
      <c r="B7" s="31"/>
      <c r="C7" s="31"/>
      <c r="D7" s="31"/>
      <c r="E7" s="31"/>
      <c r="F7" s="31"/>
      <c r="G7" s="31"/>
    </row>
    <row r="8" spans="1:7" ht="12.75" customHeight="1">
      <c r="A8" s="47" t="s">
        <v>190</v>
      </c>
      <c r="B8" s="66">
        <f>IF(409564.8431="","-",409564.8431)</f>
        <v>409564.8431</v>
      </c>
      <c r="C8" s="66">
        <f>IF(387532.91074="","-",409564.8431/387532.91074*100)</f>
        <v>105.6851771164234</v>
      </c>
      <c r="D8" s="66">
        <f>IF(387532.91074="","-",387532.91074/831736.70692*100)</f>
        <v>46.59321964700478</v>
      </c>
      <c r="E8" s="66">
        <f>IF(409564.8431="","-",409564.8431/864817.21761*100)</f>
        <v>47.35854406690343</v>
      </c>
      <c r="F8" s="66">
        <f>IF(801858.14608="","-",(387532.91074-387330.29841)/801858.14608*100)</f>
        <v>0.025267852049708852</v>
      </c>
      <c r="G8" s="66">
        <f>IF(831736.70692="","-",(409564.8431-387532.91074)/831736.70692*100)</f>
        <v>2.6489070611764047</v>
      </c>
    </row>
    <row r="9" spans="1:7" ht="15.75">
      <c r="A9" s="48" t="s">
        <v>2</v>
      </c>
      <c r="B9" s="68">
        <f>IF(123108.12989="","-",123108.12989)</f>
        <v>123108.12989</v>
      </c>
      <c r="C9" s="68">
        <f>IF(OR(108721.15427="",123108.12989=""),"-",123108.12989/108721.15427*100)</f>
        <v>113.2329128738563</v>
      </c>
      <c r="D9" s="68">
        <f>IF(108721.15427="","-",108721.15427/831736.70692*100)</f>
        <v>13.071583034083556</v>
      </c>
      <c r="E9" s="68">
        <f>IF(123108.12989="","-",123108.12989/864817.21761*100)</f>
        <v>14.235161764033833</v>
      </c>
      <c r="F9" s="68">
        <f>IF(OR(801858.14608="",109631.81951="",108721.15427=""),"-",(108721.15427-109631.81951)/801858.14608*100)</f>
        <v>-0.11356936940179774</v>
      </c>
      <c r="G9" s="68">
        <f>IF(OR(831736.70692="",123108.12989="",108721.15427=""),"-",(123108.12989-108721.15427)/831736.70692*100)</f>
        <v>1.7297511941340586</v>
      </c>
    </row>
    <row r="10" spans="1:7" s="9" customFormat="1" ht="15.75">
      <c r="A10" s="48" t="s">
        <v>4</v>
      </c>
      <c r="B10" s="68">
        <f>IF(67464.5988="","-",67464.5988)</f>
        <v>67464.5988</v>
      </c>
      <c r="C10" s="68">
        <f>IF(OR(65822.32378="",67464.5988=""),"-",67464.5988/65822.32378*100)</f>
        <v>102.49501221726693</v>
      </c>
      <c r="D10" s="68">
        <f>IF(65822.32378="","-",65822.32378/831736.70692*100)</f>
        <v>7.913841391435797</v>
      </c>
      <c r="E10" s="68">
        <f>IF(67464.5988="","-",67464.5988/864817.21761*100)</f>
        <v>7.801024011344787</v>
      </c>
      <c r="F10" s="68">
        <f>IF(OR(801858.14608="",64292.06489="",65822.32378=""),"-",(65822.32378-64292.06489)/801858.14608*100)</f>
        <v>0.19083910258702208</v>
      </c>
      <c r="G10" s="68">
        <f>IF(OR(831736.70692="",67464.5988="",65822.32378=""),"-",(67464.5988-65822.32378)/831736.70692*100)</f>
        <v>0.19745130957145093</v>
      </c>
    </row>
    <row r="11" spans="1:7" s="9" customFormat="1" ht="15.75">
      <c r="A11" s="48" t="s">
        <v>3</v>
      </c>
      <c r="B11" s="68">
        <f>IF(49898.8165="","-",49898.8165)</f>
        <v>49898.8165</v>
      </c>
      <c r="C11" s="68">
        <f>IF(OR(50454.12397="",49898.8165=""),"-",49898.8165/50454.12397*100)</f>
        <v>98.8993814057099</v>
      </c>
      <c r="D11" s="68">
        <f>IF(50454.12397="","-",50454.12397/831736.70692*100)</f>
        <v>6.066117264060211</v>
      </c>
      <c r="E11" s="68">
        <f>IF(49898.8165="","-",49898.8165/864817.21761*100)</f>
        <v>5.769868532208442</v>
      </c>
      <c r="F11" s="68">
        <f>IF(OR(801858.14608="",52463.70175="",50454.12397=""),"-",(50454.12397-52463.70175)/801858.14608*100)</f>
        <v>-0.25061512311424566</v>
      </c>
      <c r="G11" s="68">
        <f>IF(OR(831736.70692="",49898.8165="",50454.12397=""),"-",(49898.8165-50454.12397)/831736.70692*100)</f>
        <v>-0.06676481455968873</v>
      </c>
    </row>
    <row r="12" spans="1:7" s="9" customFormat="1" ht="15.75">
      <c r="A12" s="48" t="s">
        <v>5</v>
      </c>
      <c r="B12" s="68">
        <f>IF(33573.30661="","-",33573.30661)</f>
        <v>33573.30661</v>
      </c>
      <c r="C12" s="68">
        <f>IF(OR(27285.71681="",33573.30661=""),"-",33573.30661/27285.71681*100)</f>
        <v>123.04352069539783</v>
      </c>
      <c r="D12" s="68">
        <f>IF(27285.71681="","-",27285.71681/831736.70692*100)</f>
        <v>3.2805714336020593</v>
      </c>
      <c r="E12" s="68">
        <f>IF(33573.30661="","-",33573.30661/864817.21761*100)</f>
        <v>3.8821274514842385</v>
      </c>
      <c r="F12" s="68">
        <f>IF(OR(801858.14608="",28120.12196="",27285.71681=""),"-",(27285.71681-28120.12196)/801858.14608*100)</f>
        <v>-0.10405894784247183</v>
      </c>
      <c r="G12" s="68">
        <f>IF(OR(831736.70692="",33573.30661="",27285.71681=""),"-",(33573.30661-27285.71681)/831736.70692*100)</f>
        <v>0.7559591572294001</v>
      </c>
    </row>
    <row r="13" spans="1:7" s="9" customFormat="1" ht="15.75">
      <c r="A13" s="48" t="s">
        <v>192</v>
      </c>
      <c r="B13" s="68">
        <f>IF(21247.35598="","-",21247.35598)</f>
        <v>21247.35598</v>
      </c>
      <c r="C13" s="68">
        <f>IF(OR(21840.53558="",21247.35598=""),"-",21247.35598/21840.53558*100)</f>
        <v>97.28404279360626</v>
      </c>
      <c r="D13" s="68">
        <f>IF(21840.53558="","-",21840.53558/831736.70692*100)</f>
        <v>2.6258953582651867</v>
      </c>
      <c r="E13" s="68">
        <f>IF(21247.35598="","-",21247.35598/864817.21761*100)</f>
        <v>2.4568608889077135</v>
      </c>
      <c r="F13" s="68">
        <f>IF(OR(801858.14608="",21625.66642="",21840.53558=""),"-",(21840.53558-21625.66642)/801858.14608*100)</f>
        <v>0.026796405455306215</v>
      </c>
      <c r="G13" s="68">
        <f>IF(OR(831736.70692="",21247.35598="",21840.53558=""),"-",(21247.35598-21840.53558)/831736.70692*100)</f>
        <v>-0.07131819421516214</v>
      </c>
    </row>
    <row r="14" spans="1:7" s="9" customFormat="1" ht="15.75">
      <c r="A14" s="48" t="s">
        <v>91</v>
      </c>
      <c r="B14" s="68">
        <f>IF(18753.81488="","-",18753.81488)</f>
        <v>18753.81488</v>
      </c>
      <c r="C14" s="68">
        <f>IF(OR(16836.5234="",18753.81488=""),"-",18753.81488/16836.5234*100)</f>
        <v>111.38769230707098</v>
      </c>
      <c r="D14" s="68">
        <f>IF(16836.5234="","-",16836.5234/831736.70692*100)</f>
        <v>2.024261194669073</v>
      </c>
      <c r="E14" s="68">
        <f>IF(18753.81488="","-",18753.81488/864817.21761*100)</f>
        <v>2.1685293144171958</v>
      </c>
      <c r="F14" s="68">
        <f>IF(OR(801858.14608="",17901.4335="",16836.5234=""),"-",(16836.5234-17901.4335)/801858.14608*100)</f>
        <v>-0.13280529794527482</v>
      </c>
      <c r="G14" s="68">
        <f>IF(OR(831736.70692="",18753.81488="",16836.5234=""),"-",(18753.81488-16836.5234)/831736.70692*100)</f>
        <v>0.23051663634035294</v>
      </c>
    </row>
    <row r="15" spans="1:7" s="9" customFormat="1" ht="15.75">
      <c r="A15" s="48" t="s">
        <v>7</v>
      </c>
      <c r="B15" s="68">
        <f>IF(15185.75084="","-",15185.75084)</f>
        <v>15185.75084</v>
      </c>
      <c r="C15" s="68">
        <f>IF(OR(16522.44299="",15185.75084=""),"-",15185.75084/16522.44299*100)</f>
        <v>91.90983953880783</v>
      </c>
      <c r="D15" s="68">
        <f>IF(16522.44299="","-",16522.44299/831736.70692*100)</f>
        <v>1.9864991953023419</v>
      </c>
      <c r="E15" s="68">
        <f>IF(15185.75084="","-",15185.75084/864817.21761*100)</f>
        <v>1.7559491798703066</v>
      </c>
      <c r="F15" s="68">
        <f>IF(OR(801858.14608="",11153.56591="",16522.44299=""),"-",(16522.44299-11153.56591)/801858.14608*100)</f>
        <v>0.6695544724770255</v>
      </c>
      <c r="G15" s="68">
        <f>IF(OR(831736.70692="",15185.75084="",16522.44299=""),"-",(15185.75084-16522.44299)/831736.70692*100)</f>
        <v>-0.1607109724602509</v>
      </c>
    </row>
    <row r="16" spans="1:7" s="9" customFormat="1" ht="15.75">
      <c r="A16" s="48" t="s">
        <v>89</v>
      </c>
      <c r="B16" s="68">
        <f>IF(12232.6195="","-",12232.6195)</f>
        <v>12232.6195</v>
      </c>
      <c r="C16" s="68">
        <f>IF(OR(11070.39357="",12232.6195=""),"-",12232.6195/11070.39357*100)</f>
        <v>110.49850597136448</v>
      </c>
      <c r="D16" s="68">
        <f>IF(11070.39357="","-",11070.39357/831736.70692*100)</f>
        <v>1.33099735503976</v>
      </c>
      <c r="E16" s="68">
        <f>IF(12232.6195="","-",12232.6195/864817.21761*100)</f>
        <v>1.4144745561155618</v>
      </c>
      <c r="F16" s="68">
        <f>IF(OR(801858.14608="",11822.15649="",11070.39357=""),"-",(11070.39357-11822.15649)/801858.14608*100)</f>
        <v>-0.09375260744997123</v>
      </c>
      <c r="G16" s="68">
        <f>IF(OR(831736.70692="",12232.6195="",11070.39357=""),"-",(12232.6195-11070.39357)/831736.70692*100)</f>
        <v>0.1397348367975526</v>
      </c>
    </row>
    <row r="17" spans="1:7" s="9" customFormat="1" ht="15.75">
      <c r="A17" s="48" t="s">
        <v>8</v>
      </c>
      <c r="B17" s="68">
        <f>IF(10140.49179="","-",10140.49179)</f>
        <v>10140.49179</v>
      </c>
      <c r="C17" s="68">
        <f>IF(OR(13792.95707="",10140.49179=""),"-",10140.49179/13792.95707*100)</f>
        <v>73.51934569604225</v>
      </c>
      <c r="D17" s="68">
        <f>IF(13792.95707="","-",13792.95707/831736.70692*100)</f>
        <v>1.6583321326621052</v>
      </c>
      <c r="E17" s="68">
        <f>IF(10140.49179="","-",10140.49179/864817.21761*100)</f>
        <v>1.1725589619994106</v>
      </c>
      <c r="F17" s="68">
        <f>IF(OR(801858.14608="",14689.33633="",13792.95707=""),"-",(13792.95707-14689.33633)/801858.14608*100)</f>
        <v>-0.11178776001492033</v>
      </c>
      <c r="G17" s="68">
        <f>IF(OR(831736.70692="",10140.49179="",13792.95707=""),"-",(10140.49179-13792.95707)/831736.70692*100)</f>
        <v>-0.43913719926170214</v>
      </c>
    </row>
    <row r="18" spans="1:7" s="9" customFormat="1" ht="15.75">
      <c r="A18" s="48" t="s">
        <v>10</v>
      </c>
      <c r="B18" s="68">
        <f>IF(9097.78512="","-",9097.78512)</f>
        <v>9097.78512</v>
      </c>
      <c r="C18" s="68">
        <f>IF(OR(7324.83383="",9097.78512=""),"-",9097.78512/7324.83383*100)</f>
        <v>124.20466226467283</v>
      </c>
      <c r="D18" s="68">
        <f>IF(7324.83383="","-",7324.83383/831736.70692*100)</f>
        <v>0.8806673757521841</v>
      </c>
      <c r="E18" s="68">
        <f>IF(9097.78512="","-",9097.78512/864817.21761*100)</f>
        <v>1.0519893608435023</v>
      </c>
      <c r="F18" s="68">
        <f>IF(OR(801858.14608="",8975.29304="",7324.83383=""),"-",(7324.83383-8975.29304)/801858.14608*100)</f>
        <v>-0.20582932505811788</v>
      </c>
      <c r="G18" s="68">
        <f>IF(OR(831736.70692="",9097.78512="",7324.83383=""),"-",(9097.78512-7324.83383)/831736.70692*100)</f>
        <v>0.21316256397597358</v>
      </c>
    </row>
    <row r="19" spans="1:7" s="9" customFormat="1" ht="25.5">
      <c r="A19" s="48" t="s">
        <v>191</v>
      </c>
      <c r="B19" s="68">
        <f>IF(8524.33398="","-",8524.33398)</f>
        <v>8524.33398</v>
      </c>
      <c r="C19" s="68">
        <f>IF(OR(8928.38886="",8524.33398=""),"-",8524.33398/8928.38886*100)</f>
        <v>95.4744928078771</v>
      </c>
      <c r="D19" s="68">
        <f>IF(8928.38886="","-",8928.38886/831736.70692*100)</f>
        <v>1.073463367158902</v>
      </c>
      <c r="E19" s="68">
        <f>IF(8524.33398="","-",8524.33398/864817.21761*100)</f>
        <v>0.985680419679636</v>
      </c>
      <c r="F19" s="68">
        <f>IF(OR(801858.14608="",6837.1043="",8928.38886=""),"-",(8928.38886-6837.1043)/801858.14608*100)</f>
        <v>0.2608048032215608</v>
      </c>
      <c r="G19" s="68">
        <f>IF(OR(831736.70692="",8524.33398="",8928.38886=""),"-",(8524.33398-8928.38886)/831736.70692*100)</f>
        <v>-0.048579661885580744</v>
      </c>
    </row>
    <row r="20" spans="1:7" s="9" customFormat="1" ht="15.75" customHeight="1">
      <c r="A20" s="48" t="s">
        <v>6</v>
      </c>
      <c r="B20" s="68">
        <f>IF(8432.96019="","-",8432.96019)</f>
        <v>8432.96019</v>
      </c>
      <c r="C20" s="68">
        <f>IF(OR(5870.17023="",8432.96019=""),"-",8432.96019/5870.17023*100)</f>
        <v>143.6578473806883</v>
      </c>
      <c r="D20" s="68">
        <f>IF(5870.17023="","-",5870.17023/831736.70692*100)</f>
        <v>0.7057726539132555</v>
      </c>
      <c r="E20" s="68">
        <f>IF(8432.96019="","-",8432.96019/864817.21761*100)</f>
        <v>0.9751147431251707</v>
      </c>
      <c r="F20" s="68">
        <f>IF(OR(801858.14608="",9209.15099="",5870.17023=""),"-",(5870.17023-9209.15099)/801858.14608*100)</f>
        <v>-0.4164054173825</v>
      </c>
      <c r="G20" s="68">
        <f>IF(OR(831736.70692="",8432.96019="",5870.17023=""),"-",(8432.96019-5870.17023)/831736.70692*100)</f>
        <v>0.3081251481000826</v>
      </c>
    </row>
    <row r="21" spans="1:7" s="9" customFormat="1" ht="15.75">
      <c r="A21" s="48" t="s">
        <v>90</v>
      </c>
      <c r="B21" s="68">
        <f>IF(4818.28868="","-",4818.28868)</f>
        <v>4818.28868</v>
      </c>
      <c r="C21" s="68">
        <f>IF(OR(5653.41477="",4818.28868=""),"-",4818.28868/5653.41477*100)</f>
        <v>85.22793525726044</v>
      </c>
      <c r="D21" s="68">
        <f>IF(5653.41477="","-",5653.41477/831736.70692*100)</f>
        <v>0.6797120678892641</v>
      </c>
      <c r="E21" s="68">
        <f>IF(4818.28868="","-",4818.28868/864817.21761*100)</f>
        <v>0.5571453229522618</v>
      </c>
      <c r="F21" s="68">
        <f>IF(OR(801858.14608="",5388.70028="",5653.41477=""),"-",(5653.41477-5388.70028)/801858.14608*100)</f>
        <v>0.033012633380866116</v>
      </c>
      <c r="G21" s="68">
        <f>IF(OR(831736.70692="",4818.28868="",5653.41477=""),"-",(4818.28868-5653.41477)/831736.70692*100)</f>
        <v>-0.10040750673281594</v>
      </c>
    </row>
    <row r="22" spans="1:7" s="9" customFormat="1" ht="15.75">
      <c r="A22" s="48" t="s">
        <v>101</v>
      </c>
      <c r="B22" s="68">
        <f>IF(4343.14568="","-",4343.14568)</f>
        <v>4343.14568</v>
      </c>
      <c r="C22" s="68">
        <f>IF(OR(3741.18556="",4343.14568=""),"-",4343.14568/3741.18556*100)</f>
        <v>116.0900899018759</v>
      </c>
      <c r="D22" s="68">
        <f>IF(3741.18556="","-",3741.18556/831736.70692*100)</f>
        <v>0.44980407007092005</v>
      </c>
      <c r="E22" s="68">
        <f>IF(4343.14568="","-",4343.14568/864817.21761*100)</f>
        <v>0.5022038867360518</v>
      </c>
      <c r="F22" s="68">
        <f>IF(OR(801858.14608="",2153.89917="",3741.18556=""),"-",(3741.18556-2153.89917)/801858.14608*100)</f>
        <v>0.19795102135704173</v>
      </c>
      <c r="G22" s="68">
        <f>IF(OR(831736.70692="",4343.14568="",3741.18556=""),"-",(4343.14568-3741.18556)/831736.70692*100)</f>
        <v>0.07237387925670796</v>
      </c>
    </row>
    <row r="23" spans="1:7" s="9" customFormat="1" ht="15.75">
      <c r="A23" s="48" t="s">
        <v>93</v>
      </c>
      <c r="B23" s="68">
        <f>IF(3550.11235="","-",3550.11235)</f>
        <v>3550.11235</v>
      </c>
      <c r="C23" s="68">
        <f>IF(OR(5379.73784="",3550.11235=""),"-",3550.11235/5379.73784*100)</f>
        <v>65.9904340245695</v>
      </c>
      <c r="D23" s="68">
        <f>IF(5379.73784="","-",5379.73784/831736.70692*100)</f>
        <v>0.6468077932885371</v>
      </c>
      <c r="E23" s="68">
        <f>IF(3550.11235="","-",3550.11235/864817.21761*100)</f>
        <v>0.4105043560315617</v>
      </c>
      <c r="F23" s="68">
        <f>IF(OR(801858.14608="",4499.45642="",5379.73784=""),"-",(5379.73784-4499.45642)/801858.14608*100)</f>
        <v>0.10978019295599638</v>
      </c>
      <c r="G23" s="68">
        <f>IF(OR(831736.70692="",3550.11235="",5379.73784=""),"-",(3550.11235-5379.73784)/831736.70692*100)</f>
        <v>-0.2199765231926912</v>
      </c>
    </row>
    <row r="24" spans="1:7" s="9" customFormat="1" ht="15.75">
      <c r="A24" s="48" t="s">
        <v>100</v>
      </c>
      <c r="B24" s="68">
        <f>IF(3047.37709="","-",3047.37709)</f>
        <v>3047.37709</v>
      </c>
      <c r="C24" s="68">
        <f>IF(OR(2556.1463="",3047.37709=""),"-",3047.37709/2556.1463*100)</f>
        <v>119.21763202677407</v>
      </c>
      <c r="D24" s="68">
        <f>IF(2556.1463="","-",2556.1463/831736.70692*100)</f>
        <v>0.3073263784961051</v>
      </c>
      <c r="E24" s="68">
        <f>IF(3047.37709="","-",3047.37709/864817.21761*100)</f>
        <v>0.3523723889796852</v>
      </c>
      <c r="F24" s="68">
        <f>IF(OR(801858.14608="",2680.94976="",2556.1463=""),"-",(2556.1463-2680.94976)/801858.14608*100)</f>
        <v>-0.015564281613913874</v>
      </c>
      <c r="G24" s="68">
        <f>IF(OR(831736.70692="",3047.37709="",2556.1463=""),"-",(3047.37709-2556.1463)/831736.70692*100)</f>
        <v>0.05906085254059236</v>
      </c>
    </row>
    <row r="25" spans="1:7" s="9" customFormat="1" ht="15.75">
      <c r="A25" s="48" t="s">
        <v>99</v>
      </c>
      <c r="B25" s="68">
        <f>IF(3046.90146="","-",3046.90146)</f>
        <v>3046.90146</v>
      </c>
      <c r="C25" s="68">
        <f>IF(OR(3818.19713="",3046.90146=""),"-",3046.90146/3818.19713*100)</f>
        <v>79.79948012794196</v>
      </c>
      <c r="D25" s="68">
        <f>IF(3818.19713="","-",3818.19713/831736.70692*100)</f>
        <v>0.4590631985137636</v>
      </c>
      <c r="E25" s="68">
        <f>IF(3046.90146="","-",3046.90146/864817.21761*100)</f>
        <v>0.3523173912309916</v>
      </c>
      <c r="F25" s="68">
        <f>IF(OR(801858.14608="",3475.33078="",3818.19713=""),"-",(3818.19713-3475.33078)/801858.14608*100)</f>
        <v>0.04275897821530556</v>
      </c>
      <c r="G25" s="68">
        <f>IF(OR(831736.70692="",3046.90146="",3818.19713=""),"-",(3046.90146-3818.19713)/831736.70692*100)</f>
        <v>-0.09273315264107809</v>
      </c>
    </row>
    <row r="26" spans="1:7" s="9" customFormat="1" ht="15.75">
      <c r="A26" s="48" t="s">
        <v>92</v>
      </c>
      <c r="B26" s="68">
        <f>IF(2750.52304="","-",2750.52304)</f>
        <v>2750.52304</v>
      </c>
      <c r="C26" s="68">
        <f>IF(OR(2007.75878="",2750.52304=""),"-",2750.52304/2007.75878*100)</f>
        <v>136.99469614571927</v>
      </c>
      <c r="D26" s="68">
        <f>IF(2007.75878="","-",2007.75878/831736.70692*100)</f>
        <v>0.24139355198532975</v>
      </c>
      <c r="E26" s="68">
        <f>IF(2750.52304="","-",2750.52304/864817.21761*100)</f>
        <v>0.3180467483754911</v>
      </c>
      <c r="F26" s="68">
        <f>IF(OR(801858.14608="",1376.63036="",2007.75878=""),"-",(2007.75878-1376.63036)/801858.14608*100)</f>
        <v>0.0787082382445527</v>
      </c>
      <c r="G26" s="68">
        <f>IF(OR(831736.70692="",2750.52304="",2007.75878=""),"-",(2750.52304-2007.75878)/831736.70692*100)</f>
        <v>0.08930281107233162</v>
      </c>
    </row>
    <row r="27" spans="1:7" s="9" customFormat="1" ht="15.75">
      <c r="A27" s="48" t="s">
        <v>9</v>
      </c>
      <c r="B27" s="68">
        <f>IF(2360.8408="","-",2360.8408)</f>
        <v>2360.8408</v>
      </c>
      <c r="C27" s="68">
        <f>IF(OR(2698.89543="",2360.8408=""),"-",2360.8408/2698.89543*100)</f>
        <v>87.47433389814587</v>
      </c>
      <c r="D27" s="68">
        <f>IF(2698.89543="","-",2698.89543/831736.70692*100)</f>
        <v>0.32448915715097704</v>
      </c>
      <c r="E27" s="68">
        <f>IF(2360.8408="","-",2360.8408/864817.21761*100)</f>
        <v>0.27298725695175163</v>
      </c>
      <c r="F27" s="68">
        <f>IF(OR(801858.14608="",3064.73268="",2698.89543=""),"-",(2698.89543-3064.73268)/801858.14608*100)</f>
        <v>-0.045623686906274954</v>
      </c>
      <c r="G27" s="68">
        <f>IF(OR(831736.70692="",2360.8408="",2698.89543=""),"-",(2360.8408-2698.89543)/831736.70692*100)</f>
        <v>-0.04064442836145209</v>
      </c>
    </row>
    <row r="28" spans="1:7" s="9" customFormat="1" ht="15.75">
      <c r="A28" s="48" t="s">
        <v>97</v>
      </c>
      <c r="B28" s="68">
        <f>IF(1790.05525="","-",1790.05525)</f>
        <v>1790.05525</v>
      </c>
      <c r="C28" s="68">
        <f>IF(OR(1914.92182="",1790.05525=""),"-",1790.05525/1914.92182*100)</f>
        <v>93.47928627185416</v>
      </c>
      <c r="D28" s="68">
        <f>IF(1914.92182="","-",1914.92182/831736.70692*100)</f>
        <v>0.2302317312760113</v>
      </c>
      <c r="E28" s="68">
        <f>IF(1790.05525="","-",1790.05525/864817.21761*100)</f>
        <v>0.20698654161245522</v>
      </c>
      <c r="F28" s="68">
        <f>IF(OR(801858.14608="",2767.41739="",1914.92182=""),"-",(1914.92182-2767.41739)/801858.14608*100)</f>
        <v>-0.10631501022563011</v>
      </c>
      <c r="G28" s="68">
        <f>IF(OR(831736.70692="",1790.05525="",1914.92182=""),"-",(1790.05525-1914.92182)/831736.70692*100)</f>
        <v>-0.015012752107862704</v>
      </c>
    </row>
    <row r="29" spans="1:7" s="9" customFormat="1" ht="15.75">
      <c r="A29" s="48" t="s">
        <v>94</v>
      </c>
      <c r="B29" s="68">
        <f>IF(1584.50871="","-",1584.50871)</f>
        <v>1584.50871</v>
      </c>
      <c r="C29" s="68">
        <f>IF(OR(1503.03637="",1584.50871=""),"-",1584.50871/1503.03637*100)</f>
        <v>105.42051687012737</v>
      </c>
      <c r="D29" s="68">
        <f>IF(1503.03637="","-",1503.03637/831736.70692*100)</f>
        <v>0.1807105971751429</v>
      </c>
      <c r="E29" s="68">
        <f>IF(1584.50871="","-",1584.50871/864817.21761*100)</f>
        <v>0.18321891351549777</v>
      </c>
      <c r="F29" s="68">
        <f>IF(OR(801858.14608="",1894.09198="",1503.03637=""),"-",(1503.03637-1894.09198)/801858.14608*100)</f>
        <v>-0.0487686770922927</v>
      </c>
      <c r="G29" s="68">
        <f>IF(OR(831736.70692="",1584.50871="",1503.03637=""),"-",(1584.50871-1503.03637)/831736.70692*100)</f>
        <v>0.009795448405986534</v>
      </c>
    </row>
    <row r="30" spans="1:7" s="9" customFormat="1" ht="15.75">
      <c r="A30" s="48" t="s">
        <v>102</v>
      </c>
      <c r="B30" s="68">
        <f>IF(1540.55744="","-",1540.55744)</f>
        <v>1540.55744</v>
      </c>
      <c r="C30" s="68" t="s">
        <v>155</v>
      </c>
      <c r="D30" s="68">
        <f>IF(839.60604="","-",839.60604/831736.70692*100)</f>
        <v>0.10094613271417836</v>
      </c>
      <c r="E30" s="68">
        <f>IF(1540.55744="","-",1540.55744/864817.21761*100)</f>
        <v>0.17813676793547992</v>
      </c>
      <c r="F30" s="68">
        <f>IF(OR(801858.14608="",846.82887="",839.60604=""),"-",(839.60604-846.82887)/801858.14608*100)</f>
        <v>-0.0009007615667820921</v>
      </c>
      <c r="G30" s="68">
        <f>IF(OR(831736.70692="",1540.55744="",839.60604=""),"-",(1540.55744-839.60604)/831736.70692*100)</f>
        <v>0.08427563604781729</v>
      </c>
    </row>
    <row r="31" spans="1:7" s="9" customFormat="1" ht="15.75">
      <c r="A31" s="48" t="s">
        <v>98</v>
      </c>
      <c r="B31" s="68">
        <f>IF(1483.04315="","-",1483.04315)</f>
        <v>1483.04315</v>
      </c>
      <c r="C31" s="68">
        <f>IF(OR(1665.7784="",1483.04315=""),"-",1483.04315/1665.7784*100)</f>
        <v>89.03003844929194</v>
      </c>
      <c r="D31" s="68">
        <f>IF(1665.7784="","-",1665.7784/831736.70692*100)</f>
        <v>0.20027712930556302</v>
      </c>
      <c r="E31" s="68">
        <f>IF(1483.04315="","-",1483.04315/864817.21761*100)</f>
        <v>0.17148631176637796</v>
      </c>
      <c r="F31" s="68">
        <f>IF(OR(801858.14608="",1105.32506="",1665.7784=""),"-",(1665.7784-1105.32506)/801858.14608*100)</f>
        <v>0.06989432516709565</v>
      </c>
      <c r="G31" s="68">
        <f>IF(OR(831736.70692="",1483.04315="",1665.7784=""),"-",(1483.04315-1665.7784)/831736.70692*100)</f>
        <v>-0.021970324079682132</v>
      </c>
    </row>
    <row r="32" spans="1:7" s="9" customFormat="1" ht="15.75">
      <c r="A32" s="48" t="s">
        <v>193</v>
      </c>
      <c r="B32" s="68">
        <f>IF(902.53267="","-",902.53267)</f>
        <v>902.53267</v>
      </c>
      <c r="C32" s="68" t="s">
        <v>248</v>
      </c>
      <c r="D32" s="68">
        <f>IF(345.05117="","-",345.05117/831736.70692*100)</f>
        <v>0.0414856248532973</v>
      </c>
      <c r="E32" s="68">
        <f>IF(902.53267="","-",902.53267/864817.21761*100)</f>
        <v>0.10436108944433715</v>
      </c>
      <c r="F32" s="68">
        <f>IF(OR(801858.14608="",456.31259="",345.05117=""),"-",(345.05117-456.31259)/801858.14608*100)</f>
        <v>-0.013875449235493536</v>
      </c>
      <c r="G32" s="68">
        <f>IF(OR(831736.70692="",902.53267="",345.05117=""),"-",(902.53267-345.05117)/831736.70692*100)</f>
        <v>0.06702619895957304</v>
      </c>
    </row>
    <row r="33" spans="1:7" s="9" customFormat="1" ht="15.75">
      <c r="A33" s="48" t="s">
        <v>95</v>
      </c>
      <c r="B33" s="68">
        <f>IF(443.50322="","-",443.50322)</f>
        <v>443.50322</v>
      </c>
      <c r="C33" s="68">
        <f>IF(OR(673.92447="",443.50322=""),"-",443.50322/673.92447*100)</f>
        <v>65.8090394017003</v>
      </c>
      <c r="D33" s="68">
        <f>IF(673.92447="","-",673.92447/831736.70692*100)</f>
        <v>0.08102617864439413</v>
      </c>
      <c r="E33" s="68">
        <f>IF(443.50322="","-",443.50322/864817.21761*100)</f>
        <v>0.0512828850963052</v>
      </c>
      <c r="F33" s="68">
        <f>IF(OR(801858.14608="",589.06765="",673.92447=""),"-",(673.92447-589.06765)/801858.14608*100)</f>
        <v>0.010582522658756411</v>
      </c>
      <c r="G33" s="68">
        <f>IF(OR(831736.70692="",443.50322="",673.92447=""),"-",(443.50322-673.92447)/831736.70692*100)</f>
        <v>-0.027703628814612715</v>
      </c>
    </row>
    <row r="34" spans="1:7" s="9" customFormat="1" ht="15.75">
      <c r="A34" s="48" t="s">
        <v>96</v>
      </c>
      <c r="B34" s="68">
        <f>IF(126.9544="","-",126.9544)</f>
        <v>126.9544</v>
      </c>
      <c r="C34" s="68">
        <f>IF(OR(95.67696="",126.9544=""),"-",126.9544/95.67696*100)</f>
        <v>132.69067077382059</v>
      </c>
      <c r="D34" s="68">
        <f>IF(95.67696="","-",95.67696/831736.70692*100)</f>
        <v>0.011503274919090785</v>
      </c>
      <c r="E34" s="68">
        <f>IF(126.9544="","-",126.9544/864817.21761*100)</f>
        <v>0.01467991124770271</v>
      </c>
      <c r="F34" s="68">
        <f>IF(OR(801858.14608="",86.96612="",95.67696=""),"-",(95.67696-86.96612)/801858.14608*100)</f>
        <v>0.0010863317960395113</v>
      </c>
      <c r="G34" s="68">
        <f>IF(OR(831736.70692="",126.9544="",95.67696=""),"-",(126.9544-95.67696)/831736.70692*100)</f>
        <v>0.0037604977320074453</v>
      </c>
    </row>
    <row r="35" spans="1:7" s="9" customFormat="1" ht="15.75">
      <c r="A35" s="48" t="s">
        <v>103</v>
      </c>
      <c r="B35" s="68">
        <f>IF(115.63382="","-",115.63382)</f>
        <v>115.63382</v>
      </c>
      <c r="C35" s="68">
        <f>IF(OR(161.24184="",115.63382=""),"-",115.63382/161.24184*100)</f>
        <v>71.71452521256269</v>
      </c>
      <c r="D35" s="68">
        <f>IF(161.24184="","-",161.24184/831736.70692*100)</f>
        <v>0.01938616375332211</v>
      </c>
      <c r="E35" s="68">
        <f>IF(115.63382="","-",115.63382/864817.21761*100)</f>
        <v>0.013370897068812348</v>
      </c>
      <c r="F35" s="68">
        <f>IF(OR(801858.14608="",188.22676="",161.24184=""),"-",(161.24184-188.22676)/801858.14608*100)</f>
        <v>-0.0033652984797772176</v>
      </c>
      <c r="G35" s="68">
        <f>IF(OR(831736.70692="",115.63382="",161.24184=""),"-",(115.63382-161.24184)/831736.70692*100)</f>
        <v>-0.005483468460697235</v>
      </c>
    </row>
    <row r="36" spans="1:7" s="9" customFormat="1" ht="15.75">
      <c r="A36" s="48" t="s">
        <v>104</v>
      </c>
      <c r="B36" s="68">
        <f>IF(0.90126="","-",0.90126)</f>
        <v>0.90126</v>
      </c>
      <c r="C36" s="68">
        <f>IF(OR(8.7735="",0.90126=""),"-",0.90126/8.7735*100)</f>
        <v>10.27252521798598</v>
      </c>
      <c r="D36" s="68">
        <f>IF(8.7735="","-",8.7735/831736.70692*100)</f>
        <v>0.001054841024449805</v>
      </c>
      <c r="E36" s="68">
        <f>IF(0.90126="","-",0.90126/864817.21761*100)</f>
        <v>0.00010421392886819631</v>
      </c>
      <c r="F36" s="68">
        <f>IF(OR(801858.14608="",34.94745="",8.7735=""),"-",(8.7735-34.94745)/801858.14608*100)</f>
        <v>-0.0032641621373998833</v>
      </c>
      <c r="G36" s="68">
        <f>IF(OR(831736.70692="",0.90126="",8.7735=""),"-",(0.90126-8.7735)/831736.70692*100)</f>
        <v>-0.0009464822142035372</v>
      </c>
    </row>
    <row r="37" spans="1:7" s="9" customFormat="1" ht="15.75">
      <c r="A37" s="47" t="s">
        <v>194</v>
      </c>
      <c r="B37" s="66">
        <f>IF(221050.38652="","-",221050.38652)</f>
        <v>221050.38652</v>
      </c>
      <c r="C37" s="66">
        <f>IF(225754.50583="","-",221050.38652/225754.50583*100)</f>
        <v>97.91626780927139</v>
      </c>
      <c r="D37" s="66">
        <f>IF(225754.50583="","-",225754.50583/831736.70692*100)</f>
        <v>27.142544503775767</v>
      </c>
      <c r="E37" s="66">
        <f>IF(221050.38652="","-",221050.38652/864817.21761*100)</f>
        <v>25.56035911621794</v>
      </c>
      <c r="F37" s="66">
        <f>IF(801858.14608="","-",(225754.50583-198468.78695)/801858.14608*100)</f>
        <v>3.402811209612348</v>
      </c>
      <c r="G37" s="66">
        <f>IF(831736.70692="","-",(221050.38652-225754.50583)/831736.70692*100)</f>
        <v>-0.565577937208015</v>
      </c>
    </row>
    <row r="38" spans="1:7" s="9" customFormat="1" ht="15.75">
      <c r="A38" s="48" t="s">
        <v>195</v>
      </c>
      <c r="B38" s="68">
        <f>IF(125889.3367="","-",125889.3367)</f>
        <v>125889.3367</v>
      </c>
      <c r="C38" s="68">
        <f>IF(OR(133602.29907="",125889.3367=""),"-",125889.3367/133602.29907*100)</f>
        <v>94.22692391995527</v>
      </c>
      <c r="D38" s="68">
        <f>IF(133602.29907="","-",133602.29907/831736.70692*100)</f>
        <v>16.063051919969002</v>
      </c>
      <c r="E38" s="68">
        <f>IF(125889.3367="","-",125889.3367/864817.21761*100)</f>
        <v>14.556756518782832</v>
      </c>
      <c r="F38" s="68">
        <f>IF(OR(801858.14608="",122931.65808="",133602.29907=""),"-",(133602.29907-122931.65808)/801858.14608*100)</f>
        <v>1.3307392388747303</v>
      </c>
      <c r="G38" s="68">
        <f>IF(OR(831736.70692="",125889.3367="",133602.29907=""),"-",(125889.3367-133602.29907)/831736.70692*100)</f>
        <v>-0.927332208116898</v>
      </c>
    </row>
    <row r="39" spans="1:7" s="9" customFormat="1" ht="15.75">
      <c r="A39" s="48" t="s">
        <v>12</v>
      </c>
      <c r="B39" s="68">
        <f>IF(75005.04084="","-",75005.04084)</f>
        <v>75005.04084</v>
      </c>
      <c r="C39" s="68">
        <f>IF(OR(71814.81665="",75005.04084=""),"-",75005.04084/71814.81665*100)</f>
        <v>104.44229246667582</v>
      </c>
      <c r="D39" s="68">
        <f>IF(71814.81665="","-",71814.81665/831736.70692*100)</f>
        <v>8.634320939848509</v>
      </c>
      <c r="E39" s="68">
        <f>IF(75005.04084="","-",75005.04084/864817.21761*100)</f>
        <v>8.672935657696913</v>
      </c>
      <c r="F39" s="68">
        <f>IF(OR(801858.14608="",62847.25821="",71814.81665=""),"-",(71814.81665-62847.25821)/801858.14608*100)</f>
        <v>1.1183472393264575</v>
      </c>
      <c r="G39" s="68">
        <f>IF(OR(831736.70692="",75005.04084="",71814.81665=""),"-",(75005.04084-71814.81665)/831736.70692*100)</f>
        <v>0.38356178865950397</v>
      </c>
    </row>
    <row r="40" spans="1:7" s="9" customFormat="1" ht="15.75">
      <c r="A40" s="48" t="s">
        <v>11</v>
      </c>
      <c r="B40" s="68">
        <f>IF(14656.10151="","-",14656.10151)</f>
        <v>14656.10151</v>
      </c>
      <c r="C40" s="68">
        <f>IF(OR(16080.80234="",14656.10151=""),"-",14656.10151/16080.80234*100)</f>
        <v>91.14036227871452</v>
      </c>
      <c r="D40" s="68">
        <f>IF(16080.80234="","-",16080.80234/831736.70692*100)</f>
        <v>1.9334005829259042</v>
      </c>
      <c r="E40" s="68">
        <f>IF(14656.10151="","-",14656.10151/864817.21761*100)</f>
        <v>1.694705102021841</v>
      </c>
      <c r="F40" s="68">
        <f>IF(OR(801858.14608="",11355.32414="",16080.80234=""),"-",(16080.80234-11355.32414)/801858.14608*100)</f>
        <v>0.5893159810249713</v>
      </c>
      <c r="G40" s="68">
        <f>IF(OR(831736.70692="",14656.10151="",16080.80234=""),"-",(14656.10151-16080.80234)/831736.70692*100)</f>
        <v>-0.17129228734845695</v>
      </c>
    </row>
    <row r="41" spans="1:7" s="9" customFormat="1" ht="15.75">
      <c r="A41" s="48" t="s">
        <v>13</v>
      </c>
      <c r="B41" s="68">
        <f>IF(2000.42767="","-",2000.42767)</f>
        <v>2000.42767</v>
      </c>
      <c r="C41" s="68" t="s">
        <v>155</v>
      </c>
      <c r="D41" s="68">
        <f>IF(1095.81412="","-",1095.81412/831736.70692*100)</f>
        <v>0.1317501212682922</v>
      </c>
      <c r="E41" s="68">
        <f>IF(2000.42767="","-",2000.42767/864817.21761*100)</f>
        <v>0.23131219282709953</v>
      </c>
      <c r="F41" s="68">
        <f>IF(OR(801858.14608="",269.38437="",1095.81412=""),"-",(1095.81412-269.38437)/801858.14608*100)</f>
        <v>0.10306433301702077</v>
      </c>
      <c r="G41" s="68">
        <f>IF(OR(831736.70692="",2000.42767="",1095.81412=""),"-",(2000.42767-1095.81412)/831736.70692*100)</f>
        <v>0.10876200875513478</v>
      </c>
    </row>
    <row r="42" spans="1:7" s="9" customFormat="1" ht="15.75">
      <c r="A42" s="48" t="s">
        <v>14</v>
      </c>
      <c r="B42" s="68">
        <f>IF(1216.7106="","-",1216.7106)</f>
        <v>1216.7106</v>
      </c>
      <c r="C42" s="68" t="s">
        <v>249</v>
      </c>
      <c r="D42" s="68">
        <f>IF(48.80784="","-",48.80784/831736.70692*100)</f>
        <v>0.005868183957004863</v>
      </c>
      <c r="E42" s="68">
        <f>IF(1216.7106="","-",1216.7106/864817.21761*100)</f>
        <v>0.14068991403322068</v>
      </c>
      <c r="F42" s="68">
        <f>IF(OR(801858.14608="",149.26807="",48.80784=""),"-",(48.80784-149.26807)/801858.14608*100)</f>
        <v>-0.012528429185525448</v>
      </c>
      <c r="G42" s="68">
        <f>IF(OR(831736.70692="",1216.7106="",48.80784=""),"-",(1216.7106-48.80784)/831736.70692*100)</f>
        <v>0.1404173640868701</v>
      </c>
    </row>
    <row r="43" spans="1:7" s="9" customFormat="1" ht="15.75">
      <c r="A43" s="48" t="s">
        <v>16</v>
      </c>
      <c r="B43" s="68">
        <f>IF(1083.03606="","-",1083.03606)</f>
        <v>1083.03606</v>
      </c>
      <c r="C43" s="68">
        <f>IF(OR(1913.95741="",1083.03606=""),"-",1083.03606/1913.95741*100)</f>
        <v>56.586215259617504</v>
      </c>
      <c r="D43" s="68">
        <f>IF(1913.95741="","-",1913.95741/831736.70692*100)</f>
        <v>0.2301157799188118</v>
      </c>
      <c r="E43" s="68">
        <f>IF(1083.03606="","-",1083.03606/864817.21761*100)</f>
        <v>0.1252329437881761</v>
      </c>
      <c r="F43" s="68">
        <f>IF(OR(801858.14608="",0.918="",1913.95741=""),"-",(1913.95741-0.918)/801858.14608*100)</f>
        <v>0.2385757904128269</v>
      </c>
      <c r="G43" s="68">
        <f>IF(OR(831736.70692="",1083.03606="",1913.95741=""),"-",(1083.03606-1913.95741)/831736.70692*100)</f>
        <v>-0.09990196934760529</v>
      </c>
    </row>
    <row r="44" spans="1:7" s="9" customFormat="1" ht="15.75">
      <c r="A44" s="48" t="s">
        <v>15</v>
      </c>
      <c r="B44" s="68">
        <f>IF(1065.94329="","-",1065.94329)</f>
        <v>1065.94329</v>
      </c>
      <c r="C44" s="68">
        <f>IF(OR(995.68571="",1065.94329=""),"-",1065.94329/995.68571*100)</f>
        <v>107.05620049523459</v>
      </c>
      <c r="D44" s="68">
        <f>IF(995.68571="","-",995.68571/831736.70692*100)</f>
        <v>0.11971164693297218</v>
      </c>
      <c r="E44" s="68">
        <f>IF(1065.94329="","-",1065.94329/864817.21761*100)</f>
        <v>0.1232564833694951</v>
      </c>
      <c r="F44" s="68">
        <f>IF(OR(801858.14608="",697.81339="",995.68571=""),"-",(995.68571-697.81339)/801858.14608*100)</f>
        <v>0.0371477575499098</v>
      </c>
      <c r="G44" s="68">
        <f>IF(OR(831736.70692="",1065.94329="",995.68571=""),"-",(1065.94329-995.68571)/831736.70692*100)</f>
        <v>0.008447093823737857</v>
      </c>
    </row>
    <row r="45" spans="1:7" s="9" customFormat="1" ht="15.75">
      <c r="A45" s="48" t="s">
        <v>17</v>
      </c>
      <c r="B45" s="68">
        <f>IF(117.36413="","-",117.36413)</f>
        <v>117.36413</v>
      </c>
      <c r="C45" s="68">
        <f>IF(OR(160.87978="",117.36413=""),"-",117.36413/160.87978*100)</f>
        <v>72.95144859099135</v>
      </c>
      <c r="D45" s="68">
        <f>IF(160.87978="","-",160.87978/831736.70692*100)</f>
        <v>0.019342633150790364</v>
      </c>
      <c r="E45" s="68">
        <f>IF(117.36413="","-",117.36413/864817.21761*100)</f>
        <v>0.01357097518529364</v>
      </c>
      <c r="F45" s="68">
        <f>IF(OR(801858.14608="",190.04003="",160.87978=""),"-",(160.87978-190.04003)/801858.14608*100)</f>
        <v>-0.003636584618183915</v>
      </c>
      <c r="G45" s="68">
        <f>IF(OR(831736.70692="",117.36413="",160.87978=""),"-",(117.36413-160.87978)/831736.70692*100)</f>
        <v>-0.00523190207164748</v>
      </c>
    </row>
    <row r="46" spans="1:7" s="9" customFormat="1" ht="15.75">
      <c r="A46" s="48" t="s">
        <v>197</v>
      </c>
      <c r="B46" s="68">
        <f>IF(16.24021="","-",16.24021)</f>
        <v>16.24021</v>
      </c>
      <c r="C46" s="68">
        <f>IF(OR(41.44291="",16.24021=""),"-",16.24021/41.44291*100)</f>
        <v>39.186944160050544</v>
      </c>
      <c r="D46" s="68">
        <f>IF(41.44291="","-",41.44291/831736.70692*100)</f>
        <v>0.00498269580447724</v>
      </c>
      <c r="E46" s="68">
        <f>IF(16.24021="","-",16.24021/864817.21761*100)</f>
        <v>0.0018778777375502858</v>
      </c>
      <c r="F46" s="68">
        <f>IF(OR(801858.14608="",27.12266="",41.44291=""),"-",(41.44291-27.12266)/801858.14608*100)</f>
        <v>0.0017858832101421706</v>
      </c>
      <c r="G46" s="68">
        <f>IF(OR(831736.70692="",16.24021="",41.44291=""),"-",(16.24021-41.44291)/831736.70692*100)</f>
        <v>-0.0030301295819115627</v>
      </c>
    </row>
    <row r="47" spans="1:7" s="9" customFormat="1" ht="15.75">
      <c r="A47" s="48" t="s">
        <v>18</v>
      </c>
      <c r="B47" s="68">
        <f>IF(0.18551="","-",0.18551)</f>
        <v>0.18551</v>
      </c>
      <c r="C47" s="68" t="str">
        <f>IF(OR(""="",0.18551=""),"-",0.18551/""*100)</f>
        <v>-</v>
      </c>
      <c r="D47" s="68" t="str">
        <f>IF(""="","-",""/831736.70692*100)</f>
        <v>-</v>
      </c>
      <c r="E47" s="68">
        <f>IF(0.18551="","-",0.18551/864817.21761*100)</f>
        <v>2.1450775519094492E-05</v>
      </c>
      <c r="F47" s="68" t="str">
        <f>IF(OR(801858.14608="",""="",""=""),"-",(""-"")/801858.14608*100)</f>
        <v>-</v>
      </c>
      <c r="G47" s="68" t="str">
        <f>IF(OR(831736.70692="",0.18551="",""=""),"-",(0.18551-"")/831736.70692*100)</f>
        <v>-</v>
      </c>
    </row>
    <row r="48" spans="1:7" s="9" customFormat="1" ht="15.75">
      <c r="A48" s="47" t="s">
        <v>198</v>
      </c>
      <c r="B48" s="66">
        <f>IF(234201.98799="","-",234201.98799)</f>
        <v>234201.98799</v>
      </c>
      <c r="C48" s="66">
        <f>IF(218449.29035="","-",234201.98799/218449.29035*100)</f>
        <v>107.21114617253322</v>
      </c>
      <c r="D48" s="66">
        <f>IF(218449.29035="","-",218449.29035/831736.70692*100)</f>
        <v>26.264235849219453</v>
      </c>
      <c r="E48" s="66">
        <f>IF(234201.98799="","-",234201.98799/864817.21761*100)</f>
        <v>27.081096816878624</v>
      </c>
      <c r="F48" s="66">
        <f>IF(801858.14608="","-",(218449.29035-216059.06072)/801858.14608*100)</f>
        <v>0.298086343785989</v>
      </c>
      <c r="G48" s="66">
        <f>IF(831736.70692="","-",(234201.98799-218449.29035)/831736.70692*100)</f>
        <v>1.8939524381860857</v>
      </c>
    </row>
    <row r="49" spans="1:7" s="9" customFormat="1" ht="15.75">
      <c r="A49" s="48" t="s">
        <v>108</v>
      </c>
      <c r="B49" s="68">
        <f>IF(92683.56971="","-",92683.56971)</f>
        <v>92683.56971</v>
      </c>
      <c r="C49" s="68">
        <f>IF(OR(94761.84671="",92683.56971=""),"-",92683.56971/94761.84671*100)</f>
        <v>97.80684202328796</v>
      </c>
      <c r="D49" s="68">
        <f>IF(94761.84671="","-",94761.84671/831736.70692*100)</f>
        <v>11.39325052286223</v>
      </c>
      <c r="E49" s="68">
        <f>IF(92683.56971="","-",92683.56971/864817.21761*100)</f>
        <v>10.717128177227941</v>
      </c>
      <c r="F49" s="68">
        <f>IF(OR(801858.14608="",97142.08327="",94761.84671=""),"-",(94761.84671-97142.08327)/801858.14608*100)</f>
        <v>-0.29684010465393873</v>
      </c>
      <c r="G49" s="68">
        <f>IF(OR(831736.70692="",92683.56971="",94761.84671=""),"-",(92683.56971-94761.84671)/831736.70692*100)</f>
        <v>-0.24987198264893934</v>
      </c>
    </row>
    <row r="50" spans="1:7" s="9" customFormat="1" ht="15.75">
      <c r="A50" s="48" t="s">
        <v>105</v>
      </c>
      <c r="B50" s="68">
        <f>IF(63019.77647="","-",63019.77647)</f>
        <v>63019.77647</v>
      </c>
      <c r="C50" s="68">
        <f>IF(OR(53359.28007="",63019.77647=""),"-",63019.77647/53359.28007*100)</f>
        <v>118.10462282723222</v>
      </c>
      <c r="D50" s="68">
        <f>IF(53359.28007="","-",53359.28007/831736.70692*100)</f>
        <v>6.415405214902019</v>
      </c>
      <c r="E50" s="68">
        <f>IF(63019.77647="","-",63019.77647/864817.21761*100)</f>
        <v>7.287063114233641</v>
      </c>
      <c r="F50" s="68">
        <f>IF(OR(801858.14608="",50114.71037="",53359.28007=""),"-",(53359.28007-50114.71037)/801858.14608*100)</f>
        <v>0.40463138222908257</v>
      </c>
      <c r="G50" s="68">
        <f>IF(OR(831736.70692="",63019.77647="",53359.28007=""),"-",(63019.77647-53359.28007)/831736.70692*100)</f>
        <v>1.1614849169965975</v>
      </c>
    </row>
    <row r="51" spans="1:7" s="9" customFormat="1" ht="15.75">
      <c r="A51" s="48" t="s">
        <v>19</v>
      </c>
      <c r="B51" s="68">
        <f>IF(10527.8021="","-",10527.8021)</f>
        <v>10527.8021</v>
      </c>
      <c r="C51" s="68">
        <f>IF(OR(10565.62619="",10527.8021=""),"-",10527.8021/10565.62619*100)</f>
        <v>99.6420080616159</v>
      </c>
      <c r="D51" s="68">
        <f>IF(10565.62619="","-",10565.62619/831736.70692*100)</f>
        <v>1.2703089934704839</v>
      </c>
      <c r="E51" s="68">
        <f>IF(10527.8021="","-",10527.8021/864817.21761*100)</f>
        <v>1.2173441839068058</v>
      </c>
      <c r="F51" s="68">
        <f>IF(OR(801858.14608="",11219.45494="",10565.62619=""),"-",(10565.62619-11219.45494)/801858.14608*100)</f>
        <v>-0.08153920405951297</v>
      </c>
      <c r="G51" s="68">
        <f>IF(OR(831736.70692="",10527.8021="",10565.62619=""),"-",(10527.8021-10565.62619)/831736.70692*100)</f>
        <v>-0.004547603789192648</v>
      </c>
    </row>
    <row r="52" spans="1:7" s="9" customFormat="1" ht="15.75">
      <c r="A52" s="48" t="s">
        <v>125</v>
      </c>
      <c r="B52" s="68">
        <f>IF(8959.11137="","-",8959.11137)</f>
        <v>8959.11137</v>
      </c>
      <c r="C52" s="68">
        <f>IF(OR(6413.60941="",8959.11137=""),"-",8959.11137/6413.60941*100)</f>
        <v>139.68907049486197</v>
      </c>
      <c r="D52" s="68">
        <f>IF(6413.60941="","-",6413.60941/831736.70692*100)</f>
        <v>0.7711105397464306</v>
      </c>
      <c r="E52" s="68">
        <f>IF(8959.11137="","-",8959.11137/864817.21761*100)</f>
        <v>1.0359543250953431</v>
      </c>
      <c r="F52" s="68">
        <f>IF(OR(801858.14608="",5631.25519="",6413.60941=""),"-",(6413.60941-5631.25519)/801858.14608*100)</f>
        <v>0.09756765879659045</v>
      </c>
      <c r="G52" s="68">
        <f>IF(OR(831736.70692="",8959.11137="",6413.60941=""),"-",(8959.11137-6413.60941)/831736.70692*100)</f>
        <v>0.3060466057132714</v>
      </c>
    </row>
    <row r="53" spans="1:7" s="9" customFormat="1" ht="15.75">
      <c r="A53" s="48" t="s">
        <v>118</v>
      </c>
      <c r="B53" s="68">
        <f>IF(6244.8873="","-",6244.8873)</f>
        <v>6244.8873</v>
      </c>
      <c r="C53" s="68">
        <f>IF(OR(6133.80354="",6244.8873=""),"-",6244.8873/6133.80354*100)</f>
        <v>101.81100942140706</v>
      </c>
      <c r="D53" s="68">
        <f>IF(6133.80354="","-",6133.80354/831736.70692*100)</f>
        <v>0.7374693805103368</v>
      </c>
      <c r="E53" s="68">
        <f>IF(6244.8873="","-",6244.8873/864817.21761*100)</f>
        <v>0.7221048763643151</v>
      </c>
      <c r="F53" s="68">
        <f>IF(OR(801858.14608="",4045.07747="",6133.80354=""),"-",(6133.80354-4045.07747)/801858.14608*100)</f>
        <v>0.2604857330702494</v>
      </c>
      <c r="G53" s="68">
        <f>IF(OR(831736.70692="",6244.8873="",6133.80354=""),"-",(6244.8873-6133.80354)/831736.70692*100)</f>
        <v>0.01335563996103456</v>
      </c>
    </row>
    <row r="54" spans="1:7" s="9" customFormat="1" ht="15.75">
      <c r="A54" s="48" t="s">
        <v>85</v>
      </c>
      <c r="B54" s="68">
        <f>IF(5101.05964="","-",5101.05964)</f>
        <v>5101.05964</v>
      </c>
      <c r="C54" s="68">
        <f>IF(OR(3864.66374="",5101.05964=""),"-",5101.05964/3864.66374*100)</f>
        <v>131.9923280052303</v>
      </c>
      <c r="D54" s="68">
        <f>IF(3864.66374="","-",3864.66374/831736.70692*100)</f>
        <v>0.4646498955554357</v>
      </c>
      <c r="E54" s="68">
        <f>IF(5101.05964="","-",5101.05964/864817.21761*100)</f>
        <v>0.5898425165605786</v>
      </c>
      <c r="F54" s="68">
        <f>IF(OR(801858.14608="",3575.09899="",3864.66374=""),"-",(3864.66374-3575.09899)/801858.14608*100)</f>
        <v>0.036111717691661466</v>
      </c>
      <c r="G54" s="68">
        <f>IF(OR(831736.70692="",5101.05964="",3864.66374=""),"-",(5101.05964-3864.66374)/831736.70692*100)</f>
        <v>0.14865231866205494</v>
      </c>
    </row>
    <row r="55" spans="1:7" s="9" customFormat="1" ht="15.75">
      <c r="A55" s="48" t="s">
        <v>121</v>
      </c>
      <c r="B55" s="68">
        <f>IF(4077.12899="","-",4077.12899)</f>
        <v>4077.12899</v>
      </c>
      <c r="C55" s="68">
        <f>IF(OR(4261.60974="",4077.12899=""),"-",4077.12899/4261.60974*100)</f>
        <v>95.67110173725106</v>
      </c>
      <c r="D55" s="68">
        <f>IF(4261.60974="","-",4261.60974/831736.70692*100)</f>
        <v>0.5123748542710282</v>
      </c>
      <c r="E55" s="68">
        <f>IF(4077.12899="","-",4077.12899/864817.21761*100)</f>
        <v>0.4714440123275427</v>
      </c>
      <c r="F55" s="68">
        <f>IF(OR(801858.14608="",5688.20594="",4261.60974=""),"-",(4261.60974-5688.20594)/801858.14608*100)</f>
        <v>-0.1779112935341647</v>
      </c>
      <c r="G55" s="68">
        <f>IF(OR(831736.70692="",4077.12899="",4261.60974=""),"-",(4077.12899-4261.60974)/831736.70692*100)</f>
        <v>-0.02218018616530097</v>
      </c>
    </row>
    <row r="56" spans="1:7" s="9" customFormat="1" ht="15.75">
      <c r="A56" s="48" t="s">
        <v>115</v>
      </c>
      <c r="B56" s="68">
        <f>IF(3855.0361="","-",3855.0361)</f>
        <v>3855.0361</v>
      </c>
      <c r="C56" s="68" t="s">
        <v>196</v>
      </c>
      <c r="D56" s="68">
        <f>IF(2505.7654="","-",2505.7654/831736.70692*100)</f>
        <v>0.3012690649759931</v>
      </c>
      <c r="E56" s="68">
        <f>IF(3855.0361="","-",3855.0361/864817.21761*100)</f>
        <v>0.44576310710530687</v>
      </c>
      <c r="F56" s="68">
        <f>IF(OR(801858.14608="",2417.81539="",2505.7654=""),"-",(2505.7654-2417.81539)/801858.14608*100)</f>
        <v>0.010968275427512511</v>
      </c>
      <c r="G56" s="68">
        <f>IF(OR(831736.70692="",3855.0361="",2505.7654=""),"-",(3855.0361-2505.7654)/831736.70692*100)</f>
        <v>0.16222329599910013</v>
      </c>
    </row>
    <row r="57" spans="1:7" s="9" customFormat="1" ht="15.75">
      <c r="A57" s="48" t="s">
        <v>199</v>
      </c>
      <c r="B57" s="68">
        <f>IF(3745.29468="","-",3745.29468)</f>
        <v>3745.29468</v>
      </c>
      <c r="C57" s="68">
        <f>IF(OR(4833.60999="",3745.29468=""),"-",3745.29468/4833.60999*100)</f>
        <v>77.48442029349579</v>
      </c>
      <c r="D57" s="68">
        <f>IF(4833.60999="","-",4833.60999/831736.70692*100)</f>
        <v>0.5811466477052957</v>
      </c>
      <c r="E57" s="68">
        <f>IF(3745.29468="","-",3745.29468/864817.21761*100)</f>
        <v>0.43307355632331856</v>
      </c>
      <c r="F57" s="68">
        <f>IF(OR(801858.14608="",3591.53754="",4833.60999=""),"-",(4833.60999-3591.53754)/801858.14608*100)</f>
        <v>0.15489927440059714</v>
      </c>
      <c r="G57" s="68">
        <f>IF(OR(831736.70692="",3745.29468="",4833.60999=""),"-",(3745.29468-4833.60999)/831736.70692*100)</f>
        <v>-0.13084853667576304</v>
      </c>
    </row>
    <row r="58" spans="1:7" s="9" customFormat="1" ht="15.75">
      <c r="A58" s="48" t="s">
        <v>129</v>
      </c>
      <c r="B58" s="68">
        <f>IF(3522.95338="","-",3522.95338)</f>
        <v>3522.95338</v>
      </c>
      <c r="C58" s="68">
        <f>IF(OR(3033.14767="",3522.95338=""),"-",3522.95338/3033.14767*100)</f>
        <v>116.14842939710879</v>
      </c>
      <c r="D58" s="68">
        <f>IF(3033.14767="","-",3033.14767/831736.70692*100)</f>
        <v>0.36467642281077545</v>
      </c>
      <c r="E58" s="68">
        <f>IF(3522.95338="","-",3522.95338/864817.21761*100)</f>
        <v>0.4073639271123669</v>
      </c>
      <c r="F58" s="68">
        <f>IF(OR(801858.14608="",2655.25882="",3033.14767=""),"-",(3033.14767-2655.25882)/801858.14608*100)</f>
        <v>0.04712664600931778</v>
      </c>
      <c r="G58" s="68">
        <f>IF(OR(831736.70692="",3522.95338="",3033.14767=""),"-",(3522.95338-3033.14767)/831736.70692*100)</f>
        <v>0.058889514665499985</v>
      </c>
    </row>
    <row r="59" spans="1:7" s="9" customFormat="1" ht="15.75">
      <c r="A59" s="48" t="s">
        <v>119</v>
      </c>
      <c r="B59" s="68">
        <f>IF(2430.26613="","-",2430.26613)</f>
        <v>2430.26613</v>
      </c>
      <c r="C59" s="68">
        <f>IF(OR(2313.88149="",2430.26613=""),"-",2430.26613/2313.88149*100)</f>
        <v>105.02984446277755</v>
      </c>
      <c r="D59" s="68">
        <f>IF(2313.88149="","-",2313.88149/831736.70692*100)</f>
        <v>0.27819879425167165</v>
      </c>
      <c r="E59" s="68">
        <f>IF(2430.26613="","-",2430.26613/864817.21761*100)</f>
        <v>0.2810150029986982</v>
      </c>
      <c r="F59" s="68">
        <f>IF(OR(801858.14608="",2483.4654="",2313.88149=""),"-",(2313.88149-2483.4654)/801858.14608*100)</f>
        <v>-0.021148866645432914</v>
      </c>
      <c r="G59" s="68">
        <f>IF(OR(831736.70692="",2430.26613="",2313.88149=""),"-",(2430.26613-2313.88149)/831736.70692*100)</f>
        <v>0.013992966648181625</v>
      </c>
    </row>
    <row r="60" spans="1:7" s="9" customFormat="1" ht="15.75">
      <c r="A60" s="48" t="s">
        <v>120</v>
      </c>
      <c r="B60" s="68">
        <f>IF(1853.3526="","-",1853.3526)</f>
        <v>1853.3526</v>
      </c>
      <c r="C60" s="68">
        <f>IF(OR(1620.523="",1853.3526=""),"-",1853.3526/1620.523*100)</f>
        <v>114.36755911517456</v>
      </c>
      <c r="D60" s="68">
        <f>IF(1620.523="","-",1620.523/831736.70692*100)</f>
        <v>0.19483605647284108</v>
      </c>
      <c r="E60" s="68">
        <f>IF(1853.3526="","-",1853.3526/864817.21761*100)</f>
        <v>0.2143057009343438</v>
      </c>
      <c r="F60" s="68">
        <f>IF(OR(801858.14608="",1867.77357="",1620.523=""),"-",(1620.523-1867.77357)/801858.14608*100)</f>
        <v>-0.03083470202413238</v>
      </c>
      <c r="G60" s="68">
        <f>IF(OR(831736.70692="",1853.3526="",1620.523=""),"-",(1853.3526-1620.523)/831736.70692*100)</f>
        <v>0.027993185591410306</v>
      </c>
    </row>
    <row r="61" spans="1:7" s="9" customFormat="1" ht="15.75">
      <c r="A61" s="48" t="s">
        <v>127</v>
      </c>
      <c r="B61" s="68">
        <f>IF(1833.32689="","-",1833.32689)</f>
        <v>1833.32689</v>
      </c>
      <c r="C61" s="68">
        <f>IF(OR(1480.90471="",1833.32689=""),"-",1833.32689/1480.90471*100)</f>
        <v>123.79776211259399</v>
      </c>
      <c r="D61" s="68">
        <f>IF(1480.90471="","-",1480.90471/831736.70692*100)</f>
        <v>0.17804969982435076</v>
      </c>
      <c r="E61" s="68">
        <f>IF(1833.32689="","-",1833.32689/864817.21761*100)</f>
        <v>0.21199010064422205</v>
      </c>
      <c r="F61" s="68">
        <f>IF(OR(801858.14608="",1627.92402="",1480.90471=""),"-",(1480.90471-1627.92402)/801858.14608*100)</f>
        <v>-0.01833482776457721</v>
      </c>
      <c r="G61" s="68">
        <f>IF(OR(831736.70692="",1833.32689="",1480.90471=""),"-",(1833.32689-1480.90471)/831736.70692*100)</f>
        <v>0.04237184400638669</v>
      </c>
    </row>
    <row r="62" spans="1:7" s="9" customFormat="1" ht="15.75">
      <c r="A62" s="48" t="s">
        <v>110</v>
      </c>
      <c r="B62" s="68">
        <f>IF(1801.06873="","-",1801.06873)</f>
        <v>1801.06873</v>
      </c>
      <c r="C62" s="68">
        <f>IF(OR(1739.65435="",1801.06873=""),"-",1801.06873/1739.65435*100)</f>
        <v>103.53026335375183</v>
      </c>
      <c r="D62" s="68">
        <f>IF(1739.65435="","-",1739.65435/831736.70692*100)</f>
        <v>0.20915926104092547</v>
      </c>
      <c r="E62" s="68">
        <f>IF(1801.06873="","-",1801.06873/864817.21761*100)</f>
        <v>0.20826004539750204</v>
      </c>
      <c r="F62" s="68">
        <f>IF(OR(801858.14608="",1516.90151="",1739.65435=""),"-",(1739.65435-1516.90151)/801858.14608*100)</f>
        <v>0.027779581848604983</v>
      </c>
      <c r="G62" s="68">
        <f>IF(OR(831736.70692="",1801.06873="",1739.65435=""),"-",(1801.06873-1739.65435)/831736.70692*100)</f>
        <v>0.007383872743505961</v>
      </c>
    </row>
    <row r="63" spans="1:7" s="9" customFormat="1" ht="15.75">
      <c r="A63" s="48" t="s">
        <v>123</v>
      </c>
      <c r="B63" s="68">
        <f>IF(1539.69205="","-",1539.69205)</f>
        <v>1539.69205</v>
      </c>
      <c r="C63" s="68" t="s">
        <v>157</v>
      </c>
      <c r="D63" s="68">
        <f>IF(948.43661="","-",948.43661/831736.70692*100)</f>
        <v>0.11403087084038298</v>
      </c>
      <c r="E63" s="68">
        <f>IF(1539.69205="","-",1539.69205/864817.21761*100)</f>
        <v>0.17803670170386723</v>
      </c>
      <c r="F63" s="68">
        <f>IF(OR(801858.14608="",1020.25417="",948.43661=""),"-",(948.43661-1020.25417)/801858.14608*100)</f>
        <v>-0.008956392143808807</v>
      </c>
      <c r="G63" s="68">
        <f>IF(OR(831736.70692="",1539.69205="",948.43661=""),"-",(1539.69205-948.43661)/831736.70692*100)</f>
        <v>0.07108685177422014</v>
      </c>
    </row>
    <row r="64" spans="1:7" s="9" customFormat="1" ht="15.75">
      <c r="A64" s="48" t="s">
        <v>132</v>
      </c>
      <c r="B64" s="68">
        <f>IF(1435.36436="","-",1435.36436)</f>
        <v>1435.36436</v>
      </c>
      <c r="C64" s="68">
        <f>IF(OR(1515.11379="",1435.36436=""),"-",1435.36436/1515.11379*100)</f>
        <v>94.73640656389247</v>
      </c>
      <c r="D64" s="68">
        <f>IF(1515.11379="","-",1515.11379/831736.70692*100)</f>
        <v>0.18216266967591346</v>
      </c>
      <c r="E64" s="68">
        <f>IF(1435.36436="","-",1435.36436/864817.21761*100)</f>
        <v>0.16597314794064325</v>
      </c>
      <c r="F64" s="68">
        <f>IF(OR(801858.14608="",1523.74846="",1515.11379=""),"-",(1515.11379-1523.74846)/801858.14608*100)</f>
        <v>-0.0010768326096344788</v>
      </c>
      <c r="G64" s="68">
        <f>IF(OR(831736.70692="",1435.36436="",1515.11379=""),"-",(1435.36436-1515.11379)/831736.70692*100)</f>
        <v>-0.009588302324099627</v>
      </c>
    </row>
    <row r="65" spans="1:7" s="9" customFormat="1" ht="15.75">
      <c r="A65" s="48" t="s">
        <v>130</v>
      </c>
      <c r="B65" s="68">
        <f>IF(1358.33336="","-",1358.33336)</f>
        <v>1358.33336</v>
      </c>
      <c r="C65" s="68">
        <f>IF(OR(1328.00743="",1358.33336=""),"-",1358.33336/1328.00743*100)</f>
        <v>102.28356628998681</v>
      </c>
      <c r="D65" s="68">
        <f>IF(1328.00743="","-",1328.00743/831736.70692*100)</f>
        <v>0.1596668054867673</v>
      </c>
      <c r="E65" s="68">
        <f>IF(1358.33336="","-",1358.33336/864817.21761*100)</f>
        <v>0.15706594784894273</v>
      </c>
      <c r="F65" s="68">
        <f>IF(OR(801858.14608="",1571.41992="",1328.00743=""),"-",(1328.00743-1571.41992)/801858.14608*100)</f>
        <v>-0.030356053772098875</v>
      </c>
      <c r="G65" s="68">
        <f>IF(OR(831736.70692="",1358.33336="",1328.00743=""),"-",(1358.33336-1328.00743)/831736.70692*100)</f>
        <v>0.0036460973463946023</v>
      </c>
    </row>
    <row r="66" spans="1:7" s="9" customFormat="1" ht="15.75">
      <c r="A66" s="48" t="s">
        <v>124</v>
      </c>
      <c r="B66" s="68">
        <f>IF(1355.03116="","-",1355.03116)</f>
        <v>1355.03116</v>
      </c>
      <c r="C66" s="68" t="s">
        <v>250</v>
      </c>
      <c r="D66" s="68">
        <f>IF(553.96737="","-",553.96737/831736.70692*100)</f>
        <v>0.06660369386021132</v>
      </c>
      <c r="E66" s="68">
        <f>IF(1355.03116="","-",1355.03116/864817.21761*100)</f>
        <v>0.15668410993767565</v>
      </c>
      <c r="F66" s="68">
        <f>IF(OR(801858.14608="",482.92438="",553.96737=""),"-",(553.96737-482.92438)/801858.14608*100)</f>
        <v>0.008859795257715339</v>
      </c>
      <c r="G66" s="68">
        <f>IF(OR(831736.70692="",1355.03116="",553.96737=""),"-",(1355.03116-553.96737)/831736.70692*100)</f>
        <v>0.09631218429284133</v>
      </c>
    </row>
    <row r="67" spans="1:7" s="9" customFormat="1" ht="15.75">
      <c r="A67" s="48" t="s">
        <v>107</v>
      </c>
      <c r="B67" s="68">
        <f>IF(1311.68475="","-",1311.68475)</f>
        <v>1311.68475</v>
      </c>
      <c r="C67" s="68" t="s">
        <v>20</v>
      </c>
      <c r="D67" s="68">
        <f>IF(654.38404="","-",654.38404/831736.70692*100)</f>
        <v>0.07867682579782324</v>
      </c>
      <c r="E67" s="68">
        <f>IF(1311.68475="","-",1311.68475/864817.21761*100)</f>
        <v>0.1516719051483455</v>
      </c>
      <c r="F67" s="68">
        <f>IF(OR(801858.14608="",649.89109="",654.38404=""),"-",(654.38404-649.89109)/801858.14608*100)</f>
        <v>0.0005603173107318923</v>
      </c>
      <c r="G67" s="68">
        <f>IF(OR(831736.70692="",1311.68475="",654.38404=""),"-",(1311.68475-654.38404)/831736.70692*100)</f>
        <v>0.07902749806895583</v>
      </c>
    </row>
    <row r="68" spans="1:7" s="9" customFormat="1" ht="15.75">
      <c r="A68" s="48" t="s">
        <v>112</v>
      </c>
      <c r="B68" s="68">
        <f>IF(1290.3792="","-",1290.3792)</f>
        <v>1290.3792</v>
      </c>
      <c r="C68" s="68">
        <f>IF(OR(1866.19238="",1290.3792=""),"-",1290.3792/1866.19238*100)</f>
        <v>69.14502565914454</v>
      </c>
      <c r="D68" s="68">
        <f>IF(1866.19238="","-",1866.19238/831736.70692*100)</f>
        <v>0.22437297337888182</v>
      </c>
      <c r="E68" s="68">
        <f>IF(1290.3792="","-",1290.3792/864817.21761*100)</f>
        <v>0.14920831520515732</v>
      </c>
      <c r="F68" s="68">
        <f>IF(OR(801858.14608="",1302.19215="",1866.19238=""),"-",(1866.19238-1302.19215)/801858.14608*100)</f>
        <v>0.07033665901596148</v>
      </c>
      <c r="G68" s="68">
        <f>IF(OR(831736.70692="",1290.3792="",1866.19238=""),"-",(1290.3792-1866.19238)/831736.70692*100)</f>
        <v>-0.06923022336386844</v>
      </c>
    </row>
    <row r="69" spans="1:7" s="9" customFormat="1" ht="15.75">
      <c r="A69" s="48" t="s">
        <v>111</v>
      </c>
      <c r="B69" s="68">
        <f>IF(1287.60258="","-",1287.60258)</f>
        <v>1287.60258</v>
      </c>
      <c r="C69" s="68">
        <f>IF(OR(2008.32072="",1287.60258=""),"-",1287.60258/2008.32072*100)</f>
        <v>64.11339419930896</v>
      </c>
      <c r="D69" s="68">
        <f>IF(2008.32072="","-",2008.32072/831736.70692*100)</f>
        <v>0.24146111423132954</v>
      </c>
      <c r="E69" s="68">
        <f>IF(1287.60258="","-",1287.60258/864817.21761*100)</f>
        <v>0.14888725082953427</v>
      </c>
      <c r="F69" s="68">
        <f>IF(OR(801858.14608="",2098.92917="",2008.32072=""),"-",(2008.32072-2098.92917)/801858.14608*100)</f>
        <v>-0.011299810377053911</v>
      </c>
      <c r="G69" s="68">
        <f>IF(OR(831736.70692="",1287.60258="",2008.32072=""),"-",(1287.60258-2008.32072)/831736.70692*100)</f>
        <v>-0.08665219822615353</v>
      </c>
    </row>
    <row r="70" spans="1:7" s="9" customFormat="1" ht="15.75">
      <c r="A70" s="48" t="s">
        <v>133</v>
      </c>
      <c r="B70" s="68">
        <f>IF(1199.04432="","-",1199.04432)</f>
        <v>1199.04432</v>
      </c>
      <c r="C70" s="68">
        <f>IF(OR(854.08204="",1199.04432=""),"-",1199.04432/854.08204*100)</f>
        <v>140.38982952972526</v>
      </c>
      <c r="D70" s="68">
        <f>IF(854.08204="","-",854.08204/831736.70692*100)</f>
        <v>0.10268658734117278</v>
      </c>
      <c r="E70" s="68">
        <f>IF(1199.04432="","-",1199.04432/864817.21761*100)</f>
        <v>0.13864713786731334</v>
      </c>
      <c r="F70" s="68">
        <f>IF(OR(801858.14608="",1494.59671="",854.08204=""),"-",(854.08204-1494.59671)/801858.14608*100)</f>
        <v>-0.07987880064962226</v>
      </c>
      <c r="G70" s="68">
        <f>IF(OR(831736.70692="",1199.04432="",854.08204=""),"-",(1199.04432-854.08204)/831736.70692*100)</f>
        <v>0.041474937576992124</v>
      </c>
    </row>
    <row r="71" spans="1:7" s="9" customFormat="1" ht="15.75">
      <c r="A71" s="48" t="s">
        <v>114</v>
      </c>
      <c r="B71" s="68">
        <f>IF(1103.75143="","-",1103.75143)</f>
        <v>1103.75143</v>
      </c>
      <c r="C71" s="68" t="s">
        <v>156</v>
      </c>
      <c r="D71" s="68">
        <f>IF(657.18104="","-",657.18104/831736.70692*100)</f>
        <v>0.07901311010230676</v>
      </c>
      <c r="E71" s="68">
        <f>IF(1103.75143="","-",1103.75143/864817.21761*100)</f>
        <v>0.12762829040919377</v>
      </c>
      <c r="F71" s="68">
        <f>IF(OR(801858.14608="",702.05876="",657.18104=""),"-",(657.18104-702.05876)/801858.14608*100)</f>
        <v>-0.005596715606044686</v>
      </c>
      <c r="G71" s="68">
        <f>IF(OR(831736.70692="",1103.75143="",657.18104=""),"-",(1103.75143-657.18104)/831736.70692*100)</f>
        <v>0.053691316769424846</v>
      </c>
    </row>
    <row r="72" spans="1:7" s="9" customFormat="1" ht="15.75">
      <c r="A72" s="48" t="s">
        <v>134</v>
      </c>
      <c r="B72" s="68">
        <f>IF(958.00956="","-",958.00956)</f>
        <v>958.00956</v>
      </c>
      <c r="C72" s="68" t="s">
        <v>155</v>
      </c>
      <c r="D72" s="68">
        <f>IF(524.2928="","-",524.2928/831736.70692*100)</f>
        <v>0.06303590975821015</v>
      </c>
      <c r="E72" s="68">
        <f>IF(958.00956="","-",958.00956/864817.21761*100)</f>
        <v>0.11077595825942797</v>
      </c>
      <c r="F72" s="68">
        <f>IF(OR(801858.14608="",903.65841="",524.2928=""),"-",(524.2928-903.65841)/801858.14608*100)</f>
        <v>-0.04731081324727869</v>
      </c>
      <c r="G72" s="68">
        <f>IF(OR(831736.70692="",958.00956="",524.2928=""),"-",(958.00956-524.2928)/831736.70692*100)</f>
        <v>0.05214592026436998</v>
      </c>
    </row>
    <row r="73" spans="1:7" s="9" customFormat="1" ht="15.75">
      <c r="A73" s="48" t="s">
        <v>135</v>
      </c>
      <c r="B73" s="68">
        <f>IF(922.14014="","-",922.14014)</f>
        <v>922.14014</v>
      </c>
      <c r="C73" s="68">
        <f>IF(OR(1354.75906="",922.14014=""),"-",922.14014/1354.75906*100)</f>
        <v>68.06672619705529</v>
      </c>
      <c r="D73" s="68">
        <f>IF(1354.75906="","-",1354.75906/831736.70692*100)</f>
        <v>0.16288316347330653</v>
      </c>
      <c r="E73" s="68">
        <f>IF(922.14014="","-",922.14014/864817.21761*100)</f>
        <v>0.1066283280701114</v>
      </c>
      <c r="F73" s="68">
        <f>IF(OR(801858.14608="",580.63336="",1354.75906=""),"-",(1354.75906-580.63336)/801858.14608*100)</f>
        <v>0.09654147729051903</v>
      </c>
      <c r="G73" s="68">
        <f>IF(OR(831736.70692="",922.14014="",1354.75906=""),"-",(922.14014-1354.75906)/831736.70692*100)</f>
        <v>-0.05201392657082901</v>
      </c>
    </row>
    <row r="74" spans="1:7" s="9" customFormat="1" ht="15.75">
      <c r="A74" s="48" t="s">
        <v>117</v>
      </c>
      <c r="B74" s="68">
        <f>IF(841.80847="","-",841.80847)</f>
        <v>841.80847</v>
      </c>
      <c r="C74" s="68">
        <f>IF(OR(704.07227="",841.80847=""),"-",841.80847/704.07227*100)</f>
        <v>119.56279289340569</v>
      </c>
      <c r="D74" s="68">
        <f>IF(704.07227="","-",704.07227/831736.70692*100)</f>
        <v>0.08465085935755395</v>
      </c>
      <c r="E74" s="68">
        <f>IF(841.80847="","-",841.80847/864817.21761*100)</f>
        <v>0.09733946698314047</v>
      </c>
      <c r="F74" s="68">
        <f>IF(OR(801858.14608="",702.84617="",704.07227=""),"-",(704.07227-702.84617)/801858.14608*100)</f>
        <v>0.0001529073447708852</v>
      </c>
      <c r="G74" s="68">
        <f>IF(OR(831736.70692="",841.80847="",704.07227=""),"-",(841.80847-704.07227)/831736.70692*100)</f>
        <v>0.016560072298606406</v>
      </c>
    </row>
    <row r="75" spans="1:7" s="9" customFormat="1" ht="15.75">
      <c r="A75" s="48" t="s">
        <v>247</v>
      </c>
      <c r="B75" s="68">
        <f>IF(625.2805="","-",625.2805)</f>
        <v>625.2805</v>
      </c>
      <c r="C75" s="68" t="str">
        <f>IF(OR(""="",625.2805=""),"-",625.2805/""*100)</f>
        <v>-</v>
      </c>
      <c r="D75" s="68" t="str">
        <f>IF(""="","-",""/831736.70692*100)</f>
        <v>-</v>
      </c>
      <c r="E75" s="68">
        <f>IF(625.2805="","-",625.2805/864817.21761*100)</f>
        <v>0.07230204108655684</v>
      </c>
      <c r="F75" s="68" t="str">
        <f>IF(OR(801858.14608="",""="",""=""),"-",(""-"")/801858.14608*100)</f>
        <v>-</v>
      </c>
      <c r="G75" s="68" t="str">
        <f>IF(OR(831736.70692="",625.2805="",""=""),"-",(625.2805-"")/831736.70692*100)</f>
        <v>-</v>
      </c>
    </row>
    <row r="76" spans="1:7" s="9" customFormat="1" ht="15.75">
      <c r="A76" s="48" t="s">
        <v>131</v>
      </c>
      <c r="B76" s="68">
        <f>IF(624.78585="","-",624.78585)</f>
        <v>624.78585</v>
      </c>
      <c r="C76" s="68" t="s">
        <v>157</v>
      </c>
      <c r="D76" s="68">
        <f>IF(379.36714="","-",379.36714/831736.70692*100)</f>
        <v>0.045611446127565125</v>
      </c>
      <c r="E76" s="68">
        <f>IF(624.78585="","-",624.78585/864817.21761*100)</f>
        <v>0.07224484402919865</v>
      </c>
      <c r="F76" s="68">
        <f>IF(OR(801858.14608="",524.69003="",379.36714=""),"-",(379.36714-524.69003)/801858.14608*100)</f>
        <v>-0.018123266653887853</v>
      </c>
      <c r="G76" s="68">
        <f>IF(OR(831736.70692="",624.78585="",379.36714=""),"-",(624.78585-379.36714)/831736.70692*100)</f>
        <v>0.029506778762814108</v>
      </c>
    </row>
    <row r="77" spans="1:7" s="9" customFormat="1" ht="15.75">
      <c r="A77" s="48" t="s">
        <v>136</v>
      </c>
      <c r="B77" s="68">
        <f>IF(587.99936="","-",587.99936)</f>
        <v>587.99936</v>
      </c>
      <c r="C77" s="68" t="s">
        <v>164</v>
      </c>
      <c r="D77" s="68">
        <f>IF(252.99368="","-",252.99368/831736.70692*100)</f>
        <v>0.030417520099222217</v>
      </c>
      <c r="E77" s="68">
        <f>IF(587.99936="","-",587.99936/864817.21761*100)</f>
        <v>0.06799117177904818</v>
      </c>
      <c r="F77" s="68">
        <f>IF(OR(801858.14608="",336.37268="",252.99368=""),"-",(252.99368-336.37268)/801858.14608*100)</f>
        <v>-0.010398223227837785</v>
      </c>
      <c r="G77" s="68">
        <f>IF(OR(831736.70692="",587.99936="",252.99368=""),"-",(587.99936-252.99368)/831736.70692*100)</f>
        <v>0.04027785201888682</v>
      </c>
    </row>
    <row r="78" spans="1:7" s="9" customFormat="1" ht="15.75">
      <c r="A78" s="48" t="s">
        <v>122</v>
      </c>
      <c r="B78" s="68">
        <f>IF(551.99712="","-",551.99712)</f>
        <v>551.99712</v>
      </c>
      <c r="C78" s="68" t="s">
        <v>156</v>
      </c>
      <c r="D78" s="68">
        <f>IF(316.35126="","-",316.35126/831736.70692*100)</f>
        <v>0.03803502446964001</v>
      </c>
      <c r="E78" s="68">
        <f>IF(551.99712="","-",551.99712/864817.21761*100)</f>
        <v>0.06382818343111779</v>
      </c>
      <c r="F78" s="68">
        <f>IF(OR(801858.14608="",169.98512="",316.35126=""),"-",(316.35126-169.98512)/801858.14608*100)</f>
        <v>0.01825337071345252</v>
      </c>
      <c r="G78" s="68">
        <f>IF(OR(831736.70692="",551.99712="",316.35126=""),"-",(551.99712-316.35126)/831736.70692*100)</f>
        <v>0.028331785532541776</v>
      </c>
    </row>
    <row r="79" spans="1:7" s="9" customFormat="1" ht="15.75">
      <c r="A79" s="48" t="s">
        <v>86</v>
      </c>
      <c r="B79" s="68">
        <f>IF(473.91156="","-",473.91156)</f>
        <v>473.91156</v>
      </c>
      <c r="C79" s="68">
        <f>IF(OR(387.46882="",473.91156=""),"-",473.91156/387.46882*100)</f>
        <v>122.30959900205647</v>
      </c>
      <c r="D79" s="68">
        <f>IF(387.46882="","-",387.46882/831736.70692*100)</f>
        <v>0.046585513994546884</v>
      </c>
      <c r="E79" s="68">
        <f>IF(473.91156="","-",473.91156/864817.21761*100)</f>
        <v>0.05479904312146989</v>
      </c>
      <c r="F79" s="68">
        <f>IF(OR(801858.14608="",166.05183="",387.46882=""),"-",(387.46882-166.05183)/801858.14608*100)</f>
        <v>0.027612987544296846</v>
      </c>
      <c r="G79" s="68">
        <f>IF(OR(831736.70692="",473.91156="",387.46882=""),"-",(473.91156-387.46882)/831736.70692*100)</f>
        <v>0.010393041365230313</v>
      </c>
    </row>
    <row r="80" spans="1:7" s="9" customFormat="1" ht="15.75">
      <c r="A80" s="48" t="s">
        <v>87</v>
      </c>
      <c r="B80" s="68">
        <f>IF(472.27085="","-",472.27085)</f>
        <v>472.27085</v>
      </c>
      <c r="C80" s="68">
        <f>IF(OR(438.02421="",472.27085=""),"-",472.27085/438.02421*100)</f>
        <v>107.81843542392326</v>
      </c>
      <c r="D80" s="68">
        <f>IF(438.02421="","-",438.02421/831736.70692*100)</f>
        <v>0.052663806509399495</v>
      </c>
      <c r="E80" s="68">
        <f>IF(472.27085="","-",472.27085/864817.21761*100)</f>
        <v>0.054609325575774595</v>
      </c>
      <c r="F80" s="68">
        <f>IF(OR(801858.14608="",253.53378="",438.02421=""),"-",(438.02421-253.53378)/801858.14608*100)</f>
        <v>0.023007863785123123</v>
      </c>
      <c r="G80" s="68">
        <f>IF(OR(831736.70692="",472.27085="",438.02421=""),"-",(472.27085-438.02421)/831736.70692*100)</f>
        <v>0.004117485703717294</v>
      </c>
    </row>
    <row r="81" spans="1:7" s="9" customFormat="1" ht="15.75">
      <c r="A81" s="48" t="s">
        <v>88</v>
      </c>
      <c r="B81" s="68">
        <f>IF(468.59148="","-",468.59148)</f>
        <v>468.59148</v>
      </c>
      <c r="C81" s="68">
        <f>IF(OR(326.74323="",468.59148=""),"-",468.59148/326.74323*100)</f>
        <v>143.41275869740286</v>
      </c>
      <c r="D81" s="68">
        <f>IF(326.74323="","-",326.74323/831736.70692*100)</f>
        <v>0.0392844547176427</v>
      </c>
      <c r="E81" s="68">
        <f>IF(468.59148="","-",468.59148/864817.21761*100)</f>
        <v>0.0541838749805415</v>
      </c>
      <c r="F81" s="68">
        <f>IF(OR(801858.14608="",704.34642="",326.74323=""),"-",(326.74323-704.34642)/801858.14608*100)</f>
        <v>-0.04709102125431637</v>
      </c>
      <c r="G81" s="68">
        <f>IF(OR(831736.70692="",468.59148="",326.74323=""),"-",(468.59148-326.74323)/831736.70692*100)</f>
        <v>0.017054465532160716</v>
      </c>
    </row>
    <row r="82" spans="1:7" s="9" customFormat="1" ht="15.75">
      <c r="A82" s="48" t="s">
        <v>228</v>
      </c>
      <c r="B82" s="68">
        <f>IF(375.11441="","-",375.11441)</f>
        <v>375.11441</v>
      </c>
      <c r="C82" s="68" t="s">
        <v>251</v>
      </c>
      <c r="D82" s="68">
        <f>IF(29.94875="","-",29.94875/831736.70692*100)</f>
        <v>0.003600748860886886</v>
      </c>
      <c r="E82" s="68">
        <f>IF(375.11441="","-",375.11441/864817.21761*100)</f>
        <v>0.04337499327738436</v>
      </c>
      <c r="F82" s="68">
        <f>IF(OR(801858.14608="",34.52135="",29.94875=""),"-",(29.94875-34.52135)/801858.14608*100)</f>
        <v>-0.0005702504891112994</v>
      </c>
      <c r="G82" s="68">
        <f>IF(OR(831736.70692="",375.11441="",29.94875=""),"-",(375.11441-29.94875)/831736.70692*100)</f>
        <v>0.04149939002670463</v>
      </c>
    </row>
    <row r="83" spans="1:7" s="9" customFormat="1" ht="15.75">
      <c r="A83" s="48" t="s">
        <v>242</v>
      </c>
      <c r="B83" s="68">
        <f>IF(351.19899="","-",351.19899)</f>
        <v>351.19899</v>
      </c>
      <c r="C83" s="68">
        <f>IF(OR(585.92692="",351.19899=""),"-",351.19899/585.92692*100)</f>
        <v>59.939043251332436</v>
      </c>
      <c r="D83" s="68">
        <f>IF(585.92692="","-",585.92692/831736.70692*100)</f>
        <v>0.07044620192004547</v>
      </c>
      <c r="E83" s="68">
        <f>IF(351.19899="","-",351.19899/864817.21761*100)</f>
        <v>0.0406096204895839</v>
      </c>
      <c r="F83" s="68">
        <f>IF(OR(801858.14608="",294.5253="",585.92692=""),"-",(585.92692-294.5253)/801858.14608*100)</f>
        <v>0.03634079436924837</v>
      </c>
      <c r="G83" s="68">
        <f>IF(OR(831736.70692="",351.19899="",585.92692=""),"-",(351.19899-585.92692)/831736.70692*100)</f>
        <v>-0.028221422482268436</v>
      </c>
    </row>
    <row r="84" spans="1:7" s="9" customFormat="1" ht="15.75">
      <c r="A84" s="48" t="s">
        <v>116</v>
      </c>
      <c r="B84" s="68">
        <f>IF(311.66623="","-",311.66623)</f>
        <v>311.66623</v>
      </c>
      <c r="C84" s="68" t="s">
        <v>168</v>
      </c>
      <c r="D84" s="68">
        <f>IF(86.96862="","-",86.96862/831736.70692*100)</f>
        <v>0.010456268104608856</v>
      </c>
      <c r="E84" s="68">
        <f>IF(311.66623="","-",311.66623/864817.21761*100)</f>
        <v>0.036038393275901415</v>
      </c>
      <c r="F84" s="68">
        <f>IF(OR(801858.14608="",386.71118="",86.96862=""),"-",(86.96862-386.71118)/801858.14608*100)</f>
        <v>-0.03738099581145806</v>
      </c>
      <c r="G84" s="68">
        <f>IF(OR(831736.70692="",311.66623="",86.96862=""),"-",(311.66623-86.96862)/831736.70692*100)</f>
        <v>0.02701547354235171</v>
      </c>
    </row>
    <row r="85" spans="1:7" s="9" customFormat="1" ht="15.75">
      <c r="A85" s="48" t="s">
        <v>137</v>
      </c>
      <c r="B85" s="68">
        <f>IF(301.87263="","-",301.87263)</f>
        <v>301.87263</v>
      </c>
      <c r="C85" s="68">
        <f>IF(OR(277.12102="",301.87263=""),"-",301.87263/277.12102*100)</f>
        <v>108.93169706144991</v>
      </c>
      <c r="D85" s="68">
        <f>IF(277.12102="","-",277.12102/831736.70692*100)</f>
        <v>0.03331835876598562</v>
      </c>
      <c r="E85" s="68">
        <f>IF(301.87263="","-",301.87263/864817.21761*100)</f>
        <v>0.034905945886953095</v>
      </c>
      <c r="F85" s="68">
        <f>IF(OR(801858.14608="",404.45634="",277.12102=""),"-",(277.12102-404.45634)/801858.14608*100)</f>
        <v>-0.015880030728938434</v>
      </c>
      <c r="G85" s="68">
        <f>IF(OR(831736.70692="",301.87263="",277.12102=""),"-",(301.87263-277.12102)/831736.70692*100)</f>
        <v>0.002975894870824878</v>
      </c>
    </row>
    <row r="86" spans="1:7" s="9" customFormat="1" ht="15.75">
      <c r="A86" s="48" t="s">
        <v>141</v>
      </c>
      <c r="B86" s="68">
        <f>IF(295.86094="","-",295.86094)</f>
        <v>295.86094</v>
      </c>
      <c r="C86" s="68">
        <f>IF(OR(366.13797="",295.86094=""),"-",295.86094/366.13797*100)</f>
        <v>80.8058612440551</v>
      </c>
      <c r="D86" s="68">
        <f>IF(366.13797="","-",366.13797/831736.70692*100)</f>
        <v>0.04402089831478566</v>
      </c>
      <c r="E86" s="68">
        <f>IF(295.86094="","-",295.86094/864817.21761*100)</f>
        <v>0.034210805933956576</v>
      </c>
      <c r="F86" s="68">
        <f>IF(OR(801858.14608="",320.33071="",366.13797=""),"-",(366.13797-320.33071)/801858.14608*100)</f>
        <v>0.005712638853135736</v>
      </c>
      <c r="G86" s="68">
        <f>IF(OR(831736.70692="",295.86094="",366.13797=""),"-",(295.86094-366.13797)/831736.70692*100)</f>
        <v>-0.008449432304153376</v>
      </c>
    </row>
    <row r="87" spans="1:7" s="9" customFormat="1" ht="15.75">
      <c r="A87" s="48" t="s">
        <v>138</v>
      </c>
      <c r="B87" s="68">
        <f>IF(286.66481="","-",286.66481)</f>
        <v>286.66481</v>
      </c>
      <c r="C87" s="68">
        <f>IF(OR(316.14161="",286.66481=""),"-",286.66481/316.14161*100)</f>
        <v>90.67607709089607</v>
      </c>
      <c r="D87" s="68">
        <f>IF(316.14161="","-",316.14161/831736.70692*100)</f>
        <v>0.03800981817559819</v>
      </c>
      <c r="E87" s="68">
        <f>IF(286.66481="","-",286.66481/864817.21761*100)</f>
        <v>0.03314744481986886</v>
      </c>
      <c r="F87" s="68">
        <f>IF(OR(801858.14608="",280.20072="",316.14161=""),"-",(316.14161-280.20072)/801858.14608*100)</f>
        <v>0.004482200520840536</v>
      </c>
      <c r="G87" s="68">
        <f>IF(OR(831736.70692="",286.66481="",316.14161=""),"-",(286.66481-316.14161)/831736.70692*100)</f>
        <v>-0.003544006144583352</v>
      </c>
    </row>
    <row r="88" spans="1:7" s="9" customFormat="1" ht="15.75">
      <c r="A88" s="48" t="s">
        <v>139</v>
      </c>
      <c r="B88" s="68">
        <f>IF(277.67454="","-",277.67454)</f>
        <v>277.67454</v>
      </c>
      <c r="C88" s="68">
        <f>IF(OR(236.84987="",277.67454=""),"-",277.67454/236.84987*100)</f>
        <v>117.23651779922868</v>
      </c>
      <c r="D88" s="68">
        <f>IF(236.84987="","-",236.84987/831736.70692*100)</f>
        <v>0.028476544082931914</v>
      </c>
      <c r="E88" s="68">
        <f>IF(277.67454="","-",277.67454/864817.21761*100)</f>
        <v>0.03210788757968747</v>
      </c>
      <c r="F88" s="68">
        <f>IF(OR(801858.14608="",216.7822="",236.84987=""),"-",(236.84987-216.7822)/801858.14608*100)</f>
        <v>0.002502645897918945</v>
      </c>
      <c r="G88" s="68">
        <f>IF(OR(831736.70692="",277.67454="",236.84987=""),"-",(277.67454-236.84987)/831736.70692*100)</f>
        <v>0.004908364589459757</v>
      </c>
    </row>
    <row r="89" spans="1:7" ht="15.75">
      <c r="A89" s="48" t="s">
        <v>144</v>
      </c>
      <c r="B89" s="68">
        <f>IF(257.92198="","-",257.92198)</f>
        <v>257.92198</v>
      </c>
      <c r="C89" s="68" t="s">
        <v>252</v>
      </c>
      <c r="D89" s="68">
        <f>IF(74.85715="","-",74.85715/831736.70692*100)</f>
        <v>0.009000101760231688</v>
      </c>
      <c r="E89" s="68">
        <f>IF(257.92198="","-",257.92198/864817.21761*100)</f>
        <v>0.02982387199838488</v>
      </c>
      <c r="F89" s="68">
        <f>IF(OR(801858.14608="",88.01308="",74.85715=""),"-",(74.85715-88.01308)/801858.14608*100)</f>
        <v>-0.0016406804700201244</v>
      </c>
      <c r="G89" s="68">
        <f>IF(OR(831736.70692="",257.92198="",74.85715=""),"-",(257.92198-74.85715)/831736.70692*100)</f>
        <v>0.02200994960026551</v>
      </c>
    </row>
    <row r="90" spans="1:7" ht="15.75">
      <c r="A90" s="48" t="s">
        <v>142</v>
      </c>
      <c r="B90" s="68">
        <f>IF(251.38321="","-",251.38321)</f>
        <v>251.38321</v>
      </c>
      <c r="C90" s="68" t="s">
        <v>20</v>
      </c>
      <c r="D90" s="68">
        <f>IF(127.84174="","-",127.84174/831736.70692*100)</f>
        <v>0.01537045785479519</v>
      </c>
      <c r="E90" s="68">
        <f>IF(251.38321="","-",251.38321/864817.21761*100)</f>
        <v>0.029067785062688742</v>
      </c>
      <c r="F90" s="68">
        <f>IF(OR(801858.14608="",263.20349="",127.84174=""),"-",(127.84174-263.20349)/801858.14608*100)</f>
        <v>-0.016881009522910696</v>
      </c>
      <c r="G90" s="68">
        <f>IF(OR(831736.70692="",251.38321="",127.84174=""),"-",(251.38321-127.84174)/831736.70692*100)</f>
        <v>0.014853434863718566</v>
      </c>
    </row>
    <row r="91" spans="1:7" ht="15.75">
      <c r="A91" s="48" t="s">
        <v>205</v>
      </c>
      <c r="B91" s="68">
        <f>IF(204.19728="","-",204.19728)</f>
        <v>204.19728</v>
      </c>
      <c r="C91" s="68" t="s">
        <v>250</v>
      </c>
      <c r="D91" s="68">
        <f>IF(84.88349="","-",84.88349/831736.70692*100)</f>
        <v>0.010205572183333306</v>
      </c>
      <c r="E91" s="68">
        <f>IF(204.19728="","-",204.19728/864817.21761*100)</f>
        <v>0.023611611314159252</v>
      </c>
      <c r="F91" s="68">
        <f>IF(OR(801858.14608="",99.17628="",84.88349=""),"-",(84.88349-99.17628)/801858.14608*100)</f>
        <v>-0.00178245866427527</v>
      </c>
      <c r="G91" s="68">
        <f>IF(OR(831736.70692="",204.19728="",84.88349=""),"-",(204.19728-84.88349)/831736.70692*100)</f>
        <v>0.014345139394151581</v>
      </c>
    </row>
    <row r="92" spans="1:7" ht="15.75">
      <c r="A92" s="48" t="s">
        <v>128</v>
      </c>
      <c r="B92" s="68">
        <f>IF(174.51585="","-",174.51585)</f>
        <v>174.51585</v>
      </c>
      <c r="C92" s="68">
        <f>IF(OR(205.72394="",174.51585=""),"-",174.51585/205.72394*100)</f>
        <v>84.83011262568664</v>
      </c>
      <c r="D92" s="68">
        <f>IF(205.72394="","-",205.72394/831736.70692*100)</f>
        <v>0.024734262452094397</v>
      </c>
      <c r="E92" s="68">
        <f>IF(174.51585="","-",174.51585/864817.21761*100)</f>
        <v>0.020179506888437098</v>
      </c>
      <c r="F92" s="68">
        <f>IF(OR(801858.14608="",165.60193="",205.72394=""),"-",(205.72394-165.60193)/801858.14608*100)</f>
        <v>0.00500362940703942</v>
      </c>
      <c r="G92" s="68">
        <f>IF(OR(831736.70692="",174.51585="",205.72394=""),"-",(174.51585-205.72394)/831736.70692*100)</f>
        <v>-0.0037521597568497987</v>
      </c>
    </row>
    <row r="93" spans="1:7" ht="15.75">
      <c r="A93" s="48" t="s">
        <v>140</v>
      </c>
      <c r="B93" s="68">
        <f>IF(171.81908="","-",171.81908)</f>
        <v>171.81908</v>
      </c>
      <c r="C93" s="68">
        <f>IF(OR(200.50308="",171.81908=""),"-",171.81908/200.50308*100)</f>
        <v>85.69398534925249</v>
      </c>
      <c r="D93" s="68">
        <f>IF(200.50308="","-",200.50308/831736.70692*100)</f>
        <v>0.024106556597998655</v>
      </c>
      <c r="E93" s="68">
        <f>IF(171.81908="","-",171.81908/864817.21761*100)</f>
        <v>0.01986767567773887</v>
      </c>
      <c r="F93" s="68">
        <f>IF(OR(801858.14608="",343.83753="",200.50308=""),"-",(200.50308-343.83753)/801858.14608*100)</f>
        <v>-0.017875287630450758</v>
      </c>
      <c r="G93" s="68">
        <f>IF(OR(831736.70692="",171.81908="",200.50308=""),"-",(171.81908-200.50308)/831736.70692*100)</f>
        <v>-0.003448687518700428</v>
      </c>
    </row>
    <row r="94" spans="1:7" ht="15.75">
      <c r="A94" s="48" t="s">
        <v>113</v>
      </c>
      <c r="B94" s="68">
        <f>IF(170.2181="","-",170.2181)</f>
        <v>170.2181</v>
      </c>
      <c r="C94" s="68" t="s">
        <v>158</v>
      </c>
      <c r="D94" s="68">
        <f>IF(91.64038="","-",91.64038/831736.70692*100)</f>
        <v>0.011017955470470098</v>
      </c>
      <c r="E94" s="68">
        <f>IF(170.2181="","-",170.2181/864817.21761*100)</f>
        <v>0.019682552166388752</v>
      </c>
      <c r="F94" s="68">
        <f>IF(OR(801858.14608="",86.85637="",91.64038=""),"-",(91.64038-86.85637)/801858.14608*100)</f>
        <v>0.0005966155015556457</v>
      </c>
      <c r="G94" s="68">
        <f>IF(OR(831736.70692="",170.2181="",91.64038=""),"-",(170.2181-91.64038)/831736.70692*100)</f>
        <v>0.00944742721419387</v>
      </c>
    </row>
    <row r="95" spans="1:7" ht="15.75">
      <c r="A95" s="48" t="s">
        <v>147</v>
      </c>
      <c r="B95" s="68">
        <f>IF(150.03282="","-",150.03282)</f>
        <v>150.03282</v>
      </c>
      <c r="C95" s="68">
        <f>IF(OR(118.96638="",150.03282=""),"-",150.03282/118.96638*100)</f>
        <v>126.11362974985032</v>
      </c>
      <c r="D95" s="68">
        <f>IF(118.96638="","-",118.96638/831736.70692*100)</f>
        <v>0.014303370166328691</v>
      </c>
      <c r="E95" s="68">
        <f>IF(150.03282="","-",150.03282/864817.21761*100)</f>
        <v>0.017348500578495553</v>
      </c>
      <c r="F95" s="68">
        <f>IF(OR(801858.14608="",140.55733="",118.96638=""),"-",(118.96638-140.55733)/801858.14608*100)</f>
        <v>-0.002692614660778905</v>
      </c>
      <c r="G95" s="68">
        <f>IF(OR(831736.70692="",150.03282="",118.96638=""),"-",(150.03282-118.96638)/831736.70692*100)</f>
        <v>0.0037351291269856254</v>
      </c>
    </row>
    <row r="96" spans="1:7" ht="15.75">
      <c r="A96" s="48" t="s">
        <v>148</v>
      </c>
      <c r="B96" s="68">
        <f>IF(139.54267="","-",139.54267)</f>
        <v>139.54267</v>
      </c>
      <c r="C96" s="68">
        <f>IF(OR(194.06628="",139.54267=""),"-",139.54267/194.06628*100)</f>
        <v>71.90464515525314</v>
      </c>
      <c r="D96" s="68">
        <f>IF(194.06628="","-",194.06628/831736.70692*100)</f>
        <v>0.023332657845371026</v>
      </c>
      <c r="E96" s="68">
        <f>IF(139.54267="","-",139.54267/864817.21761*100)</f>
        <v>0.01613551015850941</v>
      </c>
      <c r="F96" s="68">
        <f>IF(OR(801858.14608="",195.92629="",194.06628=""),"-",(194.06628-195.92629)/801858.14608*100)</f>
        <v>-0.0002319624747959371</v>
      </c>
      <c r="G96" s="68">
        <f>IF(OR(831736.70692="",139.54267="",194.06628=""),"-",(139.54267-194.06628)/831736.70692*100)</f>
        <v>-0.006555393016367658</v>
      </c>
    </row>
    <row r="97" spans="1:7" ht="15.75">
      <c r="A97" s="48" t="s">
        <v>143</v>
      </c>
      <c r="B97" s="68">
        <f>IF(99.60756="","-",99.60756)</f>
        <v>99.60756</v>
      </c>
      <c r="C97" s="68">
        <f>IF(OR(181.56241="",99.60756=""),"-",99.60756/181.56241*100)</f>
        <v>54.86133390716724</v>
      </c>
      <c r="D97" s="68">
        <f>IF(181.56241="","-",181.56241/831736.70692*100)</f>
        <v>0.021829313109474613</v>
      </c>
      <c r="E97" s="68">
        <f>IF(99.60756="","-",99.60756/864817.21761*100)</f>
        <v>0.01151775866295475</v>
      </c>
      <c r="F97" s="68">
        <f>IF(OR(801858.14608="",192.29905="",181.56241=""),"-",(181.56241-192.29905)/801858.14608*100)</f>
        <v>-0.0013389699976844554</v>
      </c>
      <c r="G97" s="68">
        <f>IF(OR(831736.70692="",99.60756="",181.56241=""),"-",(99.60756-181.56241)/831736.70692*100)</f>
        <v>-0.009853460754844712</v>
      </c>
    </row>
    <row r="98" spans="1:7" ht="15.75">
      <c r="A98" s="48" t="s">
        <v>243</v>
      </c>
      <c r="B98" s="68">
        <f>IF(88="","-",88)</f>
        <v>88</v>
      </c>
      <c r="C98" s="68" t="str">
        <f>IF(OR(""="",88=""),"-",88/""*100)</f>
        <v>-</v>
      </c>
      <c r="D98" s="68" t="str">
        <f>IF(""="","-",""/831736.70692*100)</f>
        <v>-</v>
      </c>
      <c r="E98" s="68">
        <f>IF(88="","-",88/864817.21761*100)</f>
        <v>0.01017556059339289</v>
      </c>
      <c r="F98" s="68" t="str">
        <f>IF(OR(801858.14608="",""="",""=""),"-",(""-"")/801858.14608*100)</f>
        <v>-</v>
      </c>
      <c r="G98" s="68" t="str">
        <f>IF(OR(831736.70692="",88="",""=""),"-",(88-"")/831736.70692*100)</f>
        <v>-</v>
      </c>
    </row>
    <row r="99" spans="1:7" ht="15.75">
      <c r="A99" s="48" t="s">
        <v>244</v>
      </c>
      <c r="B99" s="68">
        <f>IF(83.9474="","-",83.9474)</f>
        <v>83.9474</v>
      </c>
      <c r="C99" s="68" t="str">
        <f>IF(OR(""="",83.9474=""),"-",83.9474/""*100)</f>
        <v>-</v>
      </c>
      <c r="D99" s="68" t="str">
        <f>IF(""="","-",""/831736.70692*100)</f>
        <v>-</v>
      </c>
      <c r="E99" s="68">
        <f>IF(83.9474="","-",83.9474/864817.21761*100)</f>
        <v>0.009706952901793072</v>
      </c>
      <c r="F99" s="68" t="str">
        <f>IF(OR(801858.14608="",0.05583="",""=""),"-",(""-0.05583)/801858.14608*100)</f>
        <v>-</v>
      </c>
      <c r="G99" s="68" t="str">
        <f>IF(OR(831736.70692="",83.9474="",""=""),"-",(83.9474-"")/831736.70692*100)</f>
        <v>-</v>
      </c>
    </row>
    <row r="100" spans="1:7" ht="15.75">
      <c r="A100" s="48" t="s">
        <v>160</v>
      </c>
      <c r="B100" s="68">
        <f>IF(75.38107="","-",75.38107)</f>
        <v>75.38107</v>
      </c>
      <c r="C100" s="68" t="s">
        <v>253</v>
      </c>
      <c r="D100" s="68">
        <f>IF(3.89509="","-",3.89509/831736.70692*100)</f>
        <v>0.00046830805561340295</v>
      </c>
      <c r="E100" s="68">
        <f>IF(75.38107="","-",75.38107/864817.21761*100)</f>
        <v>0.008716416424770352</v>
      </c>
      <c r="F100" s="68">
        <f>IF(OR(801858.14608="",4.65247="",3.89509=""),"-",(3.89509-4.65247)/801858.14608*100)</f>
        <v>-9.445311539236236E-05</v>
      </c>
      <c r="G100" s="68">
        <f>IF(OR(831736.70692="",75.38107="",3.89509=""),"-",(75.38107-3.89509)/831736.70692*100)</f>
        <v>0.008594784792499944</v>
      </c>
    </row>
    <row r="101" spans="1:7" ht="15.75">
      <c r="A101" s="48" t="s">
        <v>224</v>
      </c>
      <c r="B101" s="68">
        <f>IF(70.49428="","-",70.49428)</f>
        <v>70.49428</v>
      </c>
      <c r="C101" s="68">
        <f>IF(OR(342.82774="",70.49428=""),"-",70.49428/342.82774*100)</f>
        <v>20.562595080549784</v>
      </c>
      <c r="D101" s="68">
        <f>IF(342.82774="","-",342.82774/831736.70692*100)</f>
        <v>0.04121830107384868</v>
      </c>
      <c r="E101" s="68">
        <f>IF(70.49428="","-",70.49428/864817.21761*100)</f>
        <v>0.00815135020031369</v>
      </c>
      <c r="F101" s="68">
        <f>IF(OR(801858.14608="",115.87805="",342.82774=""),"-",(342.82774-115.87805)/801858.14608*100)</f>
        <v>0.02830297242841225</v>
      </c>
      <c r="G101" s="68">
        <f>IF(OR(831736.70692="",70.49428="",342.82774=""),"-",(70.49428-342.82774)/831736.70692*100)</f>
        <v>-0.03274274872495127</v>
      </c>
    </row>
    <row r="102" spans="1:7" ht="15.75">
      <c r="A102" s="48" t="s">
        <v>204</v>
      </c>
      <c r="B102" s="68">
        <f>IF(58.13115="","-",58.13115)</f>
        <v>58.13115</v>
      </c>
      <c r="C102" s="68">
        <f>IF(OR(326.70748="",58.13115=""),"-",58.13115/326.70748*100)</f>
        <v>17.793026960998873</v>
      </c>
      <c r="D102" s="68">
        <f>IF(326.70748="","-",326.70748/831736.70692*100)</f>
        <v>0.03928015648243166</v>
      </c>
      <c r="E102" s="68">
        <f>IF(58.13115="","-",58.13115/864817.21761*100)</f>
        <v>0.006721784536234217</v>
      </c>
      <c r="F102" s="68">
        <f>IF(OR(801858.14608="",4.64079="",326.70748=""),"-",(326.70748-4.64079)/801858.14608*100)</f>
        <v>0.04016504559746257</v>
      </c>
      <c r="G102" s="68">
        <f>IF(OR(831736.70692="",58.13115="",326.70748=""),"-",(58.13115-326.70748)/831736.70692*100)</f>
        <v>-0.03229102764919004</v>
      </c>
    </row>
    <row r="103" spans="1:7" ht="15.75">
      <c r="A103" s="48" t="s">
        <v>154</v>
      </c>
      <c r="B103" s="68">
        <f>IF(55.1877="","-",55.1877)</f>
        <v>55.1877</v>
      </c>
      <c r="C103" s="68">
        <f>IF(OR(61.19813="",55.1877=""),"-",55.1877/61.19813*100)</f>
        <v>90.17873585353017</v>
      </c>
      <c r="D103" s="68">
        <f>IF(61.19813="","-",61.19813/831736.70692*100)</f>
        <v>0.007357872929117494</v>
      </c>
      <c r="E103" s="68">
        <f>IF(55.1877="","-",55.1877/864817.21761*100)</f>
        <v>0.006381429379090781</v>
      </c>
      <c r="F103" s="68">
        <f>IF(OR(801858.14608="",100.55543="",61.19813=""),"-",(61.19813-100.55543)/801858.14608*100)</f>
        <v>-0.00490826216487341</v>
      </c>
      <c r="G103" s="68">
        <f>IF(OR(831736.70692="",55.1877="",61.19813=""),"-",(55.1877-61.19813)/831736.70692*100)</f>
        <v>-0.0007226361359302263</v>
      </c>
    </row>
    <row r="104" spans="1:7" ht="15.75">
      <c r="A104" s="48" t="s">
        <v>206</v>
      </c>
      <c r="B104" s="68">
        <f>IF(53.13973="","-",53.13973)</f>
        <v>53.13973</v>
      </c>
      <c r="C104" s="68">
        <f>IF(OR(50.38919="",53.13973=""),"-",53.13973/50.38919*100)</f>
        <v>105.45859141613509</v>
      </c>
      <c r="D104" s="68">
        <f>IF(50.38919="","-",50.38919/831736.70692*100)</f>
        <v>0.006058310229759602</v>
      </c>
      <c r="E104" s="68">
        <f>IF(53.13973="","-",53.13973/864817.21761*100)</f>
        <v>0.0061446198014947495</v>
      </c>
      <c r="F104" s="68">
        <f>IF(OR(801858.14608="",33.67588="",50.38919=""),"-",(50.38919-33.67588)/801858.14608*100)</f>
        <v>0.0020843225303260235</v>
      </c>
      <c r="G104" s="68">
        <f>IF(OR(831736.70692="",53.13973="",50.38919=""),"-",(53.13973-50.38919)/831736.70692*100)</f>
        <v>0.00033069840216449163</v>
      </c>
    </row>
    <row r="105" spans="1:7" ht="15.75">
      <c r="A105" s="48" t="s">
        <v>166</v>
      </c>
      <c r="B105" s="68">
        <f>IF(52.38433="","-",52.38433)</f>
        <v>52.38433</v>
      </c>
      <c r="C105" s="68">
        <f>IF(OR(64.00732="",52.38433=""),"-",52.38433/64.00732*100)</f>
        <v>81.84115504289196</v>
      </c>
      <c r="D105" s="68">
        <f>IF(64.00732="","-",64.00732/831736.70692*100)</f>
        <v>0.007695622841635208</v>
      </c>
      <c r="E105" s="68">
        <f>IF(52.38433="","-",52.38433/864817.21761*100)</f>
        <v>0.006057271864310101</v>
      </c>
      <c r="F105" s="68">
        <f>IF(OR(801858.14608="",0.56135="",64.00732=""),"-",(64.00732-0.56135)/801858.14608*100)</f>
        <v>0.007912368329755686</v>
      </c>
      <c r="G105" s="68">
        <f>IF(OR(831736.70692="",52.38433="",64.00732=""),"-",(52.38433-64.00732)/831736.70692*100)</f>
        <v>-0.0013974362202963295</v>
      </c>
    </row>
    <row r="106" spans="1:7" ht="15.75">
      <c r="A106" s="48" t="s">
        <v>226</v>
      </c>
      <c r="B106" s="68">
        <f>IF(30.63145="","-",30.63145)</f>
        <v>30.63145</v>
      </c>
      <c r="C106" s="68">
        <f>IF(OR(736.40888="",30.63145=""),"-",30.63145/736.40888*100)</f>
        <v>4.159570970952985</v>
      </c>
      <c r="D106" s="68">
        <f>IF(736.40888="","-",736.40888/831736.70692*100)</f>
        <v>0.08853870147525314</v>
      </c>
      <c r="E106" s="68">
        <f>IF(30.63145="","-",30.63145/864817.21761*100)</f>
        <v>0.0035419565402100527</v>
      </c>
      <c r="F106" s="68">
        <f>IF(OR(801858.14608="",643.74268="",736.40888=""),"-",(736.40888-643.74268)/801858.14608*100)</f>
        <v>0.011556433073981</v>
      </c>
      <c r="G106" s="68">
        <f>IF(OR(831736.70692="",30.63145="",736.40888=""),"-",(30.63145-736.40888)/831736.70692*100)</f>
        <v>-0.08485587135062979</v>
      </c>
    </row>
    <row r="107" spans="1:7" ht="15.75">
      <c r="A107" s="48" t="s">
        <v>245</v>
      </c>
      <c r="B107" s="68">
        <f>IF(30.47245="","-",30.47245)</f>
        <v>30.47245</v>
      </c>
      <c r="C107" s="68" t="s">
        <v>254</v>
      </c>
      <c r="D107" s="68">
        <f>IF(2.065="","-",2.065/831736.70692*100)</f>
        <v>0.0002482756842182535</v>
      </c>
      <c r="E107" s="68">
        <f>IF(30.47245="","-",30.47245/864817.21761*100)</f>
        <v>0.0035235711523197177</v>
      </c>
      <c r="F107" s="68" t="str">
        <f>IF(OR(801858.14608="",""="",2.065=""),"-",(2.065-"")/801858.14608*100)</f>
        <v>-</v>
      </c>
      <c r="G107" s="68">
        <f>IF(OR(831736.70692="",30.47245="",2.065=""),"-",(30.47245-2.065)/831736.70692*100)</f>
        <v>0.0034154378138720708</v>
      </c>
    </row>
    <row r="108" spans="1:7" ht="15.75">
      <c r="A108" s="43" t="s">
        <v>246</v>
      </c>
      <c r="B108" s="55">
        <f>IF(23.00899="","-",23.00899)</f>
        <v>23.00899</v>
      </c>
      <c r="C108" s="55" t="s">
        <v>255</v>
      </c>
      <c r="D108" s="55">
        <f>IF(7.96128="","-",7.96128/831736.70692*100)</f>
        <v>0.0009571875250620326</v>
      </c>
      <c r="E108" s="55">
        <f>IF(23.00899="","-",23.00899/864817.21761*100)</f>
        <v>0.0026605610447473986</v>
      </c>
      <c r="F108" s="55">
        <f>IF(OR(801858.14608="",6.57415="",7.96128=""),"-",(7.96128-6.57415)/801858.14608*100)</f>
        <v>0.0001729894504135409</v>
      </c>
      <c r="G108" s="55">
        <f>IF(OR(831736.70692="",23.00899="",7.96128=""),"-",(23.00899-7.96128)/831736.70692*100)</f>
        <v>0.0018091915235679686</v>
      </c>
    </row>
    <row r="109" ht="15.75">
      <c r="A109" s="28" t="s">
        <v>21</v>
      </c>
    </row>
  </sheetData>
  <sheetProtection/>
  <mergeCells count="9">
    <mergeCell ref="A1:G1"/>
    <mergeCell ref="A3:A5"/>
    <mergeCell ref="B3:C3"/>
    <mergeCell ref="D3:E3"/>
    <mergeCell ref="F3:G3"/>
    <mergeCell ref="B4:B5"/>
    <mergeCell ref="C4:C5"/>
    <mergeCell ref="D4:E4"/>
    <mergeCell ref="F4:G4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120"/>
  <sheetViews>
    <sheetView zoomScalePageLayoutView="0" workbookViewId="0" topLeftCell="A1">
      <selection activeCell="I24" sqref="I24"/>
    </sheetView>
  </sheetViews>
  <sheetFormatPr defaultColWidth="9.00390625" defaultRowHeight="15.75"/>
  <cols>
    <col min="1" max="1" width="43.75390625" style="0" customWidth="1"/>
    <col min="2" max="3" width="13.25390625" style="0" customWidth="1"/>
    <col min="4" max="4" width="19.25390625" style="0" customWidth="1"/>
  </cols>
  <sheetData>
    <row r="1" spans="1:4" ht="15.75">
      <c r="A1" s="87" t="s">
        <v>179</v>
      </c>
      <c r="B1" s="87"/>
      <c r="C1" s="87"/>
      <c r="D1" s="87"/>
    </row>
    <row r="2" ht="15.75">
      <c r="A2" s="4"/>
    </row>
    <row r="3" spans="1:5" ht="26.25" customHeight="1">
      <c r="A3" s="88"/>
      <c r="B3" s="92" t="s">
        <v>275</v>
      </c>
      <c r="C3" s="93"/>
      <c r="D3" s="90" t="s">
        <v>276</v>
      </c>
      <c r="E3" s="1"/>
    </row>
    <row r="4" spans="1:5" ht="25.5" customHeight="1">
      <c r="A4" s="89"/>
      <c r="B4" s="23">
        <v>2019</v>
      </c>
      <c r="C4" s="22">
        <v>2020</v>
      </c>
      <c r="D4" s="91"/>
      <c r="E4" s="1"/>
    </row>
    <row r="5" spans="1:4" ht="17.25" customHeight="1">
      <c r="A5" s="56" t="s">
        <v>152</v>
      </c>
      <c r="B5" s="52">
        <f>IF(-356072.77776="","-",-356072.77776)</f>
        <v>-356072.77776</v>
      </c>
      <c r="C5" s="52">
        <f>IF(-400034.32199="","-",-400034.32199)</f>
        <v>-400034.32199</v>
      </c>
      <c r="D5" s="52">
        <f>IF(-356072.77776="","-",-400034.32199/-356072.77776*100)</f>
        <v>112.34622441697324</v>
      </c>
    </row>
    <row r="6" spans="1:4" ht="15.75">
      <c r="A6" s="57" t="s">
        <v>279</v>
      </c>
      <c r="B6" s="73"/>
      <c r="C6" s="73"/>
      <c r="D6" s="73"/>
    </row>
    <row r="7" spans="1:4" ht="15.75">
      <c r="A7" s="39" t="s">
        <v>190</v>
      </c>
      <c r="B7" s="53">
        <f>IF(-80956.146="","-",-80956.146)</f>
        <v>-80956.146</v>
      </c>
      <c r="C7" s="53">
        <f>IF(-91217.1329="","-",-91217.1329)</f>
        <v>-91217.1329</v>
      </c>
      <c r="D7" s="53">
        <f>IF(-80956.146="","-",-91217.1329/-80956.146*100)</f>
        <v>112.67474726378404</v>
      </c>
    </row>
    <row r="8" spans="1:4" ht="15.75">
      <c r="A8" s="41" t="s">
        <v>4</v>
      </c>
      <c r="B8" s="54">
        <f>IF(-24573.37845="","-",-24573.37845)</f>
        <v>-24573.37845</v>
      </c>
      <c r="C8" s="54">
        <f>IF(-22271.14071="","-",-22271.14071)</f>
        <v>-22271.14071</v>
      </c>
      <c r="D8" s="54">
        <f>IF(OR(-24573.37845="",-22271.14071="",-24573.37845=0),"-",-22271.14071/-24573.37845*100)</f>
        <v>90.6311712706317</v>
      </c>
    </row>
    <row r="9" spans="1:4" ht="15.75">
      <c r="A9" s="41" t="s">
        <v>91</v>
      </c>
      <c r="B9" s="54">
        <f>IF(-15817.92513="","-",-15817.92513)</f>
        <v>-15817.92513</v>
      </c>
      <c r="C9" s="54">
        <f>IF(-15569.6556="","-",-15569.6556)</f>
        <v>-15569.6556</v>
      </c>
      <c r="D9" s="54">
        <f>IF(OR(-15817.92513="",-15569.6556="",-15817.92513=0),"-",-15569.6556/-15817.92513*100)</f>
        <v>98.43045451309455</v>
      </c>
    </row>
    <row r="10" spans="1:4" ht="15.75">
      <c r="A10" s="41" t="s">
        <v>5</v>
      </c>
      <c r="B10" s="54">
        <f>IF(-10436.68079="","-",-10436.68079)</f>
        <v>-10436.68079</v>
      </c>
      <c r="C10" s="54">
        <f>IF(-13253.04949="","-",-13253.04949)</f>
        <v>-13253.04949</v>
      </c>
      <c r="D10" s="54">
        <f>IF(OR(-10436.68079="",-13253.04949="",-10436.68079=0),"-",-13253.04949/-10436.68079*100)</f>
        <v>126.98529117321024</v>
      </c>
    </row>
    <row r="11" spans="1:4" ht="15.75">
      <c r="A11" s="41" t="s">
        <v>192</v>
      </c>
      <c r="B11" s="54">
        <f>IF(-14384.34539="","-",-14384.34539)</f>
        <v>-14384.34539</v>
      </c>
      <c r="C11" s="54">
        <f>IF(-12005.73352="","-",-12005.73352)</f>
        <v>-12005.73352</v>
      </c>
      <c r="D11" s="54">
        <f>IF(OR(-14384.34539="",-12005.73352="",-14384.34539=0),"-",-12005.73352/-14384.34539*100)</f>
        <v>83.46388517858023</v>
      </c>
    </row>
    <row r="12" spans="1:4" ht="15.75">
      <c r="A12" s="41" t="s">
        <v>2</v>
      </c>
      <c r="B12" s="54">
        <f>IF(13894.53902="","-",13894.53902)</f>
        <v>13894.53902</v>
      </c>
      <c r="C12" s="54">
        <f>IF(-6259.26724="","-",-6259.26724)</f>
        <v>-6259.26724</v>
      </c>
      <c r="D12" s="54" t="s">
        <v>22</v>
      </c>
    </row>
    <row r="13" spans="1:4" ht="15.75">
      <c r="A13" s="41" t="s">
        <v>3</v>
      </c>
      <c r="B13" s="54">
        <f>IF(7537.29821="","-",7537.29821)</f>
        <v>7537.29821</v>
      </c>
      <c r="C13" s="54">
        <f>IF(-5027.62414="","-",-5027.62414)</f>
        <v>-5027.62414</v>
      </c>
      <c r="D13" s="54" t="s">
        <v>22</v>
      </c>
    </row>
    <row r="14" spans="1:4" ht="15.75">
      <c r="A14" s="41" t="s">
        <v>8</v>
      </c>
      <c r="B14" s="54">
        <f>IF(-8071.66001="","-",-8071.66001)</f>
        <v>-8071.66001</v>
      </c>
      <c r="C14" s="54">
        <f>IF(-4937.17883="","-",-4937.17883)</f>
        <v>-4937.17883</v>
      </c>
      <c r="D14" s="54">
        <f>IF(OR(-8071.66001="",-4937.17883="",-8071.66001=0),"-",-4937.17883/-8071.66001*100)</f>
        <v>61.16683338846429</v>
      </c>
    </row>
    <row r="15" spans="1:4" ht="15.75">
      <c r="A15" s="41" t="s">
        <v>101</v>
      </c>
      <c r="B15" s="54">
        <f>IF(-3734.57099="","-",-3734.57099)</f>
        <v>-3734.57099</v>
      </c>
      <c r="C15" s="54">
        <f>IF(-4318.08031="","-",-4318.08031)</f>
        <v>-4318.08031</v>
      </c>
      <c r="D15" s="54">
        <f>IF(OR(-3734.57099="",-4318.08031="",-3734.57099=0),"-",-4318.08031/-3734.57099*100)</f>
        <v>115.62453415833984</v>
      </c>
    </row>
    <row r="16" spans="1:4" ht="15.75">
      <c r="A16" s="41" t="s">
        <v>10</v>
      </c>
      <c r="B16" s="54">
        <f>IF(-515.47737="","-",-515.47737)</f>
        <v>-515.47737</v>
      </c>
      <c r="C16" s="54">
        <f>IF(-3487.96336="","-",-3487.96336)</f>
        <v>-3487.96336</v>
      </c>
      <c r="D16" s="54" t="s">
        <v>267</v>
      </c>
    </row>
    <row r="17" spans="1:4" ht="15.75">
      <c r="A17" s="41" t="s">
        <v>90</v>
      </c>
      <c r="B17" s="54">
        <f>IF(-3072.88181="","-",-3072.88181)</f>
        <v>-3072.88181</v>
      </c>
      <c r="C17" s="54">
        <f>IF(-3044.85741="","-",-3044.85741)</f>
        <v>-3044.85741</v>
      </c>
      <c r="D17" s="54">
        <f>IF(OR(-3072.88181="",-3044.85741="",-3072.88181=0),"-",-3044.85741/-3072.88181*100)</f>
        <v>99.08800918054183</v>
      </c>
    </row>
    <row r="18" spans="1:4" ht="15.75">
      <c r="A18" s="41" t="s">
        <v>99</v>
      </c>
      <c r="B18" s="54">
        <f>IF(-3753.3561="","-",-3753.3561)</f>
        <v>-3753.3561</v>
      </c>
      <c r="C18" s="54">
        <f>IF(-2942.79287="","-",-2942.79287)</f>
        <v>-2942.79287</v>
      </c>
      <c r="D18" s="54">
        <f>IF(OR(-3753.3561="",-2942.79287="",-3753.3561=0),"-",-2942.79287/-3753.3561*100)</f>
        <v>78.40430781401211</v>
      </c>
    </row>
    <row r="19" spans="1:4" ht="15.75">
      <c r="A19" s="41" t="s">
        <v>89</v>
      </c>
      <c r="B19" s="54">
        <f>IF(-4345.36597="","-",-4345.36597)</f>
        <v>-4345.36597</v>
      </c>
      <c r="C19" s="54">
        <f>IF(-2379.10847="","-",-2379.10847)</f>
        <v>-2379.10847</v>
      </c>
      <c r="D19" s="54">
        <f>IF(OR(-4345.36597="",-2379.10847="",-4345.36597=0),"-",-2379.10847/-4345.36597*100)</f>
        <v>54.75047410103412</v>
      </c>
    </row>
    <row r="20" spans="1:4" ht="15.75">
      <c r="A20" s="41" t="s">
        <v>97</v>
      </c>
      <c r="B20" s="54">
        <f>IF(-1773.31211="","-",-1773.31211)</f>
        <v>-1773.31211</v>
      </c>
      <c r="C20" s="54">
        <f>IF(-1640.70502="","-",-1640.70502)</f>
        <v>-1640.70502</v>
      </c>
      <c r="D20" s="54">
        <f>IF(OR(-1773.31211="",-1640.70502="",-1773.31211=0),"-",-1640.70502/-1773.31211*100)</f>
        <v>92.52206708270887</v>
      </c>
    </row>
    <row r="21" spans="1:4" ht="15.75">
      <c r="A21" s="41" t="s">
        <v>92</v>
      </c>
      <c r="B21" s="54">
        <f>IF(-483.38329="","-",-483.38329)</f>
        <v>-483.38329</v>
      </c>
      <c r="C21" s="54">
        <f>IF(-1562.42616="","-",-1562.42616)</f>
        <v>-1562.42616</v>
      </c>
      <c r="D21" s="54" t="s">
        <v>167</v>
      </c>
    </row>
    <row r="22" spans="1:6" ht="15.75">
      <c r="A22" s="41" t="s">
        <v>93</v>
      </c>
      <c r="B22" s="54">
        <f>IF(-3712.6089="","-",-3712.6089)</f>
        <v>-3712.6089</v>
      </c>
      <c r="C22" s="54">
        <f>IF(-1543.76195="","-",-1543.76195)</f>
        <v>-1543.76195</v>
      </c>
      <c r="D22" s="54">
        <f>IF(OR(-3712.6089="",-1543.76195="",-3712.6089=0),"-",-1543.76195/-3712.6089*100)</f>
        <v>41.581593741263724</v>
      </c>
      <c r="F22" t="s">
        <v>161</v>
      </c>
    </row>
    <row r="23" spans="1:4" ht="15.75">
      <c r="A23" s="41" t="s">
        <v>102</v>
      </c>
      <c r="B23" s="54">
        <f>IF(-835.12737="","-",-835.12737)</f>
        <v>-835.12737</v>
      </c>
      <c r="C23" s="54">
        <f>IF(-1467.60497="","-",-1467.60497)</f>
        <v>-1467.60497</v>
      </c>
      <c r="D23" s="54" t="s">
        <v>155</v>
      </c>
    </row>
    <row r="24" spans="1:4" ht="15.75">
      <c r="A24" s="41" t="s">
        <v>98</v>
      </c>
      <c r="B24" s="54">
        <f>IF(-1532.6454="","-",-1532.6454)</f>
        <v>-1532.6454</v>
      </c>
      <c r="C24" s="54">
        <f>IF(-1288.64183="","-",-1288.64183)</f>
        <v>-1288.64183</v>
      </c>
      <c r="D24" s="54">
        <f>IF(OR(-1532.6454="",-1288.64183="",-1532.6454=0),"-",-1288.64183/-1532.6454*100)</f>
        <v>84.07958096504254</v>
      </c>
    </row>
    <row r="25" spans="1:4" ht="15.75">
      <c r="A25" s="41" t="s">
        <v>94</v>
      </c>
      <c r="B25" s="54">
        <f>IF(-305.1167="","-",-305.1167)</f>
        <v>-305.1167</v>
      </c>
      <c r="C25" s="54">
        <f>IF(-929.01181="","-",-929.01181)</f>
        <v>-929.01181</v>
      </c>
      <c r="D25" s="54" t="s">
        <v>203</v>
      </c>
    </row>
    <row r="26" spans="1:4" ht="15.75">
      <c r="A26" s="41" t="s">
        <v>193</v>
      </c>
      <c r="B26" s="54">
        <f>IF(-259.05801="","-",-259.05801)</f>
        <v>-259.05801</v>
      </c>
      <c r="C26" s="54">
        <f>IF(-748.59038="","-",-748.59038)</f>
        <v>-748.59038</v>
      </c>
      <c r="D26" s="54" t="s">
        <v>255</v>
      </c>
    </row>
    <row r="27" spans="1:4" ht="15.75">
      <c r="A27" s="41" t="s">
        <v>191</v>
      </c>
      <c r="B27" s="54">
        <f>IF(-1321.01245="","-",-1321.01245)</f>
        <v>-1321.01245</v>
      </c>
      <c r="C27" s="54">
        <f>IF(-303.42665="","-",-303.42665)</f>
        <v>-303.42665</v>
      </c>
      <c r="D27" s="54">
        <f>IF(OR(-1321.01245="",-303.42665="",-1321.01245=0),"-",-303.42665/-1321.01245*100)</f>
        <v>22.969249835609045</v>
      </c>
    </row>
    <row r="28" spans="1:4" ht="15.75">
      <c r="A28" s="41" t="s">
        <v>103</v>
      </c>
      <c r="B28" s="54">
        <f>IF(-130.66632="","-",-130.66632)</f>
        <v>-130.66632</v>
      </c>
      <c r="C28" s="54">
        <f>IF(-89.97588="","-",-89.97588)</f>
        <v>-89.97588</v>
      </c>
      <c r="D28" s="54">
        <f>IF(OR(-130.66632="",-89.97588="",-130.66632=0),"-",-89.97588/-130.66632*100)</f>
        <v>68.85927452460588</v>
      </c>
    </row>
    <row r="29" spans="1:4" ht="15.75">
      <c r="A29" s="41" t="s">
        <v>104</v>
      </c>
      <c r="B29" s="54">
        <f>IF(-8.7735="","-",-8.7735)</f>
        <v>-8.7735</v>
      </c>
      <c r="C29" s="54">
        <f>IF(-0.90126="","-",-0.90126)</f>
        <v>-0.90126</v>
      </c>
      <c r="D29" s="54">
        <f>IF(OR(-8.7735="",-0.90126="",-8.7735=0),"-",-0.90126/-8.7735*100)</f>
        <v>10.27252521798598</v>
      </c>
    </row>
    <row r="30" spans="1:4" ht="15.75">
      <c r="A30" s="41" t="s">
        <v>95</v>
      </c>
      <c r="B30" s="54">
        <f>IF(-221.08871="","-",-221.08871)</f>
        <v>-221.08871</v>
      </c>
      <c r="C30" s="54">
        <f>IF(706.11781="","-",706.11781)</f>
        <v>706.11781</v>
      </c>
      <c r="D30" s="54" t="s">
        <v>22</v>
      </c>
    </row>
    <row r="31" spans="1:4" ht="15.75">
      <c r="A31" s="41" t="s">
        <v>7</v>
      </c>
      <c r="B31" s="54">
        <f>IF(-8544.23182="","-",-8544.23182)</f>
        <v>-8544.23182</v>
      </c>
      <c r="C31" s="54">
        <f>IF(923.96413="","-",923.96413)</f>
        <v>923.96413</v>
      </c>
      <c r="D31" s="54" t="s">
        <v>22</v>
      </c>
    </row>
    <row r="32" spans="1:4" ht="15.75">
      <c r="A32" s="41" t="s">
        <v>100</v>
      </c>
      <c r="B32" s="54">
        <f>IF(-2536.55405="","-",-2536.55405)</f>
        <v>-2536.55405</v>
      </c>
      <c r="C32" s="54">
        <f>IF(1467.56644="","-",1467.56644)</f>
        <v>1467.56644</v>
      </c>
      <c r="D32" s="54" t="s">
        <v>22</v>
      </c>
    </row>
    <row r="33" spans="1:4" ht="15.75">
      <c r="A33" s="41" t="s">
        <v>6</v>
      </c>
      <c r="B33" s="54">
        <f>IF(377.50499="","-",377.50499)</f>
        <v>377.50499</v>
      </c>
      <c r="C33" s="54">
        <f>IF(1921.24904="","-",1921.24904)</f>
        <v>1921.24904</v>
      </c>
      <c r="D33" s="54" t="s">
        <v>282</v>
      </c>
    </row>
    <row r="34" spans="1:4" ht="15.75">
      <c r="A34" s="41" t="s">
        <v>96</v>
      </c>
      <c r="B34" s="54">
        <f>IF(4108.1388="","-",4108.1388)</f>
        <v>4108.1388</v>
      </c>
      <c r="C34" s="54">
        <f>IF(3143.38682="","-",3143.38682)</f>
        <v>3143.38682</v>
      </c>
      <c r="D34" s="54">
        <f>IF(OR(4108.1388="",3143.38682="",4108.1388=0),"-",3143.38682/4108.1388*100)</f>
        <v>76.51608119959337</v>
      </c>
    </row>
    <row r="35" spans="1:4" ht="15.75">
      <c r="A35" s="41" t="s">
        <v>9</v>
      </c>
      <c r="B35" s="54">
        <f>IF(3495.59362="","-",3495.59362)</f>
        <v>3495.59362</v>
      </c>
      <c r="C35" s="54">
        <f>IF(5692.08072="","-",5692.08072)</f>
        <v>5692.08072</v>
      </c>
      <c r="D35" s="54" t="s">
        <v>157</v>
      </c>
    </row>
    <row r="36" spans="1:4" ht="15.75">
      <c r="A36" s="39" t="s">
        <v>194</v>
      </c>
      <c r="B36" s="53">
        <f>IF(-161024.9959="","-",-161024.9959)</f>
        <v>-161024.9959</v>
      </c>
      <c r="C36" s="53">
        <f>IF(-161154.03634="","-",-161154.03634)</f>
        <v>-161154.03634</v>
      </c>
      <c r="D36" s="53">
        <f>IF(-161024.9959="","-",-161154.03634/-161024.9959*100)</f>
        <v>100.08013690003763</v>
      </c>
    </row>
    <row r="37" spans="1:4" ht="15.75">
      <c r="A37" s="41" t="s">
        <v>195</v>
      </c>
      <c r="B37" s="54">
        <f>IF(-95964.96928="","-",-95964.96928)</f>
        <v>-95964.96928</v>
      </c>
      <c r="C37" s="54">
        <f>IF(-92666.0387="","-",-92666.0387)</f>
        <v>-92666.0387</v>
      </c>
      <c r="D37" s="54">
        <f>IF(OR(-95964.96928="",-92666.0387="",-95964.96928=0),"-",-92666.0387/-95964.96928*100)</f>
        <v>96.56235957271595</v>
      </c>
    </row>
    <row r="38" spans="1:4" ht="15.75">
      <c r="A38" s="41" t="s">
        <v>12</v>
      </c>
      <c r="B38" s="54">
        <f>IF(-60979.96416="","-",-60979.96416)</f>
        <v>-60979.96416</v>
      </c>
      <c r="C38" s="54">
        <f>IF(-62892.37131="","-",-62892.37131)</f>
        <v>-62892.37131</v>
      </c>
      <c r="D38" s="54">
        <f>IF(OR(-60979.96416="",-62892.37131="",-60979.96416=0),"-",-62892.37131/-60979.96416*100)</f>
        <v>103.13612376842696</v>
      </c>
    </row>
    <row r="39" spans="1:4" ht="15.75">
      <c r="A39" s="41" t="s">
        <v>11</v>
      </c>
      <c r="B39" s="54">
        <f>IF(-1793.99079="","-",-1793.99079)</f>
        <v>-1793.99079</v>
      </c>
      <c r="C39" s="54">
        <f>IF(-3887.16952="","-",-3887.16952)</f>
        <v>-3887.16952</v>
      </c>
      <c r="D39" s="54" t="s">
        <v>149</v>
      </c>
    </row>
    <row r="40" spans="1:4" ht="15.75">
      <c r="A40" s="41" t="s">
        <v>16</v>
      </c>
      <c r="B40" s="54">
        <f>IF(-1867.28341="","-",-1867.28341)</f>
        <v>-1867.28341</v>
      </c>
      <c r="C40" s="54">
        <f>IF(-1083.03606="","-",-1083.03606)</f>
        <v>-1083.03606</v>
      </c>
      <c r="D40" s="54">
        <f>IF(OR(-1867.28341="",-1083.03606="",-1867.28341=0),"-",-1083.03606/-1867.28341*100)</f>
        <v>58.00062562543733</v>
      </c>
    </row>
    <row r="41" spans="1:4" ht="15.75">
      <c r="A41" s="41" t="s">
        <v>14</v>
      </c>
      <c r="B41" s="54">
        <f>IF(365.6655="","-",365.6655)</f>
        <v>365.6655</v>
      </c>
      <c r="C41" s="54">
        <f>IF(-611.50835="","-",-611.50835)</f>
        <v>-611.50835</v>
      </c>
      <c r="D41" s="54" t="s">
        <v>22</v>
      </c>
    </row>
    <row r="42" spans="1:4" ht="15.75">
      <c r="A42" s="41" t="s">
        <v>15</v>
      </c>
      <c r="B42" s="54">
        <f>IF(-543.45303="","-",-543.45303)</f>
        <v>-543.45303</v>
      </c>
      <c r="C42" s="54">
        <f>IF(-486.65835="","-",-486.65835)</f>
        <v>-486.65835</v>
      </c>
      <c r="D42" s="54">
        <f>IF(OR(-543.45303="",-486.65835="",-543.45303=0),"-",-486.65835/-543.45303*100)</f>
        <v>89.54929370805054</v>
      </c>
    </row>
    <row r="43" spans="1:4" ht="15.75">
      <c r="A43" s="41" t="s">
        <v>197</v>
      </c>
      <c r="B43" s="54">
        <f>IF(69.53345="","-",69.53345)</f>
        <v>69.53345</v>
      </c>
      <c r="C43" s="54">
        <f>IF(23.84841="","-",23.84841)</f>
        <v>23.84841</v>
      </c>
      <c r="D43" s="54">
        <f>IF(OR(69.53345="",23.84841="",69.53345=0),"-",23.84841/69.53345*100)</f>
        <v>34.29775165765542</v>
      </c>
    </row>
    <row r="44" spans="1:4" ht="15.75">
      <c r="A44" s="41" t="s">
        <v>17</v>
      </c>
      <c r="B44" s="54">
        <f>IF(-25.61537="","-",-25.61537)</f>
        <v>-25.61537</v>
      </c>
      <c r="C44" s="54">
        <f>IF(67.97167="","-",67.97167)</f>
        <v>67.97167</v>
      </c>
      <c r="D44" s="54" t="s">
        <v>22</v>
      </c>
    </row>
    <row r="45" spans="1:4" ht="15.75">
      <c r="A45" s="41" t="s">
        <v>18</v>
      </c>
      <c r="B45" s="54">
        <f>IF(59.17266="","-",59.17266)</f>
        <v>59.17266</v>
      </c>
      <c r="C45" s="54">
        <f>IF(94.97138="","-",94.97138)</f>
        <v>94.97138</v>
      </c>
      <c r="D45" s="54" t="s">
        <v>157</v>
      </c>
    </row>
    <row r="46" spans="1:4" ht="15.75">
      <c r="A46" s="41" t="s">
        <v>13</v>
      </c>
      <c r="B46" s="54">
        <f>IF(-344.09147="","-",-344.09147)</f>
        <v>-344.09147</v>
      </c>
      <c r="C46" s="54">
        <f>IF(285.95449="","-",285.95449)</f>
        <v>285.95449</v>
      </c>
      <c r="D46" s="54" t="s">
        <v>22</v>
      </c>
    </row>
    <row r="47" spans="1:4" ht="15.75">
      <c r="A47" s="39" t="s">
        <v>198</v>
      </c>
      <c r="B47" s="53">
        <f>IF(-114091.63586="","-",-114091.63586)</f>
        <v>-114091.63586</v>
      </c>
      <c r="C47" s="53">
        <f>IF(-147663.15275="","-",-147663.15275)</f>
        <v>-147663.15275</v>
      </c>
      <c r="D47" s="53">
        <f>IF(-114091.63586="","-",-147663.15275/-114091.63586*100)</f>
        <v>129.42504648736482</v>
      </c>
    </row>
    <row r="48" spans="1:4" ht="15.75">
      <c r="A48" s="41" t="s">
        <v>108</v>
      </c>
      <c r="B48" s="54">
        <f>IF(-92391.55271="","-",-92391.55271)</f>
        <v>-92391.55271</v>
      </c>
      <c r="C48" s="54">
        <f>IF(-90681.43899="","-",-90681.43899)</f>
        <v>-90681.43899</v>
      </c>
      <c r="D48" s="54">
        <f>IF(OR(-92391.55271="",-90681.43899="",-92391.55271=0),"-",-90681.43899/-92391.55271*100)</f>
        <v>98.14905836103031</v>
      </c>
    </row>
    <row r="49" spans="1:4" ht="15.75">
      <c r="A49" s="41" t="s">
        <v>105</v>
      </c>
      <c r="B49" s="54">
        <f>IF(-5727.55408="","-",-5727.55408)</f>
        <v>-5727.55408</v>
      </c>
      <c r="C49" s="54">
        <f>IF(-29529.59027="","-",-29529.59027)</f>
        <v>-29529.59027</v>
      </c>
      <c r="D49" s="54" t="s">
        <v>283</v>
      </c>
    </row>
    <row r="50" spans="1:4" ht="15.75">
      <c r="A50" s="41" t="s">
        <v>125</v>
      </c>
      <c r="B50" s="54">
        <f>IF(-6210.08936="","-",-6210.08936)</f>
        <v>-6210.08936</v>
      </c>
      <c r="C50" s="54">
        <f>IF(-8761.42793="","-",-8761.42793)</f>
        <v>-8761.42793</v>
      </c>
      <c r="D50" s="54">
        <f>IF(OR(-6210.08936="",-8761.42793="",-6210.08936=0),"-",-8761.42793/-6210.08936*100)</f>
        <v>141.08376582201066</v>
      </c>
    </row>
    <row r="51" spans="1:4" ht="15.75">
      <c r="A51" s="41" t="s">
        <v>19</v>
      </c>
      <c r="B51" s="54">
        <f>IF(-7085.95352="","-",-7085.95352)</f>
        <v>-7085.95352</v>
      </c>
      <c r="C51" s="54">
        <f>IF(-6833.23068="","-",-6833.23068)</f>
        <v>-6833.23068</v>
      </c>
      <c r="D51" s="54">
        <f>IF(OR(-7085.95352="",-6833.23068="",-7085.95352=0),"-",-6833.23068/-7085.95352*100)</f>
        <v>96.43346743262296</v>
      </c>
    </row>
    <row r="52" spans="1:4" ht="15.75">
      <c r="A52" s="41" t="s">
        <v>118</v>
      </c>
      <c r="B52" s="54">
        <f>IF(-6039.00429="","-",-6039.00429)</f>
        <v>-6039.00429</v>
      </c>
      <c r="C52" s="54">
        <f>IF(-6243.0341="","-",-6243.0341)</f>
        <v>-6243.0341</v>
      </c>
      <c r="D52" s="54">
        <f>IF(OR(-6039.00429="",-6243.0341="",-6039.00429=0),"-",-6243.0341/-6039.00429*100)</f>
        <v>103.3785339470259</v>
      </c>
    </row>
    <row r="53" spans="1:4" ht="15.75">
      <c r="A53" s="41" t="s">
        <v>85</v>
      </c>
      <c r="B53" s="54">
        <f>IF(-3813.99223="","-",-3813.99223)</f>
        <v>-3813.99223</v>
      </c>
      <c r="C53" s="54">
        <f>IF(-5062.97621="","-",-5062.97621)</f>
        <v>-5062.97621</v>
      </c>
      <c r="D53" s="54">
        <f>IF(OR(-3813.99223="",-5062.97621="",-3813.99223=0),"-",-5062.97621/-3813.99223*100)</f>
        <v>132.74741805124233</v>
      </c>
    </row>
    <row r="54" spans="1:4" ht="15.75">
      <c r="A54" s="41" t="s">
        <v>121</v>
      </c>
      <c r="B54" s="54">
        <f>IF(-4085.04515="","-",-4085.04515)</f>
        <v>-4085.04515</v>
      </c>
      <c r="C54" s="54">
        <f>IF(-3992.90362="","-",-3992.90362)</f>
        <v>-3992.90362</v>
      </c>
      <c r="D54" s="54">
        <f>IF(OR(-4085.04515="",-3992.90362="",-4085.04515=0),"-",-3992.90362/-4085.04515*100)</f>
        <v>97.74441832056617</v>
      </c>
    </row>
    <row r="55" spans="1:4" ht="15.75">
      <c r="A55" s="41" t="s">
        <v>129</v>
      </c>
      <c r="B55" s="54">
        <f>IF(-3033.14767="","-",-3033.14767)</f>
        <v>-3033.14767</v>
      </c>
      <c r="C55" s="54">
        <f>IF(-3522.95338="","-",-3522.95338)</f>
        <v>-3522.95338</v>
      </c>
      <c r="D55" s="54">
        <f>IF(OR(-3033.14767="",-3522.95338="",-3033.14767=0),"-",-3522.95338/-3033.14767*100)</f>
        <v>116.14842939710879</v>
      </c>
    </row>
    <row r="56" spans="1:4" ht="15.75">
      <c r="A56" s="41" t="s">
        <v>115</v>
      </c>
      <c r="B56" s="54">
        <f>IF(-510.5985="","-",-510.5985)</f>
        <v>-510.5985</v>
      </c>
      <c r="C56" s="54">
        <f>IF(-2776.05989="","-",-2776.05989)</f>
        <v>-2776.05989</v>
      </c>
      <c r="D56" s="54" t="s">
        <v>284</v>
      </c>
    </row>
    <row r="57" spans="1:4" ht="15.75">
      <c r="A57" s="41" t="s">
        <v>119</v>
      </c>
      <c r="B57" s="54">
        <f>IF(-2299.93059="","-",-2299.93059)</f>
        <v>-2299.93059</v>
      </c>
      <c r="C57" s="54">
        <f>IF(-2041.4832="","-",-2041.4832)</f>
        <v>-2041.4832</v>
      </c>
      <c r="D57" s="54">
        <f>IF(OR(-2299.93059="",-2041.4832="",-2299.93059=0),"-",-2041.4832/-2299.93059*100)</f>
        <v>88.76281783790702</v>
      </c>
    </row>
    <row r="58" spans="1:4" ht="15.75">
      <c r="A58" s="41" t="s">
        <v>127</v>
      </c>
      <c r="B58" s="54">
        <f>IF(-1471.28153="","-",-1471.28153)</f>
        <v>-1471.28153</v>
      </c>
      <c r="C58" s="54">
        <f>IF(-1778.61423="","-",-1778.61423)</f>
        <v>-1778.61423</v>
      </c>
      <c r="D58" s="54">
        <f>IF(OR(-1471.28153="",-1778.61423="",-1471.28153=0),"-",-1778.61423/-1471.28153*100)</f>
        <v>120.88877578718737</v>
      </c>
    </row>
    <row r="59" spans="1:4" ht="15.75">
      <c r="A59" s="41" t="s">
        <v>120</v>
      </c>
      <c r="B59" s="54">
        <f>IF(-1468.07916="","-",-1468.07916)</f>
        <v>-1468.07916</v>
      </c>
      <c r="C59" s="54">
        <f>IF(-1724.0715="","-",-1724.0715)</f>
        <v>-1724.0715</v>
      </c>
      <c r="D59" s="54">
        <f>IF(OR(-1468.07916="",-1724.0715="",-1468.07916=0),"-",-1724.0715/-1468.07916*100)</f>
        <v>117.43723001966733</v>
      </c>
    </row>
    <row r="60" spans="1:4" ht="15.75">
      <c r="A60" s="41" t="s">
        <v>123</v>
      </c>
      <c r="B60" s="54">
        <f>IF(-781.78924="","-",-781.78924)</f>
        <v>-781.78924</v>
      </c>
      <c r="C60" s="54">
        <f>IF(-1497.90587="","-",-1497.90587)</f>
        <v>-1497.90587</v>
      </c>
      <c r="D60" s="54" t="s">
        <v>158</v>
      </c>
    </row>
    <row r="61" spans="1:7" ht="15.75">
      <c r="A61" s="41" t="s">
        <v>130</v>
      </c>
      <c r="B61" s="54">
        <f>IF(-1328.00743="","-",-1328.00743)</f>
        <v>-1328.00743</v>
      </c>
      <c r="C61" s="54">
        <f>IF(-1358.33336="","-",-1358.33336)</f>
        <v>-1358.33336</v>
      </c>
      <c r="D61" s="54">
        <f>IF(OR(-1328.00743="",-1358.33336="",-1328.00743=0),"-",-1358.33336/-1328.00743*100)</f>
        <v>102.28356628998681</v>
      </c>
      <c r="E61" s="1"/>
      <c r="F61" s="1"/>
      <c r="G61" s="1"/>
    </row>
    <row r="62" spans="1:4" ht="15.75">
      <c r="A62" s="41" t="s">
        <v>132</v>
      </c>
      <c r="B62" s="54">
        <f>IF(-1515.11379="","-",-1515.11379)</f>
        <v>-1515.11379</v>
      </c>
      <c r="C62" s="54">
        <f>IF(-1287.95921="","-",-1287.95921)</f>
        <v>-1287.95921</v>
      </c>
      <c r="D62" s="54">
        <f>IF(OR(-1515.11379="",-1287.95921="",-1515.11379=0),"-",-1287.95921/-1515.11379*100)</f>
        <v>85.0074244258578</v>
      </c>
    </row>
    <row r="63" spans="1:4" ht="15.75">
      <c r="A63" s="41" t="s">
        <v>112</v>
      </c>
      <c r="B63" s="54">
        <f>IF(-972.15413="","-",-972.15413)</f>
        <v>-972.15413</v>
      </c>
      <c r="C63" s="54">
        <f>IF(-1271.36973="","-",-1271.36973)</f>
        <v>-1271.36973</v>
      </c>
      <c r="D63" s="54">
        <f>IF(OR(-972.15413="",-1271.36973="",-972.15413=0),"-",-1271.36973/-972.15413*100)</f>
        <v>130.77861737829573</v>
      </c>
    </row>
    <row r="64" spans="1:4" ht="15.75">
      <c r="A64" s="41" t="s">
        <v>124</v>
      </c>
      <c r="B64" s="54">
        <f>IF(-248.58812="","-",-248.58812)</f>
        <v>-248.58812</v>
      </c>
      <c r="C64" s="54">
        <f>IF(-1220.35176="","-",-1220.35176)</f>
        <v>-1220.35176</v>
      </c>
      <c r="D64" s="54" t="s">
        <v>285</v>
      </c>
    </row>
    <row r="65" spans="1:4" ht="15.75">
      <c r="A65" s="41" t="s">
        <v>133</v>
      </c>
      <c r="B65" s="54">
        <f>IF(-509.35232="","-",-509.35232)</f>
        <v>-509.35232</v>
      </c>
      <c r="C65" s="54">
        <f>IF(-1068.64628="","-",-1068.64628)</f>
        <v>-1068.64628</v>
      </c>
      <c r="D65" s="54" t="s">
        <v>145</v>
      </c>
    </row>
    <row r="66" spans="1:4" ht="15.75">
      <c r="A66" s="41" t="s">
        <v>134</v>
      </c>
      <c r="B66" s="54">
        <f>IF(-524.2928="","-",-524.2928)</f>
        <v>-524.2928</v>
      </c>
      <c r="C66" s="54">
        <f>IF(-938.61335="","-",-938.61335)</f>
        <v>-938.61335</v>
      </c>
      <c r="D66" s="54" t="s">
        <v>155</v>
      </c>
    </row>
    <row r="67" spans="1:4" ht="15.75">
      <c r="A67" s="41" t="s">
        <v>135</v>
      </c>
      <c r="B67" s="54">
        <f>IF(-685.49782="","-",-685.49782)</f>
        <v>-685.49782</v>
      </c>
      <c r="C67" s="54">
        <f>IF(-628.74455="","-",-628.74455)</f>
        <v>-628.74455</v>
      </c>
      <c r="D67" s="54">
        <f>IF(OR(-685.49782="",-628.74455="",-685.49782=0),"-",-628.74455/-685.49782*100)</f>
        <v>91.72086790881406</v>
      </c>
    </row>
    <row r="68" spans="1:7" ht="15.75">
      <c r="A68" s="41" t="s">
        <v>111</v>
      </c>
      <c r="B68" s="54">
        <f>IF(-1297.63995="","-",-1297.63995)</f>
        <v>-1297.63995</v>
      </c>
      <c r="C68" s="54">
        <f>IF(-626.80171="","-",-626.80171)</f>
        <v>-626.80171</v>
      </c>
      <c r="D68" s="54">
        <f>IF(OR(-1297.63995="",-626.80171="",-1297.63995=0),"-",-626.80171/-1297.63995*100)</f>
        <v>48.30320691036061</v>
      </c>
      <c r="E68" s="1"/>
      <c r="F68" s="1"/>
      <c r="G68" s="1"/>
    </row>
    <row r="69" spans="1:4" ht="15.75">
      <c r="A69" s="41" t="s">
        <v>247</v>
      </c>
      <c r="B69" s="54">
        <f>IF(3="","-",3)</f>
        <v>3</v>
      </c>
      <c r="C69" s="54">
        <f>IF(-625.2805="","-",-625.2805)</f>
        <v>-625.2805</v>
      </c>
      <c r="D69" s="54" t="s">
        <v>22</v>
      </c>
    </row>
    <row r="70" spans="1:4" ht="15.75">
      <c r="A70" s="41" t="s">
        <v>131</v>
      </c>
      <c r="B70" s="54">
        <f>IF(-379.36714="","-",-379.36714)</f>
        <v>-379.36714</v>
      </c>
      <c r="C70" s="54">
        <f>IF(-619.87585="","-",-619.87585)</f>
        <v>-619.87585</v>
      </c>
      <c r="D70" s="54" t="s">
        <v>157</v>
      </c>
    </row>
    <row r="71" spans="1:4" ht="15.75">
      <c r="A71" s="41" t="s">
        <v>122</v>
      </c>
      <c r="B71" s="54">
        <f>IF(-316.35126="","-",-316.35126)</f>
        <v>-316.35126</v>
      </c>
      <c r="C71" s="54">
        <f>IF(-481.94475="","-",-481.94475)</f>
        <v>-481.94475</v>
      </c>
      <c r="D71" s="54" t="s">
        <v>196</v>
      </c>
    </row>
    <row r="72" spans="1:4" ht="15.75">
      <c r="A72" s="41" t="s">
        <v>136</v>
      </c>
      <c r="B72" s="54">
        <f>IF(-251.58853="","-",-251.58853)</f>
        <v>-251.58853</v>
      </c>
      <c r="C72" s="54">
        <f>IF(-394.29896="","-",-394.29896)</f>
        <v>-394.29896</v>
      </c>
      <c r="D72" s="54" t="s">
        <v>157</v>
      </c>
    </row>
    <row r="73" spans="1:4" ht="15.75">
      <c r="A73" s="41" t="s">
        <v>242</v>
      </c>
      <c r="B73" s="54">
        <f>IF(-585.92692="","-",-585.92692)</f>
        <v>-585.92692</v>
      </c>
      <c r="C73" s="54">
        <f>IF(-351.19899="","-",-351.19899)</f>
        <v>-351.19899</v>
      </c>
      <c r="D73" s="54">
        <f>IF(OR(-585.92692="",-351.19899="",-585.92692=0),"-",-351.19899/-585.92692*100)</f>
        <v>59.939043251332436</v>
      </c>
    </row>
    <row r="74" spans="1:4" ht="15.75">
      <c r="A74" s="41" t="s">
        <v>228</v>
      </c>
      <c r="B74" s="54">
        <f>IF(5.99619="","-",5.99619)</f>
        <v>5.99619</v>
      </c>
      <c r="C74" s="54">
        <f>IF(-350.40828="","-",-350.40828)</f>
        <v>-350.40828</v>
      </c>
      <c r="D74" s="54" t="s">
        <v>22</v>
      </c>
    </row>
    <row r="75" spans="1:4" ht="15.75">
      <c r="A75" s="41" t="s">
        <v>87</v>
      </c>
      <c r="B75" s="54">
        <f>IF(-270.41689="","-",-270.41689)</f>
        <v>-270.41689</v>
      </c>
      <c r="C75" s="54">
        <f>IF(-335.20714="","-",-335.20714)</f>
        <v>-335.20714</v>
      </c>
      <c r="D75" s="54">
        <f>IF(OR(-270.41689="",-335.20714="",-270.41689=0),"-",-335.20714/-270.41689*100)</f>
        <v>123.95939469609311</v>
      </c>
    </row>
    <row r="76" spans="1:7" ht="15.75">
      <c r="A76" s="41" t="s">
        <v>110</v>
      </c>
      <c r="B76" s="54">
        <f>IF(-765.74914="","-",-765.74914)</f>
        <v>-765.74914</v>
      </c>
      <c r="C76" s="54">
        <f>IF(-329.94969="","-",-329.94969)</f>
        <v>-329.94969</v>
      </c>
      <c r="D76" s="54">
        <f>IF(OR(-765.74914="",-329.94969="",-765.74914=0),"-",-329.94969/-765.74914*100)</f>
        <v>43.08848325967431</v>
      </c>
      <c r="E76" s="14"/>
      <c r="F76" s="14"/>
      <c r="G76" s="14"/>
    </row>
    <row r="77" spans="1:4" ht="15.75">
      <c r="A77" s="41" t="s">
        <v>141</v>
      </c>
      <c r="B77" s="54">
        <f>IF(-317.06178="","-",-317.06178)</f>
        <v>-317.06178</v>
      </c>
      <c r="C77" s="54">
        <f>IF(-295.71634="","-",-295.71634)</f>
        <v>-295.71634</v>
      </c>
      <c r="D77" s="54">
        <f>IF(OR(-317.06178="",-295.71634="",-317.06178=0),"-",-295.71634/-317.06178*100)</f>
        <v>93.26773476134525</v>
      </c>
    </row>
    <row r="78" spans="1:4" ht="15.75">
      <c r="A78" s="41" t="s">
        <v>138</v>
      </c>
      <c r="B78" s="54">
        <f>IF(-316.14161="","-",-316.14161)</f>
        <v>-316.14161</v>
      </c>
      <c r="C78" s="54">
        <f>IF(-286.66481="","-",-286.66481)</f>
        <v>-286.66481</v>
      </c>
      <c r="D78" s="54">
        <f>IF(OR(-316.14161="",-286.66481="",-316.14161=0),"-",-286.66481/-316.14161*100)</f>
        <v>90.67607709089607</v>
      </c>
    </row>
    <row r="79" spans="1:4" ht="15.75">
      <c r="A79" s="41" t="s">
        <v>139</v>
      </c>
      <c r="B79" s="54">
        <f>IF(-236.84987="","-",-236.84987)</f>
        <v>-236.84987</v>
      </c>
      <c r="C79" s="54">
        <f>IF(-277.67454="","-",-277.67454)</f>
        <v>-277.67454</v>
      </c>
      <c r="D79" s="54">
        <f>IF(OR(-236.84987="",-277.67454="",-236.84987=0),"-",-277.67454/-236.84987*100)</f>
        <v>117.23651779922868</v>
      </c>
    </row>
    <row r="80" spans="1:4" ht="15.75">
      <c r="A80" s="41" t="s">
        <v>144</v>
      </c>
      <c r="B80" s="54">
        <f>IF(-74.73715="","-",-74.73715)</f>
        <v>-74.73715</v>
      </c>
      <c r="C80" s="54">
        <f>IF(-257.92198="","-",-257.92198)</f>
        <v>-257.92198</v>
      </c>
      <c r="D80" s="54" t="s">
        <v>286</v>
      </c>
    </row>
    <row r="81" spans="1:4" ht="15.75">
      <c r="A81" s="41" t="s">
        <v>142</v>
      </c>
      <c r="B81" s="54">
        <f>IF(-127.84174="","-",-127.84174)</f>
        <v>-127.84174</v>
      </c>
      <c r="C81" s="54">
        <f>IF(-251.38321="","-",-251.38321)</f>
        <v>-251.38321</v>
      </c>
      <c r="D81" s="54" t="s">
        <v>20</v>
      </c>
    </row>
    <row r="82" spans="1:4" ht="15.75">
      <c r="A82" s="41" t="s">
        <v>88</v>
      </c>
      <c r="B82" s="54">
        <f>IF(17.27549="","-",17.27549)</f>
        <v>17.27549</v>
      </c>
      <c r="C82" s="54">
        <f>IF(-227.05451="","-",-227.05451)</f>
        <v>-227.05451</v>
      </c>
      <c r="D82" s="54" t="s">
        <v>22</v>
      </c>
    </row>
    <row r="83" spans="1:4" ht="15.75">
      <c r="A83" s="41" t="s">
        <v>128</v>
      </c>
      <c r="B83" s="54">
        <f>IF(-205.72394="","-",-205.72394)</f>
        <v>-205.72394</v>
      </c>
      <c r="C83" s="54">
        <f>IF(-166.83985="","-",-166.83985)</f>
        <v>-166.83985</v>
      </c>
      <c r="D83" s="54">
        <f>IF(OR(-205.72394="",-166.83985="",-205.72394=0),"-",-166.83985/-205.72394*100)</f>
        <v>81.0988988447334</v>
      </c>
    </row>
    <row r="84" spans="1:4" ht="15.75">
      <c r="A84" s="41" t="s">
        <v>147</v>
      </c>
      <c r="B84" s="54">
        <f>IF(-118.96638="","-",-118.96638)</f>
        <v>-118.96638</v>
      </c>
      <c r="C84" s="54">
        <f>IF(-150.03282="","-",-150.03282)</f>
        <v>-150.03282</v>
      </c>
      <c r="D84" s="54">
        <f>IF(OR(-118.96638="",-150.03282="",-118.96638=0),"-",-150.03282/-118.96638*100)</f>
        <v>126.11362974985032</v>
      </c>
    </row>
    <row r="85" spans="1:4" ht="15.75">
      <c r="A85" s="41" t="s">
        <v>140</v>
      </c>
      <c r="B85" s="54">
        <f>IF(-190.34244="","-",-190.34244)</f>
        <v>-190.34244</v>
      </c>
      <c r="C85" s="54">
        <f>IF(-140.80849="","-",-140.80849)</f>
        <v>-140.80849</v>
      </c>
      <c r="D85" s="54">
        <f>IF(OR(-190.34244="",-140.80849="",-190.34244=0),"-",-140.80849/-190.34244*100)</f>
        <v>73.97640274024016</v>
      </c>
    </row>
    <row r="86" spans="1:4" ht="15.75">
      <c r="A86" s="41" t="s">
        <v>148</v>
      </c>
      <c r="B86" s="54">
        <f>IF(-194.06628="","-",-194.06628)</f>
        <v>-194.06628</v>
      </c>
      <c r="C86" s="54">
        <f>IF(-139.54267="","-",-139.54267)</f>
        <v>-139.54267</v>
      </c>
      <c r="D86" s="54">
        <f>IF(OR(-194.06628="",-139.54267="",-194.06628=0),"-",-139.54267/-194.06628*100)</f>
        <v>71.90464515525314</v>
      </c>
    </row>
    <row r="87" spans="1:4" ht="15.75">
      <c r="A87" s="41" t="s">
        <v>244</v>
      </c>
      <c r="B87" s="54" t="s">
        <v>272</v>
      </c>
      <c r="C87" s="54">
        <f>IF(-83.9474="","-",-83.9474)</f>
        <v>-83.9474</v>
      </c>
      <c r="D87" s="54" t="s">
        <v>22</v>
      </c>
    </row>
    <row r="88" spans="1:4" ht="15.75">
      <c r="A88" s="41" t="s">
        <v>205</v>
      </c>
      <c r="B88" s="54">
        <f>IF(-84.88349="","-",-84.88349)</f>
        <v>-84.88349</v>
      </c>
      <c r="C88" s="54">
        <f>IF(-66.59673="","-",-66.59673)</f>
        <v>-66.59673</v>
      </c>
      <c r="D88" s="54">
        <f>IF(OR(-84.88349="",-66.59673="",-84.88349=0),"-",-66.59673/-84.88349*100)</f>
        <v>78.456635088873</v>
      </c>
    </row>
    <row r="89" spans="1:4" ht="15.75">
      <c r="A89" s="41" t="s">
        <v>204</v>
      </c>
      <c r="B89" s="54">
        <f>IF(-326.70748="","-",-326.70748)</f>
        <v>-326.70748</v>
      </c>
      <c r="C89" s="54">
        <f>IF(-58.13115="","-",-58.13115)</f>
        <v>-58.13115</v>
      </c>
      <c r="D89" s="54">
        <f>IF(OR(-326.70748="",-58.13115="",-326.70748=0),"-",-58.13115/-326.70748*100)</f>
        <v>17.793026960998873</v>
      </c>
    </row>
    <row r="90" spans="1:4" ht="15.75">
      <c r="A90" s="41" t="s">
        <v>206</v>
      </c>
      <c r="B90" s="54">
        <f>IF(-50.38919="","-",-50.38919)</f>
        <v>-50.38919</v>
      </c>
      <c r="C90" s="54">
        <f>IF(-53.13973="","-",-53.13973)</f>
        <v>-53.13973</v>
      </c>
      <c r="D90" s="54">
        <f>IF(OR(-50.38919="",-53.13973="",-50.38919=0),"-",-53.13973/-50.38919*100)</f>
        <v>105.45859141613509</v>
      </c>
    </row>
    <row r="91" spans="1:4" ht="15.75">
      <c r="A91" s="41" t="s">
        <v>166</v>
      </c>
      <c r="B91" s="54">
        <f>IF(-64.00732="","-",-64.00732)</f>
        <v>-64.00732</v>
      </c>
      <c r="C91" s="54">
        <f>IF(-52.38433="","-",-52.38433)</f>
        <v>-52.38433</v>
      </c>
      <c r="D91" s="54">
        <f>IF(OR(-64.00732="",-52.38433="",-64.00732=0),"-",-52.38433/-64.00732*100)</f>
        <v>81.84115504289196</v>
      </c>
    </row>
    <row r="92" spans="1:4" ht="15.75">
      <c r="A92" s="41" t="s">
        <v>246</v>
      </c>
      <c r="B92" s="54">
        <f>IF(-7.96128="","-",-7.96128)</f>
        <v>-7.96128</v>
      </c>
      <c r="C92" s="54">
        <f>IF(-23.00899="","-",-23.00899)</f>
        <v>-23.00899</v>
      </c>
      <c r="D92" s="54" t="s">
        <v>255</v>
      </c>
    </row>
    <row r="93" spans="1:4" ht="15.75">
      <c r="A93" s="41" t="s">
        <v>280</v>
      </c>
      <c r="B93" s="54">
        <f>IF(-15.48413="","-",-15.48413)</f>
        <v>-15.48413</v>
      </c>
      <c r="C93" s="54">
        <f>IF(-22.04705="","-",-22.04705)</f>
        <v>-22.04705</v>
      </c>
      <c r="D93" s="54">
        <f>IF(OR(-15.48413="",-22.04705="",-15.48413=0),"-",-22.04705/-15.48413*100)</f>
        <v>142.38481593735003</v>
      </c>
    </row>
    <row r="94" spans="1:4" ht="15.75">
      <c r="A94" s="41" t="s">
        <v>281</v>
      </c>
      <c r="B94" s="54">
        <f>IF(1.37614="","-",1.37614)</f>
        <v>1.37614</v>
      </c>
      <c r="C94" s="54">
        <f>IF(-21.87664="","-",-21.87664)</f>
        <v>-21.87664</v>
      </c>
      <c r="D94" s="54" t="s">
        <v>22</v>
      </c>
    </row>
    <row r="95" spans="1:4" ht="15.75">
      <c r="A95" s="41" t="s">
        <v>160</v>
      </c>
      <c r="B95" s="54">
        <f>IF(96.46813="","-",96.46813)</f>
        <v>96.46813</v>
      </c>
      <c r="C95" s="54">
        <f>IF(-18.84432="","-",-18.84432)</f>
        <v>-18.84432</v>
      </c>
      <c r="D95" s="54" t="s">
        <v>22</v>
      </c>
    </row>
    <row r="96" spans="1:7" ht="15.75">
      <c r="A96" s="41" t="s">
        <v>245</v>
      </c>
      <c r="B96" s="54">
        <f>IF(101.3361="","-",101.3361)</f>
        <v>101.3361</v>
      </c>
      <c r="C96" s="54">
        <f>IF(-14.64195="","-",-14.64195)</f>
        <v>-14.64195</v>
      </c>
      <c r="D96" s="54" t="s">
        <v>22</v>
      </c>
      <c r="E96" s="14"/>
      <c r="F96" s="14"/>
      <c r="G96" s="14"/>
    </row>
    <row r="97" spans="1:4" ht="15.75">
      <c r="A97" s="41" t="s">
        <v>154</v>
      </c>
      <c r="B97" s="54">
        <f>IF(-26.80778="","-",-26.80778)</f>
        <v>-26.80778</v>
      </c>
      <c r="C97" s="54">
        <f>IF(0.90511="","-",0.90511)</f>
        <v>0.90511</v>
      </c>
      <c r="D97" s="54" t="s">
        <v>22</v>
      </c>
    </row>
    <row r="98" spans="1:7" ht="15.75">
      <c r="A98" s="41" t="s">
        <v>227</v>
      </c>
      <c r="B98" s="54">
        <f>IF(-1.94008="","-",-1.94008)</f>
        <v>-1.94008</v>
      </c>
      <c r="C98" s="54">
        <f>IF(35.03446="","-",35.03446)</f>
        <v>35.03446</v>
      </c>
      <c r="D98" s="54" t="s">
        <v>22</v>
      </c>
      <c r="E98" s="13"/>
      <c r="F98" s="13"/>
      <c r="G98" s="13"/>
    </row>
    <row r="99" spans="1:4" ht="15.75">
      <c r="A99" s="41" t="s">
        <v>208</v>
      </c>
      <c r="B99" s="54">
        <f>IF(43.83913="","-",43.83913)</f>
        <v>43.83913</v>
      </c>
      <c r="C99" s="54">
        <f>IF(42.76194="","-",42.76194)</f>
        <v>42.76194</v>
      </c>
      <c r="D99" s="54">
        <f>IF(OR(43.83913="",42.76194="",43.83913=0),"-",42.76194/43.83913*100)</f>
        <v>97.54285726016919</v>
      </c>
    </row>
    <row r="100" spans="1:7" ht="15.75">
      <c r="A100" s="41" t="s">
        <v>153</v>
      </c>
      <c r="B100" s="54">
        <f>IF(-41.23136="","-",-41.23136)</f>
        <v>-41.23136</v>
      </c>
      <c r="C100" s="54">
        <f>IF(47.89125="","-",47.89125)</f>
        <v>47.89125</v>
      </c>
      <c r="D100" s="54" t="s">
        <v>22</v>
      </c>
      <c r="E100" s="13"/>
      <c r="F100" s="13"/>
      <c r="G100" s="13"/>
    </row>
    <row r="101" spans="1:7" ht="15.75">
      <c r="A101" s="41" t="s">
        <v>201</v>
      </c>
      <c r="B101" s="54">
        <f>IF(2430.76171="","-",2430.76171)</f>
        <v>2430.76171</v>
      </c>
      <c r="C101" s="54">
        <f>IF(64.81247="","-",64.81247)</f>
        <v>64.81247</v>
      </c>
      <c r="D101" s="54">
        <f>IF(OR(2430.76171="",64.81247="",2430.76171=0),"-",64.81247/2430.76171*100)</f>
        <v>2.6663440407739514</v>
      </c>
      <c r="E101" s="1"/>
      <c r="F101" s="1"/>
      <c r="G101" s="1"/>
    </row>
    <row r="102" spans="1:4" ht="15.75">
      <c r="A102" s="41" t="s">
        <v>137</v>
      </c>
      <c r="B102" s="54">
        <f>IF(-231.10107="","-",-231.10107)</f>
        <v>-231.10107</v>
      </c>
      <c r="C102" s="54">
        <f>IF(103.90795="","-",103.90795)</f>
        <v>103.90795</v>
      </c>
      <c r="D102" s="54" t="s">
        <v>22</v>
      </c>
    </row>
    <row r="103" spans="1:4" ht="15.75">
      <c r="A103" s="41" t="s">
        <v>163</v>
      </c>
      <c r="B103" s="54">
        <f>IF(324.66006="","-",324.66006)</f>
        <v>324.66006</v>
      </c>
      <c r="C103" s="54">
        <f>IF(117.78147="","-",117.78147)</f>
        <v>117.78147</v>
      </c>
      <c r="D103" s="54">
        <f>IF(OR(324.66006="",117.78147="",324.66006=0),"-",117.78147/324.66006*100)</f>
        <v>36.27839839615628</v>
      </c>
    </row>
    <row r="104" spans="1:4" ht="15.75">
      <c r="A104" s="41" t="s">
        <v>226</v>
      </c>
      <c r="B104" s="54">
        <f>IF(-529.78518="","-",-529.78518)</f>
        <v>-529.78518</v>
      </c>
      <c r="C104" s="54">
        <f>IF(138.16483="","-",138.16483)</f>
        <v>138.16483</v>
      </c>
      <c r="D104" s="54" t="s">
        <v>22</v>
      </c>
    </row>
    <row r="105" spans="1:7" ht="15.75">
      <c r="A105" s="41" t="s">
        <v>207</v>
      </c>
      <c r="B105" s="54">
        <f>IF(37.954="","-",37.954)</f>
        <v>37.954</v>
      </c>
      <c r="C105" s="54">
        <f>IF(138.71352="","-",138.71352)</f>
        <v>138.71352</v>
      </c>
      <c r="D105" s="54" t="s">
        <v>240</v>
      </c>
      <c r="E105" s="14"/>
      <c r="F105" s="14"/>
      <c r="G105" s="14"/>
    </row>
    <row r="106" spans="1:7" ht="15.75">
      <c r="A106" s="41" t="s">
        <v>146</v>
      </c>
      <c r="B106" s="54">
        <f>IF(237.80074="","-",237.80074)</f>
        <v>237.80074</v>
      </c>
      <c r="C106" s="54">
        <f>IF(144.76891="","-",144.76891)</f>
        <v>144.76891</v>
      </c>
      <c r="D106" s="54">
        <f>IF(OR(237.80074="",144.76891="",237.80074=0),"-",144.76891/237.80074*100)</f>
        <v>60.87824201051688</v>
      </c>
      <c r="E106" s="10"/>
      <c r="F106" s="10"/>
      <c r="G106" s="10"/>
    </row>
    <row r="107" spans="1:4" ht="15.75">
      <c r="A107" s="41" t="s">
        <v>200</v>
      </c>
      <c r="B107" s="54">
        <f>IF(2525.65521="","-",2525.65521)</f>
        <v>2525.65521</v>
      </c>
      <c r="C107" s="54">
        <f>IF(177.0216="","-",177.0216)</f>
        <v>177.0216</v>
      </c>
      <c r="D107" s="54">
        <f>IF(OR(2525.65521="",177.0216="",2525.65521=0),"-",177.0216/2525.65521*100)</f>
        <v>7.008937692647288</v>
      </c>
    </row>
    <row r="108" spans="1:7" ht="15.75">
      <c r="A108" s="41" t="s">
        <v>117</v>
      </c>
      <c r="B108" s="54">
        <f>IF(2018.55419="","-",2018.55419)</f>
        <v>2018.55419</v>
      </c>
      <c r="C108" s="54">
        <f>IF(200.01117="","-",200.01117)</f>
        <v>200.01117</v>
      </c>
      <c r="D108" s="54">
        <f>IF(OR(2018.55419="",200.01117="",2018.55419=0),"-",200.01117/2018.55419*100)</f>
        <v>9.908635150389497</v>
      </c>
      <c r="E108" s="14"/>
      <c r="F108" s="14"/>
      <c r="G108" s="14"/>
    </row>
    <row r="109" spans="1:4" ht="15.75">
      <c r="A109" s="41" t="s">
        <v>143</v>
      </c>
      <c r="B109" s="54">
        <f>IF(-167.48827="","-",-167.48827)</f>
        <v>-167.48827</v>
      </c>
      <c r="C109" s="54">
        <f>IF(228.05752="","-",228.05752)</f>
        <v>228.05752</v>
      </c>
      <c r="D109" s="54" t="s">
        <v>22</v>
      </c>
    </row>
    <row r="110" spans="1:4" ht="15.75">
      <c r="A110" s="41" t="s">
        <v>126</v>
      </c>
      <c r="B110" s="54">
        <f>IF(183.17135="","-",183.17135)</f>
        <v>183.17135</v>
      </c>
      <c r="C110" s="54">
        <f>IF(234.53489="","-",234.53489)</f>
        <v>234.53489</v>
      </c>
      <c r="D110" s="54">
        <f>IF(OR(183.17135="",234.53489="",183.17135=0),"-",234.53489/183.17135*100)</f>
        <v>128.04125208445535</v>
      </c>
    </row>
    <row r="111" spans="1:7" ht="15.75">
      <c r="A111" s="41" t="s">
        <v>113</v>
      </c>
      <c r="B111" s="54">
        <f>IF(446.6644="","-",446.6644)</f>
        <v>446.6644</v>
      </c>
      <c r="C111" s="54">
        <f>IF(239.00057="","-",239.00057)</f>
        <v>239.00057</v>
      </c>
      <c r="D111" s="54">
        <f>IF(OR(446.6644="",239.00057="",446.6644=0),"-",239.00057/446.6644*100)</f>
        <v>53.50786183094064</v>
      </c>
      <c r="E111" s="14"/>
      <c r="F111" s="14"/>
      <c r="G111" s="14"/>
    </row>
    <row r="112" spans="1:4" ht="15.75">
      <c r="A112" s="41" t="s">
        <v>86</v>
      </c>
      <c r="B112" s="54">
        <f>IF(180.77228="","-",180.77228)</f>
        <v>180.77228</v>
      </c>
      <c r="C112" s="54">
        <f>IF(247.06421="","-",247.06421)</f>
        <v>247.06421</v>
      </c>
      <c r="D112" s="54">
        <f>IF(OR(180.77228="",247.06421="",180.77228=0),"-",247.06421/180.77228*100)</f>
        <v>136.67151291116096</v>
      </c>
    </row>
    <row r="113" spans="1:4" ht="15.75">
      <c r="A113" s="41" t="s">
        <v>224</v>
      </c>
      <c r="B113" s="54">
        <f>IF(-110.33669="","-",-110.33669)</f>
        <v>-110.33669</v>
      </c>
      <c r="C113" s="54">
        <f>IF(269.2558="","-",269.2558)</f>
        <v>269.2558</v>
      </c>
      <c r="D113" s="54" t="s">
        <v>22</v>
      </c>
    </row>
    <row r="114" spans="1:4" ht="15.75">
      <c r="A114" s="41" t="s">
        <v>116</v>
      </c>
      <c r="B114" s="54">
        <f>IF(-64.6999="","-",-64.6999)</f>
        <v>-64.6999</v>
      </c>
      <c r="C114" s="54">
        <f>IF(412.13987="","-",412.13987)</f>
        <v>412.13987</v>
      </c>
      <c r="D114" s="54" t="s">
        <v>22</v>
      </c>
    </row>
    <row r="115" spans="1:4" ht="15.75">
      <c r="A115" s="41" t="s">
        <v>114</v>
      </c>
      <c r="B115" s="54">
        <f>IF(2473.95492="","-",2473.95492)</f>
        <v>2473.95492</v>
      </c>
      <c r="C115" s="54">
        <f>IF(1183.39748="","-",1183.39748)</f>
        <v>1183.39748</v>
      </c>
      <c r="D115" s="54">
        <f>IF(OR(2473.95492="",1183.39748="",2473.95492=0),"-",1183.39748/2473.95492*100)</f>
        <v>47.83423782030757</v>
      </c>
    </row>
    <row r="116" spans="1:4" ht="15.75">
      <c r="A116" s="41" t="s">
        <v>106</v>
      </c>
      <c r="B116" s="54">
        <f>IF(1888.66151="","-",1888.66151)</f>
        <v>1888.66151</v>
      </c>
      <c r="C116" s="54">
        <f>IF(1319.99911="","-",1319.99911)</f>
        <v>1319.99911</v>
      </c>
      <c r="D116" s="54">
        <f>IF(OR(1888.66151="",1319.99911="",1888.66151=0),"-",1319.99911/1888.66151*100)</f>
        <v>69.89071906272925</v>
      </c>
    </row>
    <row r="117" spans="1:4" ht="15.75">
      <c r="A117" s="48" t="s">
        <v>107</v>
      </c>
      <c r="B117" s="68">
        <f>IF(1944.99995="","-",1944.99995)</f>
        <v>1944.99995</v>
      </c>
      <c r="C117" s="68">
        <f>IF(2408.59732="","-",2408.59732)</f>
        <v>2408.59732</v>
      </c>
      <c r="D117" s="68">
        <f>IF(OR(1944.99995="",2408.59732="",1944.99995=0),"-",2408.59732/1944.99995*100)</f>
        <v>123.83534097263087</v>
      </c>
    </row>
    <row r="118" spans="1:4" ht="15.75">
      <c r="A118" s="48" t="s">
        <v>109</v>
      </c>
      <c r="B118" s="68">
        <f>IF(152.9906="","-",152.9906)</f>
        <v>152.9906</v>
      </c>
      <c r="C118" s="68">
        <f>IF(3118.64475="","-",3118.64475)</f>
        <v>3118.64475</v>
      </c>
      <c r="D118" s="68" t="s">
        <v>287</v>
      </c>
    </row>
    <row r="119" spans="1:4" ht="15.75">
      <c r="A119" s="43" t="s">
        <v>199</v>
      </c>
      <c r="B119" s="55">
        <f>IF(11157.81066="","-",11157.81066)</f>
        <v>11157.81066</v>
      </c>
      <c r="C119" s="55">
        <f>IF(14638.93212="","-",14638.93212)</f>
        <v>14638.93212</v>
      </c>
      <c r="D119" s="55">
        <f>IF(OR(11157.81066="",14638.93212="",11157.81066=0),"-",14638.93212/11157.81066*100)</f>
        <v>131.1989651561268</v>
      </c>
    </row>
    <row r="120" ht="15.75">
      <c r="A120" s="29" t="s">
        <v>21</v>
      </c>
    </row>
  </sheetData>
  <sheetProtection/>
  <mergeCells count="4">
    <mergeCell ref="A1:D1"/>
    <mergeCell ref="A3:A4"/>
    <mergeCell ref="D3:D4"/>
    <mergeCell ref="B3:C3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K40"/>
  <sheetViews>
    <sheetView zoomScalePageLayoutView="0" workbookViewId="0" topLeftCell="A1">
      <selection activeCell="L10" sqref="L10"/>
    </sheetView>
  </sheetViews>
  <sheetFormatPr defaultColWidth="9.00390625" defaultRowHeight="15.75"/>
  <cols>
    <col min="1" max="1" width="29.50390625" style="0" customWidth="1"/>
    <col min="2" max="2" width="14.125" style="0" customWidth="1"/>
    <col min="3" max="3" width="15.00390625" style="0" customWidth="1"/>
    <col min="4" max="5" width="11.625" style="0" customWidth="1"/>
  </cols>
  <sheetData>
    <row r="1" spans="1:5" ht="15.75">
      <c r="A1" s="74" t="s">
        <v>180</v>
      </c>
      <c r="B1" s="74"/>
      <c r="C1" s="74"/>
      <c r="D1" s="74"/>
      <c r="E1" s="74"/>
    </row>
    <row r="2" spans="1:5" ht="15.75">
      <c r="A2" s="9"/>
      <c r="B2" s="9"/>
      <c r="C2" s="9"/>
      <c r="D2" s="9"/>
      <c r="E2" s="9"/>
    </row>
    <row r="3" spans="1:6" ht="15.75">
      <c r="A3" s="75"/>
      <c r="B3" s="78" t="s">
        <v>273</v>
      </c>
      <c r="C3" s="79"/>
      <c r="D3" s="78" t="s">
        <v>162</v>
      </c>
      <c r="E3" s="94"/>
      <c r="F3" s="1"/>
    </row>
    <row r="4" spans="1:6" ht="18" customHeight="1">
      <c r="A4" s="76"/>
      <c r="B4" s="82" t="s">
        <v>189</v>
      </c>
      <c r="C4" s="84" t="s">
        <v>277</v>
      </c>
      <c r="D4" s="86" t="s">
        <v>274</v>
      </c>
      <c r="E4" s="78"/>
      <c r="F4" s="1"/>
    </row>
    <row r="5" spans="1:6" ht="22.5" customHeight="1">
      <c r="A5" s="77"/>
      <c r="B5" s="83"/>
      <c r="C5" s="85"/>
      <c r="D5" s="25">
        <v>2019</v>
      </c>
      <c r="E5" s="24">
        <v>2020</v>
      </c>
      <c r="F5" s="1"/>
    </row>
    <row r="6" spans="1:5" ht="15.75" customHeight="1">
      <c r="A6" s="56" t="s">
        <v>270</v>
      </c>
      <c r="B6" s="69">
        <f>IF(464782.89562="","-",464782.89562)</f>
        <v>464782.89562</v>
      </c>
      <c r="C6" s="52">
        <f>IF(475663.92916="","-",464782.89562/475663.92916*100)</f>
        <v>97.71245350489045</v>
      </c>
      <c r="D6" s="70">
        <v>100</v>
      </c>
      <c r="E6" s="70">
        <v>100</v>
      </c>
    </row>
    <row r="7" spans="1:5" ht="15.75" customHeight="1">
      <c r="A7" s="57" t="s">
        <v>209</v>
      </c>
      <c r="B7" s="36"/>
      <c r="C7" s="63"/>
      <c r="D7" s="36"/>
      <c r="E7" s="36"/>
    </row>
    <row r="8" spans="1:5" ht="15.75">
      <c r="A8" s="58" t="s">
        <v>169</v>
      </c>
      <c r="B8" s="54">
        <f>IF(46793.11118="","-",46793.11118)</f>
        <v>46793.11118</v>
      </c>
      <c r="C8" s="61">
        <v>127.1437</v>
      </c>
      <c r="D8" s="54">
        <f>IF(36803.32395="","-",36803.32395/475663.92916*100)</f>
        <v>7.73725348798109</v>
      </c>
      <c r="E8" s="54">
        <f>IF(46793.11118="","-",46793.11118/464782.89562*100)</f>
        <v>10.067735198727577</v>
      </c>
    </row>
    <row r="9" spans="1:5" ht="15.75">
      <c r="A9" s="58" t="s">
        <v>170</v>
      </c>
      <c r="B9" s="54">
        <f>IF(26390.33242="","-",26390.33242)</f>
        <v>26390.33242</v>
      </c>
      <c r="C9" s="61">
        <v>90.007</v>
      </c>
      <c r="D9" s="54">
        <f>IF(29320.29306="","-",29320.29306/475663.92916*100)</f>
        <v>6.164077463636616</v>
      </c>
      <c r="E9" s="54">
        <f>IF(26390.33242="","-",26390.33242/464782.89562*100)</f>
        <v>5.677991309210389</v>
      </c>
    </row>
    <row r="10" spans="1:5" ht="15.75">
      <c r="A10" s="58" t="s">
        <v>171</v>
      </c>
      <c r="B10" s="54">
        <f>IF(384790.47233="","-",384790.47233)</f>
        <v>384790.47233</v>
      </c>
      <c r="C10" s="61">
        <v>95.7565</v>
      </c>
      <c r="D10" s="54">
        <f>IF(401842.6547="","-",401842.6547/475663.92916*100)</f>
        <v>84.48037155342747</v>
      </c>
      <c r="E10" s="54">
        <f>IF(384790.47233="","-",384790.47233/464782.89562*100)</f>
        <v>82.78929279802915</v>
      </c>
    </row>
    <row r="11" spans="1:5" ht="15.75">
      <c r="A11" s="58" t="s">
        <v>172</v>
      </c>
      <c r="B11" s="54">
        <f>IF(6643.23125="","-",6643.23125)</f>
        <v>6643.23125</v>
      </c>
      <c r="C11" s="61">
        <v>93.4745</v>
      </c>
      <c r="D11" s="54">
        <f>IF(7106.98779="","-",7106.98779/475663.92916*100)</f>
        <v>1.494119556753148</v>
      </c>
      <c r="E11" s="54">
        <f>IF(6643.23125="","-",6643.23125/464782.89562*100)</f>
        <v>1.4293192181993315</v>
      </c>
    </row>
    <row r="12" spans="1:5" ht="15.75">
      <c r="A12" s="58" t="s">
        <v>174</v>
      </c>
      <c r="B12" s="54">
        <f>IF(149.13809="","-",149.13809)</f>
        <v>149.13809</v>
      </c>
      <c r="C12" s="61">
        <v>32.0462</v>
      </c>
      <c r="D12" s="54">
        <f>IF(465.39401="","-",465.39401/475663.92916*100)</f>
        <v>0.09784092958695939</v>
      </c>
      <c r="E12" s="54">
        <f>IF(149.13809="","-",149.13809/464782.89562*100)</f>
        <v>0.03208768898456479</v>
      </c>
    </row>
    <row r="13" spans="1:5" ht="15.75">
      <c r="A13" s="58" t="s">
        <v>175</v>
      </c>
      <c r="B13" s="54">
        <f>IF(1.17602="","-",1.17602)</f>
        <v>1.17602</v>
      </c>
      <c r="C13" s="61">
        <v>91.4728</v>
      </c>
      <c r="D13" s="54">
        <f>IF(1.28508="","-",1.28508/475663.92916*100)</f>
        <v>0.0002701655352066301</v>
      </c>
      <c r="E13" s="54">
        <f>IF(1.17602="","-",1.17602/464782.89562*100)</f>
        <v>0.0002530256623215966</v>
      </c>
    </row>
    <row r="14" spans="1:5" ht="15.75">
      <c r="A14" s="58" t="s">
        <v>176</v>
      </c>
      <c r="B14" s="54">
        <f>IF(15.43433="","-",15.43433)</f>
        <v>15.43433</v>
      </c>
      <c r="C14" s="61">
        <v>12.4445</v>
      </c>
      <c r="D14" s="54">
        <f>IF(123.99057="","-",123.99057/475663.92916*100)</f>
        <v>0.02606684307951656</v>
      </c>
      <c r="E14" s="54">
        <f>IF(15.43433="","-",15.43433/464782.89562*100)</f>
        <v>0.0033207611866635667</v>
      </c>
    </row>
    <row r="15" spans="1:5" ht="15.75">
      <c r="A15" s="39" t="s">
        <v>211</v>
      </c>
      <c r="B15" s="53">
        <f>IF(318347.7102="","-",318347.7102)</f>
        <v>318347.7102</v>
      </c>
      <c r="C15" s="53">
        <f>IF(306576.76474="","-",318347.7102/306576.76474*100)</f>
        <v>103.8394773556902</v>
      </c>
      <c r="D15" s="53">
        <f>IF(306576.76474="","-",306576.76474/475663.92916*100)</f>
        <v>64.45238874459119</v>
      </c>
      <c r="E15" s="53">
        <f>IF(318347.7102="","-",318347.7102/464782.89562*100)</f>
        <v>68.49385233407483</v>
      </c>
    </row>
    <row r="16" spans="1:5" ht="15.75">
      <c r="A16" s="57" t="s">
        <v>209</v>
      </c>
      <c r="B16" s="53"/>
      <c r="C16" s="53"/>
      <c r="D16" s="53"/>
      <c r="E16" s="53"/>
    </row>
    <row r="17" spans="1:11" ht="15.75">
      <c r="A17" s="58" t="s">
        <v>169</v>
      </c>
      <c r="B17" s="54">
        <f>IF(28582.73239="","-",28582.73239)</f>
        <v>28582.73239</v>
      </c>
      <c r="C17" s="61" t="s">
        <v>157</v>
      </c>
      <c r="D17" s="54">
        <f>IF(17529.29892="","-",17529.29892/475663.92916*100)</f>
        <v>3.6852277091844896</v>
      </c>
      <c r="E17" s="54">
        <f>IF(28582.73239="","-",28582.73239/464782.89562*100)</f>
        <v>6.149695408190933</v>
      </c>
      <c r="K17" s="27"/>
    </row>
    <row r="18" spans="1:5" ht="15.75">
      <c r="A18" s="58" t="s">
        <v>170</v>
      </c>
      <c r="B18" s="54">
        <f>IF(4689.15826="","-",4689.15826)</f>
        <v>4689.15826</v>
      </c>
      <c r="C18" s="61">
        <v>49.1672</v>
      </c>
      <c r="D18" s="54">
        <f>IF(9537.16007="","-",9537.16007/475663.92916*100)</f>
        <v>2.0050206638208143</v>
      </c>
      <c r="E18" s="54">
        <f>IF(4689.15826="","-",4689.15826/464782.89562*100)</f>
        <v>1.0088921739998347</v>
      </c>
    </row>
    <row r="19" spans="1:5" ht="15.75">
      <c r="A19" s="58" t="s">
        <v>171</v>
      </c>
      <c r="B19" s="54">
        <f>IF(284299.92191="","-",284299.92191)</f>
        <v>284299.92191</v>
      </c>
      <c r="C19" s="61">
        <v>102.029</v>
      </c>
      <c r="D19" s="54">
        <f>IF(278646.0989="","-",278646.0989/475663.92916*100)</f>
        <v>58.5804560358562</v>
      </c>
      <c r="E19" s="54">
        <f>IF(284299.92191="","-",284299.92191/464782.89562*100)</f>
        <v>61.16832710264786</v>
      </c>
    </row>
    <row r="20" spans="1:5" ht="15.75">
      <c r="A20" s="58" t="s">
        <v>172</v>
      </c>
      <c r="B20" s="54">
        <f>IF(695.17054="","-",695.17054)</f>
        <v>695.17054</v>
      </c>
      <c r="C20" s="61">
        <v>94.3434</v>
      </c>
      <c r="D20" s="54">
        <f>IF(736.84623="","-",736.84623/475663.92916*100)</f>
        <v>0.15490899873388247</v>
      </c>
      <c r="E20" s="54">
        <f>IF(695.17054="","-",695.17054/464782.89562*100)</f>
        <v>0.1495688732419193</v>
      </c>
    </row>
    <row r="21" spans="1:5" ht="15.75">
      <c r="A21" s="58" t="s">
        <v>174</v>
      </c>
      <c r="B21" s="54">
        <f>IF(80.7271="","-",80.7271)</f>
        <v>80.7271</v>
      </c>
      <c r="C21" s="62">
        <v>69.5648</v>
      </c>
      <c r="D21" s="54">
        <f>IF(116.05452="","-",116.05452/475663.92916*100)</f>
        <v>0.024398427731307435</v>
      </c>
      <c r="E21" s="54">
        <f>IF(80.7271="","-",80.7271/464782.89562*100)</f>
        <v>0.017368775994287308</v>
      </c>
    </row>
    <row r="22" spans="1:5" ht="15.75">
      <c r="A22" s="59" t="s">
        <v>176</v>
      </c>
      <c r="B22" s="68" t="s">
        <v>271</v>
      </c>
      <c r="C22" s="62" t="s">
        <v>22</v>
      </c>
      <c r="D22" s="68">
        <f>IF(11.3061="","-",11.3061/475663.92916*100)</f>
        <v>0.0023769092644813404</v>
      </c>
      <c r="E22" s="68" t="s">
        <v>271</v>
      </c>
    </row>
    <row r="23" spans="1:5" ht="15.75">
      <c r="A23" s="39" t="s">
        <v>212</v>
      </c>
      <c r="B23" s="53">
        <f>IF(59896.35018="","-",59896.35018)</f>
        <v>59896.35018</v>
      </c>
      <c r="C23" s="53">
        <f>IF(64729.50993="","-",59896.35018/64729.50993*100)</f>
        <v>92.53329778762934</v>
      </c>
      <c r="D23" s="53">
        <f>IF(64729.50993="","-",64729.50993/475663.92916*100)</f>
        <v>13.608244384708602</v>
      </c>
      <c r="E23" s="53">
        <f>IF(59896.35018="","-",59896.35018/464782.89562*100)</f>
        <v>12.88695232644069</v>
      </c>
    </row>
    <row r="24" spans="1:5" ht="15.75">
      <c r="A24" s="57" t="s">
        <v>209</v>
      </c>
      <c r="B24" s="53"/>
      <c r="C24" s="53"/>
      <c r="D24" s="53"/>
      <c r="E24" s="53"/>
    </row>
    <row r="25" spans="1:5" ht="15.75">
      <c r="A25" s="58" t="s">
        <v>169</v>
      </c>
      <c r="B25" s="54">
        <f>IF(931.58594="","-",931.58594)</f>
        <v>931.58594</v>
      </c>
      <c r="C25" s="61">
        <v>113.7611</v>
      </c>
      <c r="D25" s="54">
        <f>IF(818.89715="","-",818.89715/475663.92916*100)</f>
        <v>0.17215876584254214</v>
      </c>
      <c r="E25" s="54">
        <f>IF(931.58594="","-",931.58594/464782.89562*100)</f>
        <v>0.20043464352475907</v>
      </c>
    </row>
    <row r="26" spans="1:7" ht="15.75">
      <c r="A26" s="58" t="s">
        <v>170</v>
      </c>
      <c r="B26" s="54">
        <f>IF(1305.13002="","-",1305.13002)</f>
        <v>1305.13002</v>
      </c>
      <c r="C26" s="61">
        <v>53.4762</v>
      </c>
      <c r="D26" s="54">
        <f>IF(2440.58095="","-",2440.58095/475663.92916*100)</f>
        <v>0.5130893474117221</v>
      </c>
      <c r="E26" s="54">
        <f>IF(1305.13002="","-",1305.13002/464782.89562*100)</f>
        <v>0.28080422758651946</v>
      </c>
      <c r="F26" s="1"/>
      <c r="G26" s="1"/>
    </row>
    <row r="27" spans="1:7" ht="15.75">
      <c r="A27" s="58" t="s">
        <v>171</v>
      </c>
      <c r="B27" s="54">
        <f>IF(55247.76485="","-",55247.76485)</f>
        <v>55247.76485</v>
      </c>
      <c r="C27" s="64">
        <v>91.4956</v>
      </c>
      <c r="D27" s="54">
        <f>IF(60382.93306="","-",60382.93306/475663.92916*100)</f>
        <v>12.694452818113286</v>
      </c>
      <c r="E27" s="54">
        <f>IF(55247.76485="","-",55247.76485/464782.89562*100)</f>
        <v>11.886789589427964</v>
      </c>
      <c r="F27" s="14"/>
      <c r="G27" s="14"/>
    </row>
    <row r="28" spans="1:5" ht="15.75">
      <c r="A28" s="58" t="s">
        <v>172</v>
      </c>
      <c r="B28" s="54">
        <f>IF(2370.34266="","-",2370.34266)</f>
        <v>2370.34266</v>
      </c>
      <c r="C28" s="64" t="s">
        <v>230</v>
      </c>
      <c r="D28" s="54">
        <f>IF(776.26382="","-",776.26382/475663.92916*100)</f>
        <v>0.16319585581585833</v>
      </c>
      <c r="E28" s="54">
        <f>IF(2370.34266="","-",2370.34266/464782.89562*100)</f>
        <v>0.5099892191252147</v>
      </c>
    </row>
    <row r="29" spans="1:5" ht="15.75">
      <c r="A29" s="58" t="s">
        <v>174</v>
      </c>
      <c r="B29" s="54">
        <f>IF(24.91636="","-",24.91636)</f>
        <v>24.91636</v>
      </c>
      <c r="C29" s="64">
        <v>8.0503</v>
      </c>
      <c r="D29" s="54">
        <f>IF(309.54987="","-",309.54987/475663.92916*100)</f>
        <v>0.06507743198998722</v>
      </c>
      <c r="E29" s="54">
        <f>IF(24.91636="","-",24.91636/464782.89562*100)</f>
        <v>0.005360859927248973</v>
      </c>
    </row>
    <row r="30" spans="1:5" ht="15.75">
      <c r="A30" s="58" t="s">
        <v>175</v>
      </c>
      <c r="B30" s="54">
        <f>IF(1.17602="","-",1.17602)</f>
        <v>1.17602</v>
      </c>
      <c r="C30" s="64">
        <v>91.4728</v>
      </c>
      <c r="D30" s="54">
        <f>IF(1.28508="","-",1.28508/475663.92916*100)</f>
        <v>0.0002701655352066301</v>
      </c>
      <c r="E30" s="54">
        <f>IF(1.17602="","-",1.17602/464782.89562*100)</f>
        <v>0.0002530256623215966</v>
      </c>
    </row>
    <row r="31" spans="1:5" ht="15.75">
      <c r="A31" s="58" t="s">
        <v>176</v>
      </c>
      <c r="B31" s="54">
        <f>IF(15.43433="","-",15.43433)</f>
        <v>15.43433</v>
      </c>
      <c r="C31" s="64" t="s">
        <v>22</v>
      </c>
      <c r="D31" s="64" t="s">
        <v>272</v>
      </c>
      <c r="E31" s="54">
        <f>IF(15.43433="","-",15.43433/464782.89562*100)</f>
        <v>0.0033207611866635667</v>
      </c>
    </row>
    <row r="32" spans="1:5" ht="15.75">
      <c r="A32" s="39" t="s">
        <v>173</v>
      </c>
      <c r="B32" s="53">
        <f>IF(86538.83524="","-",86538.83524)</f>
        <v>86538.83524</v>
      </c>
      <c r="C32" s="53">
        <f>IF(104357.65449="","-",86538.83524/104357.65449*100)</f>
        <v>82.92523980432362</v>
      </c>
      <c r="D32" s="53">
        <f>IF(104357.65449="","-",104357.65449/475663.92916*100)</f>
        <v>21.93936687070022</v>
      </c>
      <c r="E32" s="53">
        <f>IF(86538.83524="","-",86538.83524/464782.89562*100)</f>
        <v>18.619195339484467</v>
      </c>
    </row>
    <row r="33" spans="1:5" ht="15.75">
      <c r="A33" s="57" t="s">
        <v>209</v>
      </c>
      <c r="B33" s="53"/>
      <c r="C33" s="53"/>
      <c r="D33" s="53"/>
      <c r="E33" s="53"/>
    </row>
    <row r="34" spans="1:5" ht="15.75">
      <c r="A34" s="58" t="s">
        <v>169</v>
      </c>
      <c r="B34" s="54">
        <f>IF(17278.79285="","-",17278.79285)</f>
        <v>17278.79285</v>
      </c>
      <c r="C34" s="61">
        <v>93.6259</v>
      </c>
      <c r="D34" s="54">
        <f>IF(18455.12788="","-",18455.12788/475663.92916*100)</f>
        <v>3.8798670129540582</v>
      </c>
      <c r="E34" s="54">
        <f>IF(17278.79285="","-",17278.79285/464782.89562*100)</f>
        <v>3.7176051470118856</v>
      </c>
    </row>
    <row r="35" spans="1:5" ht="15.75">
      <c r="A35" s="58" t="s">
        <v>170</v>
      </c>
      <c r="B35" s="54">
        <f>IF(20396.04414="","-",20396.04414)</f>
        <v>20396.04414</v>
      </c>
      <c r="C35" s="61">
        <v>117.6069</v>
      </c>
      <c r="D35" s="54">
        <f>IF(17342.55204="","-",17342.55204/475663.92916*100)</f>
        <v>3.6459674524040793</v>
      </c>
      <c r="E35" s="54">
        <f>IF(20396.04414="","-",20396.04414/464782.89562*100)</f>
        <v>4.3882949076240365</v>
      </c>
    </row>
    <row r="36" spans="1:5" ht="15.75">
      <c r="A36" s="58" t="s">
        <v>171</v>
      </c>
      <c r="B36" s="54">
        <f>IF(45242.78557="","-",45242.78557)</f>
        <v>45242.78557</v>
      </c>
      <c r="C36" s="61">
        <v>72.027</v>
      </c>
      <c r="D36" s="54">
        <f>IF(62813.62274="","-",62813.62274/475663.92916*100)</f>
        <v>13.205462699457973</v>
      </c>
      <c r="E36" s="54">
        <f>IF(45242.78557="","-",45242.78557/464782.89562*100)</f>
        <v>9.73417610595332</v>
      </c>
    </row>
    <row r="37" spans="1:5" ht="15.75">
      <c r="A37" s="58" t="s">
        <v>172</v>
      </c>
      <c r="B37" s="54">
        <f>IF(3577.71805="","-",3577.71805)</f>
        <v>3577.71805</v>
      </c>
      <c r="C37" s="62">
        <v>63.9577</v>
      </c>
      <c r="D37" s="54">
        <f>IF(5593.87774="","-",5593.87774/475663.92916*100)</f>
        <v>1.1760147022034073</v>
      </c>
      <c r="E37" s="54">
        <f>IF(3577.71805="","-",3577.71805/464782.89562*100)</f>
        <v>0.7697611258321976</v>
      </c>
    </row>
    <row r="38" spans="1:5" ht="15.75">
      <c r="A38" s="59" t="s">
        <v>174</v>
      </c>
      <c r="B38" s="68">
        <f>IF(43.49463="","-",43.49463)</f>
        <v>43.49463</v>
      </c>
      <c r="C38" s="62">
        <v>109.2988</v>
      </c>
      <c r="D38" s="68">
        <f>IF(39.78962="","-",39.78962/475663.92916*100)</f>
        <v>0.008365069865664732</v>
      </c>
      <c r="E38" s="68">
        <f>IF(43.49463="","-",43.49463/464782.89562*100)</f>
        <v>0.009358053063028508</v>
      </c>
    </row>
    <row r="39" spans="1:5" ht="15.75">
      <c r="A39" s="60" t="s">
        <v>176</v>
      </c>
      <c r="B39" s="55" t="s">
        <v>271</v>
      </c>
      <c r="C39" s="65" t="s">
        <v>22</v>
      </c>
      <c r="D39" s="55">
        <f>IF(112.68447="","-",112.68447/475663.92916*100)</f>
        <v>0.023689933815035216</v>
      </c>
      <c r="E39" s="55" t="s">
        <v>271</v>
      </c>
    </row>
    <row r="40" ht="15.75">
      <c r="A40" s="29" t="s">
        <v>21</v>
      </c>
    </row>
  </sheetData>
  <sheetProtection/>
  <mergeCells count="7">
    <mergeCell ref="A1:E1"/>
    <mergeCell ref="A3:A5"/>
    <mergeCell ref="B3:C3"/>
    <mergeCell ref="D3:E3"/>
    <mergeCell ref="B4:B5"/>
    <mergeCell ref="C4:C5"/>
    <mergeCell ref="D4:E4"/>
  </mergeCells>
  <printOptions/>
  <pageMargins left="0.7874015748031497" right="0.5905511811023623" top="0.3937007874015748" bottom="0.3937007874015748" header="0.11811023622047245" footer="0.118110236220472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G39"/>
  <sheetViews>
    <sheetView zoomScalePageLayoutView="0" workbookViewId="0" topLeftCell="A1">
      <selection activeCell="A1" sqref="A1:E1"/>
    </sheetView>
  </sheetViews>
  <sheetFormatPr defaultColWidth="9.00390625" defaultRowHeight="15.75"/>
  <cols>
    <col min="1" max="1" width="30.125" style="0" customWidth="1"/>
    <col min="2" max="2" width="14.125" style="0" customWidth="1"/>
    <col min="3" max="3" width="14.875" style="0" customWidth="1"/>
    <col min="4" max="5" width="11.625" style="0" customWidth="1"/>
  </cols>
  <sheetData>
    <row r="1" spans="1:5" ht="15.75">
      <c r="A1" s="74" t="s">
        <v>181</v>
      </c>
      <c r="B1" s="74"/>
      <c r="C1" s="74"/>
      <c r="D1" s="74"/>
      <c r="E1" s="74"/>
    </row>
    <row r="2" spans="1:5" ht="15.75">
      <c r="A2" s="9"/>
      <c r="B2" s="9"/>
      <c r="C2" s="9"/>
      <c r="D2" s="9"/>
      <c r="E2" s="9"/>
    </row>
    <row r="3" spans="1:6" ht="15.75" customHeight="1">
      <c r="A3" s="75"/>
      <c r="B3" s="78" t="s">
        <v>273</v>
      </c>
      <c r="C3" s="79"/>
      <c r="D3" s="78" t="s">
        <v>162</v>
      </c>
      <c r="E3" s="94"/>
      <c r="F3" s="1"/>
    </row>
    <row r="4" spans="1:6" ht="19.5" customHeight="1">
      <c r="A4" s="76"/>
      <c r="B4" s="82" t="s">
        <v>189</v>
      </c>
      <c r="C4" s="84" t="s">
        <v>277</v>
      </c>
      <c r="D4" s="86" t="s">
        <v>274</v>
      </c>
      <c r="E4" s="78"/>
      <c r="F4" s="1"/>
    </row>
    <row r="5" spans="1:6" ht="20.25" customHeight="1">
      <c r="A5" s="77"/>
      <c r="B5" s="83"/>
      <c r="C5" s="85"/>
      <c r="D5" s="35">
        <v>2019</v>
      </c>
      <c r="E5" s="34">
        <v>2020</v>
      </c>
      <c r="F5" s="1"/>
    </row>
    <row r="6" spans="1:5" ht="15.75" customHeight="1">
      <c r="A6" s="56" t="s">
        <v>210</v>
      </c>
      <c r="B6" s="69">
        <f>IF(864817.21761="","-",864817.21761)</f>
        <v>864817.21761</v>
      </c>
      <c r="C6" s="52">
        <f>IF(831736.70692="","-",864817.21761/831736.70692*100)</f>
        <v>103.97728156215449</v>
      </c>
      <c r="D6" s="70">
        <v>100</v>
      </c>
      <c r="E6" s="70">
        <v>100</v>
      </c>
    </row>
    <row r="7" spans="1:5" ht="15.75" customHeight="1">
      <c r="A7" s="57" t="s">
        <v>209</v>
      </c>
      <c r="B7" s="36"/>
      <c r="C7" s="63"/>
      <c r="D7" s="36"/>
      <c r="E7" s="36"/>
    </row>
    <row r="8" spans="1:5" ht="15.75">
      <c r="A8" s="58" t="s">
        <v>169</v>
      </c>
      <c r="B8" s="54">
        <f>IF(14132.30747="","-",14132.30747)</f>
        <v>14132.30747</v>
      </c>
      <c r="C8" s="61">
        <v>132.2607</v>
      </c>
      <c r="D8" s="54">
        <f>IF(10685.19185="","-",10685.19185/831736.70692*100)</f>
        <v>1.2846844152842885</v>
      </c>
      <c r="E8" s="54">
        <f>IF(14132.30747="","-",14132.30747/864817.21761*100)</f>
        <v>1.634138079380045</v>
      </c>
    </row>
    <row r="9" spans="1:5" ht="15.75">
      <c r="A9" s="58" t="s">
        <v>170</v>
      </c>
      <c r="B9" s="54">
        <f>IF(43573.88798="","-",43573.88798)</f>
        <v>43573.88798</v>
      </c>
      <c r="C9" s="61" t="s">
        <v>157</v>
      </c>
      <c r="D9" s="54">
        <f>IF(27616.80843="","-",27616.80843/831736.70692*100)</f>
        <v>3.3203786967954874</v>
      </c>
      <c r="E9" s="54">
        <f>IF(43573.88798="","-",43573.88798/864817.21761*100)</f>
        <v>5.0385083798886825</v>
      </c>
    </row>
    <row r="10" spans="1:5" ht="15.75">
      <c r="A10" s="58" t="s">
        <v>171</v>
      </c>
      <c r="B10" s="54">
        <f>IF(716418.49682="","-",716418.49682)</f>
        <v>716418.49682</v>
      </c>
      <c r="C10" s="61">
        <v>107.0768</v>
      </c>
      <c r="D10" s="54">
        <f>IF(669069.22307="","-",669069.22307/831736.70692*100)</f>
        <v>80.44243057969953</v>
      </c>
      <c r="E10" s="54">
        <f>IF(716418.49682="","-",716418.49682/864817.21761*100)</f>
        <v>82.84045255249274</v>
      </c>
    </row>
    <row r="11" spans="1:5" ht="15.75">
      <c r="A11" s="58" t="s">
        <v>172</v>
      </c>
      <c r="B11" s="54">
        <f>IF(20564.09105="","-",20564.09105)</f>
        <v>20564.09105</v>
      </c>
      <c r="C11" s="61">
        <v>88.0602</v>
      </c>
      <c r="D11" s="54">
        <f>IF(23352.29794="","-",23352.29794/831736.70692*100)</f>
        <v>2.807655084320587</v>
      </c>
      <c r="E11" s="54">
        <f>IF(20564.09105="","-",20564.09105/864817.21761*100)</f>
        <v>2.377854028719584</v>
      </c>
    </row>
    <row r="12" spans="1:5" ht="15.75">
      <c r="A12" s="58" t="s">
        <v>174</v>
      </c>
      <c r="B12" s="54">
        <f>IF(1401.84218="","-",1401.84218)</f>
        <v>1401.84218</v>
      </c>
      <c r="C12" s="61">
        <v>97.0554</v>
      </c>
      <c r="D12" s="54">
        <f>IF(1444.37273="","-",1444.37273/831736.70692*100)</f>
        <v>0.17365744687987253</v>
      </c>
      <c r="E12" s="54">
        <f>IF(1401.84218="","-",1401.84218/864817.21761*100)</f>
        <v>0.16209693232913616</v>
      </c>
    </row>
    <row r="13" spans="1:5" ht="15.75">
      <c r="A13" s="58" t="s">
        <v>175</v>
      </c>
      <c r="B13" s="54">
        <f>IF(64166.29528="","-",64166.29528)</f>
        <v>64166.29528</v>
      </c>
      <c r="C13" s="61">
        <v>68.9053</v>
      </c>
      <c r="D13" s="54">
        <f>IF(93122.3783="","-",93122.3783/831736.70692*100)</f>
        <v>11.19613665300898</v>
      </c>
      <c r="E13" s="54">
        <f>IF(64166.29528="","-",64166.29528/864817.21761*100)</f>
        <v>7.419636655399775</v>
      </c>
    </row>
    <row r="14" spans="1:5" ht="15.75">
      <c r="A14" s="58" t="s">
        <v>176</v>
      </c>
      <c r="B14" s="54">
        <f>IF(4560.29683="","-",4560.29683)</f>
        <v>4560.29683</v>
      </c>
      <c r="C14" s="61">
        <v>70.7414</v>
      </c>
      <c r="D14" s="54">
        <f>IF(6446.4346="","-",6446.4346/831736.70692*100)</f>
        <v>0.7750571240112462</v>
      </c>
      <c r="E14" s="54">
        <f>IF(4560.29683="","-",4560.29683/864817.21761*100)</f>
        <v>0.5273133717900286</v>
      </c>
    </row>
    <row r="15" spans="1:5" ht="15.75">
      <c r="A15" s="39" t="s">
        <v>211</v>
      </c>
      <c r="B15" s="53">
        <f>IF(409564.8431="","-",409564.8431)</f>
        <v>409564.8431</v>
      </c>
      <c r="C15" s="53">
        <f>IF(387532.91074="","-",409564.8431/387532.91074*100)</f>
        <v>105.6851771164234</v>
      </c>
      <c r="D15" s="53">
        <f>IF(387532.91074="","-",387532.91074/831736.70692*100)</f>
        <v>46.59321964700478</v>
      </c>
      <c r="E15" s="53">
        <f>IF(409564.8431="","-",409564.8431/864817.21761*100)</f>
        <v>47.35854406690343</v>
      </c>
    </row>
    <row r="16" spans="1:5" ht="15.75">
      <c r="A16" s="57" t="s">
        <v>209</v>
      </c>
      <c r="B16" s="36"/>
      <c r="C16" s="72"/>
      <c r="D16" s="36"/>
      <c r="E16" s="36"/>
    </row>
    <row r="17" spans="1:5" ht="15.75">
      <c r="A17" s="58" t="s">
        <v>169</v>
      </c>
      <c r="B17" s="54">
        <f>IF(5854.34295="","-",5854.34295)</f>
        <v>5854.34295</v>
      </c>
      <c r="C17" s="61">
        <v>75.9733</v>
      </c>
      <c r="D17" s="54">
        <f>IF(7705.78465="","-",7705.78465/831736.70692*100)</f>
        <v>0.9264692282892326</v>
      </c>
      <c r="E17" s="54">
        <f>IF(5854.34295="","-",5854.34295/864817.21761*100)</f>
        <v>0.6769456979798577</v>
      </c>
    </row>
    <row r="18" spans="1:5" ht="15.75">
      <c r="A18" s="58" t="s">
        <v>170</v>
      </c>
      <c r="B18" s="54">
        <f>IF(4457.52392="","-",4457.52392)</f>
        <v>4457.52392</v>
      </c>
      <c r="C18" s="61">
        <v>113.1551</v>
      </c>
      <c r="D18" s="54">
        <f>IF(3939.29785="","-",3939.29785/831736.70692*100)</f>
        <v>0.4736231811371647</v>
      </c>
      <c r="E18" s="54">
        <f>IF(4457.52392="","-",4457.52392/864817.21761*100)</f>
        <v>0.5154295993688431</v>
      </c>
    </row>
    <row r="19" spans="1:5" ht="15.75">
      <c r="A19" s="58" t="s">
        <v>171</v>
      </c>
      <c r="B19" s="54">
        <f>IF(387825.55642="","-",387825.55642)</f>
        <v>387825.55642</v>
      </c>
      <c r="C19" s="61">
        <v>106.7446</v>
      </c>
      <c r="D19" s="54">
        <f>IF(363320.95091="","-",363320.95091/831736.70692*100)</f>
        <v>43.682207107993584</v>
      </c>
      <c r="E19" s="54">
        <f>IF(387825.55642="","-",387825.55642/864817.21761*100)</f>
        <v>44.844800557022985</v>
      </c>
    </row>
    <row r="20" spans="1:5" ht="15.75">
      <c r="A20" s="58" t="s">
        <v>172</v>
      </c>
      <c r="B20" s="54">
        <f>IF(6564.38952="","-",6564.38952)</f>
        <v>6564.38952</v>
      </c>
      <c r="C20" s="61">
        <v>95.9271</v>
      </c>
      <c r="D20" s="54">
        <f>IF(6843.1033="","-",6843.1033/831736.70692*100)</f>
        <v>0.8227487428492438</v>
      </c>
      <c r="E20" s="54">
        <f>IF(6564.38952="","-",6564.38952/864817.21761*100)</f>
        <v>0.7590493559021961</v>
      </c>
    </row>
    <row r="21" spans="1:5" ht="15.75">
      <c r="A21" s="58" t="s">
        <v>174</v>
      </c>
      <c r="B21" s="54">
        <f>IF(780.39802="","-",780.39802)</f>
        <v>780.39802</v>
      </c>
      <c r="C21" s="61">
        <v>101.5987</v>
      </c>
      <c r="D21" s="54">
        <f>IF(768.12093="","-",768.12093/831736.70692*100)</f>
        <v>0.09235145252208776</v>
      </c>
      <c r="E21" s="54">
        <f>IF(780.39802="","-",780.39802/864817.21761*100)</f>
        <v>0.09023849249402086</v>
      </c>
    </row>
    <row r="22" spans="1:5" ht="15.75">
      <c r="A22" s="58" t="s">
        <v>176</v>
      </c>
      <c r="B22" s="54">
        <f>IF(4082.63227="","-",4082.63227)</f>
        <v>4082.63227</v>
      </c>
      <c r="C22" s="61">
        <v>82.3833</v>
      </c>
      <c r="D22" s="54">
        <f>IF(4955.6531="","-",4955.6531/831736.70692*100)</f>
        <v>0.5958199342134669</v>
      </c>
      <c r="E22" s="54">
        <f>IF(4082.63227="","-",4082.63227/864817.21761*100)</f>
        <v>0.47208036413552457</v>
      </c>
    </row>
    <row r="23" spans="1:5" ht="15.75">
      <c r="A23" s="39" t="s">
        <v>212</v>
      </c>
      <c r="B23" s="53">
        <f>IF(221050.38652="","-",221050.38652)</f>
        <v>221050.38652</v>
      </c>
      <c r="C23" s="53">
        <f>IF(225754.50583="","-",221050.38652/225754.50583*100)</f>
        <v>97.91626780927139</v>
      </c>
      <c r="D23" s="53">
        <f>IF(225754.50583="","-",225754.50583/831736.70692*100)</f>
        <v>27.142544503775767</v>
      </c>
      <c r="E23" s="53">
        <f>IF(221050.38652="","-",221050.38652/864817.21761*100)</f>
        <v>25.56035911621794</v>
      </c>
    </row>
    <row r="24" spans="1:5" ht="15.75">
      <c r="A24" s="58" t="s">
        <v>209</v>
      </c>
      <c r="B24" s="36"/>
      <c r="C24" s="72"/>
      <c r="D24" s="36"/>
      <c r="E24" s="36"/>
    </row>
    <row r="25" spans="1:5" ht="15.75">
      <c r="A25" s="58" t="s">
        <v>169</v>
      </c>
      <c r="B25" s="54">
        <f>IF(4774.62924="","-",4774.62924)</f>
        <v>4774.62924</v>
      </c>
      <c r="C25" s="61" t="s">
        <v>255</v>
      </c>
      <c r="D25" s="54">
        <f>IF(1638.47986="","-",1638.47986/831736.70692*100)</f>
        <v>0.19699501613526788</v>
      </c>
      <c r="E25" s="54">
        <f>IF(4774.62924="","-",4774.62924/864817.21761*100)</f>
        <v>0.5520969220750619</v>
      </c>
    </row>
    <row r="26" spans="1:7" ht="15.75">
      <c r="A26" s="58" t="s">
        <v>170</v>
      </c>
      <c r="B26" s="54">
        <f>IF(39007.49083="","-",39007.49083)</f>
        <v>39007.49083</v>
      </c>
      <c r="C26" s="61" t="s">
        <v>156</v>
      </c>
      <c r="D26" s="54">
        <f>IF(23630.03461="","-",23630.03461/831736.70692*100)</f>
        <v>2.8410474629049687</v>
      </c>
      <c r="E26" s="54">
        <f>IF(39007.49083="","-",39007.49083/864817.21761*100)</f>
        <v>4.510489619737301</v>
      </c>
      <c r="F26" s="1"/>
      <c r="G26" s="1"/>
    </row>
    <row r="27" spans="1:7" ht="15.75">
      <c r="A27" s="58" t="s">
        <v>171</v>
      </c>
      <c r="B27" s="54">
        <f>IF(111119.15149="","-",111119.15149)</f>
        <v>111119.15149</v>
      </c>
      <c r="C27" s="61">
        <v>106.573</v>
      </c>
      <c r="D27" s="54">
        <f>IF(104265.72041="","-",104265.72041/831736.70692*100)</f>
        <v>12.535904636950058</v>
      </c>
      <c r="E27" s="54">
        <f>IF(111119.15149="","-",111119.15149/864817.21761*100)</f>
        <v>12.848859762192033</v>
      </c>
      <c r="F27" s="1"/>
      <c r="G27" s="1"/>
    </row>
    <row r="28" spans="1:7" ht="15.75">
      <c r="A28" s="58" t="s">
        <v>172</v>
      </c>
      <c r="B28" s="54">
        <f>IF(1879.09826="","-",1879.09826)</f>
        <v>1879.09826</v>
      </c>
      <c r="C28" s="61">
        <v>91.1874</v>
      </c>
      <c r="D28" s="54">
        <f>IF(2060.6973="","-",2060.6973/831736.70692*100)</f>
        <v>0.2477583690674129</v>
      </c>
      <c r="E28" s="54">
        <f>IF(1879.09826="","-",1879.09826/864817.21761*100)</f>
        <v>0.21728270688146759</v>
      </c>
      <c r="F28" s="14"/>
      <c r="G28" s="14"/>
    </row>
    <row r="29" spans="1:5" ht="15.75">
      <c r="A29" s="58" t="s">
        <v>174</v>
      </c>
      <c r="B29" s="54">
        <f>IF(80.04475="","-",80.04475)</f>
        <v>80.04475</v>
      </c>
      <c r="C29" s="61" t="s">
        <v>157</v>
      </c>
      <c r="D29" s="54">
        <f>IF(48.94572="","-",48.94572/831736.70692*100)</f>
        <v>0.005884761318428598</v>
      </c>
      <c r="E29" s="54">
        <f>IF(80.04475="","-",80.04475/864817.21761*100)</f>
        <v>0.009255684134181652</v>
      </c>
    </row>
    <row r="30" spans="1:5" ht="15.75">
      <c r="A30" s="58" t="s">
        <v>175</v>
      </c>
      <c r="B30" s="54">
        <f>IF(64166.29528="","-",64166.29528)</f>
        <v>64166.29528</v>
      </c>
      <c r="C30" s="61">
        <v>68.9053</v>
      </c>
      <c r="D30" s="54">
        <f>IF(93122.3783="","-",93122.3783/831736.70692*100)</f>
        <v>11.19613665300898</v>
      </c>
      <c r="E30" s="54">
        <f>IF(64166.29528="","-",64166.29528/864817.21761*100)</f>
        <v>7.419636655399775</v>
      </c>
    </row>
    <row r="31" spans="1:5" ht="15.75">
      <c r="A31" s="58" t="s">
        <v>176</v>
      </c>
      <c r="B31" s="54">
        <f>IF(23.67667="","-",23.67667)</f>
        <v>23.67667</v>
      </c>
      <c r="C31" s="61">
        <v>2.3961</v>
      </c>
      <c r="D31" s="54">
        <f>IF(988.24963="","-",988.24963/831736.70692*100)</f>
        <v>0.11881760439064691</v>
      </c>
      <c r="E31" s="54">
        <f>IF(23.67667="","-",23.67667/864817.21761*100)</f>
        <v>0.0027377657981223595</v>
      </c>
    </row>
    <row r="32" spans="1:5" ht="15.75">
      <c r="A32" s="39" t="s">
        <v>213</v>
      </c>
      <c r="B32" s="53">
        <f>IF(234201.98799="","-",234201.98799)</f>
        <v>234201.98799</v>
      </c>
      <c r="C32" s="53">
        <f>IF(218449.29035="","-",234201.98799/218449.29035*100)</f>
        <v>107.21114617253322</v>
      </c>
      <c r="D32" s="53">
        <f>IF(218449.29035="","-",218449.29035/831736.70692*100)</f>
        <v>26.264235849219453</v>
      </c>
      <c r="E32" s="53">
        <f>IF(234201.98799="","-",234201.98799/864817.21761*100)</f>
        <v>27.081096816878624</v>
      </c>
    </row>
    <row r="33" spans="1:5" ht="15.75">
      <c r="A33" s="58" t="s">
        <v>209</v>
      </c>
      <c r="B33" s="36"/>
      <c r="C33" s="72"/>
      <c r="D33" s="71"/>
      <c r="E33" s="36"/>
    </row>
    <row r="34" spans="1:5" ht="15.75">
      <c r="A34" s="58" t="s">
        <v>169</v>
      </c>
      <c r="B34" s="54">
        <f>IF(3503.33528="","-",3503.33528)</f>
        <v>3503.33528</v>
      </c>
      <c r="C34" s="61" t="s">
        <v>248</v>
      </c>
      <c r="D34" s="54">
        <f>IF(1340.92734="","-",1340.92734/831736.70692*100)</f>
        <v>0.1612201708597882</v>
      </c>
      <c r="E34" s="54">
        <f>IF(3503.33528="","-",3503.33528/864817.21761*100)</f>
        <v>0.40509545932512553</v>
      </c>
    </row>
    <row r="35" spans="1:5" ht="15.75">
      <c r="A35" s="58" t="s">
        <v>170</v>
      </c>
      <c r="B35" s="54">
        <f>IF(108.87323="","-",108.87323)</f>
        <v>108.87323</v>
      </c>
      <c r="C35" s="61" t="s">
        <v>164</v>
      </c>
      <c r="D35" s="54">
        <f>IF(47.47597="","-",47.47597/831736.70692*100)</f>
        <v>0.005708052753353645</v>
      </c>
      <c r="E35" s="54">
        <f>IF(108.87323="","-",108.87323/864817.21761*100)</f>
        <v>0.012589160782538642</v>
      </c>
    </row>
    <row r="36" spans="1:5" ht="15.75">
      <c r="A36" s="58" t="s">
        <v>171</v>
      </c>
      <c r="B36" s="54">
        <f>IF(217473.78891="","-",217473.78891)</f>
        <v>217473.78891</v>
      </c>
      <c r="C36" s="61">
        <v>107.9367</v>
      </c>
      <c r="D36" s="54">
        <f>IF(201482.55175="","-",201482.55175/831736.70692*100)</f>
        <v>24.224318834755895</v>
      </c>
      <c r="E36" s="54">
        <f>IF(217473.78891="","-",217473.78891/864817.21761*100)</f>
        <v>25.146792233277726</v>
      </c>
    </row>
    <row r="37" spans="1:5" ht="15.75">
      <c r="A37" s="58" t="s">
        <v>172</v>
      </c>
      <c r="B37" s="54">
        <f>IF(12120.60327="","-",12120.60327)</f>
        <v>12120.60327</v>
      </c>
      <c r="C37" s="61">
        <v>83.8882</v>
      </c>
      <c r="D37" s="54">
        <f>IF(14448.49734="","-",14448.49734/831736.70692*100)</f>
        <v>1.7371479724039303</v>
      </c>
      <c r="E37" s="54">
        <f>IF(12120.60327="","-",12120.60327/864817.21761*100)</f>
        <v>1.4015219659359204</v>
      </c>
    </row>
    <row r="38" spans="1:5" ht="15.75">
      <c r="A38" s="58" t="s">
        <v>174</v>
      </c>
      <c r="B38" s="54">
        <f>IF(541.39941="","-",541.39941)</f>
        <v>541.39941</v>
      </c>
      <c r="C38" s="61">
        <v>86.305</v>
      </c>
      <c r="D38" s="54">
        <f>IF(627.30608="","-",627.30608/831736.70692*100)</f>
        <v>0.07542123303935616</v>
      </c>
      <c r="E38" s="54">
        <f>IF(541.39941="","-",541.39941/864817.21761*100)</f>
        <v>0.06260275570093364</v>
      </c>
    </row>
    <row r="39" spans="1:5" ht="15.75">
      <c r="A39" s="60" t="s">
        <v>176</v>
      </c>
      <c r="B39" s="55">
        <f>IF(453.98789="","-",453.98789)</f>
        <v>453.98789</v>
      </c>
      <c r="C39" s="65">
        <v>90.3408</v>
      </c>
      <c r="D39" s="55">
        <f>IF(502.53187="","-",502.53187/831736.70692*100)</f>
        <v>0.060419585407132416</v>
      </c>
      <c r="E39" s="55">
        <f>IF(453.98789="","-",453.98789/864817.21761*100)</f>
        <v>0.05249524185638166</v>
      </c>
    </row>
  </sheetData>
  <sheetProtection/>
  <mergeCells count="7">
    <mergeCell ref="A1:E1"/>
    <mergeCell ref="A3:A5"/>
    <mergeCell ref="B3:C3"/>
    <mergeCell ref="D3:E3"/>
    <mergeCell ref="B4:B5"/>
    <mergeCell ref="C4:C5"/>
    <mergeCell ref="D4:E4"/>
  </mergeCells>
  <printOptions/>
  <pageMargins left="0.7874015748031497" right="0.5905511811023623" top="0.3937007874015748" bottom="0.3937007874015748" header="0.11811023622047245" footer="0.118110236220472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J77"/>
  <sheetViews>
    <sheetView zoomScalePageLayoutView="0" workbookViewId="0" topLeftCell="A1">
      <selection activeCell="A2" sqref="A2:G2"/>
    </sheetView>
  </sheetViews>
  <sheetFormatPr defaultColWidth="9.00390625" defaultRowHeight="15.75"/>
  <cols>
    <col min="1" max="1" width="28.125" style="0" customWidth="1"/>
    <col min="2" max="2" width="12.00390625" style="0" customWidth="1"/>
    <col min="3" max="3" width="10.125" style="0" customWidth="1"/>
    <col min="4" max="4" width="8.625" style="0" customWidth="1"/>
    <col min="5" max="5" width="8.75390625" style="0" customWidth="1"/>
    <col min="6" max="6" width="9.625" style="0" customWidth="1"/>
    <col min="7" max="7" width="9.50390625" style="0" customWidth="1"/>
  </cols>
  <sheetData>
    <row r="1" spans="1:7" ht="15.75">
      <c r="A1" s="87" t="s">
        <v>182</v>
      </c>
      <c r="B1" s="87"/>
      <c r="C1" s="87"/>
      <c r="D1" s="87"/>
      <c r="E1" s="87"/>
      <c r="F1" s="87"/>
      <c r="G1" s="87"/>
    </row>
    <row r="2" spans="1:7" ht="15.75">
      <c r="A2" s="87" t="s">
        <v>23</v>
      </c>
      <c r="B2" s="87"/>
      <c r="C2" s="87"/>
      <c r="D2" s="87"/>
      <c r="E2" s="87"/>
      <c r="F2" s="87"/>
      <c r="G2" s="87"/>
    </row>
    <row r="3" ht="15.75">
      <c r="A3" s="6"/>
    </row>
    <row r="4" spans="1:7" ht="57" customHeight="1">
      <c r="A4" s="95"/>
      <c r="B4" s="98" t="s">
        <v>273</v>
      </c>
      <c r="C4" s="93"/>
      <c r="D4" s="98" t="s">
        <v>0</v>
      </c>
      <c r="E4" s="93"/>
      <c r="F4" s="90" t="s">
        <v>159</v>
      </c>
      <c r="G4" s="99"/>
    </row>
    <row r="5" spans="1:7" ht="26.25" customHeight="1">
      <c r="A5" s="96"/>
      <c r="B5" s="100" t="s">
        <v>165</v>
      </c>
      <c r="C5" s="88" t="s">
        <v>222</v>
      </c>
      <c r="D5" s="102" t="s">
        <v>274</v>
      </c>
      <c r="E5" s="102"/>
      <c r="F5" s="102" t="s">
        <v>274</v>
      </c>
      <c r="G5" s="98"/>
    </row>
    <row r="6" spans="1:7" ht="26.25" customHeight="1">
      <c r="A6" s="97"/>
      <c r="B6" s="101"/>
      <c r="C6" s="89"/>
      <c r="D6" s="26">
        <v>2019</v>
      </c>
      <c r="E6" s="26">
        <v>2020</v>
      </c>
      <c r="F6" s="26" t="s">
        <v>188</v>
      </c>
      <c r="G6" s="22" t="s">
        <v>223</v>
      </c>
    </row>
    <row r="7" spans="1:7" ht="16.5" customHeight="1">
      <c r="A7" s="37" t="s">
        <v>151</v>
      </c>
      <c r="B7" s="52">
        <f>IF(464782.89562="","-",464782.89562)</f>
        <v>464782.89562</v>
      </c>
      <c r="C7" s="52">
        <f>IF(475663.92916="","-",464782.89562/475663.92916*100)</f>
        <v>97.71245350489045</v>
      </c>
      <c r="D7" s="52">
        <v>100</v>
      </c>
      <c r="E7" s="52">
        <v>100</v>
      </c>
      <c r="F7" s="52">
        <f>IF(435794.05199="","-",(475663.92916-435794.05199)/435794.05199*100)</f>
        <v>9.148788742741921</v>
      </c>
      <c r="G7" s="52">
        <f>IF(475663.92916="","-",(464782.89562-475663.92916)/475663.92916*100)</f>
        <v>-2.287546495109555</v>
      </c>
    </row>
    <row r="8" spans="1:7" ht="13.5" customHeight="1">
      <c r="A8" s="45" t="s">
        <v>209</v>
      </c>
      <c r="B8" s="31"/>
      <c r="C8" s="31"/>
      <c r="D8" s="31"/>
      <c r="E8" s="31"/>
      <c r="F8" s="31"/>
      <c r="G8" s="31"/>
    </row>
    <row r="9" spans="1:10" ht="13.5" customHeight="1">
      <c r="A9" s="49" t="s">
        <v>24</v>
      </c>
      <c r="B9" s="53">
        <f>IF(132498.4066="","-",132498.4066)</f>
        <v>132498.4066</v>
      </c>
      <c r="C9" s="53">
        <f>IF(119158.41518="","-",132498.4066/119158.41518*100)</f>
        <v>111.19517358455018</v>
      </c>
      <c r="D9" s="53">
        <f>IF(119158.41518="","-",119158.41518/475663.92916*100)</f>
        <v>25.050967263889053</v>
      </c>
      <c r="E9" s="53">
        <f>IF(132498.4066="","-",132498.4066/464782.89562*100)</f>
        <v>28.50759093086954</v>
      </c>
      <c r="F9" s="53">
        <f>IF(435794.05199="","-",(119158.41518-106266.37723)/435794.05199*100)</f>
        <v>2.958286807984205</v>
      </c>
      <c r="G9" s="53">
        <f>IF(475663.92916="","-",(132498.4066-119158.41518)/475663.92916*100)</f>
        <v>2.80449926980122</v>
      </c>
      <c r="J9" s="19"/>
    </row>
    <row r="10" spans="1:10" s="9" customFormat="1" ht="13.5" customHeight="1">
      <c r="A10" s="41" t="s">
        <v>25</v>
      </c>
      <c r="B10" s="54">
        <f>IF(3842.91655="","-",3842.91655)</f>
        <v>3842.91655</v>
      </c>
      <c r="C10" s="54" t="s">
        <v>262</v>
      </c>
      <c r="D10" s="54">
        <f>IF(381.44435="","-",381.44435/475663.92916*100)</f>
        <v>0.08019198568905837</v>
      </c>
      <c r="E10" s="54">
        <f>IF(3842.91655="","-",3842.91655/464782.89562*100)</f>
        <v>0.8268197014594777</v>
      </c>
      <c r="F10" s="54">
        <f>IF(OR(435794.05199="",2712.84723="",381.44435=""),"-",(381.44435-2712.84723)/435794.05199*100)</f>
        <v>-0.5349781322975692</v>
      </c>
      <c r="G10" s="54">
        <f>IF(OR(475663.92916="",3842.91655="",381.44435=""),"-",(3842.91655-381.44435)/475663.92916*100)</f>
        <v>0.7277138306688078</v>
      </c>
      <c r="J10" s="19"/>
    </row>
    <row r="11" spans="1:10" s="9" customFormat="1" ht="14.25" customHeight="1">
      <c r="A11" s="41" t="s">
        <v>26</v>
      </c>
      <c r="B11" s="54">
        <f>IF(528.11897="","-",528.11897)</f>
        <v>528.11897</v>
      </c>
      <c r="C11" s="54">
        <f>IF(OR(1122.81027="",528.11897=""),"-",528.11897/1122.81027*100)</f>
        <v>47.03545951712751</v>
      </c>
      <c r="D11" s="54">
        <f>IF(1122.81027="","-",1122.81027/475663.92916*100)</f>
        <v>0.2360511699894566</v>
      </c>
      <c r="E11" s="54">
        <f>IF(528.11897="","-",528.11897/464782.89562*100)</f>
        <v>0.11362702349352</v>
      </c>
      <c r="F11" s="54">
        <f>IF(OR(435794.05199="",1091.51591="",1122.81027=""),"-",(1122.81027-1091.51591)/435794.05199*100)</f>
        <v>0.007180997504921882</v>
      </c>
      <c r="G11" s="54">
        <f>IF(OR(475663.92916="",528.11897="",1122.81027=""),"-",(528.11897-1122.81027)/475663.92916*100)</f>
        <v>-0.1250234174893599</v>
      </c>
      <c r="J11" s="19"/>
    </row>
    <row r="12" spans="1:10" s="9" customFormat="1" ht="15.75">
      <c r="A12" s="41" t="s">
        <v>27</v>
      </c>
      <c r="B12" s="54">
        <f>IF(867.75144="","-",867.75144)</f>
        <v>867.75144</v>
      </c>
      <c r="C12" s="54">
        <f>IF(OR(1881.18203="",867.75144=""),"-",867.75144/1881.18203*100)</f>
        <v>46.12798900699684</v>
      </c>
      <c r="D12" s="54">
        <f>IF(1881.18203="","-",1881.18203/475663.92916*100)</f>
        <v>0.3954855339403344</v>
      </c>
      <c r="E12" s="54">
        <f>IF(867.75144="","-",867.75144/464782.89562*100)</f>
        <v>0.18670038165721603</v>
      </c>
      <c r="F12" s="54">
        <f>IF(OR(435794.05199="",2450.67623="",1881.18203=""),"-",(1881.18203-2450.67623)/435794.05199*100)</f>
        <v>-0.13067966334085443</v>
      </c>
      <c r="G12" s="54">
        <f>IF(OR(475663.92916="",867.75144="",1881.18203=""),"-",(867.75144-1881.18203)/475663.92916*100)</f>
        <v>-0.21305601032007418</v>
      </c>
      <c r="J12" s="19"/>
    </row>
    <row r="13" spans="1:10" s="9" customFormat="1" ht="15.75">
      <c r="A13" s="41" t="s">
        <v>28</v>
      </c>
      <c r="B13" s="54">
        <f>IF(1.92677="","-",1.92677)</f>
        <v>1.92677</v>
      </c>
      <c r="C13" s="54">
        <f>IF(OR(11.38514="",1.92677=""),"-",1.92677/11.38514*100)</f>
        <v>16.923551225544877</v>
      </c>
      <c r="D13" s="54">
        <f>IF(11.38514="","-",11.38514/475663.92916*100)</f>
        <v>0.0023935260384586273</v>
      </c>
      <c r="E13" s="54">
        <f>IF(1.92677="","-",1.92677/464782.89562*100)</f>
        <v>0.0004145526907632376</v>
      </c>
      <c r="F13" s="54">
        <f>IF(OR(435794.05199="",2.02077="",11.38514=""),"-",(11.38514-2.02077)/435794.05199*100)</f>
        <v>0.0021488062898607162</v>
      </c>
      <c r="G13" s="54">
        <f>IF(OR(475663.92916="",1.92677="",11.38514=""),"-",(1.92677-11.38514)/475663.92916*100)</f>
        <v>-0.0019884564332433266</v>
      </c>
      <c r="J13" s="19"/>
    </row>
    <row r="14" spans="1:10" s="9" customFormat="1" ht="15" customHeight="1">
      <c r="A14" s="41" t="s">
        <v>29</v>
      </c>
      <c r="B14" s="54">
        <f>IF(51377.22494="","-",51377.22494)</f>
        <v>51377.22494</v>
      </c>
      <c r="C14" s="54">
        <f>IF(OR(51748.82395="",51377.22494=""),"-",51377.22494/51748.82395*100)</f>
        <v>99.28191796134529</v>
      </c>
      <c r="D14" s="54">
        <f>IF(51748.82395="","-",51748.82395/475663.92916*100)</f>
        <v>10.879282782990497</v>
      </c>
      <c r="E14" s="54">
        <f>IF(51377.22494="","-",51377.22494/464782.89562*100)</f>
        <v>11.054026605575713</v>
      </c>
      <c r="F14" s="54">
        <f>IF(OR(435794.05199="",37016.81301="",51748.82395=""),"-",(51748.82395-37016.81301)/435794.05199*100)</f>
        <v>3.380498396599972</v>
      </c>
      <c r="G14" s="54">
        <f>IF(OR(475663.92916="",51377.22494="",51748.82395=""),"-",(51377.22494-51748.82395)/475663.92916*100)</f>
        <v>-0.0781221755991093</v>
      </c>
      <c r="J14" s="19"/>
    </row>
    <row r="15" spans="1:10" s="9" customFormat="1" ht="15.75" customHeight="1">
      <c r="A15" s="41" t="s">
        <v>30</v>
      </c>
      <c r="B15" s="54">
        <f>IF(63692.94778="","-",63692.94778)</f>
        <v>63692.94778</v>
      </c>
      <c r="C15" s="54">
        <f>IF(OR(53955.00158="",63692.94778=""),"-",63692.94778/53955.00158*100)</f>
        <v>118.04827340346083</v>
      </c>
      <c r="D15" s="54">
        <f>IF(53955.00158="","-",53955.00158/475663.92916*100)</f>
        <v>11.343092942801439</v>
      </c>
      <c r="E15" s="54">
        <f>IF(63692.94778="","-",63692.94778/464782.89562*100)</f>
        <v>13.703806310478875</v>
      </c>
      <c r="F15" s="54">
        <f>IF(OR(435794.05199="",52430.3978="",53955.00158=""),"-",(53955.00158-52430.3978)/435794.05199*100)</f>
        <v>0.34984501808551116</v>
      </c>
      <c r="G15" s="54">
        <f>IF(OR(475663.92916="",63692.94778="",53955.00158=""),"-",(63692.94778-53955.00158)/475663.92916*100)</f>
        <v>2.047232426725474</v>
      </c>
      <c r="J15" s="19"/>
    </row>
    <row r="16" spans="1:10" s="9" customFormat="1" ht="15.75">
      <c r="A16" s="41" t="s">
        <v>31</v>
      </c>
      <c r="B16" s="54">
        <f>IF(3679.40021="","-",3679.40021)</f>
        <v>3679.40021</v>
      </c>
      <c r="C16" s="54" t="s">
        <v>156</v>
      </c>
      <c r="D16" s="54">
        <f>IF(2107.16711="","-",2107.16711/475663.92916*100)</f>
        <v>0.44299493420095093</v>
      </c>
      <c r="E16" s="54">
        <f>IF(3679.40021="","-",3679.40021/464782.89562*100)</f>
        <v>0.7916384713537793</v>
      </c>
      <c r="F16" s="54">
        <f>IF(OR(435794.05199="",4028.88234="",2107.16711=""),"-",(2107.16711-4028.88234)/435794.05199*100)</f>
        <v>-0.4409686688528041</v>
      </c>
      <c r="G16" s="54">
        <f>IF(OR(475663.92916="",3679.40021="",2107.16711=""),"-",(3679.40021-2107.16711)/475663.92916*100)</f>
        <v>0.3305344390474361</v>
      </c>
      <c r="J16" s="19"/>
    </row>
    <row r="17" spans="1:10" s="9" customFormat="1" ht="25.5">
      <c r="A17" s="41" t="s">
        <v>32</v>
      </c>
      <c r="B17" s="54">
        <f>IF(1846.73745="","-",1846.73745)</f>
        <v>1846.73745</v>
      </c>
      <c r="C17" s="54">
        <f>IF(OR(1777.67753="",1846.73745=""),"-",1846.73745/1777.67753*100)</f>
        <v>103.88483956367497</v>
      </c>
      <c r="D17" s="54">
        <f>IF(1777.67753="","-",1777.67753/475663.92916*100)</f>
        <v>0.37372552784048485</v>
      </c>
      <c r="E17" s="54">
        <f>IF(1846.73745="","-",1846.73745/464782.89562*100)</f>
        <v>0.39733335013039434</v>
      </c>
      <c r="F17" s="54">
        <f>IF(OR(435794.05199="",1642.31354="",1777.67753=""),"-",(1777.67753-1642.31354)/435794.05199*100)</f>
        <v>0.03106145882025622</v>
      </c>
      <c r="G17" s="54">
        <f>IF(OR(475663.92916="",1846.73745="",1777.67753=""),"-",(1846.73745-1777.67753)/475663.92916*100)</f>
        <v>0.014518637165100306</v>
      </c>
      <c r="J17" s="19"/>
    </row>
    <row r="18" spans="1:10" s="9" customFormat="1" ht="25.5">
      <c r="A18" s="41" t="s">
        <v>33</v>
      </c>
      <c r="B18" s="54">
        <f>IF(6135.62234="","-",6135.62234)</f>
        <v>6135.62234</v>
      </c>
      <c r="C18" s="54">
        <f>IF(OR(5673.77221="",6135.62234=""),"-",6135.62234/5673.77221*100)</f>
        <v>108.14008939565798</v>
      </c>
      <c r="D18" s="54">
        <f>IF(5673.77221="","-",5673.77221/475663.92916*100)</f>
        <v>1.1928111135144541</v>
      </c>
      <c r="E18" s="54">
        <f>IF(6135.62234="","-",6135.62234/464782.89562*100)</f>
        <v>1.320105020606524</v>
      </c>
      <c r="F18" s="54">
        <f>IF(OR(435794.05199="",4537.30788="",5673.77221=""),"-",(5673.77221-4537.30788)/435794.05199*100)</f>
        <v>0.2607801379597714</v>
      </c>
      <c r="G18" s="54">
        <f>IF(OR(475663.92916="",6135.62234="",5673.77221=""),"-",(6135.62234-5673.77221)/475663.92916*100)</f>
        <v>0.09709589096142003</v>
      </c>
      <c r="J18" s="19"/>
    </row>
    <row r="19" spans="1:7" s="9" customFormat="1" ht="15.75">
      <c r="A19" s="41" t="s">
        <v>34</v>
      </c>
      <c r="B19" s="54">
        <f>IF(525.76015="","-",525.76015)</f>
        <v>525.76015</v>
      </c>
      <c r="C19" s="54">
        <f>IF(OR(499.15101="",525.76015=""),"-",525.76015/499.15101*100)</f>
        <v>105.33087972715911</v>
      </c>
      <c r="D19" s="54">
        <f>IF(499.15101="","-",499.15101/475663.92916*100)</f>
        <v>0.10493774688391383</v>
      </c>
      <c r="E19" s="54">
        <f>IF(525.76015="","-",525.76015/464782.89562*100)</f>
        <v>0.11311951342328529</v>
      </c>
      <c r="F19" s="54">
        <f>IF(OR(435794.05199="",353.60252="",499.15101=""),"-",(499.15101-353.60252)/435794.05199*100)</f>
        <v>0.033398457215138816</v>
      </c>
      <c r="G19" s="54">
        <f>IF(OR(475663.92916="",525.76015="",499.15101=""),"-",(525.76015-499.15101)/475663.92916*100)</f>
        <v>0.005594105074772109</v>
      </c>
    </row>
    <row r="20" spans="1:7" s="9" customFormat="1" ht="15.75">
      <c r="A20" s="49" t="s">
        <v>35</v>
      </c>
      <c r="B20" s="53">
        <f>IF(30417.73494="","-",30417.73494)</f>
        <v>30417.73494</v>
      </c>
      <c r="C20" s="53">
        <f>IF(31254.29754="","-",30417.73494/31254.29754*100)</f>
        <v>97.32336777388983</v>
      </c>
      <c r="D20" s="53">
        <f>IF(31254.29754="","-",31254.29754/475663.92916*100)</f>
        <v>6.570667991410156</v>
      </c>
      <c r="E20" s="53">
        <f>IF(30417.73494="","-",30417.73494/464782.89562*100)</f>
        <v>6.544503945099803</v>
      </c>
      <c r="F20" s="53">
        <f>IF(435794.05199="","-",(31254.29754-32886.75679)/435794.05199*100)</f>
        <v>-0.37459420167521223</v>
      </c>
      <c r="G20" s="53">
        <f>IF(475663.92916="","-",(30417.73494-31254.29754)/475663.92916*100)</f>
        <v>-0.1758726169287907</v>
      </c>
    </row>
    <row r="21" spans="1:7" s="9" customFormat="1" ht="15.75">
      <c r="A21" s="41" t="s">
        <v>221</v>
      </c>
      <c r="B21" s="54">
        <f>IF(27625.61282="","-",27625.61282)</f>
        <v>27625.61282</v>
      </c>
      <c r="C21" s="54">
        <f>IF(OR(27081.13789="",27625.61282=""),"-",27625.61282/27081.13789*100)</f>
        <v>102.01053195110038</v>
      </c>
      <c r="D21" s="54">
        <f>IF(27081.13789="","-",27081.13789/475663.92916*100)</f>
        <v>5.6933343543253345</v>
      </c>
      <c r="E21" s="54">
        <f>IF(27625.61282="","-",27625.61282/464782.89562*100)</f>
        <v>5.943767096495374</v>
      </c>
      <c r="F21" s="54">
        <f>IF(OR(435794.05199="",29564.59744="",27081.13789=""),"-",(27081.13789-29564.59744)/435794.05199*100)</f>
        <v>-0.5698699967701685</v>
      </c>
      <c r="G21" s="54">
        <f>IF(OR(475663.92916="",27625.61282="",27081.13789=""),"-",(27625.61282-27081.13789)/475663.92916*100)</f>
        <v>0.1144663062766844</v>
      </c>
    </row>
    <row r="22" spans="1:7" s="9" customFormat="1" ht="15.75">
      <c r="A22" s="41" t="s">
        <v>36</v>
      </c>
      <c r="B22" s="54">
        <f>IF(2792.12212="","-",2792.12212)</f>
        <v>2792.12212</v>
      </c>
      <c r="C22" s="54">
        <f>IF(OR(4173.15965="",2792.12212=""),"-",2792.12212/4173.15965*100)</f>
        <v>66.90666914696159</v>
      </c>
      <c r="D22" s="54">
        <f>IF(4173.15965="","-",4173.15965/475663.92916*100)</f>
        <v>0.8773336370848221</v>
      </c>
      <c r="E22" s="54">
        <f>IF(2792.12212="","-",2792.12212/464782.89562*100)</f>
        <v>0.6007368486044288</v>
      </c>
      <c r="F22" s="54">
        <f>IF(OR(435794.05199="",3322.15935="",4173.15965=""),"-",(4173.15965-3322.15935)/435794.05199*100)</f>
        <v>0.1952757950949563</v>
      </c>
      <c r="G22" s="54">
        <f>IF(OR(475663.92916="",2792.12212="",4173.15965=""),"-",(2792.12212-4173.15965)/475663.92916*100)</f>
        <v>-0.29033892320547544</v>
      </c>
    </row>
    <row r="23" spans="1:8" s="9" customFormat="1" ht="25.5">
      <c r="A23" s="49" t="s">
        <v>37</v>
      </c>
      <c r="B23" s="53">
        <f>IF(45548.64138="","-",45548.64138)</f>
        <v>45548.64138</v>
      </c>
      <c r="C23" s="53">
        <f>IF(58171.98801="","-",45548.64138/58171.98801*100)</f>
        <v>78.29995662546379</v>
      </c>
      <c r="D23" s="53">
        <f>IF(58171.98801="","-",58171.98801/475663.92916*100)</f>
        <v>12.22964039184745</v>
      </c>
      <c r="E23" s="53">
        <f>IF(45548.64138="","-",45548.64138/464782.89562*100)</f>
        <v>9.79998227328054</v>
      </c>
      <c r="F23" s="53">
        <f>IF(435794.05199="","-",(58171.98801-58260.19208)/435794.05199*100)</f>
        <v>-0.020239851736669357</v>
      </c>
      <c r="G23" s="53">
        <f>IF(475663.92916="","-",(45548.64138-58171.98801)/475663.92916*100)</f>
        <v>-2.6538372695806958</v>
      </c>
      <c r="H23" s="7"/>
    </row>
    <row r="24" spans="1:8" s="9" customFormat="1" ht="15.75">
      <c r="A24" s="41" t="s">
        <v>38</v>
      </c>
      <c r="B24" s="54">
        <f>IF(414.05032="","-",414.05032)</f>
        <v>414.05032</v>
      </c>
      <c r="C24" s="54" t="s">
        <v>164</v>
      </c>
      <c r="D24" s="54">
        <f>IF(182.30469="","-",182.30469/475663.92916*100)</f>
        <v>0.038326364229875794</v>
      </c>
      <c r="E24" s="54">
        <f>IF(414.05032="","-",414.05032/464782.89562*100)</f>
        <v>0.08908467241413326</v>
      </c>
      <c r="F24" s="54">
        <f>IF(OR(435794.05199="",828.05571="",182.30469=""),"-",(182.30469-828.05571)/435794.05199*100)</f>
        <v>-0.14817802515919096</v>
      </c>
      <c r="G24" s="54">
        <f>IF(OR(475663.92916="",414.05032="",182.30469=""),"-",(414.05032-182.30469)/475663.92916*100)</f>
        <v>0.04872045488276814</v>
      </c>
      <c r="H24" s="8"/>
    </row>
    <row r="25" spans="1:8" s="9" customFormat="1" ht="15.75">
      <c r="A25" s="41" t="s">
        <v>39</v>
      </c>
      <c r="B25" s="54">
        <f>IF(40216.58119="","-",40216.58119)</f>
        <v>40216.58119</v>
      </c>
      <c r="C25" s="54">
        <f>IF(OR(53054.90579="",40216.58119=""),"-",40216.58119/53054.90579*100)</f>
        <v>75.80181434905154</v>
      </c>
      <c r="D25" s="54">
        <f>IF(53054.90579="","-",53054.90579/475663.92916*100)</f>
        <v>11.1538635867749</v>
      </c>
      <c r="E25" s="54">
        <f>IF(40216.58119="","-",40216.58119/464782.89562*100)</f>
        <v>8.652767037899025</v>
      </c>
      <c r="F25" s="54">
        <f>IF(OR(435794.05199="",52228.71884="",53054.90579=""),"-",(53054.90579-52228.71884)/435794.05199*100)</f>
        <v>0.18958197025115753</v>
      </c>
      <c r="G25" s="54">
        <f>IF(OR(475663.92916="",40216.58119="",53054.90579=""),"-",(40216.58119-53054.90579)/475663.92916*100)</f>
        <v>-2.699032617981328</v>
      </c>
      <c r="H25" s="8"/>
    </row>
    <row r="26" spans="1:8" s="9" customFormat="1" ht="15.75">
      <c r="A26" s="41" t="s">
        <v>41</v>
      </c>
      <c r="B26" s="54">
        <f>IF(306.931="","-",306.931)</f>
        <v>306.931</v>
      </c>
      <c r="C26" s="54" t="s">
        <v>263</v>
      </c>
      <c r="D26" s="54">
        <f>IF(93.69413="","-",93.69413/475663.92916*100)</f>
        <v>0.019697547839177</v>
      </c>
      <c r="E26" s="54">
        <f>IF(306.931="","-",306.931/464782.89562*100)</f>
        <v>0.06603749898983857</v>
      </c>
      <c r="F26" s="54">
        <f>IF(OR(435794.05199="",98.17815="",93.69413=""),"-",(93.69413-98.17815)/435794.05199*100)</f>
        <v>-0.0010289309777231411</v>
      </c>
      <c r="G26" s="54">
        <f>IF(OR(475663.92916="",306.931="",93.69413=""),"-",(306.931-93.69413)/475663.92916*100)</f>
        <v>0.04482931265706151</v>
      </c>
      <c r="H26" s="8"/>
    </row>
    <row r="27" spans="1:8" s="9" customFormat="1" ht="14.25" customHeight="1">
      <c r="A27" s="41" t="s">
        <v>215</v>
      </c>
      <c r="B27" s="54">
        <f>IF(301.15483="","-",301.15483)</f>
        <v>301.15483</v>
      </c>
      <c r="C27" s="54">
        <f>IF(OR(421.67116="",301.15483=""),"-",301.15483/421.67116*100)</f>
        <v>71.41935673286265</v>
      </c>
      <c r="D27" s="54">
        <f>IF(421.67116="","-",421.67116/475663.92916*100)</f>
        <v>0.08864896708578499</v>
      </c>
      <c r="E27" s="54">
        <f>IF(301.15483="","-",301.15483/464782.89562*100)</f>
        <v>0.0647947316560074</v>
      </c>
      <c r="F27" s="54">
        <f>IF(OR(435794.05199="",505.88084="",421.67116=""),"-",(421.67116-505.88084)/435794.05199*100)</f>
        <v>-0.019323274288730385</v>
      </c>
      <c r="G27" s="54">
        <f>IF(OR(475663.92916="",301.15483="",421.67116=""),"-",(301.15483-421.67116)/475663.92916*100)</f>
        <v>-0.02533644504279022</v>
      </c>
      <c r="H27" s="8"/>
    </row>
    <row r="28" spans="1:8" s="9" customFormat="1" ht="38.25">
      <c r="A28" s="41" t="s">
        <v>216</v>
      </c>
      <c r="B28" s="54">
        <f>IF(12.29931="","-",12.29931)</f>
        <v>12.29931</v>
      </c>
      <c r="C28" s="54">
        <f>IF(OR(30.42986="",12.29931=""),"-",12.29931/30.42986*100)</f>
        <v>40.418555984155034</v>
      </c>
      <c r="D28" s="54">
        <f>IF(30.42986="","-",30.42986/475663.92916*100)</f>
        <v>0.006397344455724801</v>
      </c>
      <c r="E28" s="54">
        <f>IF(12.29931="","-",12.29931/464782.89562*100)</f>
        <v>0.0026462484131635823</v>
      </c>
      <c r="F28" s="54">
        <f>IF(OR(435794.05199="",42.11547="",30.42986=""),"-",(30.42986-42.11547)/435794.05199*100)</f>
        <v>-0.0026814523848223944</v>
      </c>
      <c r="G28" s="54">
        <f>IF(OR(475663.92916="",12.29931="",30.42986=""),"-",(12.29931-30.42986)/475663.92916*100)</f>
        <v>-0.003811630205388433</v>
      </c>
      <c r="H28" s="8"/>
    </row>
    <row r="29" spans="1:8" s="9" customFormat="1" ht="38.25">
      <c r="A29" s="41" t="s">
        <v>42</v>
      </c>
      <c r="B29" s="54">
        <f>IF(1212.94652="","-",1212.94652)</f>
        <v>1212.94652</v>
      </c>
      <c r="C29" s="54">
        <f>IF(OR(1417.51097="",1212.94652=""),"-",1212.94652/1417.51097*100)</f>
        <v>85.56875718570276</v>
      </c>
      <c r="D29" s="54">
        <f>IF(1417.51097="","-",1417.51097/475663.92916*100)</f>
        <v>0.29800682437771925</v>
      </c>
      <c r="E29" s="54">
        <f>IF(1212.94652="","-",1212.94652/464782.89562*100)</f>
        <v>0.26097055882015247</v>
      </c>
      <c r="F29" s="54">
        <f>IF(OR(435794.05199="",1351.89886="",1417.51097=""),"-",(1417.51097-1351.89886)/435794.05199*100)</f>
        <v>0.015055760788930088</v>
      </c>
      <c r="G29" s="54">
        <f>IF(OR(475663.92916="",1212.94652="",1417.51097=""),"-",(1212.94652-1417.51097)/475663.92916*100)</f>
        <v>-0.043006088429125</v>
      </c>
      <c r="H29" s="8"/>
    </row>
    <row r="30" spans="1:8" s="9" customFormat="1" ht="15.75">
      <c r="A30" s="41" t="s">
        <v>43</v>
      </c>
      <c r="B30" s="54">
        <f>IF(2092.96293="","-",2092.96293)</f>
        <v>2092.96293</v>
      </c>
      <c r="C30" s="54">
        <f>IF(OR(2383.00358="",2092.96293=""),"-",2092.96293/2383.00358*100)</f>
        <v>87.82877825135286</v>
      </c>
      <c r="D30" s="54">
        <f>IF(2383.00358="","-",2383.00358/475663.92916*100)</f>
        <v>0.5009847150294267</v>
      </c>
      <c r="E30" s="54">
        <f>IF(2092.96293="","-",2092.96293/464782.89562*100)</f>
        <v>0.45030980049471897</v>
      </c>
      <c r="F30" s="54">
        <f>IF(OR(435794.05199="",2541.66387="",2383.00358=""),"-",(2383.00358-2541.66387)/435794.05199*100)</f>
        <v>-0.03640717198307253</v>
      </c>
      <c r="G30" s="54">
        <f>IF(OR(475663.92916="",2092.96293="",2383.00358=""),"-",(2092.96293-2383.00358)/475663.92916*100)</f>
        <v>-0.06097596059305947</v>
      </c>
      <c r="H30" s="8"/>
    </row>
    <row r="31" spans="1:7" s="9" customFormat="1" ht="27" customHeight="1">
      <c r="A31" s="41" t="s">
        <v>44</v>
      </c>
      <c r="B31" s="54">
        <f>IF(991.62338="","-",991.62338)</f>
        <v>991.62338</v>
      </c>
      <c r="C31" s="54" t="s">
        <v>156</v>
      </c>
      <c r="D31" s="54">
        <f>IF(588.46768="","-",588.46768/475663.92916*100)</f>
        <v>0.1237150105199707</v>
      </c>
      <c r="E31" s="54">
        <f>IF(991.62338="","-",991.62338/464782.89562*100)</f>
        <v>0.21335195192095394</v>
      </c>
      <c r="F31" s="54">
        <f>IF(OR(435794.05199="",663.64749="",588.46768=""),"-",(588.46768-663.64749)/435794.05199*100)</f>
        <v>-0.01725122443886065</v>
      </c>
      <c r="G31" s="54">
        <f>IF(OR(475663.92916="",991.62338="",588.46768=""),"-",(991.62338-588.46768)/475663.92916*100)</f>
        <v>0.08475641630256764</v>
      </c>
    </row>
    <row r="32" spans="1:7" s="9" customFormat="1" ht="25.5">
      <c r="A32" s="49" t="s">
        <v>45</v>
      </c>
      <c r="B32" s="53">
        <f>IF(1232.16028="","-",1232.16028)</f>
        <v>1232.16028</v>
      </c>
      <c r="C32" s="53">
        <f>IF(2416.47295="","-",1232.16028/2416.47295*100)</f>
        <v>50.99002991115626</v>
      </c>
      <c r="D32" s="53">
        <f>IF(2416.47295="","-",2416.47295/475663.92916*100)</f>
        <v>0.508021063162678</v>
      </c>
      <c r="E32" s="53">
        <f>IF(1232.16028="","-",1232.16028/464782.89562*100)</f>
        <v>0.26510448030931777</v>
      </c>
      <c r="F32" s="53">
        <f>IF(435794.05199="","-",(2416.47295-1547.44913)/435794.05199*100)</f>
        <v>0.19941158352935506</v>
      </c>
      <c r="G32" s="53">
        <f>IF(475663.92916="","-",(1232.16028-2416.47295)/475663.92916*100)</f>
        <v>-0.24898097110105447</v>
      </c>
    </row>
    <row r="33" spans="1:7" s="9" customFormat="1" ht="25.5">
      <c r="A33" s="41" t="s">
        <v>47</v>
      </c>
      <c r="B33" s="54">
        <f>IF(1206.23427="","-",1206.23427)</f>
        <v>1206.23427</v>
      </c>
      <c r="C33" s="54">
        <f>IF(OR(2415.18787="",1206.23427=""),"-",1206.23427/2415.18787*100)</f>
        <v>49.94370355131006</v>
      </c>
      <c r="D33" s="54">
        <f>IF(2415.18787="","-",2415.18787/475663.92916*100)</f>
        <v>0.5077508976274715</v>
      </c>
      <c r="E33" s="54">
        <f>IF(1206.23427="","-",1206.23427/464782.89562*100)</f>
        <v>0.2595263899268359</v>
      </c>
      <c r="F33" s="54">
        <f>IF(OR(435794.05199="",1523.65866="",2415.18787=""),"-",(2415.18787-1523.65866)/435794.05199*100)</f>
        <v>0.20457580958917213</v>
      </c>
      <c r="G33" s="54">
        <f>IF(OR(475663.92916="",1206.23427="",2415.18787=""),"-",(1206.23427-2415.18787)/475663.92916*100)</f>
        <v>-0.2541612945372913</v>
      </c>
    </row>
    <row r="34" spans="1:7" s="9" customFormat="1" ht="15.75">
      <c r="A34" s="41" t="s">
        <v>49</v>
      </c>
      <c r="B34" s="54">
        <f>IF(1.17602="","-",1.17602)</f>
        <v>1.17602</v>
      </c>
      <c r="C34" s="54">
        <f>IF(OR(1.28508="",1.17602=""),"-",1.17602/1.28508*100)</f>
        <v>91.51336881750552</v>
      </c>
      <c r="D34" s="54">
        <f>IF(1.28508="","-",1.28508/475663.92916*100)</f>
        <v>0.0002701655352066301</v>
      </c>
      <c r="E34" s="54">
        <f>IF(1.17602="","-",1.17602/464782.89562*100)</f>
        <v>0.0002530256623215966</v>
      </c>
      <c r="F34" s="54">
        <f>IF(OR(435794.05199="",1.39114="",1.28508=""),"-",(1.28508-1.39114)/435794.05199*100)</f>
        <v>-2.4337183932568626E-05</v>
      </c>
      <c r="G34" s="54">
        <f>IF(OR(475663.92916="",1.17602="",1.28508=""),"-",(1.17602-1.28508)/475663.92916*100)</f>
        <v>-2.2927952555198947E-05</v>
      </c>
    </row>
    <row r="35" spans="1:7" s="9" customFormat="1" ht="25.5">
      <c r="A35" s="49" t="s">
        <v>50</v>
      </c>
      <c r="B35" s="53">
        <f>IF(22328.39481="","-",22328.39481)</f>
        <v>22328.39481</v>
      </c>
      <c r="C35" s="53" t="s">
        <v>158</v>
      </c>
      <c r="D35" s="53">
        <f>IF(11637.73059="","-",11637.73059/475663.92916*100)</f>
        <v>2.4466287806501708</v>
      </c>
      <c r="E35" s="53">
        <f>IF(22328.39481="","-",22328.39481/464782.89562*100)</f>
        <v>4.804048303071674</v>
      </c>
      <c r="F35" s="53">
        <f>IF(435794.05199="","-",(11637.73059-14437.5627)/435794.05199*100)</f>
        <v>-0.6424668022004688</v>
      </c>
      <c r="G35" s="53">
        <f>IF(475663.92916="","-",(22328.39481-11637.73059)/475663.92916*100)</f>
        <v>2.2475246838412173</v>
      </c>
    </row>
    <row r="36" spans="1:7" s="9" customFormat="1" ht="25.5">
      <c r="A36" s="41" t="s">
        <v>52</v>
      </c>
      <c r="B36" s="54">
        <f>IF(22319.71858="","-",22319.71858)</f>
        <v>22319.71858</v>
      </c>
      <c r="C36" s="54" t="s">
        <v>158</v>
      </c>
      <c r="D36" s="54">
        <f>IF(11637.73059="","-",11637.73059/475663.92916*100)</f>
        <v>2.4466287806501708</v>
      </c>
      <c r="E36" s="54">
        <f>IF(22319.71858="","-",22319.71858/464782.89562*100)</f>
        <v>4.802181575599178</v>
      </c>
      <c r="F36" s="54">
        <f>IF(OR(435794.05199="",14429.32924="",11637.73059=""),"-",(11637.73059-14429.32924)/435794.05199*100)</f>
        <v>-0.6405775015176337</v>
      </c>
      <c r="G36" s="54">
        <f>IF(OR(475663.92916="",22319.71858="",11637.73059=""),"-",(22319.71858-11637.73059)/475663.92916*100)</f>
        <v>2.245700658627592</v>
      </c>
    </row>
    <row r="37" spans="1:7" s="9" customFormat="1" ht="25.5">
      <c r="A37" s="49" t="s">
        <v>53</v>
      </c>
      <c r="B37" s="53">
        <f>IF(14261.64888="","-",14261.64888)</f>
        <v>14261.64888</v>
      </c>
      <c r="C37" s="53">
        <f>IF(20053.01185="","-",14261.64888/20053.01185*100)</f>
        <v>71.1197349639027</v>
      </c>
      <c r="D37" s="53">
        <f>IF(20053.01185="","-",20053.01185/475663.92916*100)</f>
        <v>4.215794097612713</v>
      </c>
      <c r="E37" s="53">
        <f>IF(14261.64888="","-",14261.64888/464782.89562*100)</f>
        <v>3.068453898454156</v>
      </c>
      <c r="F37" s="53">
        <f>IF(435794.05199="","-",(20053.01185-21859.16148)/435794.05199*100)</f>
        <v>-0.4144502711205991</v>
      </c>
      <c r="G37" s="53">
        <f>IF(475663.92916="","-",(14261.64888-20053.01185)/475663.92916*100)</f>
        <v>-1.2175325087666982</v>
      </c>
    </row>
    <row r="38" spans="1:7" s="9" customFormat="1" ht="15.75">
      <c r="A38" s="41" t="s">
        <v>54</v>
      </c>
      <c r="B38" s="54">
        <f>IF(5038.06762="","-",5038.06762)</f>
        <v>5038.06762</v>
      </c>
      <c r="C38" s="54">
        <f>IF(OR(3464.8381="",5038.06762=""),"-",5038.06762/3464.8381*100)</f>
        <v>145.40557089810343</v>
      </c>
      <c r="D38" s="54">
        <f>IF(3464.8381="","-",3464.8381/475663.92916*100)</f>
        <v>0.7284214521203531</v>
      </c>
      <c r="E38" s="54">
        <f>IF(5038.06762="","-",5038.06762/464782.89562*100)</f>
        <v>1.0839614941680327</v>
      </c>
      <c r="F38" s="54">
        <f>IF(OR(435794.05199="",3156.76017="",3464.8381=""),"-",(3464.8381-3156.76017)/435794.05199*100)</f>
        <v>0.07069346830072597</v>
      </c>
      <c r="G38" s="54">
        <f>IF(OR(475663.92916="",5038.06762="",3464.8381=""),"-",(5038.06762-3464.8381)/475663.92916*100)</f>
        <v>0.3307439188795015</v>
      </c>
    </row>
    <row r="39" spans="1:7" s="9" customFormat="1" ht="15.75">
      <c r="A39" s="41" t="s">
        <v>55</v>
      </c>
      <c r="B39" s="54">
        <f>IF(158.07754="","-",158.07754)</f>
        <v>158.07754</v>
      </c>
      <c r="C39" s="54">
        <f>IF(OR(153.00088="",158.07754=""),"-",158.07754/153.00088*100)</f>
        <v>103.31805934710965</v>
      </c>
      <c r="D39" s="54">
        <f>IF(153.00088="","-",153.00088/475663.92916*100)</f>
        <v>0.032165752040561976</v>
      </c>
      <c r="E39" s="54">
        <f>IF(158.07754="","-",158.07754/464782.89562*100)</f>
        <v>0.034011049350069454</v>
      </c>
      <c r="F39" s="54">
        <f>IF(OR(435794.05199="",71.4007="",153.00088=""),"-",(153.00088-71.4007)/435794.05199*100)</f>
        <v>0.018724482270325353</v>
      </c>
      <c r="G39" s="54">
        <f>IF(OR(475663.92916="",158.07754="",153.00088=""),"-",(158.07754-153.00088)/475663.92916*100)</f>
        <v>0.0010672787421499765</v>
      </c>
    </row>
    <row r="40" spans="1:7" s="9" customFormat="1" ht="15.75">
      <c r="A40" s="41" t="s">
        <v>56</v>
      </c>
      <c r="B40" s="54">
        <f>IF(143.4337="","-",143.4337)</f>
        <v>143.4337</v>
      </c>
      <c r="C40" s="54" t="s">
        <v>196</v>
      </c>
      <c r="D40" s="54">
        <f>IF(95.57144="","-",95.57144/475663.92916*100)</f>
        <v>0.02009221934670864</v>
      </c>
      <c r="E40" s="54">
        <f>IF(143.4337="","-",143.4337/464782.89562*100)</f>
        <v>0.030860365420432637</v>
      </c>
      <c r="F40" s="54">
        <f>IF(OR(435794.05199="",138.97578="",95.57144=""),"-",(95.57144-138.97578)/435794.05199*100)</f>
        <v>-0.00995982845607906</v>
      </c>
      <c r="G40" s="54">
        <f>IF(OR(475663.92916="",143.4337="",95.57144=""),"-",(143.4337-95.57144)/475663.92916*100)</f>
        <v>0.010062200866170887</v>
      </c>
    </row>
    <row r="41" spans="1:7" s="9" customFormat="1" ht="15.75">
      <c r="A41" s="41" t="s">
        <v>57</v>
      </c>
      <c r="B41" s="54">
        <f>IF(5613.10363="","-",5613.10363)</f>
        <v>5613.10363</v>
      </c>
      <c r="C41" s="54">
        <f>IF(OR(12881.06037="",5613.10363=""),"-",5613.10363/12881.06037*100)</f>
        <v>43.57640961820909</v>
      </c>
      <c r="D41" s="54">
        <f>IF(12881.06037="","-",12881.06037/475663.92916*100)</f>
        <v>2.7080170642216537</v>
      </c>
      <c r="E41" s="54">
        <f>IF(5613.10363="","-",5613.10363/464782.89562*100)</f>
        <v>1.2076829166685157</v>
      </c>
      <c r="F41" s="54">
        <f>IF(OR(435794.05199="",12625.04867="",12881.06037=""),"-",(12881.06037-12625.04867)/435794.05199*100)</f>
        <v>0.05874602896275273</v>
      </c>
      <c r="G41" s="54">
        <f>IF(OR(475663.92916="",5613.10363="",12881.06037=""),"-",(5613.10363-12881.06037)/475663.92916*100)</f>
        <v>-1.5279604557854254</v>
      </c>
    </row>
    <row r="42" spans="1:7" s="9" customFormat="1" ht="38.25">
      <c r="A42" s="41" t="s">
        <v>58</v>
      </c>
      <c r="B42" s="54">
        <f>IF(2217.88568="","-",2217.88568)</f>
        <v>2217.88568</v>
      </c>
      <c r="C42" s="54">
        <f>IF(OR(2634.325="",2217.88568=""),"-",2217.88568/2634.325*100)</f>
        <v>84.19180169493134</v>
      </c>
      <c r="D42" s="54">
        <f>IF(2634.325="","-",2634.325/475663.92916*100)</f>
        <v>0.5538206364842702</v>
      </c>
      <c r="E42" s="54">
        <f>IF(2217.88568="","-",2217.88568/464782.89562*100)</f>
        <v>0.47718745696126313</v>
      </c>
      <c r="F42" s="54">
        <f>IF(OR(435794.05199="",4777.18388="",2634.325=""),"-",(2634.325-4777.18388)/435794.05199*100)</f>
        <v>-0.4917136592881197</v>
      </c>
      <c r="G42" s="54">
        <f>IF(OR(475663.92916="",2217.88568="",2634.325=""),"-",(2217.88568-2634.325)/475663.92916*100)</f>
        <v>-0.08754906446982685</v>
      </c>
    </row>
    <row r="43" spans="1:7" s="9" customFormat="1" ht="15.75">
      <c r="A43" s="41" t="s">
        <v>60</v>
      </c>
      <c r="B43" s="54">
        <f>IF(395.08138="","-",395.08138)</f>
        <v>395.08138</v>
      </c>
      <c r="C43" s="54" t="s">
        <v>158</v>
      </c>
      <c r="D43" s="54">
        <f>IF(204.59246="","-",204.59246/475663.92916*100)</f>
        <v>0.04301197704044967</v>
      </c>
      <c r="E43" s="54">
        <f>IF(395.08138="","-",395.08138/464782.89562*100)</f>
        <v>0.08500342498038331</v>
      </c>
      <c r="F43" s="54">
        <f>IF(OR(435794.05199="",437.36809="",204.59246=""),"-",(204.59246-437.36809)/435794.05199*100)</f>
        <v>-0.05341413654845877</v>
      </c>
      <c r="G43" s="54">
        <f>IF(OR(475663.92916="",395.08138="",204.59246=""),"-",(395.08138-204.59246)/475663.92916*100)</f>
        <v>0.04004695507107181</v>
      </c>
    </row>
    <row r="44" spans="1:7" s="9" customFormat="1" ht="15.75">
      <c r="A44" s="41" t="s">
        <v>61</v>
      </c>
      <c r="B44" s="54">
        <f>IF(340.23729="","-",340.23729)</f>
        <v>340.23729</v>
      </c>
      <c r="C44" s="54">
        <f>IF(OR(303.21335="",340.23729=""),"-",340.23729/303.21335*100)</f>
        <v>112.21052437170064</v>
      </c>
      <c r="D44" s="54">
        <f>IF(303.21335="","-",303.21335/475663.92916*100)</f>
        <v>0.06374528977537995</v>
      </c>
      <c r="E44" s="54">
        <f>IF(340.23729="","-",340.23729/464782.89562*100)</f>
        <v>0.07320348773724522</v>
      </c>
      <c r="F44" s="54">
        <f>IF(OR(435794.05199="",277.17186="",303.21335=""),"-",(303.21335-277.17186)/435794.05199*100)</f>
        <v>0.005975641448313657</v>
      </c>
      <c r="G44" s="54">
        <f>IF(OR(475663.92916="",340.23729="",303.21335=""),"-",(340.23729-303.21335)/475663.92916*100)</f>
        <v>0.007783634143833968</v>
      </c>
    </row>
    <row r="45" spans="1:7" s="9" customFormat="1" ht="15.75">
      <c r="A45" s="41" t="s">
        <v>62</v>
      </c>
      <c r="B45" s="54">
        <f>IF(355.76204="","-",355.76204)</f>
        <v>355.76204</v>
      </c>
      <c r="C45" s="54">
        <f>IF(OR(316.41025="",355.76204=""),"-",355.76204/316.41025*100)</f>
        <v>112.43695171063517</v>
      </c>
      <c r="D45" s="54">
        <f>IF(316.41025="","-",316.41025/475663.92916*100)</f>
        <v>0.06651970658333617</v>
      </c>
      <c r="E45" s="54">
        <f>IF(355.76204="","-",355.76204/464782.89562*100)</f>
        <v>0.0765437031682134</v>
      </c>
      <c r="F45" s="54">
        <f>IF(OR(435794.05199="",375.25233="",316.41025=""),"-",(316.41025-375.25233)/435794.05199*100)</f>
        <v>-0.01350226781005955</v>
      </c>
      <c r="G45" s="54">
        <f>IF(OR(475663.92916="",355.76204="",316.41025=""),"-",(355.76204-316.41025)/475663.92916*100)</f>
        <v>0.008273023785825718</v>
      </c>
    </row>
    <row r="46" spans="1:7" s="9" customFormat="1" ht="25.5">
      <c r="A46" s="49" t="s">
        <v>63</v>
      </c>
      <c r="B46" s="53">
        <f>IF(26830.55515="","-",26830.55515)</f>
        <v>26830.55515</v>
      </c>
      <c r="C46" s="53">
        <f>IF(25233.26171="","-",26830.55515/25233.26171*100)</f>
        <v>106.33011086064626</v>
      </c>
      <c r="D46" s="53">
        <f>IF(25233.26171="","-",25233.26171/475663.92916*100)</f>
        <v>5.30485079130569</v>
      </c>
      <c r="E46" s="53">
        <f>IF(26830.55515="","-",26830.55515/464782.89562*100)</f>
        <v>5.772707086006084</v>
      </c>
      <c r="F46" s="53">
        <f>IF(435794.05199="","-",(25233.26171-27499.6471)/435794.05199*100)</f>
        <v>-0.5200588166935343</v>
      </c>
      <c r="G46" s="53">
        <f>IF(475663.92916="","-",(26830.55515-25233.26171)/475663.92916*100)</f>
        <v>0.33580293608152</v>
      </c>
    </row>
    <row r="47" spans="1:7" s="9" customFormat="1" ht="15.75">
      <c r="A47" s="41" t="s">
        <v>64</v>
      </c>
      <c r="B47" s="54">
        <f>IF(102.66342="","-",102.66342)</f>
        <v>102.66342</v>
      </c>
      <c r="C47" s="54" t="s">
        <v>248</v>
      </c>
      <c r="D47" s="54">
        <f>IF(39.58275="","-",39.58275/475663.92916*100)</f>
        <v>0.008321579075777569</v>
      </c>
      <c r="E47" s="54">
        <f>IF(102.66342="","-",102.66342/464782.89562*100)</f>
        <v>0.02208846774859292</v>
      </c>
      <c r="F47" s="54">
        <f>IF(OR(435794.05199="",125.74923="",39.58275=""),"-",(39.58275-125.74923)/435794.05199*100)</f>
        <v>-0.01977229372602296</v>
      </c>
      <c r="G47" s="54">
        <f>IF(OR(475663.92916="",102.66342="",39.58275=""),"-",(102.66342-39.58275)/475663.92916*100)</f>
        <v>0.013261604703009008</v>
      </c>
    </row>
    <row r="48" spans="1:7" s="9" customFormat="1" ht="15.75">
      <c r="A48" s="41" t="s">
        <v>65</v>
      </c>
      <c r="B48" s="54">
        <f>IF(43.65672="","-",43.65672)</f>
        <v>43.65672</v>
      </c>
      <c r="C48" s="54">
        <f>IF(OR(61.98275="",43.65672=""),"-",43.65672/61.98275*100)</f>
        <v>70.43366097825604</v>
      </c>
      <c r="D48" s="54">
        <f>IF(61.98275="","-",61.98275/475663.92916*100)</f>
        <v>0.013030786275818433</v>
      </c>
      <c r="E48" s="54">
        <f>IF(43.65672="","-",43.65672/464782.89562*100)</f>
        <v>0.009392927410068275</v>
      </c>
      <c r="F48" s="54">
        <f>IF(OR(435794.05199="",180.21913="",61.98275=""),"-",(61.98275-180.21913)/435794.05199*100)</f>
        <v>-0.027131251438629805</v>
      </c>
      <c r="G48" s="54">
        <f>IF(OR(475663.92916="",43.65672="",61.98275=""),"-",(43.65672-61.98275)/475663.92916*100)</f>
        <v>-0.0038527264475073622</v>
      </c>
    </row>
    <row r="49" spans="1:7" s="9" customFormat="1" ht="14.25" customHeight="1">
      <c r="A49" s="41" t="s">
        <v>66</v>
      </c>
      <c r="B49" s="54">
        <f>IF(3161.48904="","-",3161.48904)</f>
        <v>3161.48904</v>
      </c>
      <c r="C49" s="54">
        <f>IF(OR(3234.43949="",3161.48904=""),"-",3161.48904/3234.43949*100)</f>
        <v>97.74457212059329</v>
      </c>
      <c r="D49" s="54">
        <f>IF(3234.43949="","-",3234.43949/475663.92916*100)</f>
        <v>0.6799841845716297</v>
      </c>
      <c r="E49" s="54">
        <f>IF(3161.48904="","-",3161.48904/464782.89562*100)</f>
        <v>0.6802076990769447</v>
      </c>
      <c r="F49" s="54">
        <f>IF(OR(435794.05199="",2413.54373="",3234.43949=""),"-",(3234.43949-2413.54373)/435794.05199*100)</f>
        <v>0.18836782105021413</v>
      </c>
      <c r="G49" s="54">
        <f>IF(OR(475663.92916="",3161.48904="",3234.43949=""),"-",(3161.48904-3234.43949)/475663.92916*100)</f>
        <v>-0.01533655287438493</v>
      </c>
    </row>
    <row r="50" spans="1:7" s="9" customFormat="1" ht="25.5">
      <c r="A50" s="41" t="s">
        <v>218</v>
      </c>
      <c r="B50" s="54">
        <f>IF(1422.03934="","-",1422.03934)</f>
        <v>1422.03934</v>
      </c>
      <c r="C50" s="54">
        <f>IF(OR(1476.33665="",1422.03934=""),"-",1422.03934/1476.33665*100)</f>
        <v>96.32215931237636</v>
      </c>
      <c r="D50" s="54">
        <f>IF(1476.33665="","-",1476.33665/475663.92916*100)</f>
        <v>0.3103738920475094</v>
      </c>
      <c r="E50" s="54">
        <f>IF(1422.03934="","-",1422.03934/464782.89562*100)</f>
        <v>0.30595776079562087</v>
      </c>
      <c r="F50" s="54">
        <f>IF(OR(435794.05199="",1501.18771="",1476.33665=""),"-",(1476.33665-1501.18771)/435794.05199*100)</f>
        <v>-0.005702478013759171</v>
      </c>
      <c r="G50" s="54">
        <f>IF(OR(475663.92916="",1422.03934="",1476.33665=""),"-",(1422.03934-1476.33665)/475663.92916*100)</f>
        <v>-0.011415057285484398</v>
      </c>
    </row>
    <row r="51" spans="1:7" s="9" customFormat="1" ht="25.5">
      <c r="A51" s="41" t="s">
        <v>256</v>
      </c>
      <c r="B51" s="54">
        <f>IF(10663.42049="","-",10663.42049)</f>
        <v>10663.42049</v>
      </c>
      <c r="C51" s="54">
        <f>IF(OR(9889.25609="",10663.42049=""),"-",10663.42049/9889.25609*100)</f>
        <v>107.82833807674201</v>
      </c>
      <c r="D51" s="54">
        <f>IF(9889.25609="","-",9889.25609/475663.92916*100)</f>
        <v>2.0790426777712487</v>
      </c>
      <c r="E51" s="54">
        <f>IF(10663.42049="","-",10663.42049/464782.89562*100)</f>
        <v>2.294279886478065</v>
      </c>
      <c r="F51" s="54">
        <f>IF(OR(435794.05199="",12663.70578="",9889.25609=""),"-",(9889.25609-12663.70578)/435794.05199*100)</f>
        <v>-0.6366423950328868</v>
      </c>
      <c r="G51" s="54">
        <f>IF(OR(475663.92916="",10663.42049="",9889.25609=""),"-",(10663.42049-9889.25609)/475663.92916*100)</f>
        <v>0.1627544895756837</v>
      </c>
    </row>
    <row r="52" spans="1:7" s="9" customFormat="1" ht="15" customHeight="1">
      <c r="A52" s="41" t="s">
        <v>67</v>
      </c>
      <c r="B52" s="54">
        <f>IF(7217.26045="","-",7217.26045)</f>
        <v>7217.26045</v>
      </c>
      <c r="C52" s="54">
        <f>IF(OR(6554.59212="",7217.26045=""),"-",7217.26045/6554.59212*100)</f>
        <v>110.1099857606395</v>
      </c>
      <c r="D52" s="54">
        <f>IF(6554.59212="","-",6554.59212/475663.92916*100)</f>
        <v>1.377988053787282</v>
      </c>
      <c r="E52" s="54">
        <f>IF(7217.26045="","-",7217.26045/464782.89562*100)</f>
        <v>1.5528240212825581</v>
      </c>
      <c r="F52" s="54">
        <f>IF(OR(435794.05199="",6288.66035="",6554.59212=""),"-",(6554.59212-6288.66035)/435794.05199*100)</f>
        <v>0.06102234961345971</v>
      </c>
      <c r="G52" s="54">
        <f>IF(OR(475663.92916="",7217.26045="",6554.59212=""),"-",(7217.26045-6554.59212)/475663.92916*100)</f>
        <v>0.13931439602120774</v>
      </c>
    </row>
    <row r="53" spans="1:7" s="9" customFormat="1" ht="15.75">
      <c r="A53" s="41" t="s">
        <v>68</v>
      </c>
      <c r="B53" s="54">
        <f>IF(115.10279="","-",115.10279)</f>
        <v>115.10279</v>
      </c>
      <c r="C53" s="54">
        <f>IF(OR(323.91378="",115.10279=""),"-",115.10279/323.91378*100)</f>
        <v>35.53500872979223</v>
      </c>
      <c r="D53" s="54">
        <f>IF(323.91378="","-",323.91378/475663.92916*100)</f>
        <v>0.06809719218609163</v>
      </c>
      <c r="E53" s="54">
        <f>IF(115.10279="","-",115.10279/464782.89562*100)</f>
        <v>0.024764850661394913</v>
      </c>
      <c r="F53" s="54">
        <f>IF(OR(435794.05199="",249.58454="",323.91378=""),"-",(323.91378-249.58454)/435794.05199*100)</f>
        <v>0.017056047383066528</v>
      </c>
      <c r="G53" s="54">
        <f>IF(OR(475663.92916="",115.10279="",323.91378=""),"-",(115.10279-323.91378)/475663.92916*100)</f>
        <v>-0.04389884899802058</v>
      </c>
    </row>
    <row r="54" spans="1:7" s="9" customFormat="1" ht="15.75">
      <c r="A54" s="41" t="s">
        <v>69</v>
      </c>
      <c r="B54" s="54">
        <f>IF(169.26283="","-",169.26283)</f>
        <v>169.26283</v>
      </c>
      <c r="C54" s="54" t="s">
        <v>250</v>
      </c>
      <c r="D54" s="54">
        <f>IF(71.8188="","-",71.8188/475663.92916*100)</f>
        <v>0.015098643306173876</v>
      </c>
      <c r="E54" s="54">
        <f>IF(169.26283="","-",169.26283/464782.89562*100)</f>
        <v>0.03641761166236782</v>
      </c>
      <c r="F54" s="54">
        <f>IF(OR(435794.05199="",308.0652="",71.8188=""),"-",(71.8188-308.0652)/435794.05199*100)</f>
        <v>-0.05421056091087288</v>
      </c>
      <c r="G54" s="54">
        <f>IF(OR(475663.92916="",169.26283="",71.8188=""),"-",(169.26283-71.8188)/475663.92916*100)</f>
        <v>0.020485898557008844</v>
      </c>
    </row>
    <row r="55" spans="1:7" s="9" customFormat="1" ht="15.75">
      <c r="A55" s="41" t="s">
        <v>70</v>
      </c>
      <c r="B55" s="54">
        <f>IF(3935.66007="","-",3935.66007)</f>
        <v>3935.66007</v>
      </c>
      <c r="C55" s="54">
        <f>IF(OR(3581.33928="",3935.66007=""),"-",3935.66007/3581.33928*100)</f>
        <v>109.89352759674867</v>
      </c>
      <c r="D55" s="54">
        <f>IF(3581.33928="","-",3581.33928/475663.92916*100)</f>
        <v>0.7529137822841594</v>
      </c>
      <c r="E55" s="54">
        <f>IF(3935.66007="","-",3935.66007/464782.89562*100)</f>
        <v>0.8467738608904705</v>
      </c>
      <c r="F55" s="54">
        <f>IF(OR(435794.05199="",3768.93143="",3581.33928=""),"-",(3581.33928-3768.93143)/435794.05199*100)</f>
        <v>-0.043046055618102964</v>
      </c>
      <c r="G55" s="54">
        <f>IF(OR(475663.92916="",3935.66007="",3581.33928=""),"-",(3935.66007-3581.33928)/475663.92916*100)</f>
        <v>0.07448973283000743</v>
      </c>
    </row>
    <row r="56" spans="1:7" s="9" customFormat="1" ht="15.75" customHeight="1">
      <c r="A56" s="49" t="s">
        <v>257</v>
      </c>
      <c r="B56" s="53">
        <f>IF(98768.02401="","-",98768.02401)</f>
        <v>98768.02401</v>
      </c>
      <c r="C56" s="53">
        <f>IF(123036.32455="","-",98768.02401/123036.32455*100)</f>
        <v>80.27549942770132</v>
      </c>
      <c r="D56" s="53">
        <f>IF(123036.32455="","-",123036.32455/475663.92916*100)</f>
        <v>25.866229707027887</v>
      </c>
      <c r="E56" s="53">
        <f>IF(98768.02401="","-",98768.02401/464782.89562*100)</f>
        <v>21.250356874309624</v>
      </c>
      <c r="F56" s="53">
        <f>IF(435794.05199="","-",(123036.32455-75965.41745)/435794.05199*100)</f>
        <v>10.801181632713089</v>
      </c>
      <c r="G56" s="53">
        <f>IF(475663.92916="","-",(98768.02401-123036.32455)/475663.92916*100)</f>
        <v>-5.101984626594806</v>
      </c>
    </row>
    <row r="57" spans="1:7" s="9" customFormat="1" ht="25.5">
      <c r="A57" s="41" t="s">
        <v>71</v>
      </c>
      <c r="B57" s="54">
        <f>IF(491.84443="","-",491.84443)</f>
        <v>491.84443</v>
      </c>
      <c r="C57" s="54">
        <f>IF(OR(859.6833="",491.84443=""),"-",491.84443/859.6833*100)</f>
        <v>57.21228154600653</v>
      </c>
      <c r="D57" s="54">
        <f>IF(859.6833="","-",859.6833/475663.92916*100)</f>
        <v>0.18073333866584335</v>
      </c>
      <c r="E57" s="54">
        <f>IF(491.84443="","-",491.84443/464782.89562*100)</f>
        <v>0.10582240324138888</v>
      </c>
      <c r="F57" s="54">
        <f>IF(OR(435794.05199="",464.4778="",859.6833=""),"-",(859.6833-464.4778)/435794.05199*100)</f>
        <v>0.09068629968567553</v>
      </c>
      <c r="G57" s="54">
        <f>IF(OR(475663.92916="",491.84443="",859.6833=""),"-",(491.84443-859.6833)/475663.92916*100)</f>
        <v>-0.07733167210084357</v>
      </c>
    </row>
    <row r="58" spans="1:7" s="9" customFormat="1" ht="25.5">
      <c r="A58" s="41" t="s">
        <v>258</v>
      </c>
      <c r="B58" s="54">
        <f>IF(926.98788="","-",926.98788)</f>
        <v>926.98788</v>
      </c>
      <c r="C58" s="54">
        <f>IF(OR(2103.64748="",926.98788=""),"-",926.98788/2103.64748*100)</f>
        <v>44.0657424218244</v>
      </c>
      <c r="D58" s="54">
        <f>IF(2103.64748="","-",2103.64748/475663.92916*100)</f>
        <v>0.44225499371267063</v>
      </c>
      <c r="E58" s="54">
        <f>IF(926.98788="","-",926.98788/464782.89562*100)</f>
        <v>0.19944535152556309</v>
      </c>
      <c r="F58" s="54">
        <f>IF(OR(435794.05199="",2241.8918="",2103.64748=""),"-",(2103.64748-2241.8918)/435794.05199*100)</f>
        <v>-0.03172239716644228</v>
      </c>
      <c r="G58" s="54">
        <f>IF(OR(475663.92916="",926.98788="",2103.64748=""),"-",(926.98788-2103.64748)/475663.92916*100)</f>
        <v>-0.24737204733558948</v>
      </c>
    </row>
    <row r="59" spans="1:7" s="9" customFormat="1" ht="25.5">
      <c r="A59" s="41" t="s">
        <v>72</v>
      </c>
      <c r="B59" s="54">
        <f>IF(305.14696="","-",305.14696)</f>
        <v>305.14696</v>
      </c>
      <c r="C59" s="54">
        <f>IF(OR(398.11786="",305.14696=""),"-",305.14696/398.11786*100)</f>
        <v>76.64739280975739</v>
      </c>
      <c r="D59" s="54">
        <f>IF(398.11786="","-",398.11786/475663.92916*100)</f>
        <v>0.0836972987846813</v>
      </c>
      <c r="E59" s="54">
        <f>IF(305.14696="","-",305.14696/464782.89562*100)</f>
        <v>0.06565365526047323</v>
      </c>
      <c r="F59" s="54">
        <f>IF(OR(435794.05199="",286.15588="",398.11786=""),"-",(398.11786-286.15588)/435794.05199*100)</f>
        <v>0.025691488786673284</v>
      </c>
      <c r="G59" s="54">
        <f>IF(OR(475663.92916="",305.14696="",398.11786=""),"-",(305.14696-398.11786)/475663.92916*100)</f>
        <v>-0.01954550141403033</v>
      </c>
    </row>
    <row r="60" spans="1:7" s="9" customFormat="1" ht="38.25">
      <c r="A60" s="41" t="s">
        <v>73</v>
      </c>
      <c r="B60" s="54">
        <f>IF(3362.97639="","-",3362.97639)</f>
        <v>3362.97639</v>
      </c>
      <c r="C60" s="54">
        <f>IF(OR(3042.36455="",3362.97639=""),"-",3362.97639/3042.36455*100)</f>
        <v>110.53824532632028</v>
      </c>
      <c r="D60" s="54">
        <f>IF(3042.36455="","-",3042.36455/475663.92916*100)</f>
        <v>0.6396037966075485</v>
      </c>
      <c r="E60" s="54">
        <f>IF(3362.97639="","-",3362.97639/464782.89562*100)</f>
        <v>0.7235585521093535</v>
      </c>
      <c r="F60" s="54">
        <f>IF(OR(435794.05199="",2723.59149="",3042.36455=""),"-",(3042.36455-2723.59149)/435794.05199*100)</f>
        <v>0.07314763901534727</v>
      </c>
      <c r="G60" s="54">
        <f>IF(OR(475663.92916="",3362.97639="",3042.36455=""),"-",(3362.97639-3042.36455)/475663.92916*100)</f>
        <v>0.06740301720296205</v>
      </c>
    </row>
    <row r="61" spans="1:7" s="9" customFormat="1" ht="25.5">
      <c r="A61" s="41" t="s">
        <v>74</v>
      </c>
      <c r="B61" s="54">
        <f>IF(184.3835="","-",184.3835)</f>
        <v>184.3835</v>
      </c>
      <c r="C61" s="54">
        <f>IF(OR(138.06338="",184.3835=""),"-",184.3835/138.06338*100)</f>
        <v>133.54989570731934</v>
      </c>
      <c r="D61" s="54">
        <f>IF(138.06338="","-",138.06338/475663.92916*100)</f>
        <v>0.029025404605266873</v>
      </c>
      <c r="E61" s="54">
        <f>IF(184.3835="","-",184.3835/464782.89562*100)</f>
        <v>0.0396708875773151</v>
      </c>
      <c r="F61" s="54">
        <f>IF(OR(435794.05199="",96.90791="",138.06338=""),"-",(138.06338-96.90791)/435794.05199*100)</f>
        <v>0.009443788829165658</v>
      </c>
      <c r="G61" s="54">
        <f>IF(OR(475663.92916="",184.3835="",138.06338=""),"-",(184.3835-138.06338)/475663.92916*100)</f>
        <v>0.009737992973694504</v>
      </c>
    </row>
    <row r="62" spans="1:7" s="9" customFormat="1" ht="38.25">
      <c r="A62" s="41" t="s">
        <v>75</v>
      </c>
      <c r="B62" s="54">
        <f>IF(318.97348="","-",318.97348)</f>
        <v>318.97348</v>
      </c>
      <c r="C62" s="54">
        <f>IF(OR(784.59968="",318.97348=""),"-",318.97348/784.59968*100)</f>
        <v>40.65429646874187</v>
      </c>
      <c r="D62" s="54">
        <f>IF(784.59968="","-",784.59968/475663.92916*100)</f>
        <v>0.16494832420561426</v>
      </c>
      <c r="E62" s="54">
        <f>IF(318.97348="","-",318.97348/464782.89562*100)</f>
        <v>0.06862848934544016</v>
      </c>
      <c r="F62" s="54">
        <f>IF(OR(435794.05199="",362.84236="",784.59968=""),"-",(784.59968-362.84236)/435794.05199*100)</f>
        <v>0.0967790446138714</v>
      </c>
      <c r="G62" s="54">
        <f>IF(OR(475663.92916="",318.97348="",784.59968=""),"-",(318.97348-784.59968)/475663.92916*100)</f>
        <v>-0.09788974346284232</v>
      </c>
    </row>
    <row r="63" spans="1:7" s="9" customFormat="1" ht="40.5" customHeight="1">
      <c r="A63" s="41" t="s">
        <v>259</v>
      </c>
      <c r="B63" s="54">
        <f>IF(88702.92113="","-",88702.92113)</f>
        <v>88702.92113</v>
      </c>
      <c r="C63" s="54">
        <f>IF(OR(108988.23047="",88702.92113=""),"-",88702.92113/108988.23047*100)</f>
        <v>81.38761474287473</v>
      </c>
      <c r="D63" s="54">
        <f>IF(108988.23047="","-",108988.23047/475663.92916*100)</f>
        <v>22.912864270046303</v>
      </c>
      <c r="E63" s="54">
        <f>IF(88702.92113="","-",88702.92113/464782.89562*100)</f>
        <v>19.084807544751445</v>
      </c>
      <c r="F63" s="54">
        <f>IF(OR(435794.05199="",67147.18087="",108988.23047=""),"-",(108988.23047-67147.18087)/435794.05199*100)</f>
        <v>9.601106166763403</v>
      </c>
      <c r="G63" s="54">
        <f>IF(OR(475663.92916="",88702.92113="",108988.23047=""),"-",(88702.92113-108988.23047)/475663.92916*100)</f>
        <v>-4.264630571383222</v>
      </c>
    </row>
    <row r="64" spans="1:7" s="9" customFormat="1" ht="14.25" customHeight="1">
      <c r="A64" s="41" t="s">
        <v>76</v>
      </c>
      <c r="B64" s="54">
        <f>IF(4449.45161="","-",4449.45161)</f>
        <v>4449.45161</v>
      </c>
      <c r="C64" s="54">
        <f>IF(OR(4287.92373="",4449.45161=""),"-",4449.45161/4287.92373*100)</f>
        <v>103.76704181722933</v>
      </c>
      <c r="D64" s="54">
        <f>IF(4287.92373="","-",4287.92373/475663.92916*100)</f>
        <v>0.9014607724349144</v>
      </c>
      <c r="E64" s="54">
        <f>IF(4449.45161="","-",4449.45161/464782.89562*100)</f>
        <v>0.957318277400167</v>
      </c>
      <c r="F64" s="54">
        <f>IF(OR(435794.05199="",2598.77778="",4287.92373=""),"-",(4287.92373-2598.77778)/435794.05199*100)</f>
        <v>0.387601882652304</v>
      </c>
      <c r="G64" s="54">
        <f>IF(OR(475663.92916="",4449.45161="",4287.92373=""),"-",(4449.45161-4287.92373)/475663.92916*100)</f>
        <v>0.03395840426354175</v>
      </c>
    </row>
    <row r="65" spans="1:7" ht="15.75">
      <c r="A65" s="41" t="s">
        <v>77</v>
      </c>
      <c r="B65" s="54">
        <f>IF(25.33863="","-",25.33863)</f>
        <v>25.33863</v>
      </c>
      <c r="C65" s="54">
        <f>IF(OR(2433.6941="",25.33863=""),"-",25.33863/2433.6941*100)</f>
        <v>1.0411591990957285</v>
      </c>
      <c r="D65" s="54">
        <f>IF(2433.6941="","-",2433.6941/475663.92916*100)</f>
        <v>0.5116415079650435</v>
      </c>
      <c r="E65" s="54">
        <f>IF(25.33863="","-",25.33863/464782.89562*100)</f>
        <v>0.005451713098477812</v>
      </c>
      <c r="F65" s="54">
        <f>IF(OR(435794.05199="",43.59156="",2433.6941=""),"-",(2433.6941-43.59156)/435794.05199*100)</f>
        <v>0.5484477195330892</v>
      </c>
      <c r="G65" s="54">
        <f>IF(OR(475663.92916="",25.33863="",2433.6941=""),"-",(25.33863-2433.6941)/475663.92916*100)</f>
        <v>-0.5063145053384733</v>
      </c>
    </row>
    <row r="66" spans="1:7" ht="15.75">
      <c r="A66" s="49" t="s">
        <v>78</v>
      </c>
      <c r="B66" s="53">
        <f>IF(92710.1147="","-",92710.1147)</f>
        <v>92710.1147</v>
      </c>
      <c r="C66" s="53">
        <f>IF(84602.86709="","-",92710.1147/84602.86709*100)</f>
        <v>109.58271024240298</v>
      </c>
      <c r="D66" s="53">
        <f>IF(84602.86709="","-",84602.86709/475663.92916*100)</f>
        <v>17.7862692341218</v>
      </c>
      <c r="E66" s="53">
        <f>IF(92710.1147="","-",92710.1147/464782.89562*100)</f>
        <v>19.94697213982644</v>
      </c>
      <c r="F66" s="53">
        <f>IF(435794.05199="","-",(84602.86709-96817.78536)/435794.05199*100)</f>
        <v>-2.8029107359822993</v>
      </c>
      <c r="G66" s="53">
        <f>IF(475663.92916="","-",(92710.1147-84602.86709)/475663.92916*100)</f>
        <v>1.704406643639559</v>
      </c>
    </row>
    <row r="67" spans="1:7" ht="38.25">
      <c r="A67" s="41" t="s">
        <v>219</v>
      </c>
      <c r="B67" s="54">
        <f>IF(1346.25995="","-",1346.25995)</f>
        <v>1346.25995</v>
      </c>
      <c r="C67" s="54">
        <f>IF(OR(1428.16323="",1346.25995=""),"-",1346.25995/1428.16323*100)</f>
        <v>94.2651317244738</v>
      </c>
      <c r="D67" s="54">
        <f>IF(1428.16323="","-",1428.16323/475663.92916*100)</f>
        <v>0.3002462752477508</v>
      </c>
      <c r="E67" s="54">
        <f>IF(1346.25995="","-",1346.25995/464782.89562*100)</f>
        <v>0.289653505472517</v>
      </c>
      <c r="F67" s="54">
        <f>IF(OR(435794.05199="",1105.86828="",1428.16323=""),"-",(1428.16323-1105.86828)/435794.05199*100)</f>
        <v>0.07395579368930803</v>
      </c>
      <c r="G67" s="54">
        <f>IF(OR(475663.92916="",1346.25995="",1428.16323=""),"-",(1346.25995-1428.16323)/475663.92916*100)</f>
        <v>-0.017218728387632325</v>
      </c>
    </row>
    <row r="68" spans="1:7" ht="15.75">
      <c r="A68" s="41" t="s">
        <v>79</v>
      </c>
      <c r="B68" s="54">
        <f>IF(24512.87512="","-",24512.87512)</f>
        <v>24512.87512</v>
      </c>
      <c r="C68" s="54">
        <f>IF(OR(23954.70511="",24512.87512=""),"-",24512.87512/23954.70511*100)</f>
        <v>102.33010595386953</v>
      </c>
      <c r="D68" s="54">
        <f>IF(23954.70511="","-",23954.70511/475663.92916*100)</f>
        <v>5.036056686556593</v>
      </c>
      <c r="E68" s="54">
        <f>IF(24512.87512="","-",24512.87512/464782.89562*100)</f>
        <v>5.274048453805706</v>
      </c>
      <c r="F68" s="54">
        <f>IF(OR(435794.05199="",25849.36088="",23954.70511=""),"-",(23954.70511-25849.36088)/435794.05199*100)</f>
        <v>-0.4347594377087728</v>
      </c>
      <c r="G68" s="54">
        <f>IF(OR(475663.92916="",24512.87512="",23954.70511=""),"-",(24512.87512-23954.70511)/475663.92916*100)</f>
        <v>0.11734545669370043</v>
      </c>
    </row>
    <row r="69" spans="1:7" ht="15.75">
      <c r="A69" s="41" t="s">
        <v>80</v>
      </c>
      <c r="B69" s="54">
        <f>IF(2618.06162="","-",2618.06162)</f>
        <v>2618.06162</v>
      </c>
      <c r="C69" s="54" t="s">
        <v>157</v>
      </c>
      <c r="D69" s="54">
        <f>IF(1657.31496="","-",1657.31496/475663.92916*100)</f>
        <v>0.34842140814140343</v>
      </c>
      <c r="E69" s="54">
        <f>IF(2618.06162="","-",2618.06162/464782.89562*100)</f>
        <v>0.5632869980096019</v>
      </c>
      <c r="F69" s="54">
        <f>IF(OR(435794.05199="",2304.12238="",1657.31496=""),"-",(1657.31496-2304.12238)/435794.05199*100)</f>
        <v>-0.1484204332405257</v>
      </c>
      <c r="G69" s="54">
        <f>IF(OR(475663.92916="",2618.06162="",1657.31496=""),"-",(2618.06162-1657.31496)/475663.92916*100)</f>
        <v>0.201980137887822</v>
      </c>
    </row>
    <row r="70" spans="1:7" ht="15.75">
      <c r="A70" s="41" t="s">
        <v>81</v>
      </c>
      <c r="B70" s="54">
        <f>IF(42942.40932="","-",42942.40932)</f>
        <v>42942.40932</v>
      </c>
      <c r="C70" s="54">
        <f>IF(OR(39364.10291="",42942.40932=""),"-",42942.40932/39364.10291*100)</f>
        <v>109.09027805912723</v>
      </c>
      <c r="D70" s="54">
        <f>IF(39364.10291="","-",39364.10291/475663.92916*100)</f>
        <v>8.27561235923757</v>
      </c>
      <c r="E70" s="54">
        <f>IF(42942.40932="","-",42942.40932/464782.89562*100)</f>
        <v>9.239240454990648</v>
      </c>
      <c r="F70" s="54">
        <f>IF(OR(435794.05199="",49221.88797="",39364.10291=""),"-",(39364.10291-49221.88797)/435794.05199*100)</f>
        <v>-2.2620283629355744</v>
      </c>
      <c r="G70" s="54">
        <f>IF(OR(475663.92916="",42942.40932="",39364.10291=""),"-",(42942.40932-39364.10291)/475663.92916*100)</f>
        <v>0.7522761745501949</v>
      </c>
    </row>
    <row r="71" spans="1:7" ht="15.75">
      <c r="A71" s="41" t="s">
        <v>82</v>
      </c>
      <c r="B71" s="54">
        <f>IF(7050.96535="","-",7050.96535)</f>
        <v>7050.96535</v>
      </c>
      <c r="C71" s="54" t="s">
        <v>196</v>
      </c>
      <c r="D71" s="54">
        <f>IF(4639.49208="","-",4639.49208/475663.92916*100)</f>
        <v>0.9753718530209182</v>
      </c>
      <c r="E71" s="54">
        <f>IF(7050.96535="","-",7050.96535/464782.89562*100)</f>
        <v>1.5170449292447221</v>
      </c>
      <c r="F71" s="54">
        <f>IF(OR(435794.05199="",6121.13824="",4639.49208=""),"-",(4639.49208-6121.13824)/435794.05199*100)</f>
        <v>-0.3399876967650763</v>
      </c>
      <c r="G71" s="54">
        <f>IF(OR(475663.92916="",7050.96535="",4639.49208=""),"-",(7050.96535-4639.49208)/475663.92916*100)</f>
        <v>0.5069699681156291</v>
      </c>
    </row>
    <row r="72" spans="1:7" ht="25.5">
      <c r="A72" s="41" t="s">
        <v>260</v>
      </c>
      <c r="B72" s="54">
        <f>IF(2999.72321="","-",2999.72321)</f>
        <v>2999.72321</v>
      </c>
      <c r="C72" s="54">
        <f>IF(OR(2834.9836="",2999.72321=""),"-",2999.72321/2834.9836*100)</f>
        <v>105.81095460305308</v>
      </c>
      <c r="D72" s="54">
        <f>IF(2834.9836="","-",2834.9836/475663.92916*100)</f>
        <v>0.5960055884427576</v>
      </c>
      <c r="E72" s="54">
        <f>IF(2999.72321="","-",2999.72321/464782.89562*100)</f>
        <v>0.6454030985797145</v>
      </c>
      <c r="F72" s="54">
        <f>IF(OR(435794.05199="",3427.40662="",2834.9836=""),"-",(2834.9836-3427.40662)/435794.05199*100)</f>
        <v>-0.1359410522687892</v>
      </c>
      <c r="G72" s="54">
        <f>IF(OR(475663.92916="",2999.72321="",2834.9836=""),"-",(2999.72321-2834.9836)/475663.92916*100)</f>
        <v>0.03463361417606806</v>
      </c>
    </row>
    <row r="73" spans="1:7" ht="25.5">
      <c r="A73" s="41" t="s">
        <v>83</v>
      </c>
      <c r="B73" s="54">
        <f>IF(444.91495="","-",444.91495)</f>
        <v>444.91495</v>
      </c>
      <c r="C73" s="54">
        <f>IF(OR(617.74324="",444.91495=""),"-",444.91495/617.74324*100)</f>
        <v>72.0226335459373</v>
      </c>
      <c r="D73" s="54">
        <f>IF(617.74324="","-",617.74324/475663.92916*100)</f>
        <v>0.12986968364216842</v>
      </c>
      <c r="E73" s="54">
        <f>IF(444.91495="","-",444.91495/464782.89562*100)</f>
        <v>0.09572532771596573</v>
      </c>
      <c r="F73" s="54">
        <f>IF(OR(435794.05199="",504.00203="",617.74324=""),"-",(617.74324-504.00203)/435794.05199*100)</f>
        <v>0.026099761912906968</v>
      </c>
      <c r="G73" s="54">
        <f>IF(OR(475663.92916="",444.91495="",617.74324=""),"-",(444.91495-617.74324)/475663.92916*100)</f>
        <v>-0.036334117305301374</v>
      </c>
    </row>
    <row r="74" spans="1:7" ht="15.75">
      <c r="A74" s="48" t="s">
        <v>84</v>
      </c>
      <c r="B74" s="54">
        <f>IF(10794.90518="","-",10794.90518)</f>
        <v>10794.90518</v>
      </c>
      <c r="C74" s="54">
        <f>IF(OR(10106.36196="",10794.90518=""),"-",10794.90518/10106.36196*100)</f>
        <v>106.81296813556833</v>
      </c>
      <c r="D74" s="54">
        <f>IF(10106.36196="","-",10106.36196/475663.92916*100)</f>
        <v>2.1246853798326386</v>
      </c>
      <c r="E74" s="54">
        <f>IF(10794.90518="","-",10794.90518/464782.89562*100)</f>
        <v>2.3225693720075626</v>
      </c>
      <c r="F74" s="54">
        <f>IF(OR(435794.05199="",8283.99896="",10106.36196=""),"-",(10106.36196-8283.99896)/435794.05199*100)</f>
        <v>0.41817069133422147</v>
      </c>
      <c r="G74" s="54">
        <f>IF(OR(475663.92916="",10794.90518="",10106.36196=""),"-",(10794.90518-10106.36196)/475663.92916*100)</f>
        <v>0.14475413790907676</v>
      </c>
    </row>
    <row r="75" spans="1:7" ht="25.5">
      <c r="A75" s="28" t="s">
        <v>220</v>
      </c>
      <c r="B75" s="53">
        <f>IF(187.21487="","-",187.21487)</f>
        <v>187.21487</v>
      </c>
      <c r="C75" s="53" t="s">
        <v>158</v>
      </c>
      <c r="D75" s="53">
        <f>IF(99.55969="","-",99.55969/475663.92916*100)</f>
        <v>0.020930678972403416</v>
      </c>
      <c r="E75" s="53">
        <f>IF(187.21487="","-",187.21487/464782.89562*100)</f>
        <v>0.040280068772811345</v>
      </c>
      <c r="F75" s="53">
        <f>IF(435794.05199="","-",(99.55969-253.70267)/435794.05199*100)</f>
        <v>-0.03537060207594047</v>
      </c>
      <c r="G75" s="53">
        <f>IF(475663.92916="","-",(187.21487-99.55969)/475663.92916*100)</f>
        <v>0.018427964498967768</v>
      </c>
    </row>
    <row r="76" spans="1:7" ht="15.75">
      <c r="A76" s="43" t="s">
        <v>261</v>
      </c>
      <c r="B76" s="55">
        <f>IF(187.21487="","-",187.21487)</f>
        <v>187.21487</v>
      </c>
      <c r="C76" s="55" t="s">
        <v>158</v>
      </c>
      <c r="D76" s="55">
        <f>IF(99.55969="","-",99.55969/475663.92916*100)</f>
        <v>0.020930678972403416</v>
      </c>
      <c r="E76" s="55">
        <f>IF(187.21487="","-",187.21487/464782.89562*100)</f>
        <v>0.040280068772811345</v>
      </c>
      <c r="F76" s="55">
        <f>IF(OR(435794.05199="",253.70267="",99.55969=""),"-",(99.55969-253.70267)/435794.05199*100)</f>
        <v>-0.03537060207594047</v>
      </c>
      <c r="G76" s="55">
        <f>IF(OR(475663.92916="",187.21487="",99.55969=""),"-",(187.21487-99.55969)/475663.92916*100)</f>
        <v>0.018427964498967768</v>
      </c>
    </row>
    <row r="77" ht="15.75">
      <c r="A77" s="29" t="s">
        <v>21</v>
      </c>
    </row>
  </sheetData>
  <sheetProtection/>
  <mergeCells count="10">
    <mergeCell ref="A1:G1"/>
    <mergeCell ref="A2:G2"/>
    <mergeCell ref="A4:A6"/>
    <mergeCell ref="B4:C4"/>
    <mergeCell ref="D4:E4"/>
    <mergeCell ref="F4:G4"/>
    <mergeCell ref="B5:B6"/>
    <mergeCell ref="C5:C6"/>
    <mergeCell ref="D5:E5"/>
    <mergeCell ref="F5:G5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G82"/>
  <sheetViews>
    <sheetView zoomScalePageLayoutView="0" workbookViewId="0" topLeftCell="A1">
      <selection activeCell="A1" sqref="A1:G1"/>
    </sheetView>
  </sheetViews>
  <sheetFormatPr defaultColWidth="9.00390625" defaultRowHeight="15.75"/>
  <cols>
    <col min="1" max="1" width="28.25390625" style="0" customWidth="1"/>
    <col min="2" max="2" width="12.375" style="0" customWidth="1"/>
    <col min="3" max="3" width="10.50390625" style="0" customWidth="1"/>
    <col min="4" max="4" width="8.50390625" style="0" customWidth="1"/>
    <col min="5" max="5" width="8.625" style="0" customWidth="1"/>
    <col min="6" max="6" width="9.50390625" style="0" customWidth="1"/>
    <col min="7" max="7" width="9.00390625" style="0" customWidth="1"/>
  </cols>
  <sheetData>
    <row r="1" spans="1:7" ht="15.75">
      <c r="A1" s="87" t="s">
        <v>183</v>
      </c>
      <c r="B1" s="87"/>
      <c r="C1" s="87"/>
      <c r="D1" s="87"/>
      <c r="E1" s="87"/>
      <c r="F1" s="87"/>
      <c r="G1" s="87"/>
    </row>
    <row r="2" spans="1:7" ht="15.75">
      <c r="A2" s="87" t="s">
        <v>23</v>
      </c>
      <c r="B2" s="87"/>
      <c r="C2" s="87"/>
      <c r="D2" s="87"/>
      <c r="E2" s="87"/>
      <c r="F2" s="87"/>
      <c r="G2" s="87"/>
    </row>
    <row r="3" ht="15.75">
      <c r="A3" s="5"/>
    </row>
    <row r="4" spans="1:7" ht="57" customHeight="1">
      <c r="A4" s="95"/>
      <c r="B4" s="98" t="s">
        <v>273</v>
      </c>
      <c r="C4" s="93"/>
      <c r="D4" s="98" t="s">
        <v>0</v>
      </c>
      <c r="E4" s="93"/>
      <c r="F4" s="90" t="s">
        <v>186</v>
      </c>
      <c r="G4" s="99"/>
    </row>
    <row r="5" spans="1:7" ht="26.25" customHeight="1">
      <c r="A5" s="96"/>
      <c r="B5" s="100" t="s">
        <v>165</v>
      </c>
      <c r="C5" s="88" t="s">
        <v>222</v>
      </c>
      <c r="D5" s="102" t="s">
        <v>274</v>
      </c>
      <c r="E5" s="102"/>
      <c r="F5" s="102" t="s">
        <v>274</v>
      </c>
      <c r="G5" s="98"/>
    </row>
    <row r="6" spans="1:7" ht="26.25" customHeight="1">
      <c r="A6" s="97"/>
      <c r="B6" s="101"/>
      <c r="C6" s="89"/>
      <c r="D6" s="26">
        <v>2019</v>
      </c>
      <c r="E6" s="26">
        <v>2020</v>
      </c>
      <c r="F6" s="26" t="s">
        <v>188</v>
      </c>
      <c r="G6" s="22" t="s">
        <v>223</v>
      </c>
    </row>
    <row r="7" spans="1:7" ht="15.75">
      <c r="A7" s="46" t="s">
        <v>202</v>
      </c>
      <c r="B7" s="52">
        <f>IF(864817.21761="","-",864817.21761)</f>
        <v>864817.21761</v>
      </c>
      <c r="C7" s="52">
        <f>IF(831736.70692="","-",864817.21761/831736.70692*100)</f>
        <v>103.97728156215449</v>
      </c>
      <c r="D7" s="52">
        <v>100</v>
      </c>
      <c r="E7" s="52">
        <v>100</v>
      </c>
      <c r="F7" s="52">
        <f>IF(801858.14608="","-",(831736.70692-801858.14608)/801858.14608*100)</f>
        <v>3.72616540544805</v>
      </c>
      <c r="G7" s="52">
        <f>IF(831736.70692="","-",(864817.21761-831736.70692)/831736.70692*100)</f>
        <v>3.9772815621544826</v>
      </c>
    </row>
    <row r="8" spans="1:7" ht="12" customHeight="1">
      <c r="A8" s="45" t="s">
        <v>209</v>
      </c>
      <c r="B8" s="31"/>
      <c r="C8" s="31"/>
      <c r="D8" s="31"/>
      <c r="E8" s="31"/>
      <c r="F8" s="31"/>
      <c r="G8" s="31"/>
    </row>
    <row r="9" spans="1:7" ht="12.75" customHeight="1">
      <c r="A9" s="49" t="s">
        <v>24</v>
      </c>
      <c r="B9" s="53">
        <f>IF(107121.17469="","-",107121.17469)</f>
        <v>107121.17469</v>
      </c>
      <c r="C9" s="53">
        <f>IF(95179.8903="","-",107121.17469/95179.8903*100)</f>
        <v>112.54601613046826</v>
      </c>
      <c r="D9" s="53">
        <f>IF(95179.8903="","-",95179.8903/831736.70692*100)</f>
        <v>11.443512052324847</v>
      </c>
      <c r="E9" s="53">
        <f>IF(107121.17469="","-",107121.17469/864817.21761*100)</f>
        <v>12.386568226062725</v>
      </c>
      <c r="F9" s="53">
        <f>IF(801858.14608="","-",(95179.8903-89103.65518)/801858.14608*100)</f>
        <v>0.7577693323569207</v>
      </c>
      <c r="G9" s="53">
        <f>IF(831736.70692="","-",(107121.17469-95179.8903)/831736.70692*100)</f>
        <v>1.4357048679767554</v>
      </c>
    </row>
    <row r="10" spans="1:7" ht="14.25" customHeight="1">
      <c r="A10" s="41" t="s">
        <v>25</v>
      </c>
      <c r="B10" s="54">
        <f>IF(622.00155="","-",622.00155)</f>
        <v>622.00155</v>
      </c>
      <c r="C10" s="54">
        <f>IF(OR(480.87361="",622.00155=""),"-",622.00155/480.87361*100)</f>
        <v>129.34823975888384</v>
      </c>
      <c r="D10" s="54">
        <f>IF(480.87361="","-",480.87361/831736.70692*100)</f>
        <v>0.05781560510665937</v>
      </c>
      <c r="E10" s="54">
        <f>IF(622.00155="","-",622.00155/864817.21761*100)</f>
        <v>0.07192289160465111</v>
      </c>
      <c r="F10" s="54">
        <f>IF(OR(801858.14608="",776.13211="",480.87361=""),"-",(480.87361-776.13211)/801858.14608*100)</f>
        <v>-0.03682178717562627</v>
      </c>
      <c r="G10" s="54">
        <f>IF(OR(831736.70692="",622.00155="",480.87361=""),"-",(622.00155-480.87361)/831736.70692*100)</f>
        <v>0.016967862404751875</v>
      </c>
    </row>
    <row r="11" spans="1:7" s="9" customFormat="1" ht="13.5" customHeight="1">
      <c r="A11" s="41" t="s">
        <v>26</v>
      </c>
      <c r="B11" s="54">
        <f>IF(5305.47127="","-",5305.47127)</f>
        <v>5305.47127</v>
      </c>
      <c r="C11" s="54">
        <f>IF(OR(6334.16845="",5305.47127=""),"-",5305.47127/6334.16845*100)</f>
        <v>83.75955442107006</v>
      </c>
      <c r="D11" s="54">
        <f>IF(6334.16845="","-",6334.16845/831736.70692*100)</f>
        <v>0.7615593248801087</v>
      </c>
      <c r="E11" s="54">
        <f>IF(5305.47127="","-",5305.47127/864817.21761*100)</f>
        <v>0.6134789134589788</v>
      </c>
      <c r="F11" s="54">
        <f>IF(OR(801858.14608="",4982.37354="",6334.16845=""),"-",(6334.16845-4982.37354)/801858.14608*100)</f>
        <v>0.16858279941513923</v>
      </c>
      <c r="G11" s="54">
        <f>IF(OR(831736.70692="",5305.47127="",6334.16845=""),"-",(5305.47127-6334.16845)/831736.70692*100)</f>
        <v>-0.12368062770842031</v>
      </c>
    </row>
    <row r="12" spans="1:7" s="9" customFormat="1" ht="13.5" customHeight="1">
      <c r="A12" s="41" t="s">
        <v>27</v>
      </c>
      <c r="B12" s="54">
        <f>IF(14623.755="","-",14623.755)</f>
        <v>14623.755</v>
      </c>
      <c r="C12" s="54">
        <f>IF(OR(10202.02429="",14623.755=""),"-",14623.755/10202.02429*100)</f>
        <v>143.3416994932483</v>
      </c>
      <c r="D12" s="54">
        <f>IF(10202.02429="","-",10202.02429/831736.70692*100)</f>
        <v>1.226593007753507</v>
      </c>
      <c r="E12" s="54">
        <f>IF(14623.755="","-",14623.755/864817.21761*100)</f>
        <v>1.6909648307435479</v>
      </c>
      <c r="F12" s="54">
        <f>IF(OR(801858.14608="",8727.21606="",10202.02429=""),"-",(10202.02429-8727.21606)/801858.14608*100)</f>
        <v>0.1839238320655359</v>
      </c>
      <c r="G12" s="54">
        <f>IF(OR(831736.70692="",14623.755="",10202.02429=""),"-",(14623.755-10202.02429)/831736.70692*100)</f>
        <v>0.531626255425721</v>
      </c>
    </row>
    <row r="13" spans="1:7" s="9" customFormat="1" ht="14.25" customHeight="1">
      <c r="A13" s="41" t="s">
        <v>28</v>
      </c>
      <c r="B13" s="54">
        <f>IF(9059.19969="","-",9059.19969)</f>
        <v>9059.19969</v>
      </c>
      <c r="C13" s="54">
        <f>IF(OR(7923.36155="",9059.19969=""),"-",9059.19969/7923.36155*100)</f>
        <v>114.33530620598778</v>
      </c>
      <c r="D13" s="54">
        <f>IF(7923.36155="","-",7923.36155/831736.70692*100)</f>
        <v>0.95262857633649</v>
      </c>
      <c r="E13" s="54">
        <f>IF(9059.19969="","-",9059.19969/864817.21761*100)</f>
        <v>1.0475276746959215</v>
      </c>
      <c r="F13" s="54">
        <f>IF(OR(801858.14608="",8163.0248="",7923.36155=""),"-",(7923.36155-8163.0248)/801858.14608*100)</f>
        <v>-0.02988848478644622</v>
      </c>
      <c r="G13" s="54">
        <f>IF(OR(831736.70692="",9059.19969="",7923.36155=""),"-",(9059.19969-7923.36155)/831736.70692*100)</f>
        <v>0.1365622234235779</v>
      </c>
    </row>
    <row r="14" spans="1:7" s="9" customFormat="1" ht="15.75" customHeight="1">
      <c r="A14" s="41" t="s">
        <v>29</v>
      </c>
      <c r="B14" s="54">
        <f>IF(17212.49131="","-",17212.49131)</f>
        <v>17212.49131</v>
      </c>
      <c r="C14" s="54">
        <f>IF(OR(13282.04615="",17212.49131=""),"-",17212.49131/13282.04615*100)</f>
        <v>129.5921661136526</v>
      </c>
      <c r="D14" s="54">
        <f>IF(13282.04615="","-",13282.04615/831736.70692*100)</f>
        <v>1.596905131094271</v>
      </c>
      <c r="E14" s="54">
        <f>IF(17212.49131="","-",17212.49131/864817.21761*100)</f>
        <v>1.990303957819927</v>
      </c>
      <c r="F14" s="54">
        <f>IF(OR(801858.14608="",14055.92858="",13282.04615=""),"-",(13282.04615-14055.92858)/801858.14608*100)</f>
        <v>-0.09651113900672287</v>
      </c>
      <c r="G14" s="54">
        <f>IF(OR(831736.70692="",17212.49131="",13282.04615=""),"-",(17212.49131-13282.04615)/831736.70692*100)</f>
        <v>0.4725588190708587</v>
      </c>
    </row>
    <row r="15" spans="1:7" s="9" customFormat="1" ht="14.25" customHeight="1">
      <c r="A15" s="41" t="s">
        <v>30</v>
      </c>
      <c r="B15" s="54">
        <f>IF(32189.07425="","-",32189.07425)</f>
        <v>32189.07425</v>
      </c>
      <c r="C15" s="54">
        <f>IF(OR(31729.61827="",32189.07425=""),"-",32189.07425/31729.61827*100)</f>
        <v>101.44803500656803</v>
      </c>
      <c r="D15" s="54">
        <f>IF(31729.61827="","-",31729.61827/831736.70692*100)</f>
        <v>3.8148632861831704</v>
      </c>
      <c r="E15" s="54">
        <f>IF(32189.07425="","-",32189.07425/864817.21761*100)</f>
        <v>3.7220667667738385</v>
      </c>
      <c r="F15" s="54">
        <f>IF(OR(801858.14608="",27125.15703="",31729.61827=""),"-",(31729.61827-27125.15703)/801858.14608*100)</f>
        <v>0.5742239151038844</v>
      </c>
      <c r="G15" s="54">
        <f>IF(OR(831736.70692="",32189.07425="",31729.61827=""),"-",(32189.07425-31729.61827)/831736.70692*100)</f>
        <v>0.055240555836643494</v>
      </c>
    </row>
    <row r="16" spans="1:7" s="9" customFormat="1" ht="14.25" customHeight="1">
      <c r="A16" s="41" t="s">
        <v>31</v>
      </c>
      <c r="B16" s="54">
        <f>IF(4325.8063="","-",4325.8063)</f>
        <v>4325.8063</v>
      </c>
      <c r="C16" s="54">
        <f>IF(OR(3232.40112="",4325.8063=""),"-",4325.8063/3232.40112*100)</f>
        <v>133.82640765821787</v>
      </c>
      <c r="D16" s="54">
        <f>IF(3232.40112="","-",3232.40112/831736.70692*100)</f>
        <v>0.38863273594956366</v>
      </c>
      <c r="E16" s="54">
        <f>IF(4325.8063="","-",4325.8063/864817.21761*100)</f>
        <v>0.5001989104651217</v>
      </c>
      <c r="F16" s="54">
        <f>IF(OR(801858.14608="",3515.09728="",3232.40112=""),"-",(3232.40112-3515.09728)/801858.14608*100)</f>
        <v>-0.03525513351482444</v>
      </c>
      <c r="G16" s="54">
        <f>IF(OR(831736.70692="",4325.8063="",3232.40112=""),"-",(4325.8063-3232.40112)/831736.70692*100)</f>
        <v>0.13146049355558484</v>
      </c>
    </row>
    <row r="17" spans="1:7" s="9" customFormat="1" ht="25.5">
      <c r="A17" s="41" t="s">
        <v>32</v>
      </c>
      <c r="B17" s="54">
        <f>IF(7063.52829="","-",7063.52829)</f>
        <v>7063.52829</v>
      </c>
      <c r="C17" s="54">
        <f>IF(OR(7185.34363="",7063.52829=""),"-",7063.52829/7185.34363*100)</f>
        <v>98.30466925073144</v>
      </c>
      <c r="D17" s="54">
        <f>IF(7185.34363="","-",7185.34363/831736.70692*100)</f>
        <v>0.8638964194099368</v>
      </c>
      <c r="E17" s="54">
        <f>IF(7063.52829="","-",7063.52829/864817.21761*100)</f>
        <v>0.8167654558868167</v>
      </c>
      <c r="F17" s="54">
        <f>IF(OR(801858.14608="",6915.77641="",7185.34363=""),"-",(7185.34363-6915.77641)/801858.14608*100)</f>
        <v>0.0336178189768126</v>
      </c>
      <c r="G17" s="54">
        <f>IF(OR(831736.70692="",7063.52829="",7185.34363=""),"-",(7063.52829-7185.34363)/831736.70692*100)</f>
        <v>-0.014645901640086785</v>
      </c>
    </row>
    <row r="18" spans="1:7" s="9" customFormat="1" ht="25.5">
      <c r="A18" s="41" t="s">
        <v>33</v>
      </c>
      <c r="B18" s="54">
        <f>IF(5178.51956="","-",5178.51956)</f>
        <v>5178.51956</v>
      </c>
      <c r="C18" s="54">
        <f>IF(OR(4500.0176="",5178.51956=""),"-",5178.51956/4500.0176*100)</f>
        <v>115.07776236252943</v>
      </c>
      <c r="D18" s="54">
        <f>IF(4500.0176="","-",4500.0176/831736.70692*100)</f>
        <v>0.5410387160456093</v>
      </c>
      <c r="E18" s="54">
        <f>IF(5178.51956="","-",5178.51956/864817.21761*100)</f>
        <v>0.5987993132596623</v>
      </c>
      <c r="F18" s="54">
        <f>IF(OR(801858.14608="",5263.53674="",4500.0176=""),"-",(4500.0176-5263.53674)/801858.14608*100)</f>
        <v>-0.09521872961353248</v>
      </c>
      <c r="G18" s="54">
        <f>IF(OR(831736.70692="",5178.51956="",4500.0176=""),"-",(5178.51956-4500.0176)/831736.70692*100)</f>
        <v>0.08157653189463727</v>
      </c>
    </row>
    <row r="19" spans="1:7" s="9" customFormat="1" ht="13.5" customHeight="1">
      <c r="A19" s="41" t="s">
        <v>34</v>
      </c>
      <c r="B19" s="54">
        <f>IF(11541.32747="","-",11541.32747)</f>
        <v>11541.32747</v>
      </c>
      <c r="C19" s="54">
        <f>IF(OR(10310.03563="",11541.32747=""),"-",11541.32747/10310.03563*100)</f>
        <v>111.94265358712441</v>
      </c>
      <c r="D19" s="54">
        <f>IF(10310.03563="","-",10310.03563/831736.70692*100)</f>
        <v>1.2395792495655316</v>
      </c>
      <c r="E19" s="54">
        <f>IF(11541.32747="","-",11541.32747/864817.21761*100)</f>
        <v>1.3345395113542597</v>
      </c>
      <c r="F19" s="54">
        <f>IF(OR(801858.14608="",9579.41263="",10310.03563=""),"-",(10310.03563-9579.41263)/801858.14608*100)</f>
        <v>0.09111624089270107</v>
      </c>
      <c r="G19" s="54">
        <f>IF(OR(831736.70692="",11541.32747="",10310.03563=""),"-",(11541.32747-10310.03563)/831736.70692*100)</f>
        <v>0.1480386557134878</v>
      </c>
    </row>
    <row r="20" spans="1:7" s="9" customFormat="1" ht="13.5" customHeight="1">
      <c r="A20" s="49" t="s">
        <v>35</v>
      </c>
      <c r="B20" s="53">
        <f>IF(15496.92183="","-",15496.92183)</f>
        <v>15496.92183</v>
      </c>
      <c r="C20" s="53">
        <f>IF(11662.58975="","-",15496.92183/11662.58975*100)</f>
        <v>132.8771924777685</v>
      </c>
      <c r="D20" s="53">
        <f>IF(11662.58975="","-",11662.58975/831736.70692*100)</f>
        <v>1.4021973123186635</v>
      </c>
      <c r="E20" s="53">
        <f>IF(15496.92183="","-",15496.92183/864817.21761*100)</f>
        <v>1.791930307866341</v>
      </c>
      <c r="F20" s="53">
        <f>IF(801858.14608="","-",(11662.58975-8369.52731)/801858.14608*100)</f>
        <v>0.41067892819928487</v>
      </c>
      <c r="G20" s="53">
        <f>IF(831736.70692="","-",(15496.92183-11662.58975)/831736.70692*100)</f>
        <v>0.46100310928910376</v>
      </c>
    </row>
    <row r="21" spans="1:7" s="9" customFormat="1" ht="15" customHeight="1">
      <c r="A21" s="41" t="s">
        <v>221</v>
      </c>
      <c r="B21" s="54">
        <f>IF(8005.81608="","-",8005.81608)</f>
        <v>8005.81608</v>
      </c>
      <c r="C21" s="54">
        <f>IF(OR(5851.16134="",8005.81608=""),"-",8005.81608/5851.16134*100)</f>
        <v>136.8243945910403</v>
      </c>
      <c r="D21" s="54">
        <f>IF(5851.16134="","-",5851.16134/831736.70692*100)</f>
        <v>0.7034872083098755</v>
      </c>
      <c r="E21" s="54">
        <f>IF(8005.81608="","-",8005.81608/864817.21761*100)</f>
        <v>0.9257234843363539</v>
      </c>
      <c r="F21" s="54">
        <f>IF(OR(801858.14608="",5836.88636="",5851.16134=""),"-",(5851.16134-5836.88636)/801858.14608*100)</f>
        <v>0.0017802375731648479</v>
      </c>
      <c r="G21" s="54">
        <f>IF(OR(831736.70692="",8005.81608="",5851.16134=""),"-",(8005.81608-5851.16134)/831736.70692*100)</f>
        <v>0.25905490548552207</v>
      </c>
    </row>
    <row r="22" spans="1:7" s="9" customFormat="1" ht="14.25" customHeight="1">
      <c r="A22" s="41" t="s">
        <v>36</v>
      </c>
      <c r="B22" s="54">
        <f>IF(7491.10575="","-",7491.10575)</f>
        <v>7491.10575</v>
      </c>
      <c r="C22" s="54">
        <f>IF(OR(5811.42841="",7491.10575=""),"-",7491.10575/5811.42841*100)</f>
        <v>128.9030032119074</v>
      </c>
      <c r="D22" s="54">
        <f>IF(5811.42841="","-",5811.42841/831736.70692*100)</f>
        <v>0.698710104008788</v>
      </c>
      <c r="E22" s="54">
        <f>IF(7491.10575="","-",7491.10575/864817.21761*100)</f>
        <v>0.8662068235299873</v>
      </c>
      <c r="F22" s="54">
        <f>IF(OR(801858.14608="",2532.64095="",5811.42841=""),"-",(5811.42841-2532.64095)/801858.14608*100)</f>
        <v>0.40889869062612</v>
      </c>
      <c r="G22" s="54">
        <f>IF(OR(831736.70692="",7491.10575="",5811.42841=""),"-",(7491.10575-5811.42841)/831736.70692*100)</f>
        <v>0.20194820380358153</v>
      </c>
    </row>
    <row r="23" spans="1:7" s="9" customFormat="1" ht="25.5">
      <c r="A23" s="49" t="s">
        <v>37</v>
      </c>
      <c r="B23" s="53">
        <f>IF(28716.44377="","-",28716.44377)</f>
        <v>28716.44377</v>
      </c>
      <c r="C23" s="53">
        <f>IF(24103.3813="","-",28716.44377/24103.3813*100)</f>
        <v>119.13865284120946</v>
      </c>
      <c r="D23" s="53">
        <f>IF(24103.3813="","-",24103.3813/831736.70692*100)</f>
        <v>2.897958103743805</v>
      </c>
      <c r="E23" s="53">
        <f>IF(28716.44377="","-",28716.44377/864817.21761*100)</f>
        <v>3.3205217455499403</v>
      </c>
      <c r="F23" s="53">
        <f>IF(801858.14608="","-",(24103.3813-26405.14774)/801858.14608*100)</f>
        <v>-0.2870540695074957</v>
      </c>
      <c r="G23" s="53">
        <f>IF(831736.70692="","-",(28716.44377-24103.3813)/831736.70692*100)</f>
        <v>0.5546301409592236</v>
      </c>
    </row>
    <row r="24" spans="1:7" s="9" customFormat="1" ht="14.25" customHeight="1">
      <c r="A24" s="41" t="s">
        <v>39</v>
      </c>
      <c r="B24" s="54">
        <f>IF(15087.15247="","-",15087.15247)</f>
        <v>15087.15247</v>
      </c>
      <c r="C24" s="54" t="s">
        <v>196</v>
      </c>
      <c r="D24" s="54">
        <f>IF(9823.67676="","-",9823.67676/831736.70692*100)</f>
        <v>1.181104149698768</v>
      </c>
      <c r="E24" s="54">
        <f>IF(15087.15247="","-",15087.15247/864817.21761*100)</f>
        <v>1.744548115230025</v>
      </c>
      <c r="F24" s="54">
        <f>IF(OR(801858.14608="",14185.04938="",9823.67676=""),"-",(9823.67676-14185.04938)/801858.14608*100)</f>
        <v>-0.5439082512687816</v>
      </c>
      <c r="G24" s="54">
        <f>IF(OR(831736.70692="",15087.15247="",9823.67676=""),"-",(15087.15247-9823.67676)/831736.70692*100)</f>
        <v>0.6328295560612145</v>
      </c>
    </row>
    <row r="25" spans="1:7" s="9" customFormat="1" ht="25.5">
      <c r="A25" s="41" t="s">
        <v>40</v>
      </c>
      <c r="B25" s="54">
        <f>IF(219.22696="","-",219.22696)</f>
        <v>219.22696</v>
      </c>
      <c r="C25" s="54">
        <f>IF(OR(179.36828="",219.22696=""),"-",219.22696/179.36828*100)</f>
        <v>122.22169939969318</v>
      </c>
      <c r="D25" s="54">
        <f>IF(179.36828="","-",179.36828/831736.70692*100)</f>
        <v>0.021565512079443717</v>
      </c>
      <c r="E25" s="54">
        <f>IF(219.22696="","-",219.22696/864817.21761*100)</f>
        <v>0.025349513808924085</v>
      </c>
      <c r="F25" s="54">
        <f>IF(OR(801858.14608="",136.1416="",179.36828=""),"-",(179.36828-136.1416)/801858.14608*100)</f>
        <v>0.005390813850469674</v>
      </c>
      <c r="G25" s="54">
        <f>IF(OR(831736.70692="",219.22696="",179.36828=""),"-",(219.22696-179.36828)/831736.70692*100)</f>
        <v>0.004792223268298506</v>
      </c>
    </row>
    <row r="26" spans="1:7" s="9" customFormat="1" ht="13.5" customHeight="1">
      <c r="A26" s="41" t="s">
        <v>41</v>
      </c>
      <c r="B26" s="54">
        <f>IF(4248.26472="","-",4248.26472)</f>
        <v>4248.26472</v>
      </c>
      <c r="C26" s="54">
        <f>IF(OR(3658.35673="",4248.26472=""),"-",4248.26472/3658.35673*100)</f>
        <v>116.12494443646013</v>
      </c>
      <c r="D26" s="54">
        <f>IF(3658.35673="","-",3658.35673/831736.70692*100)</f>
        <v>0.4398455303899286</v>
      </c>
      <c r="E26" s="54">
        <f>IF(4248.26472="","-",4248.26472/864817.21761*100)</f>
        <v>0.49123267130833276</v>
      </c>
      <c r="F26" s="54">
        <f>IF(OR(801858.14608="",3458.83931="",3658.35673=""),"-",(3658.35673-3458.83931)/801858.14608*100)</f>
        <v>0.024881884779168237</v>
      </c>
      <c r="G26" s="54">
        <f>IF(OR(831736.70692="",4248.26472="",3658.35673=""),"-",(4248.26472-3658.35673)/831736.70692*100)</f>
        <v>0.0709248473816294</v>
      </c>
    </row>
    <row r="27" spans="1:7" s="9" customFormat="1" ht="15" customHeight="1">
      <c r="A27" s="41" t="s">
        <v>215</v>
      </c>
      <c r="B27" s="54">
        <f>IF(43.11882="","-",43.11882)</f>
        <v>43.11882</v>
      </c>
      <c r="C27" s="54">
        <f>IF(OR(52.70321="",43.11882=""),"-",43.11882/52.70321*100)</f>
        <v>81.81440940694125</v>
      </c>
      <c r="D27" s="54">
        <f>IF(52.70321="","-",52.70321/831736.70692*100)</f>
        <v>0.006336525677117821</v>
      </c>
      <c r="E27" s="54">
        <f>IF(43.11882="","-",43.11882/864817.21761*100)</f>
        <v>0.004985888245745468</v>
      </c>
      <c r="F27" s="54">
        <f>IF(OR(801858.14608="",69.17872="",52.70321=""),"-",(52.70321-69.17872)/801858.14608*100)</f>
        <v>-0.002054666412075867</v>
      </c>
      <c r="G27" s="54">
        <f>IF(OR(831736.70692="",43.11882="",52.70321=""),"-",(43.11882-52.70321)/831736.70692*100)</f>
        <v>-0.001152334617464691</v>
      </c>
    </row>
    <row r="28" spans="1:7" s="9" customFormat="1" ht="38.25">
      <c r="A28" s="41" t="s">
        <v>216</v>
      </c>
      <c r="B28" s="54">
        <f>IF(1104.80865="","-",1104.80865)</f>
        <v>1104.80865</v>
      </c>
      <c r="C28" s="54">
        <f>IF(OR(1233.32056="",1104.80865=""),"-",1104.80865/1233.32056*100)</f>
        <v>89.58000748807756</v>
      </c>
      <c r="D28" s="54">
        <f>IF(1233.32056="","-",1233.32056/831736.70692*100)</f>
        <v>0.14828256944040658</v>
      </c>
      <c r="E28" s="54">
        <f>IF(1104.80865="","-",1104.80865/864817.21761*100)</f>
        <v>0.12775053820658633</v>
      </c>
      <c r="F28" s="54">
        <f>IF(OR(801858.14608="",1402.39628="",1233.32056=""),"-",(1233.32056-1402.39628)/801858.14608*100)</f>
        <v>-0.021085490099034505</v>
      </c>
      <c r="G28" s="54">
        <f>IF(OR(831736.70692="",1104.80865="",1233.32056=""),"-",(1104.80865-1233.32056)/831736.70692*100)</f>
        <v>-0.015451032632176563</v>
      </c>
    </row>
    <row r="29" spans="1:7" s="9" customFormat="1" ht="38.25">
      <c r="A29" s="41" t="s">
        <v>42</v>
      </c>
      <c r="B29" s="54">
        <f>IF(1967.88193="","-",1967.88193)</f>
        <v>1967.88193</v>
      </c>
      <c r="C29" s="54">
        <f>IF(OR(2989.78285="",1967.88193=""),"-",1967.88193/2989.78285*100)</f>
        <v>65.82022938555554</v>
      </c>
      <c r="D29" s="54">
        <f>IF(2989.78285="","-",2989.78285/831736.70692*100)</f>
        <v>0.35946265508365616</v>
      </c>
      <c r="E29" s="54">
        <f>IF(1967.88193="","-",1967.88193/864817.21761*100)</f>
        <v>0.22754888431088574</v>
      </c>
      <c r="F29" s="54">
        <f>IF(OR(801858.14608="",1352.64222="",2989.78285=""),"-",(2989.78285-1352.64222)/801858.14608*100)</f>
        <v>0.2041683604517083</v>
      </c>
      <c r="G29" s="54">
        <f>IF(OR(831736.70692="",1967.88193="",2989.78285=""),"-",(1967.88193-2989.78285)/831736.70692*100)</f>
        <v>-0.12286351095218534</v>
      </c>
    </row>
    <row r="30" spans="1:7" s="9" customFormat="1" ht="14.25" customHeight="1">
      <c r="A30" s="41" t="s">
        <v>43</v>
      </c>
      <c r="B30" s="54">
        <f>IF(167.6464="","-",167.6464)</f>
        <v>167.6464</v>
      </c>
      <c r="C30" s="54">
        <f>IF(OR(272.74842="",167.6464=""),"-",167.6464/272.74842*100)</f>
        <v>61.46558062554496</v>
      </c>
      <c r="D30" s="54">
        <f>IF(272.74842="","-",272.74842/831736.70692*100)</f>
        <v>0.0327926395132918</v>
      </c>
      <c r="E30" s="54">
        <f>IF(167.6464="","-",167.6464/864817.21761*100)</f>
        <v>0.019385182971183884</v>
      </c>
      <c r="F30" s="54">
        <f>IF(OR(801858.14608="",122.39358="",272.74842=""),"-",(272.74842-122.39358)/801858.14608*100)</f>
        <v>0.018750802836515597</v>
      </c>
      <c r="G30" s="54">
        <f>IF(OR(831736.70692="",167.6464="",272.74842=""),"-",(167.6464-272.74842)/831736.70692*100)</f>
        <v>-0.012636453234005118</v>
      </c>
    </row>
    <row r="31" spans="1:7" s="9" customFormat="1" ht="25.5">
      <c r="A31" s="41" t="s">
        <v>44</v>
      </c>
      <c r="B31" s="54">
        <f>IF(5878.34382="","-",5878.34382)</f>
        <v>5878.34382</v>
      </c>
      <c r="C31" s="54">
        <f>IF(OR(5893.42449="",5878.34382=""),"-",5878.34382/5893.42449*100)</f>
        <v>99.74411023632203</v>
      </c>
      <c r="D31" s="54">
        <f>IF(5893.42449="","-",5893.42449/831736.70692*100)</f>
        <v>0.7085685218611921</v>
      </c>
      <c r="E31" s="54">
        <f>IF(5878.34382="","-",5878.34382/864817.21761*100)</f>
        <v>0.6797209514682571</v>
      </c>
      <c r="F31" s="54">
        <f>IF(OR(801858.14608="",5678.50665="",5893.42449=""),"-",(5893.42449-5678.50665)/801858.14608*100)</f>
        <v>0.02680247635453442</v>
      </c>
      <c r="G31" s="54">
        <f>IF(OR(831736.70692="",5878.34382="",5893.42449=""),"-",(5878.34382-5893.42449)/831736.70692*100)</f>
        <v>-0.0018131543160870504</v>
      </c>
    </row>
    <row r="32" spans="1:7" s="9" customFormat="1" ht="25.5">
      <c r="A32" s="49" t="s">
        <v>45</v>
      </c>
      <c r="B32" s="53">
        <f>IF(148429.46733="","-",148429.46733)</f>
        <v>148429.46733</v>
      </c>
      <c r="C32" s="53">
        <f>IF(164497.33553="","-",148429.46733/164497.33553*100)</f>
        <v>90.23214075277856</v>
      </c>
      <c r="D32" s="53">
        <f>IF(164497.33553="","-",164497.33553/831736.70692*100)</f>
        <v>19.77757313839728</v>
      </c>
      <c r="E32" s="53">
        <f>IF(148429.46733="","-",148429.46733/864817.21761*100)</f>
        <v>17.16310271206188</v>
      </c>
      <c r="F32" s="53">
        <f>IF(801858.14608="","-",(164497.33553-144850.86952)/801858.14608*100)</f>
        <v>2.4501174061827027</v>
      </c>
      <c r="G32" s="53">
        <f>IF(831736.70692="","-",(148429.46733-164497.33553)/831736.70692*100)</f>
        <v>-1.9318455066749234</v>
      </c>
    </row>
    <row r="33" spans="1:7" s="9" customFormat="1" ht="14.25" customHeight="1">
      <c r="A33" s="41" t="s">
        <v>46</v>
      </c>
      <c r="B33" s="54">
        <f>IF(2035.44398="","-",2035.44398)</f>
        <v>2035.44398</v>
      </c>
      <c r="C33" s="54">
        <f>IF(OR(2431.17642="",2035.44398=""),"-",2035.44398/2431.17642*100)</f>
        <v>83.72259467702472</v>
      </c>
      <c r="D33" s="54">
        <f>IF(2431.17642="","-",2431.17642/831736.70692*100)</f>
        <v>0.2923012053902102</v>
      </c>
      <c r="E33" s="54">
        <f>IF(2035.44398="","-",2035.44398/864817.21761*100)</f>
        <v>0.23536117673803167</v>
      </c>
      <c r="F33" s="54">
        <f>IF(OR(801858.14608="",1189.63922="",2431.17642=""),"-",(2431.17642-1189.63922)/801858.14608*100)</f>
        <v>0.15483252319246674</v>
      </c>
      <c r="G33" s="54">
        <f>IF(OR(831736.70692="",2035.44398="",2431.17642=""),"-",(2035.44398-2431.17642)/831736.70692*100)</f>
        <v>-0.04757905196530697</v>
      </c>
    </row>
    <row r="34" spans="1:7" s="9" customFormat="1" ht="25.5">
      <c r="A34" s="41" t="s">
        <v>47</v>
      </c>
      <c r="B34" s="54">
        <f>IF(77752.35756="","-",77752.35756)</f>
        <v>77752.35756</v>
      </c>
      <c r="C34" s="54">
        <f>IF(OR(65258.43414="",77752.35756=""),"-",77752.35756/65258.43414*100)</f>
        <v>119.14530065676504</v>
      </c>
      <c r="D34" s="54">
        <f>IF(65258.43414="","-",65258.43414/831736.70692*100)</f>
        <v>7.846044739525586</v>
      </c>
      <c r="E34" s="54">
        <f>IF(77752.35756="","-",77752.35756/864817.21761*100)</f>
        <v>8.990611654896929</v>
      </c>
      <c r="F34" s="54">
        <f>IF(OR(801858.14608="",67812.46867="",65258.43414=""),"-",(65258.43414-67812.46867)/801858.14608*100)</f>
        <v>-0.3185145081440867</v>
      </c>
      <c r="G34" s="54">
        <f>IF(OR(831736.70692="",77752.35756="",65258.43414=""),"-",(77752.35756-65258.43414)/831736.70692*100)</f>
        <v>1.5021488550464714</v>
      </c>
    </row>
    <row r="35" spans="1:7" s="9" customFormat="1" ht="25.5">
      <c r="A35" s="41" t="s">
        <v>48</v>
      </c>
      <c r="B35" s="54">
        <f>IF(63141.40771="","-",63141.40771)</f>
        <v>63141.40771</v>
      </c>
      <c r="C35" s="54">
        <f>IF(OR(87926.13787="",63141.40771=""),"-",63141.40771/87926.13787*100)</f>
        <v>71.81187442049989</v>
      </c>
      <c r="D35" s="54">
        <f>IF(87926.13787="","-",87926.13787/831736.70692*100)</f>
        <v>10.571390818567915</v>
      </c>
      <c r="E35" s="54">
        <f>IF(63141.40771="","-",63141.40771/864817.21761*100)</f>
        <v>7.301127501195795</v>
      </c>
      <c r="F35" s="54">
        <f>IF(OR(801858.14608="",70510.21321="",87926.13787=""),"-",(87926.13787-70510.21321)/801858.14608*100)</f>
        <v>2.1719458416853756</v>
      </c>
      <c r="G35" s="54">
        <f>IF(OR(831736.70692="",63141.40771="",87926.13787=""),"-",(63141.40771-87926.13787)/831736.70692*100)</f>
        <v>-2.979876919437668</v>
      </c>
    </row>
    <row r="36" spans="1:7" s="9" customFormat="1" ht="13.5" customHeight="1">
      <c r="A36" s="41" t="s">
        <v>49</v>
      </c>
      <c r="B36" s="54">
        <f>IF(5500.25808="","-",5500.25808)</f>
        <v>5500.25808</v>
      </c>
      <c r="C36" s="54">
        <f>IF(OR(8881.5871="",5500.25808=""),"-",5500.25808/8881.5871*100)</f>
        <v>61.92877486952754</v>
      </c>
      <c r="D36" s="54">
        <f>IF(8881.5871="","-",8881.5871/831736.70692*100)</f>
        <v>1.0678363749135662</v>
      </c>
      <c r="E36" s="54">
        <f>IF(5500.25808="","-",5500.25808/864817.21761*100)</f>
        <v>0.6360023792311231</v>
      </c>
      <c r="F36" s="54">
        <f>IF(OR(801858.14608="",5338.54842="",8881.5871=""),"-",(8881.5871-5338.54842)/801858.14608*100)</f>
        <v>0.4418535494489468</v>
      </c>
      <c r="G36" s="54">
        <f>IF(OR(831736.70692="",5500.25808="",8881.5871=""),"-",(5500.25808-8881.5871)/831736.70692*100)</f>
        <v>-0.4065383903184198</v>
      </c>
    </row>
    <row r="37" spans="1:7" s="9" customFormat="1" ht="28.5" customHeight="1">
      <c r="A37" s="49" t="s">
        <v>50</v>
      </c>
      <c r="B37" s="53">
        <f>IF(1533.63782="","-",1533.63782)</f>
        <v>1533.63782</v>
      </c>
      <c r="C37" s="53">
        <f>IF(1611.30851="","-",1533.63782/1611.30851*100)</f>
        <v>95.17965122644327</v>
      </c>
      <c r="D37" s="53">
        <f>IF(1611.30851="","-",1611.30851/831736.70692*100)</f>
        <v>0.1937281950638957</v>
      </c>
      <c r="E37" s="53">
        <f>IF(1533.63782="","-",1533.63782/864817.21761*100)</f>
        <v>0.17733664279237474</v>
      </c>
      <c r="F37" s="53">
        <f>IF(801858.14608="","-",(1611.30851-1775.4448)/801858.14608*100)</f>
        <v>-0.020469492116829392</v>
      </c>
      <c r="G37" s="53">
        <f>IF(831736.70692="","-",(1533.63782-1611.30851)/831736.70692*100)</f>
        <v>-0.009338374674796077</v>
      </c>
    </row>
    <row r="38" spans="1:7" s="9" customFormat="1" ht="15" customHeight="1">
      <c r="A38" s="41" t="s">
        <v>51</v>
      </c>
      <c r="B38" s="54">
        <f>IF(267.89057="","-",267.89057)</f>
        <v>267.89057</v>
      </c>
      <c r="C38" s="54" t="s">
        <v>157</v>
      </c>
      <c r="D38" s="54">
        <f>IF(168.63198="","-",168.63198/831736.70692*100)</f>
        <v>0.02027468291311324</v>
      </c>
      <c r="E38" s="54">
        <f>IF(267.89057="","-",267.89057/864817.21761*100)</f>
        <v>0.030976553720835905</v>
      </c>
      <c r="F38" s="54">
        <f>IF(OR(801858.14608="",200.97129="",168.63198=""),"-",(168.63198-200.97129)/801858.14608*100)</f>
        <v>-0.0040330462636185</v>
      </c>
      <c r="G38" s="54">
        <f>IF(OR(831736.70692="",267.89057="",168.63198=""),"-",(267.89057-168.63198)/831736.70692*100)</f>
        <v>0.01193389556745235</v>
      </c>
    </row>
    <row r="39" spans="1:7" s="9" customFormat="1" ht="25.5">
      <c r="A39" s="41" t="s">
        <v>52</v>
      </c>
      <c r="B39" s="54">
        <f>IF(957.55041="","-",957.55041)</f>
        <v>957.55041</v>
      </c>
      <c r="C39" s="54">
        <f>IF(OR(877.14305="",957.55041=""),"-",957.55041/877.14305*100)</f>
        <v>109.16696085091253</v>
      </c>
      <c r="D39" s="54">
        <f>IF(877.14305="","-",877.14305/831736.70692*100)</f>
        <v>0.10545922077289868</v>
      </c>
      <c r="E39" s="54">
        <f>IF(957.55041="","-",957.55041/864817.21761*100)</f>
        <v>0.11072286611571824</v>
      </c>
      <c r="F39" s="54">
        <f>IF(OR(801858.14608="",1089.24863="",877.14305=""),"-",(877.14305-1089.24863)/801858.14608*100)</f>
        <v>-0.026451758460883507</v>
      </c>
      <c r="G39" s="54">
        <f>IF(OR(831736.70692="",957.55041="",877.14305=""),"-",(957.55041-877.14305)/831736.70692*100)</f>
        <v>0.009667405481929027</v>
      </c>
    </row>
    <row r="40" spans="1:7" s="9" customFormat="1" ht="63.75">
      <c r="A40" s="41" t="s">
        <v>217</v>
      </c>
      <c r="B40" s="54">
        <f>IF(308.19684="","-",308.19684)</f>
        <v>308.19684</v>
      </c>
      <c r="C40" s="54">
        <f>IF(OR(565.53348="",308.19684=""),"-",308.19684/565.53348*100)</f>
        <v>54.49665685575326</v>
      </c>
      <c r="D40" s="54">
        <f>IF(565.53348="","-",565.53348/831736.70692*100)</f>
        <v>0.06799429137788378</v>
      </c>
      <c r="E40" s="54">
        <f>IF(308.19684="","-",308.19684/864817.21761*100)</f>
        <v>0.035637222955820606</v>
      </c>
      <c r="F40" s="54">
        <f>IF(OR(801858.14608="",485.22488="",565.53348=""),"-",(565.53348-485.22488)/801858.14608*100)</f>
        <v>0.010015312607672607</v>
      </c>
      <c r="G40" s="54">
        <f>IF(OR(831736.70692="",308.19684="",565.53348=""),"-",(308.19684-565.53348)/831736.70692*100)</f>
        <v>-0.03093967572417743</v>
      </c>
    </row>
    <row r="41" spans="1:7" s="9" customFormat="1" ht="27" customHeight="1">
      <c r="A41" s="49" t="s">
        <v>53</v>
      </c>
      <c r="B41" s="53">
        <f>IF(121518.72623="","-",121518.72623)</f>
        <v>121518.72623</v>
      </c>
      <c r="C41" s="53">
        <f>IF(108791.60597="","-",121518.72623/108791.60597*100)</f>
        <v>111.6986233878279</v>
      </c>
      <c r="D41" s="53">
        <f>IF(108791.60597="","-",108791.60597/831736.70692*100)</f>
        <v>13.080053467023916</v>
      </c>
      <c r="E41" s="53">
        <f>IF(121518.72623="","-",121518.72623/864817.21761*100)</f>
        <v>14.051376840741897</v>
      </c>
      <c r="F41" s="53">
        <f>IF(801858.14608="","-",(108791.60597-112695.99661)/801858.14608*100)</f>
        <v>-0.4869178743256745</v>
      </c>
      <c r="G41" s="53">
        <f>IF(831736.70692="","-",(121518.72623-108791.60597)/831736.70692*100)</f>
        <v>1.530186194033654</v>
      </c>
    </row>
    <row r="42" spans="1:7" s="9" customFormat="1" ht="14.25" customHeight="1">
      <c r="A42" s="41" t="s">
        <v>54</v>
      </c>
      <c r="B42" s="54">
        <f>IF(1711.67708="","-",1711.67708)</f>
        <v>1711.67708</v>
      </c>
      <c r="C42" s="54">
        <f>IF(OR(2973.95725="",1711.67708=""),"-",1711.67708/2973.95725*100)</f>
        <v>57.55553749133414</v>
      </c>
      <c r="D42" s="54">
        <f>IF(2973.95725="","-",2973.95725/831736.70692*100)</f>
        <v>0.35755993756880655</v>
      </c>
      <c r="E42" s="54">
        <f>IF(1711.67708="","-",1711.67708/864817.21761*100)</f>
        <v>0.19792356640752057</v>
      </c>
      <c r="F42" s="54">
        <f>IF(OR(801858.14608="",3119.70718="",2973.95725=""),"-",(2973.95725-3119.70718)/801858.14608*100)</f>
        <v>-0.018176522956400664</v>
      </c>
      <c r="G42" s="54">
        <f>IF(OR(831736.70692="",1711.67708="",2973.95725=""),"-",(1711.67708-2973.95725)/831736.70692*100)</f>
        <v>-0.15176439364740113</v>
      </c>
    </row>
    <row r="43" spans="1:7" s="9" customFormat="1" ht="14.25" customHeight="1">
      <c r="A43" s="41" t="s">
        <v>55</v>
      </c>
      <c r="B43" s="54">
        <f>IF(3125.58001="","-",3125.58001)</f>
        <v>3125.58001</v>
      </c>
      <c r="C43" s="54" t="s">
        <v>157</v>
      </c>
      <c r="D43" s="54">
        <f>IF(2009.16676="","-",2009.16676/831736.70692*100)</f>
        <v>0.24156283392134217</v>
      </c>
      <c r="E43" s="54">
        <f>IF(3125.58001="","-",3125.58001/864817.21761*100)</f>
        <v>0.36141509978696085</v>
      </c>
      <c r="F43" s="54">
        <f>IF(OR(801858.14608="",1639.67114="",2009.16676=""),"-",(2009.16676-1639.67114)/801858.14608*100)</f>
        <v>0.04607992346356187</v>
      </c>
      <c r="G43" s="54">
        <f>IF(OR(831736.70692="",3125.58001="",2009.16676=""),"-",(3125.58001-2009.16676)/831736.70692*100)</f>
        <v>0.13422676199228772</v>
      </c>
    </row>
    <row r="44" spans="1:7" s="9" customFormat="1" ht="15" customHeight="1">
      <c r="A44" s="41" t="s">
        <v>56</v>
      </c>
      <c r="B44" s="54">
        <f>IF(4124.72225="","-",4124.72225)</f>
        <v>4124.72225</v>
      </c>
      <c r="C44" s="54">
        <f>IF(OR(3233.5557="",4124.72225=""),"-",4124.72225/3233.5557*100)</f>
        <v>127.55995667555689</v>
      </c>
      <c r="D44" s="54">
        <f>IF(3233.5557="","-",3233.5557/831736.70692*100)</f>
        <v>0.38877155151347875</v>
      </c>
      <c r="E44" s="54">
        <f>IF(4124.72225="","-",4124.72225/864817.21761*100)</f>
        <v>0.4769472862021688</v>
      </c>
      <c r="F44" s="54">
        <f>IF(OR(801858.14608="",3340.42668="",3233.5557=""),"-",(3233.5557-3340.42668)/801858.14608*100)</f>
        <v>-0.01332791598145563</v>
      </c>
      <c r="G44" s="54">
        <f>IF(OR(831736.70692="",4124.72225="",3233.5557=""),"-",(4124.72225-3233.5557)/831736.70692*100)</f>
        <v>0.10714527116400503</v>
      </c>
    </row>
    <row r="45" spans="1:7" s="9" customFormat="1" ht="15" customHeight="1">
      <c r="A45" s="41" t="s">
        <v>57</v>
      </c>
      <c r="B45" s="54">
        <f>IF(32960.60821="","-",32960.60821)</f>
        <v>32960.60821</v>
      </c>
      <c r="C45" s="54">
        <f>IF(OR(39518.46158="",32960.60821=""),"-",32960.60821/39518.46158*100)</f>
        <v>83.40559549180708</v>
      </c>
      <c r="D45" s="54">
        <f>IF(39518.46158="","-",39518.46158/831736.70692*100)</f>
        <v>4.751318686696012</v>
      </c>
      <c r="E45" s="54">
        <f>IF(32960.60821="","-",32960.60821/864817.21761*100)</f>
        <v>3.8112802958629337</v>
      </c>
      <c r="F45" s="54">
        <f>IF(OR(801858.14608="",34297.30348="",39518.46158=""),"-",(39518.46158-34297.30348)/801858.14608*100)</f>
        <v>0.6511323886306313</v>
      </c>
      <c r="G45" s="54">
        <f>IF(OR(831736.70692="",32960.60821="",39518.46158=""),"-",(32960.60821-39518.46158)/831736.70692*100)</f>
        <v>-0.7884530423436953</v>
      </c>
    </row>
    <row r="46" spans="1:7" s="9" customFormat="1" ht="38.25">
      <c r="A46" s="41" t="s">
        <v>58</v>
      </c>
      <c r="B46" s="54">
        <f>IF(17104.13923="","-",17104.13923)</f>
        <v>17104.13923</v>
      </c>
      <c r="C46" s="54">
        <f>IF(OR(15627.69243="",17104.13923=""),"-",17104.13923/15627.69243*100)</f>
        <v>109.44763154645732</v>
      </c>
      <c r="D46" s="54">
        <f>IF(15627.69243="","-",15627.69243/831736.70692*100)</f>
        <v>1.878923017341729</v>
      </c>
      <c r="E46" s="54">
        <f>IF(17104.13923="","-",17104.13923/864817.21761*100)</f>
        <v>1.9777750583260614</v>
      </c>
      <c r="F46" s="54">
        <f>IF(OR(801858.14608="",16672.43412="",15627.69243=""),"-",(15627.69243-16672.43412)/801858.14608*100)</f>
        <v>-0.1302900887279594</v>
      </c>
      <c r="G46" s="54">
        <f>IF(OR(831736.70692="",17104.13923="",15627.69243=""),"-",(17104.13923-15627.69243)/831736.70692*100)</f>
        <v>0.17751372372002483</v>
      </c>
    </row>
    <row r="47" spans="1:7" s="9" customFormat="1" ht="15.75">
      <c r="A47" s="41" t="s">
        <v>59</v>
      </c>
      <c r="B47" s="54">
        <f>IF(22494.3982="","-",22494.3982)</f>
        <v>22494.3982</v>
      </c>
      <c r="C47" s="54" t="s">
        <v>164</v>
      </c>
      <c r="D47" s="54">
        <f>IF(9663.04047="","-",9663.04047/831736.70692*100)</f>
        <v>1.1617907914372514</v>
      </c>
      <c r="E47" s="54">
        <f>IF(22494.3982="","-",22494.3982/864817.21761*100)</f>
        <v>2.601058089727363</v>
      </c>
      <c r="F47" s="54">
        <f>IF(OR(801858.14608="",17395.93973="",9663.04047=""),"-",(9663.04047-17395.93973)/801858.14608*100)</f>
        <v>-0.9643724763293109</v>
      </c>
      <c r="G47" s="54">
        <f>IF(OR(831736.70692="",22494.3982="",9663.04047=""),"-",(22494.3982-9663.04047)/831736.70692*100)</f>
        <v>1.5427187021137658</v>
      </c>
    </row>
    <row r="48" spans="1:7" s="9" customFormat="1" ht="14.25" customHeight="1">
      <c r="A48" s="41" t="s">
        <v>60</v>
      </c>
      <c r="B48" s="54">
        <f>IF(6628.98049="","-",6628.98049)</f>
        <v>6628.98049</v>
      </c>
      <c r="C48" s="54">
        <f>IF(OR(6278.5685="",6628.98049=""),"-",6628.98049/6278.5685*100)</f>
        <v>105.58108094225618</v>
      </c>
      <c r="D48" s="54">
        <f>IF(6278.5685="","-",6278.5685/831736.70692*100)</f>
        <v>0.7548745231228444</v>
      </c>
      <c r="E48" s="54">
        <f>IF(6628.98049="","-",6628.98049/864817.21761*100)</f>
        <v>0.7665180982774351</v>
      </c>
      <c r="F48" s="54">
        <f>IF(OR(801858.14608="",6847.39515="",6278.5685=""),"-",(6278.5685-6847.39515)/801858.14608*100)</f>
        <v>-0.07093856348292919</v>
      </c>
      <c r="G48" s="54">
        <f>IF(OR(831736.70692="",6628.98049="",6278.5685=""),"-",(6628.98049-6278.5685)/831736.70692*100)</f>
        <v>0.04213015814795627</v>
      </c>
    </row>
    <row r="49" spans="1:7" s="9" customFormat="1" ht="13.5" customHeight="1">
      <c r="A49" s="41" t="s">
        <v>61</v>
      </c>
      <c r="B49" s="54">
        <f>IF(15423.98183="","-",15423.98183)</f>
        <v>15423.98183</v>
      </c>
      <c r="C49" s="54">
        <f>IF(OR(14542.05994="",15423.98183=""),"-",15423.98183/14542.05994*100)</f>
        <v>106.0646283514081</v>
      </c>
      <c r="D49" s="54">
        <f>IF(14542.05994="","-",14542.05994/831736.70692*100)</f>
        <v>1.7483970370684525</v>
      </c>
      <c r="E49" s="54">
        <f>IF(15423.98183="","-",15423.98183/864817.21761*100)</f>
        <v>1.783496155710863</v>
      </c>
      <c r="F49" s="54">
        <f>IF(OR(801858.14608="",13448.15026="",14542.05994=""),"-",(14542.05994-13448.15026)/801858.14608*100)</f>
        <v>0.1364218453535373</v>
      </c>
      <c r="G49" s="54">
        <f>IF(OR(831736.70692="",15423.98183="",14542.05994=""),"-",(15423.98183-14542.05994)/831736.70692*100)</f>
        <v>0.10603378240523276</v>
      </c>
    </row>
    <row r="50" spans="1:7" s="9" customFormat="1" ht="16.5" customHeight="1">
      <c r="A50" s="41" t="s">
        <v>62</v>
      </c>
      <c r="B50" s="54">
        <f>IF(17944.63893="","-",17944.63893)</f>
        <v>17944.63893</v>
      </c>
      <c r="C50" s="54">
        <f>IF(OR(14945.10334="",17944.63893=""),"-",17944.63893/14945.10334*100)</f>
        <v>120.07035697084716</v>
      </c>
      <c r="D50" s="54">
        <f>IF(14945.10334="","-",14945.10334/831736.70692*100)</f>
        <v>1.796855088353998</v>
      </c>
      <c r="E50" s="54">
        <f>IF(17944.63893="","-",17944.63893/864817.21761*100)</f>
        <v>2.0749631904405907</v>
      </c>
      <c r="F50" s="54">
        <f>IF(OR(801858.14608="",15934.96887="",14945.10334=""),"-",(14945.10334-15934.96887)/801858.14608*100)</f>
        <v>-0.12344646429534979</v>
      </c>
      <c r="G50" s="54">
        <f>IF(OR(831736.70692="",17944.63893="",14945.10334=""),"-",(17944.63893-14945.10334)/831736.70692*100)</f>
        <v>0.3606352304814785</v>
      </c>
    </row>
    <row r="51" spans="1:7" s="9" customFormat="1" ht="27.75" customHeight="1">
      <c r="A51" s="49" t="s">
        <v>63</v>
      </c>
      <c r="B51" s="53">
        <f>IF(158934.8933="","-",158934.8933)</f>
        <v>158934.8933</v>
      </c>
      <c r="C51" s="53">
        <f>IF(141036.14324="","-",158934.8933/141036.14324*100)</f>
        <v>112.69089585748372</v>
      </c>
      <c r="D51" s="53">
        <f>IF(141036.14324="","-",141036.14324/831736.70692*100)</f>
        <v>16.95682564765841</v>
      </c>
      <c r="E51" s="53">
        <f>IF(158934.8933="","-",158934.8933/864817.21761*100)</f>
        <v>18.377859513392995</v>
      </c>
      <c r="F51" s="53">
        <f>IF(801858.14608="","-",(141036.14324-157678.0584)/801858.14608*100)</f>
        <v>-2.0754188557360704</v>
      </c>
      <c r="G51" s="53">
        <f>IF(831736.70692="","-",(158934.8933-141036.14324)/831736.70692*100)</f>
        <v>2.1519730836794206</v>
      </c>
    </row>
    <row r="52" spans="1:7" s="9" customFormat="1" ht="15.75">
      <c r="A52" s="41" t="s">
        <v>64</v>
      </c>
      <c r="B52" s="54">
        <f>IF(9701.9546="","-",9701.9546)</f>
        <v>9701.9546</v>
      </c>
      <c r="C52" s="54">
        <f>IF(OR(8154.90847="",9701.9546=""),"-",9701.9546/8154.90847*100)</f>
        <v>118.97073567031708</v>
      </c>
      <c r="D52" s="54">
        <f>IF(8154.90847="","-",8154.90847/831736.70692*100)</f>
        <v>0.9804675448554387</v>
      </c>
      <c r="E52" s="54">
        <f>IF(9701.9546="","-",9701.9546/864817.21761*100)</f>
        <v>1.1218503057573508</v>
      </c>
      <c r="F52" s="54">
        <f>IF(OR(801858.14608="",10748.66927="",8154.90847=""),"-",(8154.90847-10748.66927)/801858.14608*100)</f>
        <v>-0.3234687846821756</v>
      </c>
      <c r="G52" s="54">
        <f>IF(OR(831736.70692="",9701.9546="",8154.90847=""),"-",(9701.9546-8154.90847)/831736.70692*100)</f>
        <v>0.18600190626777283</v>
      </c>
    </row>
    <row r="53" spans="1:7" s="9" customFormat="1" ht="15" customHeight="1">
      <c r="A53" s="41" t="s">
        <v>65</v>
      </c>
      <c r="B53" s="54">
        <f>IF(9519.27203="","-",9519.27203)</f>
        <v>9519.27203</v>
      </c>
      <c r="C53" s="54">
        <f>IF(OR(9210.23109="",9519.27203=""),"-",9519.27203/9210.23109*100)</f>
        <v>103.35540918550394</v>
      </c>
      <c r="D53" s="54">
        <f>IF(9210.23109="","-",9210.23109/831736.70692*100)</f>
        <v>1.1073493586818308</v>
      </c>
      <c r="E53" s="54">
        <f>IF(9519.27203="","-",9519.27203/864817.21761*100)</f>
        <v>1.1007264698438084</v>
      </c>
      <c r="F53" s="54">
        <f>IF(OR(801858.14608="",8888.8179="",9210.23109=""),"-",(9210.23109-8888.8179)/801858.14608*100)</f>
        <v>0.04008354739192641</v>
      </c>
      <c r="G53" s="54">
        <f>IF(OR(831736.70692="",9519.27203="",9210.23109=""),"-",(9519.27203-9210.23109)/831736.70692*100)</f>
        <v>0.03715610209682926</v>
      </c>
    </row>
    <row r="54" spans="1:7" s="9" customFormat="1" ht="13.5" customHeight="1">
      <c r="A54" s="41" t="s">
        <v>66</v>
      </c>
      <c r="B54" s="54">
        <f>IF(11821.81483="","-",11821.81483)</f>
        <v>11821.81483</v>
      </c>
      <c r="C54" s="54">
        <f>IF(OR(10434.14727="",11821.81483=""),"-",11821.81483/10434.14727*100)</f>
        <v>113.29929053224875</v>
      </c>
      <c r="D54" s="54">
        <f>IF(10434.14727="","-",10434.14727/831736.70692*100)</f>
        <v>1.254501236171076</v>
      </c>
      <c r="E54" s="54">
        <f>IF(11821.81483="","-",11821.81483/864817.21761*100)</f>
        <v>1.366972649165178</v>
      </c>
      <c r="F54" s="54">
        <f>IF(OR(801858.14608="",10258.0731="",10434.14727=""),"-",(10434.14727-10258.0731)/801858.14608*100)</f>
        <v>0.02195826916029525</v>
      </c>
      <c r="G54" s="54">
        <f>IF(OR(831736.70692="",11821.81483="",10434.14727=""),"-",(11821.81483-10434.14727)/831736.70692*100)</f>
        <v>0.16683976412904325</v>
      </c>
    </row>
    <row r="55" spans="1:7" s="9" customFormat="1" ht="25.5">
      <c r="A55" s="41" t="s">
        <v>218</v>
      </c>
      <c r="B55" s="54">
        <f>IF(13985.97489="","-",13985.97489)</f>
        <v>13985.97489</v>
      </c>
      <c r="C55" s="54">
        <f>IF(OR(15482.93719="",13985.97489=""),"-",13985.97489/15482.93719*100)</f>
        <v>90.33153540810818</v>
      </c>
      <c r="D55" s="54">
        <f>IF(15482.93719="","-",15482.93719/831736.70692*100)</f>
        <v>1.8615190433682778</v>
      </c>
      <c r="E55" s="54">
        <f>IF(13985.97489="","-",13985.97489/864817.21761*100)</f>
        <v>1.6172174426234822</v>
      </c>
      <c r="F55" s="54">
        <f>IF(OR(801858.14608="",14574.18709="",15482.93719=""),"-",(15482.93719-14574.18709)/801858.14608*100)</f>
        <v>0.11333053164609701</v>
      </c>
      <c r="G55" s="54">
        <f>IF(OR(831736.70692="",13985.97489="",15482.93719=""),"-",(13985.97489-15482.93719)/831736.70692*100)</f>
        <v>-0.17998030957938535</v>
      </c>
    </row>
    <row r="56" spans="1:7" s="9" customFormat="1" ht="25.5">
      <c r="A56" s="41" t="s">
        <v>256</v>
      </c>
      <c r="B56" s="54">
        <f>IF(43052.94426="","-",43052.94426)</f>
        <v>43052.94426</v>
      </c>
      <c r="C56" s="54">
        <f>IF(OR(39530.318="",43052.94426=""),"-",43052.94426/39530.318*100)</f>
        <v>108.91120142266499</v>
      </c>
      <c r="D56" s="54">
        <f>IF(39530.318="","-",39530.318/831736.70692*100)</f>
        <v>4.752744188288204</v>
      </c>
      <c r="E56" s="54">
        <f>IF(43052.94426="","-",43052.94426/864817.21761*100)</f>
        <v>4.978270943654507</v>
      </c>
      <c r="F56" s="54">
        <f>IF(OR(801858.14608="",48520.48882="",39530.318=""),"-",(39530.318-48520.48882)/801858.14608*100)</f>
        <v>-1.1211672368672383</v>
      </c>
      <c r="G56" s="54">
        <f>IF(OR(831736.70692="",43052.94426="",39530.318=""),"-",(43052.94426-39530.318)/831736.70692*100)</f>
        <v>0.42352660772236644</v>
      </c>
    </row>
    <row r="57" spans="1:7" s="9" customFormat="1" ht="13.5" customHeight="1">
      <c r="A57" s="41" t="s">
        <v>67</v>
      </c>
      <c r="B57" s="54">
        <f>IF(18493.12195="","-",18493.12195)</f>
        <v>18493.12195</v>
      </c>
      <c r="C57" s="54">
        <f>IF(OR(14958.10067="",18493.12195=""),"-",18493.12195/14958.10067*100)</f>
        <v>123.63282182670324</v>
      </c>
      <c r="D57" s="54">
        <f>IF(14958.10067="","-",14958.10067/831736.70692*100)</f>
        <v>1.7984177619611459</v>
      </c>
      <c r="E57" s="54">
        <f>IF(18493.12195="","-",18493.12195/864817.21761*100)</f>
        <v>2.1383850336730577</v>
      </c>
      <c r="F57" s="54">
        <f>IF(OR(801858.14608="",14352.1757="",14958.10067=""),"-",(14958.10067-14352.1757)/801858.14608*100)</f>
        <v>0.07556510748966663</v>
      </c>
      <c r="G57" s="54">
        <f>IF(OR(831736.70692="",18493.12195="",14958.10067=""),"-",(18493.12195-14958.10067)/831736.70692*100)</f>
        <v>0.4250168653840613</v>
      </c>
    </row>
    <row r="58" spans="1:7" s="9" customFormat="1" ht="14.25" customHeight="1">
      <c r="A58" s="41" t="s">
        <v>68</v>
      </c>
      <c r="B58" s="54">
        <f>IF(18514.80168="","-",18514.80168)</f>
        <v>18514.80168</v>
      </c>
      <c r="C58" s="54" t="s">
        <v>157</v>
      </c>
      <c r="D58" s="54">
        <f>IF(11348.28395="","-",11348.28395/831736.70692*100)</f>
        <v>1.3644082142320941</v>
      </c>
      <c r="E58" s="54">
        <f>IF(18514.80168="","-",18514.80168/864817.21761*100)</f>
        <v>2.1408918905624144</v>
      </c>
      <c r="F58" s="54">
        <f>IF(OR(801858.14608="",13518.37899="",11348.28395=""),"-",(11348.28395-13518.37899)/801858.14608*100)</f>
        <v>-0.27063328477846427</v>
      </c>
      <c r="G58" s="54">
        <f>IF(OR(831736.70692="",18514.80168="",11348.28395=""),"-",(18514.80168-11348.28395)/831736.70692*100)</f>
        <v>0.8616329747593198</v>
      </c>
    </row>
    <row r="59" spans="1:7" s="9" customFormat="1" ht="14.25" customHeight="1">
      <c r="A59" s="41" t="s">
        <v>69</v>
      </c>
      <c r="B59" s="54">
        <f>IF(11781.28219="","-",11781.28219)</f>
        <v>11781.28219</v>
      </c>
      <c r="C59" s="54">
        <f>IF(OR(13806.04663="",11781.28219=""),"-",11781.28219/13806.04663*100)</f>
        <v>85.33421989463467</v>
      </c>
      <c r="D59" s="54">
        <f>IF(13806.04663="","-",13806.04663/831736.70692*100)</f>
        <v>1.6599058951149457</v>
      </c>
      <c r="E59" s="54">
        <f>IF(11781.28219="","-",11781.28219/864817.21761*100)</f>
        <v>1.3622858044568804</v>
      </c>
      <c r="F59" s="54">
        <f>IF(OR(801858.14608="",15584.50622="",13806.04663=""),"-",(13806.04663-15584.50622)/801858.14608*100)</f>
        <v>-0.22179229564409322</v>
      </c>
      <c r="G59" s="54">
        <f>IF(OR(831736.70692="",11781.28219="",13806.04663=""),"-",(11781.28219-13806.04663)/831736.70692*100)</f>
        <v>-0.24343814853355406</v>
      </c>
    </row>
    <row r="60" spans="1:7" s="9" customFormat="1" ht="15" customHeight="1">
      <c r="A60" s="41" t="s">
        <v>70</v>
      </c>
      <c r="B60" s="54">
        <f>IF(22063.72687="","-",22063.72687)</f>
        <v>22063.72687</v>
      </c>
      <c r="C60" s="54">
        <f>IF(OR(18111.16997="",22063.72687=""),"-",22063.72687/18111.16997*100)</f>
        <v>121.8238628788044</v>
      </c>
      <c r="D60" s="54">
        <f>IF(18111.16997="","-",18111.16997/831736.70692*100)</f>
        <v>2.1775124049853924</v>
      </c>
      <c r="E60" s="54">
        <f>IF(22063.72687="","-",22063.72687/864817.21761*100)</f>
        <v>2.5512589736563163</v>
      </c>
      <c r="F60" s="54">
        <f>IF(OR(801858.14608="",21232.76131="",18111.16997=""),"-",(18111.16997-21232.76131)/801858.14608*100)</f>
        <v>-0.38929470945208394</v>
      </c>
      <c r="G60" s="54">
        <f>IF(OR(831736.70692="",22063.72687="",18111.16997=""),"-",(22063.72687-18111.16997)/831736.70692*100)</f>
        <v>0.475217321432968</v>
      </c>
    </row>
    <row r="61" spans="1:7" s="9" customFormat="1" ht="15" customHeight="1">
      <c r="A61" s="49" t="s">
        <v>257</v>
      </c>
      <c r="B61" s="53">
        <f>IF(192061.15119="","-",192061.15119)</f>
        <v>192061.15119</v>
      </c>
      <c r="C61" s="53">
        <f>IF(196365.59244="","-",192061.15119/196365.59244*100)</f>
        <v>97.80794527365315</v>
      </c>
      <c r="D61" s="53">
        <f>IF(196365.59244="","-",196365.59244/831736.70692*100)</f>
        <v>23.60910499756112</v>
      </c>
      <c r="E61" s="53">
        <f>IF(192061.15119="","-",192061.15119/864817.21761*100)</f>
        <v>22.208294108757247</v>
      </c>
      <c r="F61" s="53">
        <f>IF(801858.14608="","-",(196365.59244-180704.46528)/801858.14608*100)</f>
        <v>1.953104453270407</v>
      </c>
      <c r="G61" s="53">
        <f>IF(831736.70692="","-",(192061.15119-196365.59244)/831736.70692*100)</f>
        <v>-0.5175245019472278</v>
      </c>
    </row>
    <row r="62" spans="1:7" s="9" customFormat="1" ht="25.5">
      <c r="A62" s="41" t="s">
        <v>71</v>
      </c>
      <c r="B62" s="54">
        <f>IF(2617.13913="","-",2617.13913)</f>
        <v>2617.13913</v>
      </c>
      <c r="C62" s="54">
        <f>IF(OR(2203.14394="",2617.13913=""),"-",2617.13913/2203.14394*100)</f>
        <v>118.79110949055831</v>
      </c>
      <c r="D62" s="54">
        <f>IF(2203.14394="","-",2203.14394/831736.70692*100)</f>
        <v>0.26488477924203335</v>
      </c>
      <c r="E62" s="54">
        <f>IF(2617.13913="","-",2617.13913/864817.21761*100)</f>
        <v>0.3026233840756199</v>
      </c>
      <c r="F62" s="54">
        <f>IF(OR(801858.14608="",3670.10649="",2203.14394=""),"-",(2203.14394-3670.10649)/801858.14608*100)</f>
        <v>-0.18294539466506135</v>
      </c>
      <c r="G62" s="54">
        <f>IF(OR(831736.70692="",2617.13913="",2203.14394=""),"-",(2617.13913-2203.14394)/831736.70692*100)</f>
        <v>0.04977478889119413</v>
      </c>
    </row>
    <row r="63" spans="1:7" s="9" customFormat="1" ht="25.5">
      <c r="A63" s="41" t="s">
        <v>258</v>
      </c>
      <c r="B63" s="54">
        <f>IF(21883.21431="","-",21883.21431)</f>
        <v>21883.21431</v>
      </c>
      <c r="C63" s="54">
        <f>IF(OR(25701.9601="",21883.21431=""),"-",21883.21431/25701.9601*100)</f>
        <v>85.14220014682849</v>
      </c>
      <c r="D63" s="54">
        <f>IF(25701.9601="","-",25701.9601/831736.70692*100)</f>
        <v>3.0901558012483057</v>
      </c>
      <c r="E63" s="54">
        <f>IF(21883.21431="","-",21883.21431/864817.21761*100)</f>
        <v>2.530386058972811</v>
      </c>
      <c r="F63" s="54">
        <f>IF(OR(801858.14608="",24406.5021="",25701.9601=""),"-",(25701.9601-24406.5021)/801858.14608*100)</f>
        <v>0.16155700435707157</v>
      </c>
      <c r="G63" s="54">
        <f>IF(OR(831736.70692="",21883.21431="",25701.9601=""),"-",(21883.21431-25701.9601)/831736.70692*100)</f>
        <v>-0.4591291641006418</v>
      </c>
    </row>
    <row r="64" spans="1:7" s="9" customFormat="1" ht="25.5">
      <c r="A64" s="41" t="s">
        <v>72</v>
      </c>
      <c r="B64" s="54">
        <f>IF(2731.30424="","-",2731.30424)</f>
        <v>2731.30424</v>
      </c>
      <c r="C64" s="54" t="s">
        <v>164</v>
      </c>
      <c r="D64" s="54">
        <f>IF(1212.12309="","-",1212.12309/831736.70692*100)</f>
        <v>0.14573399008546908</v>
      </c>
      <c r="E64" s="54">
        <f>IF(2731.30424="","-",2731.30424/864817.21761*100)</f>
        <v>0.3158244521944422</v>
      </c>
      <c r="F64" s="54">
        <f>IF(OR(801858.14608="",1596.32965="",1212.12309=""),"-",(1212.12309-1596.32965)/801858.14608*100)</f>
        <v>-0.04791452975544982</v>
      </c>
      <c r="G64" s="54">
        <f>IF(OR(831736.70692="",2731.30424="",1212.12309=""),"-",(2731.30424-1212.12309)/831736.70692*100)</f>
        <v>0.18265168981487806</v>
      </c>
    </row>
    <row r="65" spans="1:7" s="9" customFormat="1" ht="38.25">
      <c r="A65" s="41" t="s">
        <v>73</v>
      </c>
      <c r="B65" s="54">
        <f>IF(26334.22392="","-",26334.22392)</f>
        <v>26334.22392</v>
      </c>
      <c r="C65" s="54">
        <f>IF(OR(23696.09167="",26334.22392=""),"-",26334.22392/23696.09167*100)</f>
        <v>111.13319566255713</v>
      </c>
      <c r="D65" s="54">
        <f>IF(23696.09167="","-",23696.09167/831736.70692*100)</f>
        <v>2.8489895267155974</v>
      </c>
      <c r="E65" s="54">
        <f>IF(26334.22392="","-",26334.22392/864817.21761*100)</f>
        <v>3.0450623997492774</v>
      </c>
      <c r="F65" s="54">
        <f>IF(OR(801858.14608="",19876.56319="",23696.09167=""),"-",(23696.09167-19876.56319)/801858.14608*100)</f>
        <v>0.4763346857137164</v>
      </c>
      <c r="G65" s="54">
        <f>IF(OR(831736.70692="",26334.22392="",23696.09167=""),"-",(26334.22392-23696.09167)/831736.70692*100)</f>
        <v>0.31718357841500744</v>
      </c>
    </row>
    <row r="66" spans="1:7" s="9" customFormat="1" ht="25.5">
      <c r="A66" s="41" t="s">
        <v>74</v>
      </c>
      <c r="B66" s="54">
        <f>IF(6245.49671="","-",6245.49671)</f>
        <v>6245.49671</v>
      </c>
      <c r="C66" s="54">
        <f>IF(OR(7693.85036="",6245.49671=""),"-",6245.49671/7693.85036*100)</f>
        <v>81.17517780785121</v>
      </c>
      <c r="D66" s="54">
        <f>IF(7693.85036="","-",7693.85036/831736.70692*100)</f>
        <v>0.9250343643592525</v>
      </c>
      <c r="E66" s="54">
        <f>IF(6245.49671="","-",6245.49671/864817.21761*100)</f>
        <v>0.722175343277738</v>
      </c>
      <c r="F66" s="54">
        <f>IF(OR(801858.14608="",9292.71957="",7693.85036=""),"-",(7693.85036-9292.71957)/801858.14608*100)</f>
        <v>-0.19939551874808573</v>
      </c>
      <c r="G66" s="54">
        <f>IF(OR(831736.70692="",6245.49671="",7693.85036=""),"-",(6245.49671-7693.85036)/831736.70692*100)</f>
        <v>-0.1741360743069031</v>
      </c>
    </row>
    <row r="67" spans="1:7" s="9" customFormat="1" ht="38.25">
      <c r="A67" s="41" t="s">
        <v>75</v>
      </c>
      <c r="B67" s="54">
        <f>IF(22191.46695="","-",22191.46695)</f>
        <v>22191.46695</v>
      </c>
      <c r="C67" s="54">
        <f>IF(OR(21788.18774="",22191.46695=""),"-",22191.46695/21788.18774*100)</f>
        <v>101.85090754133552</v>
      </c>
      <c r="D67" s="54">
        <f>IF(21788.18774="","-",21788.18774/831736.70692*100)</f>
        <v>2.619601558849522</v>
      </c>
      <c r="E67" s="54">
        <f>IF(22191.46695="","-",22191.46695/864817.21761*100)</f>
        <v>2.566029734159099</v>
      </c>
      <c r="F67" s="54">
        <f>IF(OR(801858.14608="",21016.08504="",21788.18774=""),"-",(21788.18774-21016.08504)/801858.14608*100)</f>
        <v>0.09628918827781892</v>
      </c>
      <c r="G67" s="54">
        <f>IF(OR(831736.70692="",22191.46695="",21788.18774=""),"-",(22191.46695-21788.18774)/831736.70692*100)</f>
        <v>0.04848640280568857</v>
      </c>
    </row>
    <row r="68" spans="1:7" s="9" customFormat="1" ht="38.25" customHeight="1">
      <c r="A68" s="41" t="s">
        <v>259</v>
      </c>
      <c r="B68" s="54">
        <f>IF(62351.71414="","-",62351.71414)</f>
        <v>62351.71414</v>
      </c>
      <c r="C68" s="54">
        <f>IF(OR(62629.3930099999="",62351.71414=""),"-",62351.71414/62629.3930099999*100)</f>
        <v>99.55663170812534</v>
      </c>
      <c r="D68" s="54">
        <f>IF(62629.3930099999="","-",62629.3930099999/831736.70692*100)</f>
        <v>7.529954189700547</v>
      </c>
      <c r="E68" s="54">
        <f>IF(62351.71414="","-",62351.71414/864817.21761*100)</f>
        <v>7.209814151516842</v>
      </c>
      <c r="F68" s="54">
        <f>IF(OR(801858.14608="",61378.86738="",62629.3930099999=""),"-",(62629.3930099999-61378.86738)/801858.14608*100)</f>
        <v>0.15595347333107118</v>
      </c>
      <c r="G68" s="54">
        <f>IF(OR(831736.70692="",62351.71414="",62629.3930099999=""),"-",(62351.71414-62629.3930099999)/831736.70692*100)</f>
        <v>-0.033385429269819376</v>
      </c>
    </row>
    <row r="69" spans="1:7" s="9" customFormat="1" ht="25.5">
      <c r="A69" s="41" t="s">
        <v>76</v>
      </c>
      <c r="B69" s="54">
        <f>IF(44725.71986="","-",44725.71986)</f>
        <v>44725.71986</v>
      </c>
      <c r="C69" s="54">
        <f>IF(OR(49950.28369="",44725.71986=""),"-",44725.71986/49950.28369*100)</f>
        <v>89.54047215742649</v>
      </c>
      <c r="D69" s="54">
        <f>IF(49950.28369="","-",49950.28369/831736.70692*100)</f>
        <v>6.005540368053568</v>
      </c>
      <c r="E69" s="54">
        <f>IF(44725.71986="","-",44725.71986/864817.21761*100)</f>
        <v>5.171696278619837</v>
      </c>
      <c r="F69" s="54">
        <f>IF(OR(801858.14608="",39226.62892="",49950.28369=""),"-",(49950.28369-39226.62892)/801858.14608*100)</f>
        <v>1.3373506052690414</v>
      </c>
      <c r="G69" s="54">
        <f>IF(OR(831736.70692="",44725.71986="",49950.28369=""),"-",(44725.71986-49950.28369)/831736.70692*100)</f>
        <v>-0.628151166893554</v>
      </c>
    </row>
    <row r="70" spans="1:7" s="9" customFormat="1" ht="14.25" customHeight="1">
      <c r="A70" s="41" t="s">
        <v>77</v>
      </c>
      <c r="B70" s="54">
        <f>IF(2980.87193="","-",2980.87193)</f>
        <v>2980.87193</v>
      </c>
      <c r="C70" s="54" t="s">
        <v>20</v>
      </c>
      <c r="D70" s="54">
        <f>IF(1490.55884="","-",1490.55884/831736.70692*100)</f>
        <v>0.17921041930681172</v>
      </c>
      <c r="E70" s="54">
        <f>IF(2980.87193="","-",2980.87193/864817.21761*100)</f>
        <v>0.34468230619157963</v>
      </c>
      <c r="F70" s="54">
        <f>IF(OR(801858.14608="",240.66294="",1490.55884=""),"-",(1490.55884-240.66294)/801858.14608*100)</f>
        <v>0.1558749394902699</v>
      </c>
      <c r="G70" s="54">
        <f>IF(OR(831736.70692="",2980.87193="",1490.55884=""),"-",(2980.87193-1490.55884)/831736.70692*100)</f>
        <v>0.17918087269693442</v>
      </c>
    </row>
    <row r="71" spans="1:7" s="9" customFormat="1" ht="13.5" customHeight="1">
      <c r="A71" s="49" t="s">
        <v>78</v>
      </c>
      <c r="B71" s="53">
        <f>IF(90946.01955="","-",90946.01955)</f>
        <v>90946.01955</v>
      </c>
      <c r="C71" s="53">
        <f>IF(88396.41269="","-",90946.01955/88396.41269*100)</f>
        <v>102.88428770174338</v>
      </c>
      <c r="D71" s="53">
        <f>IF(88396.41269="","-",88396.41269/831736.70692*100)</f>
        <v>10.627932127384435</v>
      </c>
      <c r="E71" s="53">
        <f>IF(90946.01955="","-",90946.01955/864817.21761*100)</f>
        <v>10.516212871124084</v>
      </c>
      <c r="F71" s="53">
        <f>IF(801858.14608="","-",(88396.41269-80166.46858)/801858.14608*100)</f>
        <v>1.026359107310099</v>
      </c>
      <c r="G71" s="53">
        <f>IF(831736.70692="","-",(90946.01955-88396.41269)/831736.70692*100)</f>
        <v>0.30654013929978347</v>
      </c>
    </row>
    <row r="72" spans="1:7" s="9" customFormat="1" ht="38.25">
      <c r="A72" s="41" t="s">
        <v>264</v>
      </c>
      <c r="B72" s="54">
        <f>IF(6303.19083="","-",6303.19083)</f>
        <v>6303.19083</v>
      </c>
      <c r="C72" s="54">
        <f>IF(OR(5000.22081="",6303.19083=""),"-",6303.19083/5000.22081*100)</f>
        <v>126.05824961558048</v>
      </c>
      <c r="D72" s="54">
        <f>IF(5000.22081="","-",5000.22081/831736.70692*100)</f>
        <v>0.6011783258329781</v>
      </c>
      <c r="E72" s="54">
        <f>IF(6303.19083="","-",6303.19083/864817.21761*100)</f>
        <v>0.7288465934361752</v>
      </c>
      <c r="F72" s="54">
        <f>IF(OR(801858.14608="",5233.65045="",5000.22081=""),"-",(5000.22081-5233.65045)/801858.14608*100)</f>
        <v>-0.02911108917969531</v>
      </c>
      <c r="G72" s="54">
        <f>IF(OR(831736.70692="",6303.19083="",5000.22081=""),"-",(6303.19083-5000.22081)/831736.70692*100)</f>
        <v>0.15665654878032514</v>
      </c>
    </row>
    <row r="73" spans="1:7" s="9" customFormat="1" ht="14.25" customHeight="1">
      <c r="A73" s="41" t="s">
        <v>79</v>
      </c>
      <c r="B73" s="54">
        <f>IF(7354.49721="","-",7354.49721)</f>
        <v>7354.49721</v>
      </c>
      <c r="C73" s="54">
        <f>IF(OR(7954.34178="",7354.49721=""),"-",7354.49721/7954.34178*100)</f>
        <v>92.45890374602436</v>
      </c>
      <c r="D73" s="54">
        <f>IF(7954.34178="","-",7954.34178/831736.70692*100)</f>
        <v>0.9563533404045232</v>
      </c>
      <c r="E73" s="54">
        <f>IF(7354.49721="","-",7354.49721/864817.21761*100)</f>
        <v>0.8504105908442494</v>
      </c>
      <c r="F73" s="54">
        <f>IF(OR(801858.14608="",7223.19817="",7954.34178=""),"-",(7954.34178-7223.19817)/801858.14608*100)</f>
        <v>0.09118116634149093</v>
      </c>
      <c r="G73" s="54">
        <f>IF(OR(831736.70692="",7354.49721="",7954.34178=""),"-",(7354.49721-7954.34178)/831736.70692*100)</f>
        <v>-0.0721195259280164</v>
      </c>
    </row>
    <row r="74" spans="1:7" s="9" customFormat="1" ht="15.75">
      <c r="A74" s="41" t="s">
        <v>80</v>
      </c>
      <c r="B74" s="54">
        <f>IF(1865.75846="","-",1865.75846)</f>
        <v>1865.75846</v>
      </c>
      <c r="C74" s="54">
        <f>IF(OR(1549.50131="",1865.75846=""),"-",1865.75846/1549.50131*100)</f>
        <v>120.41025379965635</v>
      </c>
      <c r="D74" s="54">
        <f>IF(1549.50131="","-",1549.50131/831736.70692*100)</f>
        <v>0.18629709343212117</v>
      </c>
      <c r="E74" s="54">
        <f>IF(1865.75846="","-",1865.75846/864817.21761*100)</f>
        <v>0.2157402075268796</v>
      </c>
      <c r="F74" s="54">
        <f>IF(OR(801858.14608="",1229.462="",1549.50131=""),"-",(1549.50131-1229.462)/801858.14608*100)</f>
        <v>0.03991221035348444</v>
      </c>
      <c r="G74" s="54">
        <f>IF(OR(831736.70692="",1865.75846="",1549.50131=""),"-",(1865.75846-1549.50131)/831736.70692*100)</f>
        <v>0.03802370959087885</v>
      </c>
    </row>
    <row r="75" spans="1:7" s="9" customFormat="1" ht="14.25" customHeight="1">
      <c r="A75" s="41" t="s">
        <v>81</v>
      </c>
      <c r="B75" s="54">
        <f>IF(22401.60338="","-",22401.60338)</f>
        <v>22401.60338</v>
      </c>
      <c r="C75" s="54">
        <f>IF(OR(20134.81769="",22401.60338=""),"-",22401.60338/20134.81769*100)</f>
        <v>111.25803930733282</v>
      </c>
      <c r="D75" s="54">
        <f>IF(20134.81769="","-",20134.81769/831736.70692*100)</f>
        <v>2.4208162898762926</v>
      </c>
      <c r="E75" s="54">
        <f>IF(22401.60338="","-",22401.60338/864817.21761*100)</f>
        <v>2.590328097526647</v>
      </c>
      <c r="F75" s="54">
        <f>IF(OR(801858.14608="",21439.45111="",20134.81769=""),"-",(20134.81769-21439.45111)/801858.14608*100)</f>
        <v>-0.16270127408169285</v>
      </c>
      <c r="G75" s="54">
        <f>IF(OR(831736.70692="",22401.60338="",20134.81769=""),"-",(22401.60338-20134.81769)/831736.70692*100)</f>
        <v>0.27253644947258887</v>
      </c>
    </row>
    <row r="76" spans="1:7" s="9" customFormat="1" ht="15" customHeight="1">
      <c r="A76" s="41" t="s">
        <v>82</v>
      </c>
      <c r="B76" s="54">
        <f>IF(8043.43211="","-",8043.43211)</f>
        <v>8043.43211</v>
      </c>
      <c r="C76" s="54">
        <f>IF(OR(7634.47428="",8043.43211=""),"-",8043.43211/7634.47428*100)</f>
        <v>105.35672549282593</v>
      </c>
      <c r="D76" s="54">
        <f>IF(7634.47428="","-",7634.47428/831736.70692*100)</f>
        <v>0.9178955571494714</v>
      </c>
      <c r="E76" s="54">
        <f>IF(8043.43211="","-",8043.43211/864817.21761*100)</f>
        <v>0.9300730774334888</v>
      </c>
      <c r="F76" s="54">
        <f>IF(OR(801858.14608="",6620.05861="",7634.47428=""),"-",(7634.47428-6620.05861)/801858.14608*100)</f>
        <v>0.12650812053966387</v>
      </c>
      <c r="G76" s="54">
        <f>IF(OR(831736.70692="",8043.43211="",7634.47428=""),"-",(8043.43211-7634.47428)/831736.70692*100)</f>
        <v>0.0491691453073424</v>
      </c>
    </row>
    <row r="77" spans="1:7" s="9" customFormat="1" ht="25.5">
      <c r="A77" s="41" t="s">
        <v>265</v>
      </c>
      <c r="B77" s="54">
        <f>IF(8381.11609="","-",8381.11609)</f>
        <v>8381.11609</v>
      </c>
      <c r="C77" s="54">
        <f>IF(OR(8557.39111="",8381.11609=""),"-",8381.11609/8557.39111*100)</f>
        <v>97.94008456860165</v>
      </c>
      <c r="D77" s="54">
        <f>IF(8557.39111="","-",8557.39111/831736.70692*100)</f>
        <v>1.0288581757668038</v>
      </c>
      <c r="E77" s="54">
        <f>IF(8381.11609="","-",8381.11609/864817.21761*100)</f>
        <v>0.9691199387960805</v>
      </c>
      <c r="F77" s="54">
        <f>IF(OR(801858.14608="",8513.01201="",8557.39111=""),"-",(8557.39111-8513.01201)/801858.14608*100)</f>
        <v>0.005534532537575852</v>
      </c>
      <c r="G77" s="54">
        <f>IF(OR(831736.70692="",8381.11609="",8557.39111=""),"-",(8381.11609-8557.39111)/831736.70692*100)</f>
        <v>-0.021193608329824</v>
      </c>
    </row>
    <row r="78" spans="1:7" ht="25.5">
      <c r="A78" s="41" t="s">
        <v>83</v>
      </c>
      <c r="B78" s="54">
        <f>IF(2330.69136="","-",2330.69136)</f>
        <v>2330.69136</v>
      </c>
      <c r="C78" s="54">
        <f>IF(OR(1830.78198="",2330.69136=""),"-",2330.69136/1830.78198*100)</f>
        <v>127.30578438400404</v>
      </c>
      <c r="D78" s="54">
        <f>IF(1830.78198="","-",1830.78198/831736.70692*100)</f>
        <v>0.22011556839658541</v>
      </c>
      <c r="E78" s="54">
        <f>IF(2330.69136="","-",2330.69136/864817.21761*100)</f>
        <v>0.2695010358883782</v>
      </c>
      <c r="F78" s="54">
        <f>IF(OR(801858.14608="",1543.83736="",1830.78198=""),"-",(1830.78198-1543.83736)/801858.14608*100)</f>
        <v>0.0357849603951485</v>
      </c>
      <c r="G78" s="54">
        <f>IF(OR(831736.70692="",2330.69136="",1830.78198=""),"-",(2330.69136-1830.78198)/831736.70692*100)</f>
        <v>0.060104282501996543</v>
      </c>
    </row>
    <row r="79" spans="1:7" ht="13.5" customHeight="1">
      <c r="A79" s="41" t="s">
        <v>84</v>
      </c>
      <c r="B79" s="54">
        <f>IF(34265.73011="","-",34265.73011)</f>
        <v>34265.73011</v>
      </c>
      <c r="C79" s="54">
        <f>IF(OR(35734.88373="",34265.73011=""),"-",34265.73011/35734.88373*100)</f>
        <v>95.888741009764</v>
      </c>
      <c r="D79" s="54">
        <f>IF(35734.88373="","-",35734.88373/831736.70692*100)</f>
        <v>4.296417776525659</v>
      </c>
      <c r="E79" s="54">
        <f>IF(34265.73011="","-",34265.73011/864817.21761*100)</f>
        <v>3.962193329672184</v>
      </c>
      <c r="F79" s="54">
        <f>IF(OR(801858.14608="",28363.79887="",35734.88373=""),"-",(35734.88373-28363.79887)/801858.14608*100)</f>
        <v>0.919250480404124</v>
      </c>
      <c r="G79" s="54">
        <f>IF(OR(831736.70692="",34265.73011="",35734.88373=""),"-",(34265.73011-35734.88373)/831736.70692*100)</f>
        <v>-0.17663686209550855</v>
      </c>
    </row>
    <row r="80" spans="1:7" ht="25.5">
      <c r="A80" s="28" t="s">
        <v>220</v>
      </c>
      <c r="B80" s="66">
        <f>IF(58.7819="","-",58.7819)</f>
        <v>58.7819</v>
      </c>
      <c r="C80" s="66">
        <f>IF(92.44719="","-",58.7819/92.44719*100)</f>
        <v>63.58430148066155</v>
      </c>
      <c r="D80" s="66">
        <f>IF(92.44719="","-",92.44719/831736.70692*100)</f>
        <v>0.011114958523634328</v>
      </c>
      <c r="E80" s="66">
        <f>IF(58.7819="","-",58.7819/864817.21761*100)</f>
        <v>0.006797031650508653</v>
      </c>
      <c r="F80" s="66">
        <f>IF(801858.14608="","-",(92.44719-108.51266)/801858.14608*100)</f>
        <v>-0.002003530185300028</v>
      </c>
      <c r="G80" s="66">
        <f>IF(831736.70692="","-",(58.7819-92.44719)/831736.70692*100)</f>
        <v>-0.004047589786516189</v>
      </c>
    </row>
    <row r="81" spans="1:7" ht="25.5">
      <c r="A81" s="43" t="s">
        <v>266</v>
      </c>
      <c r="B81" s="55">
        <f>IF(58.7819="","-",58.7819)</f>
        <v>58.7819</v>
      </c>
      <c r="C81" s="55">
        <f>IF(OR(92.44719="",58.7819=""),"-",58.7819/92.44719*100)</f>
        <v>63.58430148066155</v>
      </c>
      <c r="D81" s="55">
        <f>IF(92.44719="","-",92.44719/831736.70692*100)</f>
        <v>0.011114958523634328</v>
      </c>
      <c r="E81" s="55">
        <f>IF(58.7819="","-",58.7819/864817.21761*100)</f>
        <v>0.006797031650508653</v>
      </c>
      <c r="F81" s="55">
        <f>IF(OR(801858.14608="",90.81394="",92.44719=""),"-",(92.44719-90.81394)/801858.14608*100)</f>
        <v>0.00020368315867144127</v>
      </c>
      <c r="G81" s="55">
        <f>IF(OR(831736.70692="",58.7819="",92.44719=""),"-",(58.7819-92.44719)/831736.70692*100)</f>
        <v>-0.004047589786516189</v>
      </c>
    </row>
    <row r="82" ht="15.75">
      <c r="A82" s="29" t="s">
        <v>21</v>
      </c>
    </row>
  </sheetData>
  <sheetProtection/>
  <mergeCells count="10">
    <mergeCell ref="A1:G1"/>
    <mergeCell ref="A2:G2"/>
    <mergeCell ref="A4:A6"/>
    <mergeCell ref="B4:C4"/>
    <mergeCell ref="D4:E4"/>
    <mergeCell ref="F4:G4"/>
    <mergeCell ref="B5:B6"/>
    <mergeCell ref="C5:C6"/>
    <mergeCell ref="D5:E5"/>
    <mergeCell ref="F5:G5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F84"/>
  <sheetViews>
    <sheetView zoomScalePageLayoutView="0" workbookViewId="0" topLeftCell="A1">
      <selection activeCell="A1" sqref="A1:D1"/>
    </sheetView>
  </sheetViews>
  <sheetFormatPr defaultColWidth="9.00390625" defaultRowHeight="15.75"/>
  <cols>
    <col min="1" max="1" width="42.125" style="0" customWidth="1"/>
    <col min="2" max="2" width="12.375" style="0" customWidth="1"/>
    <col min="3" max="3" width="12.625" style="0" customWidth="1"/>
    <col min="4" max="4" width="19.50390625" style="0" customWidth="1"/>
    <col min="6" max="6" width="12.125" style="0" bestFit="1" customWidth="1"/>
  </cols>
  <sheetData>
    <row r="1" spans="1:4" ht="15.75">
      <c r="A1" s="87" t="s">
        <v>184</v>
      </c>
      <c r="B1" s="87"/>
      <c r="C1" s="87"/>
      <c r="D1" s="87"/>
    </row>
    <row r="2" spans="1:4" ht="15.75">
      <c r="A2" s="87" t="s">
        <v>23</v>
      </c>
      <c r="B2" s="87"/>
      <c r="C2" s="87"/>
      <c r="D2" s="87"/>
    </row>
    <row r="3" ht="15.75">
      <c r="A3" s="5"/>
    </row>
    <row r="4" spans="1:5" ht="25.5" customHeight="1">
      <c r="A4" s="88"/>
      <c r="B4" s="92" t="s">
        <v>275</v>
      </c>
      <c r="C4" s="93"/>
      <c r="D4" s="90" t="s">
        <v>278</v>
      </c>
      <c r="E4" s="1"/>
    </row>
    <row r="5" spans="1:5" ht="27" customHeight="1">
      <c r="A5" s="89"/>
      <c r="B5" s="23">
        <v>2019</v>
      </c>
      <c r="C5" s="22">
        <v>2020</v>
      </c>
      <c r="D5" s="91"/>
      <c r="E5" s="1"/>
    </row>
    <row r="6" spans="1:6" ht="14.25" customHeight="1">
      <c r="A6" s="50" t="s">
        <v>214</v>
      </c>
      <c r="B6" s="38">
        <f>IF(-356072.77776="","-",-356072.77776)</f>
        <v>-356072.77776</v>
      </c>
      <c r="C6" s="38">
        <f>IF(-400034.32199="","-",-400034.32199)</f>
        <v>-400034.32199</v>
      </c>
      <c r="D6" s="52">
        <f>IF(-356072.77776="","-",-400034.32199/-356072.77776*100)</f>
        <v>112.34622441697324</v>
      </c>
      <c r="F6" s="20"/>
    </row>
    <row r="7" spans="1:4" ht="15.75">
      <c r="A7" s="51" t="s">
        <v>209</v>
      </c>
      <c r="B7" s="30"/>
      <c r="C7" s="30"/>
      <c r="D7" s="31"/>
    </row>
    <row r="8" spans="1:4" ht="15.75">
      <c r="A8" s="49" t="s">
        <v>24</v>
      </c>
      <c r="B8" s="40">
        <f>IF(23978.52488="","-",23978.52488)</f>
        <v>23978.52488</v>
      </c>
      <c r="C8" s="40">
        <f>IF(25377.23191="","-",25377.23191)</f>
        <v>25377.23191</v>
      </c>
      <c r="D8" s="53">
        <f>IF(23978.52488="","-",25377.23191/23978.52488*100)</f>
        <v>105.83316545533887</v>
      </c>
    </row>
    <row r="9" spans="1:4" ht="15.75">
      <c r="A9" s="41" t="s">
        <v>25</v>
      </c>
      <c r="B9" s="42">
        <f>IF(OR(-99.42926="",-99.42926=0),"-",-99.42926)</f>
        <v>-99.42926</v>
      </c>
      <c r="C9" s="42">
        <f>IF(OR(3220.915="",3220.915=0),"-",3220.915)</f>
        <v>3220.915</v>
      </c>
      <c r="D9" s="54" t="s">
        <v>22</v>
      </c>
    </row>
    <row r="10" spans="1:4" ht="15.75">
      <c r="A10" s="41" t="s">
        <v>26</v>
      </c>
      <c r="B10" s="42">
        <f>IF(OR(-5211.35818="",-5211.35818=0),"-",-5211.35818)</f>
        <v>-5211.35818</v>
      </c>
      <c r="C10" s="42">
        <f>IF(OR(-4777.3523="",-4777.3523=0),"-",-4777.3523)</f>
        <v>-4777.3523</v>
      </c>
      <c r="D10" s="54">
        <f>IF(OR(-5211.35818="",-4777.3523="",-5211.35818=0,-4777.3523=0),"-",-4777.3523/-5211.35818*100)</f>
        <v>91.6719238054752</v>
      </c>
    </row>
    <row r="11" spans="1:4" ht="15.75">
      <c r="A11" s="41" t="s">
        <v>27</v>
      </c>
      <c r="B11" s="42">
        <f>IF(OR(-8320.84226="",-8320.84226=0),"-",-8320.84226)</f>
        <v>-8320.84226</v>
      </c>
      <c r="C11" s="42">
        <f>IF(OR(-13756.00356="",-13756.00356=0),"-",-13756.00356)</f>
        <v>-13756.00356</v>
      </c>
      <c r="D11" s="54" t="s">
        <v>156</v>
      </c>
    </row>
    <row r="12" spans="1:4" ht="15.75">
      <c r="A12" s="41" t="s">
        <v>28</v>
      </c>
      <c r="B12" s="42">
        <f>IF(OR(-7911.97641="",-7911.97641=0),"-",-7911.97641)</f>
        <v>-7911.97641</v>
      </c>
      <c r="C12" s="42">
        <f>IF(OR(-9057.27292="",-9057.27292=0),"-",-9057.27292)</f>
        <v>-9057.27292</v>
      </c>
      <c r="D12" s="54">
        <f>IF(OR(-7911.97641="",-9057.27292="",-7911.97641=0,-9057.27292=0),"-",-9057.27292/-7911.97641*100)</f>
        <v>114.47547933222413</v>
      </c>
    </row>
    <row r="13" spans="1:4" ht="15.75">
      <c r="A13" s="41" t="s">
        <v>29</v>
      </c>
      <c r="B13" s="42">
        <f>IF(OR(38466.7778="",38466.7778=0),"-",38466.7778)</f>
        <v>38466.7778</v>
      </c>
      <c r="C13" s="42">
        <f>IF(OR(34164.73363="",34164.73363=0),"-",34164.73363)</f>
        <v>34164.73363</v>
      </c>
      <c r="D13" s="54">
        <f>IF(OR(38466.7778="",34164.73363="",38466.7778=0,34164.73363=0),"-",34164.73363/38466.7778*100)</f>
        <v>88.81620864537294</v>
      </c>
    </row>
    <row r="14" spans="1:4" ht="15.75">
      <c r="A14" s="41" t="s">
        <v>30</v>
      </c>
      <c r="B14" s="42">
        <f>IF(OR(22225.38331="",22225.38331=0),"-",22225.38331)</f>
        <v>22225.38331</v>
      </c>
      <c r="C14" s="42">
        <f>IF(OR(31503.87353="",31503.87353=0),"-",31503.87353)</f>
        <v>31503.87353</v>
      </c>
      <c r="D14" s="54">
        <f>IF(OR(22225.38331="",31503.87353="",22225.38331=0,31503.87353=0),"-",31503.87353/22225.38331*100)</f>
        <v>141.74726748503488</v>
      </c>
    </row>
    <row r="15" spans="1:4" ht="15.75">
      <c r="A15" s="41" t="s">
        <v>31</v>
      </c>
      <c r="B15" s="42">
        <f>IF(OR(-1125.23401="",-1125.23401=0),"-",-1125.23401)</f>
        <v>-1125.23401</v>
      </c>
      <c r="C15" s="42">
        <f>IF(OR(-646.40609="",-646.40609=0),"-",-646.40609)</f>
        <v>-646.40609</v>
      </c>
      <c r="D15" s="54">
        <f>IF(OR(-1125.23401="",-646.40609="",-1125.23401=0,-646.40609=0),"-",-646.40609/-1125.23401*100)</f>
        <v>57.44636975556756</v>
      </c>
    </row>
    <row r="16" spans="1:4" ht="15.75">
      <c r="A16" s="41" t="s">
        <v>32</v>
      </c>
      <c r="B16" s="42">
        <f>IF(OR(-5407.6661="",-5407.6661=0),"-",-5407.6661)</f>
        <v>-5407.6661</v>
      </c>
      <c r="C16" s="42">
        <f>IF(OR(-5216.79084="",-5216.79084=0),"-",-5216.79084)</f>
        <v>-5216.79084</v>
      </c>
      <c r="D16" s="54">
        <f>IF(OR(-5407.6661="",-5216.79084="",-5407.6661=0,-5216.79084=0),"-",-5216.79084/-5407.6661*100)</f>
        <v>96.47028391786245</v>
      </c>
    </row>
    <row r="17" spans="1:4" ht="15.75">
      <c r="A17" s="41" t="s">
        <v>33</v>
      </c>
      <c r="B17" s="42">
        <f>IF(OR(1173.75461="",1173.75461=0),"-",1173.75461)</f>
        <v>1173.75461</v>
      </c>
      <c r="C17" s="42">
        <f>IF(OR(957.10278="",957.10278=0),"-",957.10278)</f>
        <v>957.10278</v>
      </c>
      <c r="D17" s="54">
        <f>IF(OR(1173.75461="",957.10278="",1173.75461=0,957.10278=0),"-",957.10278/1173.75461*100)</f>
        <v>81.54198261253262</v>
      </c>
    </row>
    <row r="18" spans="1:4" ht="15.75">
      <c r="A18" s="41" t="s">
        <v>34</v>
      </c>
      <c r="B18" s="42">
        <f>IF(OR(-9810.88462="",-9810.88462=0),"-",-9810.88462)</f>
        <v>-9810.88462</v>
      </c>
      <c r="C18" s="42">
        <f>IF(OR(-11015.56732="",-11015.56732=0),"-",-11015.56732)</f>
        <v>-11015.56732</v>
      </c>
      <c r="D18" s="54">
        <f>IF(OR(-9810.88462="",-11015.56732="",-9810.88462=0,-11015.56732=0),"-",-11015.56732/-9810.88462*100)</f>
        <v>112.27904258036212</v>
      </c>
    </row>
    <row r="19" spans="1:4" ht="15.75">
      <c r="A19" s="49" t="s">
        <v>35</v>
      </c>
      <c r="B19" s="40">
        <f>IF(19591.70779="","-",19591.70779)</f>
        <v>19591.70779</v>
      </c>
      <c r="C19" s="40">
        <f>IF(14920.81311="","-",14920.81311)</f>
        <v>14920.81311</v>
      </c>
      <c r="D19" s="53">
        <f>IF(19591.70779="","-",14920.81311/19591.70779*100)</f>
        <v>76.15881815885331</v>
      </c>
    </row>
    <row r="20" spans="1:4" ht="15.75">
      <c r="A20" s="41" t="s">
        <v>221</v>
      </c>
      <c r="B20" s="42">
        <f>IF(OR(21229.97655="",21229.97655=0),"-",21229.97655)</f>
        <v>21229.97655</v>
      </c>
      <c r="C20" s="42">
        <f>IF(OR(19619.79674="",19619.79674=0),"-",19619.79674)</f>
        <v>19619.79674</v>
      </c>
      <c r="D20" s="54">
        <f>IF(OR(21229.97655="",19619.79674="",21229.97655=0,19619.79674=0),"-",19619.79674/21229.97655*100)</f>
        <v>92.4155365588475</v>
      </c>
    </row>
    <row r="21" spans="1:4" ht="15.75">
      <c r="A21" s="41" t="s">
        <v>36</v>
      </c>
      <c r="B21" s="42">
        <f>IF(OR(-1638.26876="",-1638.26876=0),"-",-1638.26876)</f>
        <v>-1638.26876</v>
      </c>
      <c r="C21" s="42">
        <f>IF(OR(-4698.98363="",-4698.98363=0),"-",-4698.98363)</f>
        <v>-4698.98363</v>
      </c>
      <c r="D21" s="54" t="s">
        <v>255</v>
      </c>
    </row>
    <row r="22" spans="1:4" ht="15.75">
      <c r="A22" s="49" t="s">
        <v>37</v>
      </c>
      <c r="B22" s="40">
        <f>IF(34068.60671="","-",34068.60671)</f>
        <v>34068.60671</v>
      </c>
      <c r="C22" s="40">
        <f>IF(16832.19761="","-",16832.19761)</f>
        <v>16832.19761</v>
      </c>
      <c r="D22" s="53">
        <f>IF(34068.60671="","-",16832.19761/34068.60671*100)</f>
        <v>49.406768387329805</v>
      </c>
    </row>
    <row r="23" spans="1:4" ht="15.75">
      <c r="A23" s="41" t="s">
        <v>38</v>
      </c>
      <c r="B23" s="42">
        <f>IF(OR(182.30469="",182.30469=0),"-",182.30469)</f>
        <v>182.30469</v>
      </c>
      <c r="C23" s="42">
        <f>IF(OR(414.05032="",414.05032=0),"-",414.05032)</f>
        <v>414.05032</v>
      </c>
      <c r="D23" s="54" t="s">
        <v>164</v>
      </c>
    </row>
    <row r="24" spans="1:4" ht="15.75">
      <c r="A24" s="41" t="s">
        <v>39</v>
      </c>
      <c r="B24" s="42">
        <f>IF(OR(43231.22903="",43231.22903=0),"-",43231.22903)</f>
        <v>43231.22903</v>
      </c>
      <c r="C24" s="42">
        <f>IF(OR(25129.42872="",25129.42872=0),"-",25129.42872)</f>
        <v>25129.42872</v>
      </c>
      <c r="D24" s="54">
        <f>IF(OR(43231.22903="",25129.42872="",43231.22903=0,25129.42872=0),"-",25129.42872/43231.22903*100)</f>
        <v>58.12795352767235</v>
      </c>
    </row>
    <row r="25" spans="1:4" ht="15.75">
      <c r="A25" s="41" t="s">
        <v>40</v>
      </c>
      <c r="B25" s="42">
        <f>IF(OR(-179.36813="",-179.36813=0),"-",-179.36813)</f>
        <v>-179.36813</v>
      </c>
      <c r="C25" s="42">
        <f>IF(OR(-219.13506="",-219.13506=0),"-",-219.13506)</f>
        <v>-219.13506</v>
      </c>
      <c r="D25" s="54">
        <f>IF(OR(-179.36813="",-219.13506="",-179.36813=0,-219.13506=0),"-",-219.13506/-179.36813*100)</f>
        <v>122.17056619813118</v>
      </c>
    </row>
    <row r="26" spans="1:4" ht="15.75">
      <c r="A26" s="41" t="s">
        <v>41</v>
      </c>
      <c r="B26" s="42">
        <f>IF(OR(-3564.6626="",-3564.6626=0),"-",-3564.6626)</f>
        <v>-3564.6626</v>
      </c>
      <c r="C26" s="42">
        <f>IF(OR(-3941.33372="",-3941.33372=0),"-",-3941.33372)</f>
        <v>-3941.33372</v>
      </c>
      <c r="D26" s="54">
        <f>IF(OR(-3564.6626="",-3941.33372="",-3564.6626=0,-3941.33372=0),"-",-3941.33372/-3564.6626*100)</f>
        <v>110.56680988545733</v>
      </c>
    </row>
    <row r="27" spans="1:4" ht="15.75">
      <c r="A27" s="41" t="s">
        <v>215</v>
      </c>
      <c r="B27" s="42">
        <f>IF(OR(368.96795="",368.96795=0),"-",368.96795)</f>
        <v>368.96795</v>
      </c>
      <c r="C27" s="42">
        <f>IF(OR(258.03601="",258.03601=0),"-",258.03601)</f>
        <v>258.03601</v>
      </c>
      <c r="D27" s="54">
        <f>IF(OR(368.96795="",258.03601="",368.96795=0,258.03601=0),"-",258.03601/368.96795*100)</f>
        <v>69.93453225408874</v>
      </c>
    </row>
    <row r="28" spans="1:4" ht="25.5">
      <c r="A28" s="41" t="s">
        <v>216</v>
      </c>
      <c r="B28" s="42">
        <f>IF(OR(-1202.8907="",-1202.8907=0),"-",-1202.8907)</f>
        <v>-1202.8907</v>
      </c>
      <c r="C28" s="42">
        <f>IF(OR(-1092.50934="",-1092.50934=0),"-",-1092.50934)</f>
        <v>-1092.50934</v>
      </c>
      <c r="D28" s="54">
        <f>IF(OR(-1202.8907="",-1092.50934="",-1202.8907=0,-1092.50934=0),"-",-1092.50934/-1202.8907*100)</f>
        <v>90.82365837561136</v>
      </c>
    </row>
    <row r="29" spans="1:4" ht="25.5">
      <c r="A29" s="41" t="s">
        <v>42</v>
      </c>
      <c r="B29" s="42">
        <f>IF(OR(-1572.27188="",-1572.27188=0),"-",-1572.27188)</f>
        <v>-1572.27188</v>
      </c>
      <c r="C29" s="42">
        <f>IF(OR(-754.93541="",-754.93541=0),"-",-754.93541)</f>
        <v>-754.93541</v>
      </c>
      <c r="D29" s="54">
        <f>IF(OR(-1572.27188="",-754.93541="",-1572.27188=0,-754.93541=0),"-",-754.93541/-1572.27188*100)</f>
        <v>48.01557666985688</v>
      </c>
    </row>
    <row r="30" spans="1:4" ht="15.75">
      <c r="A30" s="41" t="s">
        <v>43</v>
      </c>
      <c r="B30" s="42">
        <f>IF(OR(2110.25516="",2110.25516=0),"-",2110.25516)</f>
        <v>2110.25516</v>
      </c>
      <c r="C30" s="42">
        <f>IF(OR(1925.31653="",1925.31653=0),"-",1925.31653)</f>
        <v>1925.31653</v>
      </c>
      <c r="D30" s="54">
        <f>IF(OR(2110.25516="",1925.31653="",2110.25516=0,1925.31653=0),"-",1925.31653/2110.25516*100)</f>
        <v>91.23619581624432</v>
      </c>
    </row>
    <row r="31" spans="1:4" ht="15.75">
      <c r="A31" s="41" t="s">
        <v>44</v>
      </c>
      <c r="B31" s="42">
        <f>IF(OR(-5304.95681="",-5304.95681=0),"-",-5304.95681)</f>
        <v>-5304.95681</v>
      </c>
      <c r="C31" s="42">
        <f>IF(OR(-4886.72044="",-4886.72044=0),"-",-4886.72044)</f>
        <v>-4886.72044</v>
      </c>
      <c r="D31" s="54">
        <f>IF(OR(-5304.95681="",-4886.72044="",-5304.95681=0,-4886.72044=0),"-",-4886.72044/-5304.95681*100)</f>
        <v>92.11612111126689</v>
      </c>
    </row>
    <row r="32" spans="1:4" ht="15.75">
      <c r="A32" s="49" t="s">
        <v>45</v>
      </c>
      <c r="B32" s="40">
        <f>IF(-162080.86258="","-",-162080.86258)</f>
        <v>-162080.86258</v>
      </c>
      <c r="C32" s="40">
        <f>IF(-147197.30705="","-",-147197.30705)</f>
        <v>-147197.30705</v>
      </c>
      <c r="D32" s="53">
        <f>IF(-162080.86258="","-",-147197.30705/-162080.86258*100)</f>
        <v>90.81720365187856</v>
      </c>
    </row>
    <row r="33" spans="1:4" ht="15.75">
      <c r="A33" s="41" t="s">
        <v>46</v>
      </c>
      <c r="B33" s="42">
        <f>IF(OR(-2431.17642="",-2431.17642=0),"-",-2431.17642)</f>
        <v>-2431.17642</v>
      </c>
      <c r="C33" s="42">
        <f>IF(OR(-2010.69399="",-2010.69399=0),"-",-2010.69399)</f>
        <v>-2010.69399</v>
      </c>
      <c r="D33" s="54">
        <f>IF(OR(-2431.17642="",-2010.69399="",-2431.17642=0,-2010.69399=0),"-",-2010.69399/-2431.17642*100)</f>
        <v>82.70456941993541</v>
      </c>
    </row>
    <row r="34" spans="1:4" ht="15.75">
      <c r="A34" s="41" t="s">
        <v>47</v>
      </c>
      <c r="B34" s="42">
        <f>IF(OR(-62843.24627="",-62843.24627=0),"-",-62843.24627)</f>
        <v>-62843.24627</v>
      </c>
      <c r="C34" s="42">
        <f>IF(OR(-76546.12329="",-76546.12329=0),"-",-76546.12329)</f>
        <v>-76546.12329</v>
      </c>
      <c r="D34" s="54">
        <f>IF(OR(-62843.24627="",-76546.12329="",-62843.24627=0,-76546.12329=0),"-",-76546.12329/-62843.24627*100)</f>
        <v>121.80485228456675</v>
      </c>
    </row>
    <row r="35" spans="1:4" ht="15.75">
      <c r="A35" s="41" t="s">
        <v>48</v>
      </c>
      <c r="B35" s="42">
        <f>IF(OR(-87926.13787="",-87926.13787=0),"-",-87926.13787)</f>
        <v>-87926.13787</v>
      </c>
      <c r="C35" s="42">
        <f>IF(OR(-63141.40771="",-63141.40771=0),"-",-63141.40771)</f>
        <v>-63141.40771</v>
      </c>
      <c r="D35" s="54">
        <f>IF(OR(-87926.13787="",-63141.40771="",-87926.13787=0,-63141.40771=0),"-",-63141.40771/-87926.13787*100)</f>
        <v>71.81187442049989</v>
      </c>
    </row>
    <row r="36" spans="1:4" ht="15.75">
      <c r="A36" s="41" t="s">
        <v>49</v>
      </c>
      <c r="B36" s="42">
        <f>IF(OR(-8880.30202="",-8880.30202=0),"-",-8880.30202)</f>
        <v>-8880.30202</v>
      </c>
      <c r="C36" s="42">
        <f>IF(OR(-5499.08206="",-5499.08206=0),"-",-5499.08206)</f>
        <v>-5499.08206</v>
      </c>
      <c r="D36" s="54">
        <f>IF(OR(-8880.30202="",-5499.08206="",-8880.30202=0,-5499.08206=0),"-",-5499.08206/-8880.30202*100)</f>
        <v>61.92449364464295</v>
      </c>
    </row>
    <row r="37" spans="1:4" ht="15.75">
      <c r="A37" s="49" t="s">
        <v>50</v>
      </c>
      <c r="B37" s="40">
        <f>IF(10026.42208="","-",10026.42208)</f>
        <v>10026.42208</v>
      </c>
      <c r="C37" s="40">
        <f>IF(20794.75699="","-",20794.75699)</f>
        <v>20794.75699</v>
      </c>
      <c r="D37" s="53" t="s">
        <v>145</v>
      </c>
    </row>
    <row r="38" spans="1:4" ht="15.75">
      <c r="A38" s="41" t="s">
        <v>51</v>
      </c>
      <c r="B38" s="42">
        <f>IF(OR(-168.63198="",-168.63198=0),"-",-168.63198)</f>
        <v>-168.63198</v>
      </c>
      <c r="C38" s="42">
        <f>IF(OR(-267.89057="",-267.89057=0),"-",-267.89057)</f>
        <v>-267.89057</v>
      </c>
      <c r="D38" s="54" t="s">
        <v>157</v>
      </c>
    </row>
    <row r="39" spans="1:4" ht="14.25" customHeight="1">
      <c r="A39" s="41" t="s">
        <v>52</v>
      </c>
      <c r="B39" s="42">
        <f>IF(OR(10760.58754="",10760.58754=0),"-",10760.58754)</f>
        <v>10760.58754</v>
      </c>
      <c r="C39" s="42">
        <f>IF(OR(21362.16817="",21362.16817=0),"-",21362.16817)</f>
        <v>21362.16817</v>
      </c>
      <c r="D39" s="54" t="s">
        <v>20</v>
      </c>
    </row>
    <row r="40" spans="1:4" ht="38.25">
      <c r="A40" s="41" t="s">
        <v>217</v>
      </c>
      <c r="B40" s="42">
        <f>IF(OR(-565.53348="",-565.53348=0),"-",-565.53348)</f>
        <v>-565.53348</v>
      </c>
      <c r="C40" s="42">
        <f>IF(OR(-299.52061="",-299.52061=0),"-",-299.52061)</f>
        <v>-299.52061</v>
      </c>
      <c r="D40" s="54">
        <f>IF(OR(-565.53348="",-299.52061="",-565.53348=0,-299.52061=0),"-",-299.52061/-565.53348*100)</f>
        <v>52.962489506368385</v>
      </c>
    </row>
    <row r="41" spans="1:4" ht="15" customHeight="1">
      <c r="A41" s="49" t="s">
        <v>53</v>
      </c>
      <c r="B41" s="40">
        <f>IF(-88738.59412="","-",-88738.59412)</f>
        <v>-88738.59412</v>
      </c>
      <c r="C41" s="40">
        <f>IF(-107257.07735="","-",-107257.07735)</f>
        <v>-107257.07735</v>
      </c>
      <c r="D41" s="53">
        <f>IF(-88738.59412="","-",-107257.07735/-88738.59412*100)</f>
        <v>120.86857856341257</v>
      </c>
    </row>
    <row r="42" spans="1:4" ht="15.75">
      <c r="A42" s="41" t="s">
        <v>54</v>
      </c>
      <c r="B42" s="42">
        <f>IF(OR(490.88085="",490.88085=0),"-",490.88085)</f>
        <v>490.88085</v>
      </c>
      <c r="C42" s="42">
        <f>IF(OR(3326.39054="",3326.39054=0),"-",3326.39054)</f>
        <v>3326.39054</v>
      </c>
      <c r="D42" s="54" t="s">
        <v>267</v>
      </c>
    </row>
    <row r="43" spans="1:4" ht="15.75">
      <c r="A43" s="41" t="s">
        <v>55</v>
      </c>
      <c r="B43" s="42">
        <f>IF(OR(-1856.16588="",-1856.16588=0),"-",-1856.16588)</f>
        <v>-1856.16588</v>
      </c>
      <c r="C43" s="42">
        <f>IF(OR(-2967.50247="",-2967.50247=0),"-",-2967.50247)</f>
        <v>-2967.50247</v>
      </c>
      <c r="D43" s="54" t="s">
        <v>157</v>
      </c>
    </row>
    <row r="44" spans="1:4" ht="15.75">
      <c r="A44" s="41" t="s">
        <v>56</v>
      </c>
      <c r="B44" s="42">
        <f>IF(OR(-3137.98426="",-3137.98426=0),"-",-3137.98426)</f>
        <v>-3137.98426</v>
      </c>
      <c r="C44" s="42">
        <f>IF(OR(-3981.28855="",-3981.28855=0),"-",-3981.28855)</f>
        <v>-3981.28855</v>
      </c>
      <c r="D44" s="54">
        <f>IF(OR(-3137.98426="",-3981.28855="",-3137.98426=0,-3981.28855=0),"-",-3981.28855/-3137.98426*100)</f>
        <v>126.87407648118669</v>
      </c>
    </row>
    <row r="45" spans="1:4" ht="15.75">
      <c r="A45" s="41" t="s">
        <v>57</v>
      </c>
      <c r="B45" s="42">
        <f>IF(OR(-26637.40121="",-26637.40121=0),"-",-26637.40121)</f>
        <v>-26637.40121</v>
      </c>
      <c r="C45" s="42">
        <f>IF(OR(-27347.50458="",-27347.50458=0),"-",-27347.50458)</f>
        <v>-27347.50458</v>
      </c>
      <c r="D45" s="54">
        <f>IF(OR(-26637.40121="",-27347.50458="",-26637.40121=0,-27347.50458=0),"-",-27347.50458/-26637.40121*100)</f>
        <v>102.66581324657685</v>
      </c>
    </row>
    <row r="46" spans="1:4" ht="25.5">
      <c r="A46" s="41" t="s">
        <v>58</v>
      </c>
      <c r="B46" s="42">
        <f>IF(OR(-12993.36743="",-12993.36743=0),"-",-12993.36743)</f>
        <v>-12993.36743</v>
      </c>
      <c r="C46" s="42">
        <f>IF(OR(-14886.25355="",-14886.25355=0),"-",-14886.25355)</f>
        <v>-14886.25355</v>
      </c>
      <c r="D46" s="54">
        <f>IF(OR(-12993.36743="",-14886.25355="",-12993.36743=0,-14886.25355=0),"-",-14886.25355/-12993.36743*100)</f>
        <v>114.5680950700245</v>
      </c>
    </row>
    <row r="47" spans="1:4" ht="15.75">
      <c r="A47" s="41" t="s">
        <v>59</v>
      </c>
      <c r="B47" s="42">
        <f>IF(OR(-9663.04047="",-9663.04047=0),"-",-9663.04047)</f>
        <v>-9663.04047</v>
      </c>
      <c r="C47" s="42">
        <f>IF(OR(-22494.3982="",-22494.3982=0),"-",-22494.3982)</f>
        <v>-22494.3982</v>
      </c>
      <c r="D47" s="54" t="s">
        <v>164</v>
      </c>
    </row>
    <row r="48" spans="1:4" ht="15.75">
      <c r="A48" s="41" t="s">
        <v>60</v>
      </c>
      <c r="B48" s="42">
        <f>IF(OR(-6073.97604="",-6073.97604=0),"-",-6073.97604)</f>
        <v>-6073.97604</v>
      </c>
      <c r="C48" s="42">
        <f>IF(OR(-6233.89911="",-6233.89911=0),"-",-6233.89911)</f>
        <v>-6233.89911</v>
      </c>
      <c r="D48" s="54">
        <f>IF(OR(-6073.97604="",-6233.89911="",-6073.97604=0,-6233.89911=0),"-",-6233.89911/-6073.97604*100)</f>
        <v>102.63292230569947</v>
      </c>
    </row>
    <row r="49" spans="1:4" ht="15.75">
      <c r="A49" s="41" t="s">
        <v>61</v>
      </c>
      <c r="B49" s="42">
        <f>IF(OR(-14238.84659="",-14238.84659=0),"-",-14238.84659)</f>
        <v>-14238.84659</v>
      </c>
      <c r="C49" s="42">
        <f>IF(OR(-15083.74454="",-15083.74454=0),"-",-15083.74454)</f>
        <v>-15083.74454</v>
      </c>
      <c r="D49" s="54">
        <f>IF(OR(-14238.84659="",-15083.74454="",-14238.84659=0,-15083.74454=0),"-",-15083.74454/-14238.84659*100)</f>
        <v>105.93375274225775</v>
      </c>
    </row>
    <row r="50" spans="1:4" ht="15.75">
      <c r="A50" s="41" t="s">
        <v>62</v>
      </c>
      <c r="B50" s="42">
        <f>IF(OR(-14628.69309="",-14628.69309=0),"-",-14628.69309)</f>
        <v>-14628.69309</v>
      </c>
      <c r="C50" s="42">
        <f>IF(OR(-17588.87689="",-17588.87689=0),"-",-17588.87689)</f>
        <v>-17588.87689</v>
      </c>
      <c r="D50" s="54">
        <f>IF(OR(-14628.69309="",-17588.87689="",-14628.69309=0,-17588.87689=0),"-",-17588.87689/-14628.69309*100)</f>
        <v>120.2354631530519</v>
      </c>
    </row>
    <row r="51" spans="1:4" ht="25.5">
      <c r="A51" s="49" t="s">
        <v>63</v>
      </c>
      <c r="B51" s="40">
        <f>IF(-115802.88153="","-",-115802.88153)</f>
        <v>-115802.88153</v>
      </c>
      <c r="C51" s="40">
        <f>IF(-132104.33815="","-",-132104.33815)</f>
        <v>-132104.33815</v>
      </c>
      <c r="D51" s="53">
        <f>IF(-115802.88153="","-",-132104.33815/-115802.88153*100)</f>
        <v>114.07690068211033</v>
      </c>
    </row>
    <row r="52" spans="1:4" ht="15.75">
      <c r="A52" s="41" t="s">
        <v>64</v>
      </c>
      <c r="B52" s="42">
        <f>IF(OR(-8115.32572="",-8115.32572=0),"-",-8115.32572)</f>
        <v>-8115.32572</v>
      </c>
      <c r="C52" s="42">
        <f>IF(OR(-9599.29118="",-9599.29118=0),"-",-9599.29118)</f>
        <v>-9599.29118</v>
      </c>
      <c r="D52" s="54">
        <f>IF(OR(-8115.32572="",-9599.29118="",-8115.32572=0,-9599.29118=0),"-",-9599.29118/-8115.32572*100)</f>
        <v>118.285963018623</v>
      </c>
    </row>
    <row r="53" spans="1:4" ht="15.75">
      <c r="A53" s="41" t="s">
        <v>65</v>
      </c>
      <c r="B53" s="42">
        <f>IF(OR(-9148.24834="",-9148.24834=0),"-",-9148.24834)</f>
        <v>-9148.24834</v>
      </c>
      <c r="C53" s="42">
        <f>IF(OR(-9475.61531="",-9475.61531=0),"-",-9475.61531)</f>
        <v>-9475.61531</v>
      </c>
      <c r="D53" s="54">
        <f>IF(OR(-9148.24834="",-9475.61531="",-9148.24834=0,-9475.61531=0),"-",-9475.61531/-9148.24834*100)</f>
        <v>103.57846614819815</v>
      </c>
    </row>
    <row r="54" spans="1:4" ht="15.75">
      <c r="A54" s="41" t="s">
        <v>66</v>
      </c>
      <c r="B54" s="42">
        <f>IF(OR(-7199.70778="",-7199.70778=0),"-",-7199.70778)</f>
        <v>-7199.70778</v>
      </c>
      <c r="C54" s="42">
        <f>IF(OR(-8660.32579="",-8660.32579=0),"-",-8660.32579)</f>
        <v>-8660.32579</v>
      </c>
      <c r="D54" s="54">
        <f>IF(OR(-7199.70778="",-8660.32579="",-7199.70778=0,-8660.32579=0),"-",-8660.32579/-7199.70778*100)</f>
        <v>120.28718462792946</v>
      </c>
    </row>
    <row r="55" spans="1:4" ht="25.5">
      <c r="A55" s="41" t="s">
        <v>218</v>
      </c>
      <c r="B55" s="42">
        <f>IF(OR(-14006.60054="",-14006.60054=0),"-",-14006.60054)</f>
        <v>-14006.60054</v>
      </c>
      <c r="C55" s="42">
        <f>IF(OR(-12563.93555="",-12563.93555=0),"-",-12563.93555)</f>
        <v>-12563.93555</v>
      </c>
      <c r="D55" s="54">
        <f>IF(OR(-14006.60054="",-12563.93555="",-14006.60054=0,-12563.93555=0),"-",-12563.93555/-14006.60054*100)</f>
        <v>89.70010613296179</v>
      </c>
    </row>
    <row r="56" spans="1:4" ht="25.5">
      <c r="A56" s="41" t="s">
        <v>256</v>
      </c>
      <c r="B56" s="42">
        <f>IF(OR(-29641.06191="",-29641.06191=0),"-",-29641.06191)</f>
        <v>-29641.06191</v>
      </c>
      <c r="C56" s="42">
        <f>IF(OR(-32389.52377="",-32389.52377=0),"-",-32389.52377)</f>
        <v>-32389.52377</v>
      </c>
      <c r="D56" s="54">
        <f>IF(OR(-29641.06191="",-32389.52377="",-29641.06191=0,-32389.52377=0),"-",-32389.52377/-29641.06191*100)</f>
        <v>109.27248108838081</v>
      </c>
    </row>
    <row r="57" spans="1:4" ht="15.75">
      <c r="A57" s="41" t="s">
        <v>67</v>
      </c>
      <c r="B57" s="42">
        <f>IF(OR(-8403.50855="",-8403.50855=0),"-",-8403.50855)</f>
        <v>-8403.50855</v>
      </c>
      <c r="C57" s="42">
        <f>IF(OR(-11275.8615="",-11275.8615=0),"-",-11275.8615)</f>
        <v>-11275.8615</v>
      </c>
      <c r="D57" s="54">
        <f>IF(OR(-8403.50855="",-11275.8615="",-8403.50855=0,-11275.8615=0),"-",-11275.8615/-8403.50855*100)</f>
        <v>134.18040135152836</v>
      </c>
    </row>
    <row r="58" spans="1:4" ht="15.75">
      <c r="A58" s="41" t="s">
        <v>68</v>
      </c>
      <c r="B58" s="42">
        <f>IF(OR(-11024.37017="",-11024.37017=0),"-",-11024.37017)</f>
        <v>-11024.37017</v>
      </c>
      <c r="C58" s="42">
        <f>IF(OR(-18399.69889="",-18399.69889=0),"-",-18399.69889)</f>
        <v>-18399.69889</v>
      </c>
      <c r="D58" s="54" t="s">
        <v>156</v>
      </c>
    </row>
    <row r="59" spans="1:4" ht="15.75">
      <c r="A59" s="41" t="s">
        <v>69</v>
      </c>
      <c r="B59" s="42">
        <f>IF(OR(-13734.22783="",-13734.22783=0),"-",-13734.22783)</f>
        <v>-13734.22783</v>
      </c>
      <c r="C59" s="42">
        <f>IF(OR(-11612.01936="",-11612.01936=0),"-",-11612.01936)</f>
        <v>-11612.01936</v>
      </c>
      <c r="D59" s="54">
        <f>IF(OR(-13734.22783="",-11612.01936="",-13734.22783=0,-11612.01936=0),"-",-11612.01936/-13734.22783*100)</f>
        <v>84.54803214080657</v>
      </c>
    </row>
    <row r="60" spans="1:4" ht="15.75">
      <c r="A60" s="41" t="s">
        <v>70</v>
      </c>
      <c r="B60" s="42">
        <f>IF(OR(-14529.83069="",-14529.83069=0),"-",-14529.83069)</f>
        <v>-14529.83069</v>
      </c>
      <c r="C60" s="42">
        <f>IF(OR(-18128.0668="",-18128.0668=0),"-",-18128.0668)</f>
        <v>-18128.0668</v>
      </c>
      <c r="D60" s="54">
        <f>IF(OR(-14529.83069="",-18128.0668="",-14529.83069=0,-18128.0668=0),"-",-18128.0668/-14529.83069*100)</f>
        <v>124.76447376965271</v>
      </c>
    </row>
    <row r="61" spans="1:4" ht="15.75">
      <c r="A61" s="49" t="s">
        <v>257</v>
      </c>
      <c r="B61" s="40">
        <f>IF(-73329.26789="","-",-73329.26789)</f>
        <v>-73329.26789</v>
      </c>
      <c r="C61" s="40">
        <f>IF(-93293.12718="","-",-93293.12718)</f>
        <v>-93293.12718</v>
      </c>
      <c r="D61" s="53">
        <f>IF(-73329.26789="","-",-93293.12718/-73329.26789*100)</f>
        <v>127.22495377963877</v>
      </c>
    </row>
    <row r="62" spans="1:4" ht="15.75">
      <c r="A62" s="41" t="s">
        <v>71</v>
      </c>
      <c r="B62" s="42">
        <f>IF(OR(-1343.46064="",-1343.46064=0),"-",-1343.46064)</f>
        <v>-1343.46064</v>
      </c>
      <c r="C62" s="42">
        <f>IF(OR(-2125.2947="",-2125.2947=0),"-",-2125.2947)</f>
        <v>-2125.2947</v>
      </c>
      <c r="D62" s="54" t="s">
        <v>157</v>
      </c>
    </row>
    <row r="63" spans="1:4" ht="15.75">
      <c r="A63" s="41" t="s">
        <v>258</v>
      </c>
      <c r="B63" s="42">
        <f>IF(OR(-23598.31262="",-23598.31262=0),"-",-23598.31262)</f>
        <v>-23598.31262</v>
      </c>
      <c r="C63" s="42">
        <f>IF(OR(-20956.22643="",-20956.22643=0),"-",-20956.22643)</f>
        <v>-20956.22643</v>
      </c>
      <c r="D63" s="54">
        <f>IF(OR(-23598.31262="",-20956.22643="",-23598.31262=0,-20956.22643=0),"-",-20956.22643/-23598.31262*100)</f>
        <v>88.80391902359669</v>
      </c>
    </row>
    <row r="64" spans="1:4" ht="15.75">
      <c r="A64" s="41" t="s">
        <v>72</v>
      </c>
      <c r="B64" s="42">
        <f>IF(OR(-814.00523="",-814.00523=0),"-",-814.00523)</f>
        <v>-814.00523</v>
      </c>
      <c r="C64" s="42">
        <f>IF(OR(-2426.15728="",-2426.15728=0),"-",-2426.15728)</f>
        <v>-2426.15728</v>
      </c>
      <c r="D64" s="54" t="s">
        <v>203</v>
      </c>
    </row>
    <row r="65" spans="1:4" ht="25.5">
      <c r="A65" s="41" t="s">
        <v>73</v>
      </c>
      <c r="B65" s="42">
        <f>IF(OR(-20653.72712="",-20653.72712=0),"-",-20653.72712)</f>
        <v>-20653.72712</v>
      </c>
      <c r="C65" s="42">
        <f>IF(OR(-22971.24753="",-22971.24753=0),"-",-22971.24753)</f>
        <v>-22971.24753</v>
      </c>
      <c r="D65" s="54">
        <f>IF(OR(-20653.72712="",-22971.24753="",-20653.72712=0,-22971.24753=0),"-",-22971.24753/-20653.72712*100)</f>
        <v>111.22083387920738</v>
      </c>
    </row>
    <row r="66" spans="1:4" ht="25.5">
      <c r="A66" s="41" t="s">
        <v>74</v>
      </c>
      <c r="B66" s="42">
        <f>IF(OR(-7555.78698="",-7555.78698=0),"-",-7555.78698)</f>
        <v>-7555.78698</v>
      </c>
      <c r="C66" s="42">
        <f>IF(OR(-6061.11321="",-6061.11321=0),"-",-6061.11321)</f>
        <v>-6061.11321</v>
      </c>
      <c r="D66" s="54">
        <f>IF(OR(-7555.78698="",-6061.11321="",-7555.78698=0,-6061.11321=0),"-",-6061.11321/-7555.78698*100)</f>
        <v>80.21815895609065</v>
      </c>
    </row>
    <row r="67" spans="1:4" ht="25.5">
      <c r="A67" s="41" t="s">
        <v>75</v>
      </c>
      <c r="B67" s="42">
        <f>IF(OR(-21003.58806="",-21003.58806=0),"-",-21003.58806)</f>
        <v>-21003.58806</v>
      </c>
      <c r="C67" s="42">
        <f>IF(OR(-21872.49347="",-21872.49347=0),"-",-21872.49347)</f>
        <v>-21872.49347</v>
      </c>
      <c r="D67" s="54">
        <f>IF(OR(-21003.58806="",-21872.49347="",-21003.58806=0,-21872.49347=0),"-",-21872.49347/-21003.58806*100)</f>
        <v>104.13693797230188</v>
      </c>
    </row>
    <row r="68" spans="1:4" ht="26.25" customHeight="1">
      <c r="A68" s="41" t="s">
        <v>259</v>
      </c>
      <c r="B68" s="42">
        <f>IF(OR(46358.83746="",46358.83746=0),"-",46358.83746)</f>
        <v>46358.83746</v>
      </c>
      <c r="C68" s="42">
        <f>IF(OR(26351.20699="",26351.20699=0),"-",26351.20699)</f>
        <v>26351.20699</v>
      </c>
      <c r="D68" s="54">
        <f>IF(OR(46358.83746="",26351.20699="",46358.83746=0,26351.20699=0),"-",26351.20699/46358.83746*100)</f>
        <v>56.84182010115488</v>
      </c>
    </row>
    <row r="69" spans="1:4" ht="15.75">
      <c r="A69" s="41" t="s">
        <v>76</v>
      </c>
      <c r="B69" s="42">
        <f>IF(OR(-45662.35996="",-45662.35996=0),"-",-45662.35996)</f>
        <v>-45662.35996</v>
      </c>
      <c r="C69" s="42">
        <f>IF(OR(-40276.26825="",-40276.26825=0),"-",-40276.26825)</f>
        <v>-40276.26825</v>
      </c>
      <c r="D69" s="54">
        <f>IF(OR(-45662.35996="",-40276.26825="",-45662.35996=0,-40276.26825=0),"-",-40276.26825/-45662.35996*100)</f>
        <v>88.2045261902403</v>
      </c>
    </row>
    <row r="70" spans="1:4" ht="15.75">
      <c r="A70" s="41" t="s">
        <v>77</v>
      </c>
      <c r="B70" s="42">
        <f>IF(OR(943.13526="",943.13526=0),"-",943.13526)</f>
        <v>943.13526</v>
      </c>
      <c r="C70" s="42">
        <f>IF(OR(-2955.5333="",-2955.5333=0),"-",-2955.5333)</f>
        <v>-2955.5333</v>
      </c>
      <c r="D70" s="54" t="s">
        <v>22</v>
      </c>
    </row>
    <row r="71" spans="1:4" ht="15.75">
      <c r="A71" s="49" t="s">
        <v>78</v>
      </c>
      <c r="B71" s="40">
        <f>IF(-3793.5456="","-",-3793.5456)</f>
        <v>-3793.5456</v>
      </c>
      <c r="C71" s="40">
        <f>IF(1764.09515="","-",1764.09515)</f>
        <v>1764.09515</v>
      </c>
      <c r="D71" s="53" t="s">
        <v>22</v>
      </c>
    </row>
    <row r="72" spans="1:4" ht="25.5">
      <c r="A72" s="41" t="s">
        <v>264</v>
      </c>
      <c r="B72" s="42">
        <f>IF(OR(-3572.05758="",-3572.05758=0),"-",-3572.05758)</f>
        <v>-3572.05758</v>
      </c>
      <c r="C72" s="42">
        <f>IF(OR(-4956.93088="",-4956.93088=0),"-",-4956.93088)</f>
        <v>-4956.93088</v>
      </c>
      <c r="D72" s="54">
        <f>IF(OR(-3572.05758="",-4956.93088="",-3572.05758=0,-4956.93088=0),"-",-4956.93088/-3572.05758*100)</f>
        <v>138.76962420073866</v>
      </c>
    </row>
    <row r="73" spans="1:4" ht="15.75">
      <c r="A73" s="41" t="s">
        <v>79</v>
      </c>
      <c r="B73" s="42">
        <f>IF(OR(16000.36333="",16000.36333=0),"-",16000.36333)</f>
        <v>16000.36333</v>
      </c>
      <c r="C73" s="42">
        <f>IF(OR(17158.37791="",17158.37791=0),"-",17158.37791)</f>
        <v>17158.37791</v>
      </c>
      <c r="D73" s="54">
        <f>IF(OR(16000.36333="",17158.37791="",16000.36333=0,17158.37791=0),"-",17158.37791/16000.36333*100)</f>
        <v>107.23742677660807</v>
      </c>
    </row>
    <row r="74" spans="1:4" ht="15.75">
      <c r="A74" s="41" t="s">
        <v>80</v>
      </c>
      <c r="B74" s="42">
        <f>IF(OR(107.81365="",107.81365=0),"-",107.81365)</f>
        <v>107.81365</v>
      </c>
      <c r="C74" s="42">
        <f>IF(OR(752.30316="",752.30316=0),"-",752.30316)</f>
        <v>752.30316</v>
      </c>
      <c r="D74" s="54" t="s">
        <v>268</v>
      </c>
    </row>
    <row r="75" spans="1:4" ht="15.75">
      <c r="A75" s="41" t="s">
        <v>81</v>
      </c>
      <c r="B75" s="42">
        <f>IF(OR(19229.28522="",19229.28522=0),"-",19229.28522)</f>
        <v>19229.28522</v>
      </c>
      <c r="C75" s="42">
        <f>IF(OR(20540.80594="",20540.80594=0),"-",20540.80594)</f>
        <v>20540.80594</v>
      </c>
      <c r="D75" s="54">
        <f>IF(OR(19229.28522="",20540.80594="",19229.28522=0,20540.80594=0),"-",20540.80594/19229.28522*100)</f>
        <v>106.82043406707551</v>
      </c>
    </row>
    <row r="76" spans="1:4" ht="15.75">
      <c r="A76" s="41" t="s">
        <v>82</v>
      </c>
      <c r="B76" s="42">
        <f>IF(OR(-2994.9822="",-2994.9822=0),"-",-2994.9822)</f>
        <v>-2994.9822</v>
      </c>
      <c r="C76" s="42">
        <f>IF(OR(-992.46676="",-992.46676=0),"-",-992.46676)</f>
        <v>-992.46676</v>
      </c>
      <c r="D76" s="54">
        <f>IF(OR(-2994.9822="",-992.46676="",-2994.9822=0,-992.46676=0),"-",-992.46676/-2994.9822*100)</f>
        <v>33.13765136901314</v>
      </c>
    </row>
    <row r="77" spans="1:4" ht="15.75">
      <c r="A77" s="41" t="s">
        <v>265</v>
      </c>
      <c r="B77" s="42">
        <f>IF(OR(-5722.40751="",-5722.40751=0),"-",-5722.40751)</f>
        <v>-5722.40751</v>
      </c>
      <c r="C77" s="42">
        <f>IF(OR(-5381.39288="",-5381.39288=0),"-",-5381.39288)</f>
        <v>-5381.39288</v>
      </c>
      <c r="D77" s="54">
        <f>IF(OR(-5722.40751="",-5381.39288="",-5722.40751=0,-5381.39288=0),"-",-5381.39288/-5722.40751*100)</f>
        <v>94.0407139931214</v>
      </c>
    </row>
    <row r="78" spans="1:4" ht="25.5">
      <c r="A78" s="41" t="s">
        <v>83</v>
      </c>
      <c r="B78" s="42">
        <f>IF(OR(-1213.03874="",-1213.03874=0),"-",-1213.03874)</f>
        <v>-1213.03874</v>
      </c>
      <c r="C78" s="42">
        <f>IF(OR(-1885.77641="",-1885.77641=0),"-",-1885.77641)</f>
        <v>-1885.77641</v>
      </c>
      <c r="D78" s="54" t="s">
        <v>157</v>
      </c>
    </row>
    <row r="79" spans="1:4" ht="15.75">
      <c r="A79" s="41" t="s">
        <v>84</v>
      </c>
      <c r="B79" s="42">
        <f>IF(OR(-25628.52177="",-25628.52177=0),"-",-25628.52177)</f>
        <v>-25628.52177</v>
      </c>
      <c r="C79" s="42">
        <f>IF(OR(-23470.82493="",-23470.82493=0),"-",-23470.82493)</f>
        <v>-23470.82493</v>
      </c>
      <c r="D79" s="54">
        <f>IF(OR(-25628.52177="",-23470.82493="",-25628.52177=0,-23470.82493=0),"-",-23470.82493/-25628.52177*100)</f>
        <v>91.58087673037102</v>
      </c>
    </row>
    <row r="80" spans="1:4" ht="15.75">
      <c r="A80" s="28" t="s">
        <v>220</v>
      </c>
      <c r="B80" s="40">
        <f>IF(7.1125="","-",7.1125)</f>
        <v>7.1125</v>
      </c>
      <c r="C80" s="40">
        <f>IF(128.43297="","-",128.43297)</f>
        <v>128.43297</v>
      </c>
      <c r="D80" s="53" t="s">
        <v>269</v>
      </c>
    </row>
    <row r="81" spans="1:4" ht="15.75">
      <c r="A81" s="41" t="s">
        <v>261</v>
      </c>
      <c r="B81" s="42">
        <f>IF(OR(99.55969="",99.55969=0),"-",99.55969)</f>
        <v>99.55969</v>
      </c>
      <c r="C81" s="42">
        <f>IF(OR(187.21487="",187.21487=0),"-",187.21487)</f>
        <v>187.21487</v>
      </c>
      <c r="D81" s="54" t="s">
        <v>158</v>
      </c>
    </row>
    <row r="82" spans="1:4" ht="15.75">
      <c r="A82" s="43" t="s">
        <v>266</v>
      </c>
      <c r="B82" s="44">
        <f>IF(OR(-92.44719="",-92.44719=0),"-",-92.44719)</f>
        <v>-92.44719</v>
      </c>
      <c r="C82" s="44">
        <f>IF(OR(-58.7819="",-58.7819=0),"-",-58.7819)</f>
        <v>-58.7819</v>
      </c>
      <c r="D82" s="55">
        <f>IF(OR(-92.44719="",-58.7819="",-92.44719=0,-58.7819=0),"-",-58.7819/-92.44719*100)</f>
        <v>63.58430148066155</v>
      </c>
    </row>
    <row r="83" spans="1:4" ht="15.75">
      <c r="A83" s="29" t="s">
        <v>21</v>
      </c>
      <c r="B83" s="11"/>
      <c r="C83" s="11"/>
      <c r="D83" s="12"/>
    </row>
    <row r="84" ht="15.75">
      <c r="C84" s="11"/>
    </row>
  </sheetData>
  <sheetProtection/>
  <mergeCells count="5">
    <mergeCell ref="A1:D1"/>
    <mergeCell ref="A2:D2"/>
    <mergeCell ref="A4:A5"/>
    <mergeCell ref="D4:D5"/>
    <mergeCell ref="B4:C4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 Eni</dc:creator>
  <cp:keywords/>
  <dc:description/>
  <cp:lastModifiedBy>Doina Vudvud</cp:lastModifiedBy>
  <cp:lastPrinted>2020-04-13T09:54:29Z</cp:lastPrinted>
  <dcterms:created xsi:type="dcterms:W3CDTF">2016-09-01T07:59:47Z</dcterms:created>
  <dcterms:modified xsi:type="dcterms:W3CDTF">2020-04-14T09:38:17Z</dcterms:modified>
  <cp:category/>
  <cp:version/>
  <cp:contentType/>
  <cp:contentStatus/>
</cp:coreProperties>
</file>