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inaVudvud\Desktop\Fwd Nota informativa\"/>
    </mc:Choice>
  </mc:AlternateContent>
  <bookViews>
    <workbookView xWindow="0" yWindow="0" windowWidth="20400" windowHeight="6855" tabRatio="857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8" l="1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AB26" i="2" l="1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7" i="8" l="1"/>
  <c r="L27" i="8"/>
  <c r="K27" i="8"/>
  <c r="J27" i="8"/>
  <c r="I27" i="8"/>
  <c r="H27" i="8"/>
  <c r="G27" i="8"/>
  <c r="F27" i="8"/>
  <c r="E27" i="8"/>
  <c r="D27" i="8"/>
  <c r="C27" i="8"/>
  <c r="B27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<sst xmlns="http://schemas.openxmlformats.org/spreadsheetml/2006/main" count="253" uniqueCount="101">
  <si>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</si>
  <si>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</si>
  <si>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</si>
  <si>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</si>
  <si>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</si>
  <si>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</si>
  <si>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</si>
  <si>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</si>
  <si>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</si>
  <si>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</si>
  <si>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</si>
  <si>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</si>
  <si>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</si>
  <si>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</si>
  <si>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</si>
  <si>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</si>
  <si>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</si>
  <si>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</si>
  <si>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</si>
  <si>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</si>
  <si>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</si>
  <si>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</si>
  <si>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</si>
  <si>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</si>
  <si>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</si>
  <si>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</si>
  <si>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</si>
  <si>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</si>
  <si>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</si>
  <si>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</si>
  <si>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</si>
  <si>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</si>
  <si>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</si>
  <si>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</si>
  <si>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</si>
  <si>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</si>
  <si>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</si>
  <si>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</si>
  <si>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</si>
  <si>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Federaţia Rusă</t>
  </si>
  <si>
    <t>Italia</t>
  </si>
  <si>
    <t>Polonia</t>
  </si>
  <si>
    <t>Ucraina</t>
  </si>
  <si>
    <t>Republica Cehă</t>
  </si>
  <si>
    <t>Belarus</t>
  </si>
  <si>
    <t>Ungaria</t>
  </si>
  <si>
    <t>Elveţia</t>
  </si>
  <si>
    <t>Spania</t>
  </si>
  <si>
    <t>Bulgaria</t>
  </si>
  <si>
    <t>Olanda</t>
  </si>
  <si>
    <t>Franţa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</si>
  <si>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</si>
  <si>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</si>
  <si>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</si>
  <si>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</si>
  <si>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</si>
  <si>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</si>
  <si>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</si>
  <si>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</si>
  <si>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</si>
  <si>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</si>
  <si>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</si>
  <si>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</si>
  <si>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</si>
  <si>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</si>
  <si>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</si>
  <si>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</si>
  <si>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</si>
  <si>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</si>
  <si>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</si>
  <si>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</si>
  <si>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</si>
  <si>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S.U.A.</t>
  </si>
  <si>
    <t>Perioada</t>
  </si>
  <si>
    <t>Export</t>
  </si>
  <si>
    <t>Import</t>
  </si>
  <si>
    <t>Balanţa Comercială</t>
  </si>
  <si>
    <r>
      <rPr>
        <b/>
        <sz val="9"/>
        <color theme="1"/>
        <rFont val="Arial"/>
        <family val="2"/>
        <charset val="204"/>
      </rPr>
      <t>Figura 7.</t>
    </r>
    <r>
      <rPr>
        <b/>
        <i/>
        <sz val="9"/>
        <color theme="1"/>
        <rFont val="Arial"/>
        <family val="2"/>
        <charset val="204"/>
      </rPr>
      <t xml:space="preserve"> Evoluţia lunară a importurilor de mărfuri, în anii 2016-2021, milioane dolari SUA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</si>
  <si>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Evoluţia lunară a indicilor valorici ai importurilor de mărfuri, în anii 2019-2021, %</t>
    </r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</si>
  <si>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</si>
  <si>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</si>
  <si>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</si>
  <si>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r>
      <t xml:space="preserve">Figura 13. </t>
    </r>
    <r>
      <rPr>
        <b/>
        <i/>
        <sz val="9"/>
        <color theme="1"/>
        <rFont val="Arial"/>
        <family val="2"/>
        <charset val="204"/>
      </rPr>
      <t>Evoluţia lunară a balanţei comerciale, în anii 2016-2021, milioane dolari SUA</t>
    </r>
  </si>
  <si>
    <t>Ianuarie - martie 2016</t>
  </si>
  <si>
    <t>Ianuarie - martie 2017</t>
  </si>
  <si>
    <t>Ianuarie - martie 2018</t>
  </si>
  <si>
    <t>Ianuarie - martie 2019</t>
  </si>
  <si>
    <t>Ianuarie - martie 2020</t>
  </si>
  <si>
    <t>Ianuarie - martie 2021</t>
  </si>
  <si>
    <t xml:space="preserve"> Ianuarie - martie 2016</t>
  </si>
  <si>
    <t xml:space="preserve"> Ianuarie - martie 2019</t>
  </si>
  <si>
    <r>
      <rPr>
        <b/>
        <sz val="9"/>
        <color theme="1"/>
        <rFont val="Arial"/>
        <family val="2"/>
        <charset val="204"/>
      </rPr>
      <t xml:space="preserve">Figura 4. </t>
    </r>
    <r>
      <rPr>
        <b/>
        <i/>
        <sz val="9"/>
        <color theme="1"/>
        <rFont val="Arial"/>
        <family val="2"/>
        <charset val="204"/>
      </rPr>
      <t>Structura exporturilor de mărfuri, în ianuarie-martie 2016-2021, pe grupe de ţări,  în % faţă de total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</si>
  <si>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</si>
  <si>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Evoluţia lunară a indicilor valorici ai exporturilor de mărfuri,  în anii 2019-2021, %</t>
    </r>
  </si>
  <si>
    <t xml:space="preserve">    Figura 10. Structura importurilor de mărfuri, în ianuarie-martie 2016-2021, pe grupe de ţări,  în % faţă de total</t>
  </si>
  <si>
    <r>
      <t xml:space="preserve">                                          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2016-2021, milioane dolari SUA</t>
    </r>
  </si>
  <si>
    <r>
      <rPr>
        <b/>
        <sz val="9"/>
        <color theme="1"/>
        <rFont val="Arial"/>
        <family val="2"/>
        <charset val="204"/>
      </rPr>
      <t xml:space="preserve">Figura 5. </t>
    </r>
    <r>
      <rPr>
        <b/>
        <i/>
        <sz val="9"/>
        <color theme="1"/>
        <rFont val="Arial"/>
        <family val="2"/>
        <charset val="204"/>
      </rPr>
      <t>Structura exporturilor, în ianuarie-martie 2016-2021, pe principalele ţări de destinaţie a mărfurilor, în % faţă de total</t>
    </r>
  </si>
  <si>
    <t xml:space="preserve">                             Figura 9. Structura importurilor de mărfuri, în ianuarie-martie 2016-2021, după modul de transport, în % faţă de total</t>
  </si>
  <si>
    <r>
      <t xml:space="preserve">Figura 11. </t>
    </r>
    <r>
      <rPr>
        <b/>
        <i/>
        <sz val="9"/>
        <color theme="1"/>
        <rFont val="Arial"/>
        <family val="2"/>
        <charset val="204"/>
      </rPr>
      <t>Structura importurilor, în ianuarie-martie 2016-2021, pe principalele ţări de origine a mărfurilor, în % faţă de total</t>
    </r>
  </si>
  <si>
    <r>
      <t xml:space="preserve">    </t>
    </r>
    <r>
      <rPr>
        <b/>
        <sz val="9"/>
        <color theme="1"/>
        <rFont val="Arial"/>
        <family val="2"/>
        <charset val="204"/>
      </rPr>
      <t xml:space="preserve">Figura 14. </t>
    </r>
    <r>
      <rPr>
        <b/>
        <i/>
        <sz val="9"/>
        <color theme="1"/>
        <rFont val="Arial"/>
        <family val="2"/>
        <charset val="204"/>
      </rPr>
      <t>Tendinţele comerţului internaţional cu mărfuri, în ianuarie-martie 2016-2021, milioane dolari SUA</t>
    </r>
  </si>
  <si>
    <r>
      <rPr>
        <b/>
        <sz val="9"/>
        <color theme="1"/>
        <rFont val="Arial"/>
        <family val="2"/>
        <charset val="204"/>
      </rPr>
      <t>Figura 3.</t>
    </r>
    <r>
      <rPr>
        <b/>
        <i/>
        <sz val="9"/>
        <color theme="1"/>
        <rFont val="Arial"/>
        <family val="2"/>
        <charset val="204"/>
      </rPr>
      <t xml:space="preserve"> Structura exporturilor de mărfuri, în ianuarie-martie 2016-2021, după modul de transport, în % faţă de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</si>
</sst>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5" fillId="0" borderId="0" xfId="0" applyNumberFormat="1" applyFont="1" applyFill="1" applyAlignment="1" applyProtection="1"/>
    <xf numFmtId="4" fontId="5" fillId="0" borderId="0" xfId="0" applyNumberFormat="1" applyFont="1" applyFill="1" applyAlignment="1" applyProtection="1">
      <alignment horizontal="right"/>
    </xf>
    <xf numFmtId="0" fontId="4" fillId="0" borderId="0" xfId="0" applyFont="1" applyAlignment="1"/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justify"/>
    </xf>
    <xf numFmtId="164" fontId="5" fillId="0" borderId="0" xfId="0" applyNumberFormat="1" applyFont="1" applyFill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0" xfId="0" applyNumberFormat="1" applyFont="1" applyFill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165" fontId="5" fillId="0" borderId="5" xfId="0" applyNumberFormat="1" applyFont="1" applyFill="1" applyBorder="1" applyAlignment="1" applyProtection="1">
      <alignment horizontal="center"/>
    </xf>
    <xf numFmtId="165" fontId="5" fillId="0" borderId="6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 indent="1"/>
    </xf>
    <xf numFmtId="0" fontId="7" fillId="0" borderId="5" xfId="0" applyNumberFormat="1" applyFont="1" applyFill="1" applyBorder="1" applyAlignment="1" applyProtection="1">
      <alignment horizontal="left" wrapText="1" indent="1"/>
    </xf>
    <xf numFmtId="165" fontId="5" fillId="0" borderId="2" xfId="0" applyNumberFormat="1" applyFont="1" applyFill="1" applyBorder="1" applyAlignment="1" applyProtection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Border="1" applyAlignment="1">
      <alignment horizontal="center"/>
    </xf>
    <xf numFmtId="38" fontId="7" fillId="0" borderId="4" xfId="0" applyNumberFormat="1" applyFont="1" applyFill="1" applyBorder="1" applyAlignment="1" applyProtection="1">
      <alignment horizontal="left" wrapText="1" indent="1"/>
    </xf>
    <xf numFmtId="38" fontId="7" fillId="0" borderId="5" xfId="0" applyNumberFormat="1" applyFont="1" applyFill="1" applyBorder="1" applyAlignment="1" applyProtection="1">
      <alignment horizontal="left" wrapText="1" indent="1"/>
    </xf>
    <xf numFmtId="0" fontId="7" fillId="0" borderId="12" xfId="0" applyNumberFormat="1" applyFont="1" applyFill="1" applyBorder="1" applyAlignment="1" applyProtection="1">
      <alignment horizontal="left" wrapText="1" indent="1"/>
    </xf>
    <xf numFmtId="0" fontId="7" fillId="0" borderId="13" xfId="0" applyNumberFormat="1" applyFont="1" applyFill="1" applyBorder="1" applyAlignment="1" applyProtection="1">
      <alignment horizontal="left" wrapText="1" indent="1"/>
    </xf>
    <xf numFmtId="0" fontId="7" fillId="0" borderId="8" xfId="0" applyNumberFormat="1" applyFont="1" applyFill="1" applyBorder="1" applyAlignment="1" applyProtection="1">
      <alignment horizontal="left" wrapText="1" indent="1"/>
    </xf>
    <xf numFmtId="165" fontId="5" fillId="0" borderId="9" xfId="0" applyNumberFormat="1" applyFont="1" applyFill="1" applyBorder="1" applyAlignment="1" applyProtection="1">
      <alignment horizontal="center"/>
    </xf>
    <xf numFmtId="0" fontId="7" fillId="0" borderId="12" xfId="0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65" fontId="5" fillId="0" borderId="4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4" fontId="5" fillId="0" borderId="6" xfId="0" applyNumberFormat="1" applyFont="1" applyFill="1" applyBorder="1" applyAlignment="1" applyProtection="1">
      <alignment horizontal="center"/>
    </xf>
    <xf numFmtId="165" fontId="5" fillId="0" borderId="11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indent="1"/>
    </xf>
    <xf numFmtId="38" fontId="7" fillId="0" borderId="6" xfId="0" applyNumberFormat="1" applyFont="1" applyFill="1" applyBorder="1" applyAlignment="1" applyProtection="1">
      <alignment horizontal="left" wrapText="1" indent="1"/>
    </xf>
    <xf numFmtId="164" fontId="5" fillId="0" borderId="0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38" fontId="5" fillId="0" borderId="12" xfId="0" applyNumberFormat="1" applyFont="1" applyFill="1" applyBorder="1" applyAlignment="1" applyProtection="1">
      <alignment horizontal="left" wrapText="1" indent="1"/>
    </xf>
    <xf numFmtId="38" fontId="5" fillId="0" borderId="13" xfId="0" applyNumberFormat="1" applyFont="1" applyFill="1" applyBorder="1" applyAlignment="1" applyProtection="1">
      <alignment horizontal="left" wrapText="1" indent="1"/>
    </xf>
    <xf numFmtId="38" fontId="5" fillId="0" borderId="8" xfId="0" applyNumberFormat="1" applyFont="1" applyFill="1" applyBorder="1" applyAlignment="1" applyProtection="1">
      <alignment horizontal="left" wrapText="1" indent="1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3" xfId="0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1'!$B$19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1'!$B$20:$B$25</c:f>
              <c:numCache>
                <c:formatCode>General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1'!$C$19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1'!$C$20:$C$25</c:f>
              <c:numCache>
                <c:formatCode>General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 formatCode="0.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1'!$D$19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1'!$D$20:$D$25</c:f>
              <c:numCache>
                <c:formatCode>General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1'!$E$19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1'!$E$20:$E$25</c:f>
              <c:numCache>
                <c:formatCode>General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1'!$F$19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1'!$F$20:$F$25</c:f>
              <c:numCache>
                <c:formatCode>General</c:formatCode>
                <c:ptCount val="6"/>
                <c:pt idx="0" formatCode="0.0">
                  <c:v>153</c:v>
                </c:pt>
                <c:pt idx="1">
                  <c:v>174.7</c:v>
                </c:pt>
                <c:pt idx="2" formatCode="0.0">
                  <c:v>223</c:v>
                </c:pt>
                <c:pt idx="3">
                  <c:v>210.5</c:v>
                </c:pt>
                <c:pt idx="4">
                  <c:v>155.69999999999999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1'!$G$19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1'!$G$20:$G$25</c:f>
              <c:numCache>
                <c:formatCode>General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1'!$H$19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1'!$H$20:$H$25</c:f>
              <c:numCache>
                <c:formatCode>General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209.1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1'!$I$19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1'!$I$20:$I$25</c:f>
              <c:numCache>
                <c:formatCode>General</c:formatCode>
                <c:ptCount val="6"/>
                <c:pt idx="0" formatCode="0.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1'!$J$19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1'!$J$20:$J$25</c:f>
              <c:numCache>
                <c:formatCode>General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1'!$K$19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1'!$K$20:$K$25</c:f>
              <c:numCache>
                <c:formatCode>General</c:formatCode>
                <c:ptCount val="6"/>
                <c:pt idx="0">
                  <c:v>200.8</c:v>
                </c:pt>
                <c:pt idx="1">
                  <c:v>268.2</c:v>
                </c:pt>
                <c:pt idx="2" formatCode="0.0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1'!$L$19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1'!$L$20:$L$25</c:f>
              <c:numCache>
                <c:formatCode>General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 formatCode="0.0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3-4287-B78E-95C1116B941C}"/>
            </c:ext>
          </c:extLst>
        </c:ser>
        <c:ser>
          <c:idx val="0"/>
          <c:order val="11"/>
          <c:tx>
            <c:strRef>
              <c:f>'Figura 1'!$M$19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1'!$M$20:$M$25</c:f>
              <c:numCache>
                <c:formatCode>General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3-4287-B78E-95C1116B9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096400"/>
        <c:axId val="168096960"/>
      </c:barChart>
      <c:catAx>
        <c:axId val="1680964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096960"/>
        <c:crosses val="autoZero"/>
        <c:auto val="0"/>
        <c:lblAlgn val="ctr"/>
        <c:lblOffset val="100"/>
        <c:tickLblSkip val="1"/>
        <c:noMultiLvlLbl val="0"/>
      </c:catAx>
      <c:valAx>
        <c:axId val="168096960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09640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4500396752733"/>
          <c:y val="3.3573141486810551E-2"/>
          <c:w val="0.79711239634868647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9'!$B$25</c:f>
              <c:strCache>
                <c:ptCount val="1"/>
                <c:pt idx="0">
                  <c:v>Ianuarie - martie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9'!$B$26:$B$32</c:f>
              <c:numCache>
                <c:formatCode>0.0</c:formatCode>
                <c:ptCount val="7"/>
                <c:pt idx="0">
                  <c:v>2.0738961998359571</c:v>
                </c:pt>
                <c:pt idx="1">
                  <c:v>4.7362421240273243</c:v>
                </c:pt>
                <c:pt idx="2">
                  <c:v>85.776053347281376</c:v>
                </c:pt>
                <c:pt idx="3">
                  <c:v>2.1637656114652244</c:v>
                </c:pt>
                <c:pt idx="4">
                  <c:v>0.18593816213786873</c:v>
                </c:pt>
                <c:pt idx="5">
                  <c:v>4.5046396289204544</c:v>
                </c:pt>
                <c:pt idx="6">
                  <c:v>0.55946492633178802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9'!$C$25</c:f>
              <c:strCache>
                <c:ptCount val="1"/>
                <c:pt idx="0">
                  <c:v>Ianuarie - martie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9'!$C$26:$C$32</c:f>
              <c:numCache>
                <c:formatCode>0.0</c:formatCode>
                <c:ptCount val="7"/>
                <c:pt idx="0">
                  <c:v>1.7511545895264613</c:v>
                </c:pt>
                <c:pt idx="1">
                  <c:v>4.5114964247888096</c:v>
                </c:pt>
                <c:pt idx="2">
                  <c:v>84.533053587255537</c:v>
                </c:pt>
                <c:pt idx="3">
                  <c:v>2.1680314315175533</c:v>
                </c:pt>
                <c:pt idx="4">
                  <c:v>0.1698167559010344</c:v>
                </c:pt>
                <c:pt idx="5">
                  <c:v>6.384747861785975</c:v>
                </c:pt>
                <c:pt idx="6">
                  <c:v>0.48169934922464064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9'!$D$25</c:f>
              <c:strCache>
                <c:ptCount val="1"/>
                <c:pt idx="0">
                  <c:v>Ianuarie - martie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9'!$D$26:$D$32</c:f>
              <c:numCache>
                <c:formatCode>0.0</c:formatCode>
                <c:ptCount val="7"/>
                <c:pt idx="0">
                  <c:v>1.6924811777131503</c:v>
                </c:pt>
                <c:pt idx="1">
                  <c:v>4.0068014663506633</c:v>
                </c:pt>
                <c:pt idx="2">
                  <c:v>81.470662345445405</c:v>
                </c:pt>
                <c:pt idx="3">
                  <c:v>2.5971272389128148</c:v>
                </c:pt>
                <c:pt idx="4">
                  <c:v>0.16493651817651647</c:v>
                </c:pt>
                <c:pt idx="5">
                  <c:v>9.3233919875307318</c:v>
                </c:pt>
                <c:pt idx="6">
                  <c:v>0.74459926587071623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9'!$E$25</c:f>
              <c:strCache>
                <c:ptCount val="1"/>
                <c:pt idx="0">
                  <c:v>Ianuarie - martie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9'!$E$26:$E$32</c:f>
              <c:numCache>
                <c:formatCode>0.0</c:formatCode>
                <c:ptCount val="7"/>
                <c:pt idx="0">
                  <c:v>2.6770091501941669</c:v>
                </c:pt>
                <c:pt idx="1">
                  <c:v>5.7240329513021573</c:v>
                </c:pt>
                <c:pt idx="2">
                  <c:v>80.182184401899377</c:v>
                </c:pt>
                <c:pt idx="3">
                  <c:v>2.6060634640846425</c:v>
                </c:pt>
                <c:pt idx="4">
                  <c:v>0.27065161975933338</c:v>
                </c:pt>
                <c:pt idx="5">
                  <c:v>7.9342853570725165</c:v>
                </c:pt>
                <c:pt idx="6">
                  <c:v>0.60577305568781126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9'!$F$25</c:f>
              <c:strCache>
                <c:ptCount val="1"/>
                <c:pt idx="0">
                  <c:v>Ianuarie - martie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9'!$F$26:$F$32</c:f>
              <c:numCache>
                <c:formatCode>0.0</c:formatCode>
                <c:ptCount val="7"/>
                <c:pt idx="0">
                  <c:v>2.6051771198365543</c:v>
                </c:pt>
                <c:pt idx="1">
                  <c:v>6.2767965258035847</c:v>
                </c:pt>
                <c:pt idx="2">
                  <c:v>80.856307980304194</c:v>
                </c:pt>
                <c:pt idx="3">
                  <c:v>2.6312995487312021</c:v>
                </c:pt>
                <c:pt idx="4">
                  <c:v>0.26692034839824202</c:v>
                </c:pt>
                <c:pt idx="5">
                  <c:v>6.784714142043125</c:v>
                </c:pt>
                <c:pt idx="6">
                  <c:v>0.57878433488310166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9'!$G$25</c:f>
              <c:strCache>
                <c:ptCount val="1"/>
                <c:pt idx="0">
                  <c:v>Ianuarie - martie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9'!$G$26:$G$32</c:f>
              <c:numCache>
                <c:formatCode>0.0</c:formatCode>
                <c:ptCount val="7"/>
                <c:pt idx="0">
                  <c:v>1.2418958483409108</c:v>
                </c:pt>
                <c:pt idx="1">
                  <c:v>5.8241137819357762</c:v>
                </c:pt>
                <c:pt idx="2">
                  <c:v>78.674986846448576</c:v>
                </c:pt>
                <c:pt idx="3">
                  <c:v>1.6933353683426071</c:v>
                </c:pt>
                <c:pt idx="4">
                  <c:v>0.8497236275978457</c:v>
                </c:pt>
                <c:pt idx="5">
                  <c:v>11.237205910157396</c:v>
                </c:pt>
                <c:pt idx="6">
                  <c:v>0.47873861717689309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802688"/>
        <c:axId val="170803248"/>
      </c:barChart>
      <c:catAx>
        <c:axId val="17080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803248"/>
        <c:crossesAt val="0"/>
        <c:auto val="1"/>
        <c:lblAlgn val="ctr"/>
        <c:lblOffset val="100"/>
        <c:noMultiLvlLbl val="0"/>
      </c:catAx>
      <c:valAx>
        <c:axId val="1708032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80268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9779697056979724"/>
          <c:w val="0.84362058328366329"/>
          <c:h val="7.914828136232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7.2958463835143289E-2"/>
          <c:w val="0.93986930373860744"/>
          <c:h val="0.68212159353686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10'!$B$23:$G$23</c:f>
              <c:numCache>
                <c:formatCode>#\ ##0.0</c:formatCode>
                <c:ptCount val="6"/>
                <c:pt idx="0">
                  <c:v>44.7</c:v>
                </c:pt>
                <c:pt idx="1">
                  <c:v>46.4</c:v>
                </c:pt>
                <c:pt idx="2">
                  <c:v>47.5</c:v>
                </c:pt>
                <c:pt idx="3">
                  <c:v>46.8</c:v>
                </c:pt>
                <c:pt idx="4">
                  <c:v>47.4</c:v>
                </c:pt>
                <c:pt idx="5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10'!$B$24:$G$24</c:f>
              <c:numCache>
                <c:formatCode>#\ ##0.0</c:formatCode>
                <c:ptCount val="6"/>
                <c:pt idx="0">
                  <c:v>29.1</c:v>
                </c:pt>
                <c:pt idx="1">
                  <c:v>26.3</c:v>
                </c:pt>
                <c:pt idx="2">
                  <c:v>25.1</c:v>
                </c:pt>
                <c:pt idx="3">
                  <c:v>26.9</c:v>
                </c:pt>
                <c:pt idx="4">
                  <c:v>25</c:v>
                </c:pt>
                <c:pt idx="5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10'!$B$25:$G$25</c:f>
              <c:numCache>
                <c:formatCode>#\ ##0.0</c:formatCode>
                <c:ptCount val="6"/>
                <c:pt idx="0">
                  <c:v>26.2</c:v>
                </c:pt>
                <c:pt idx="1">
                  <c:v>27.3</c:v>
                </c:pt>
                <c:pt idx="2">
                  <c:v>27.4</c:v>
                </c:pt>
                <c:pt idx="3">
                  <c:v>26.3</c:v>
                </c:pt>
                <c:pt idx="4">
                  <c:v>27.6</c:v>
                </c:pt>
                <c:pt idx="5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143072"/>
        <c:axId val="171143632"/>
      </c:barChart>
      <c:catAx>
        <c:axId val="1711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1143632"/>
        <c:crosses val="autoZero"/>
        <c:auto val="0"/>
        <c:lblAlgn val="ctr"/>
        <c:lblOffset val="100"/>
        <c:noMultiLvlLbl val="0"/>
      </c:catAx>
      <c:valAx>
        <c:axId val="171143632"/>
        <c:scaling>
          <c:orientation val="minMax"/>
          <c:max val="10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1143072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6060334230373099E-2"/>
          <c:y val="0.8886039977995325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2935151016570694"/>
          <c:h val="0.6320369804520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11'!$B$23</c:f>
              <c:strCache>
                <c:ptCount val="1"/>
                <c:pt idx="0">
                  <c:v> Ianuarie - martie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11'!$B$24:$B$39</c:f>
              <c:numCache>
                <c:formatCode>0.0</c:formatCode>
                <c:ptCount val="16"/>
                <c:pt idx="0">
                  <c:v>18.41590483970451</c:v>
                </c:pt>
                <c:pt idx="1">
                  <c:v>11.60479953793865</c:v>
                </c:pt>
                <c:pt idx="2">
                  <c:v>9.2743550380860196</c:v>
                </c:pt>
                <c:pt idx="3">
                  <c:v>7.592089235777542</c:v>
                </c:pt>
                <c:pt idx="4">
                  <c:v>8.1771082438897249</c:v>
                </c:pt>
                <c:pt idx="5">
                  <c:v>7.012805151128652</c:v>
                </c:pt>
                <c:pt idx="6">
                  <c:v>6.6078071112794028</c:v>
                </c:pt>
                <c:pt idx="7">
                  <c:v>2.8463544086514543</c:v>
                </c:pt>
                <c:pt idx="8">
                  <c:v>2.905760341315641</c:v>
                </c:pt>
                <c:pt idx="9">
                  <c:v>1.8602574777767289</c:v>
                </c:pt>
                <c:pt idx="10">
                  <c:v>2.175895865766595</c:v>
                </c:pt>
                <c:pt idx="11">
                  <c:v>1.3097300217673464</c:v>
                </c:pt>
                <c:pt idx="12">
                  <c:v>1.4348015501751412</c:v>
                </c:pt>
                <c:pt idx="13">
                  <c:v>1.4016278010364707</c:v>
                </c:pt>
                <c:pt idx="14">
                  <c:v>2.1338928552327365</c:v>
                </c:pt>
                <c:pt idx="15">
                  <c:v>1.0591520242563035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11'!$C$23</c:f>
              <c:strCache>
                <c:ptCount val="1"/>
                <c:pt idx="0">
                  <c:v>Ianuarie - martie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11'!$C$24:$C$39</c:f>
              <c:numCache>
                <c:formatCode>0.0</c:formatCode>
                <c:ptCount val="16"/>
                <c:pt idx="0">
                  <c:v>15.516146276606859</c:v>
                </c:pt>
                <c:pt idx="1">
                  <c:v>13.490666890818718</c:v>
                </c:pt>
                <c:pt idx="2">
                  <c:v>10.208362124155089</c:v>
                </c:pt>
                <c:pt idx="3">
                  <c:v>7.8435590025013697</c:v>
                </c:pt>
                <c:pt idx="4">
                  <c:v>7.9310478358780037</c:v>
                </c:pt>
                <c:pt idx="5">
                  <c:v>6.6906370667325428</c:v>
                </c:pt>
                <c:pt idx="6">
                  <c:v>6.3024216113127043</c:v>
                </c:pt>
                <c:pt idx="7">
                  <c:v>2.9317203315303542</c:v>
                </c:pt>
                <c:pt idx="8">
                  <c:v>3.0474058835572788</c:v>
                </c:pt>
                <c:pt idx="9">
                  <c:v>2.2218801365067575</c:v>
                </c:pt>
                <c:pt idx="10">
                  <c:v>2.7205638841491933</c:v>
                </c:pt>
                <c:pt idx="11">
                  <c:v>1.4033552312606317</c:v>
                </c:pt>
                <c:pt idx="12">
                  <c:v>1.3454026539638824</c:v>
                </c:pt>
                <c:pt idx="13">
                  <c:v>2.3001791733473396</c:v>
                </c:pt>
                <c:pt idx="14">
                  <c:v>1.3826062737351703</c:v>
                </c:pt>
                <c:pt idx="15">
                  <c:v>1.0107584017362046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11'!$D$23</c:f>
              <c:strCache>
                <c:ptCount val="1"/>
                <c:pt idx="0">
                  <c:v>Ianuarie - martie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11'!$D$24:$D$39</c:f>
              <c:numCache>
                <c:formatCode>0.0</c:formatCode>
                <c:ptCount val="16"/>
                <c:pt idx="0">
                  <c:v>15.164192621701055</c:v>
                </c:pt>
                <c:pt idx="1">
                  <c:v>12.965787475285925</c:v>
                </c:pt>
                <c:pt idx="2">
                  <c:v>11.120620153541271</c:v>
                </c:pt>
                <c:pt idx="3">
                  <c:v>8.3252502340061305</c:v>
                </c:pt>
                <c:pt idx="4">
                  <c:v>8.2831505888684784</c:v>
                </c:pt>
                <c:pt idx="5">
                  <c:v>6.2254346440694119</c:v>
                </c:pt>
                <c:pt idx="6">
                  <c:v>6.4673426150111917</c:v>
                </c:pt>
                <c:pt idx="7">
                  <c:v>3.4367930956252271</c:v>
                </c:pt>
                <c:pt idx="8">
                  <c:v>2.9982460944623415</c:v>
                </c:pt>
                <c:pt idx="9">
                  <c:v>2.3833701784440247</c:v>
                </c:pt>
                <c:pt idx="10">
                  <c:v>1.4770632321263188</c:v>
                </c:pt>
                <c:pt idx="11">
                  <c:v>1.4884089650219798</c:v>
                </c:pt>
                <c:pt idx="12">
                  <c:v>1.4579513401831468</c:v>
                </c:pt>
                <c:pt idx="13">
                  <c:v>1.4541762187605112</c:v>
                </c:pt>
                <c:pt idx="14">
                  <c:v>1.8440984367328419</c:v>
                </c:pt>
                <c:pt idx="15">
                  <c:v>1.0673522048905471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11'!$E$23</c:f>
              <c:strCache>
                <c:ptCount val="1"/>
                <c:pt idx="0">
                  <c:v> Ianuarie - martie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11'!$E$24:$E$39</c:f>
              <c:numCache>
                <c:formatCode>0.0</c:formatCode>
                <c:ptCount val="16"/>
                <c:pt idx="0">
                  <c:v>15.638744743035957</c:v>
                </c:pt>
                <c:pt idx="1">
                  <c:v>13.188850993489162</c:v>
                </c:pt>
                <c:pt idx="2">
                  <c:v>10.515296876094746</c:v>
                </c:pt>
                <c:pt idx="3">
                  <c:v>8.3549043663538836</c:v>
                </c:pt>
                <c:pt idx="4">
                  <c:v>8.8037073522407443</c:v>
                </c:pt>
                <c:pt idx="5">
                  <c:v>6.295049282777601</c:v>
                </c:pt>
                <c:pt idx="6">
                  <c:v>6.2605185388302935</c:v>
                </c:pt>
                <c:pt idx="7">
                  <c:v>3.2282204973434689</c:v>
                </c:pt>
                <c:pt idx="8">
                  <c:v>2.9721627411211347</c:v>
                </c:pt>
                <c:pt idx="9">
                  <c:v>2.1278659194418581</c:v>
                </c:pt>
                <c:pt idx="10">
                  <c:v>2.0112629379808791</c:v>
                </c:pt>
                <c:pt idx="11">
                  <c:v>1.831016408428392</c:v>
                </c:pt>
                <c:pt idx="12">
                  <c:v>1.4991247234479623</c:v>
                </c:pt>
                <c:pt idx="13">
                  <c:v>1.3759139214688016</c:v>
                </c:pt>
                <c:pt idx="14">
                  <c:v>1.5310226746682658</c:v>
                </c:pt>
                <c:pt idx="15">
                  <c:v>0.96699873163309924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11'!$F$23</c:f>
              <c:strCache>
                <c:ptCount val="1"/>
                <c:pt idx="0">
                  <c:v>Ianuarie - martie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11'!$F$24:$F$39</c:f>
              <c:numCache>
                <c:formatCode>0.0</c:formatCode>
                <c:ptCount val="16"/>
                <c:pt idx="0">
                  <c:v>13.746501380125775</c:v>
                </c:pt>
                <c:pt idx="1">
                  <c:v>12.989702470087657</c:v>
                </c:pt>
                <c:pt idx="2">
                  <c:v>10.014849796747507</c:v>
                </c:pt>
                <c:pt idx="3">
                  <c:v>8.3666381105745486</c:v>
                </c:pt>
                <c:pt idx="4">
                  <c:v>8.7319381015874296</c:v>
                </c:pt>
                <c:pt idx="5">
                  <c:v>7.0550481908314646</c:v>
                </c:pt>
                <c:pt idx="6">
                  <c:v>5.9831240081712398</c:v>
                </c:pt>
                <c:pt idx="7">
                  <c:v>3.8594482979323304</c:v>
                </c:pt>
                <c:pt idx="8">
                  <c:v>3.0810647358433494</c:v>
                </c:pt>
                <c:pt idx="9">
                  <c:v>2.3842534124059824</c:v>
                </c:pt>
                <c:pt idx="10">
                  <c:v>1.8267000849566621</c:v>
                </c:pt>
                <c:pt idx="11">
                  <c:v>1.6923408775549895</c:v>
                </c:pt>
                <c:pt idx="12">
                  <c:v>1.5624447279096139</c:v>
                </c:pt>
                <c:pt idx="13">
                  <c:v>1.3079349377046015</c:v>
                </c:pt>
                <c:pt idx="14">
                  <c:v>1.2446908612311953</c:v>
                </c:pt>
                <c:pt idx="15">
                  <c:v>1.0686601556848554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11'!$G$23</c:f>
              <c:strCache>
                <c:ptCount val="1"/>
                <c:pt idx="0">
                  <c:v>Ianuarie - martie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S.U.A.</c:v>
                </c:pt>
                <c:pt idx="14">
                  <c:v>Austria</c:v>
                </c:pt>
                <c:pt idx="15">
                  <c:v>Olanda</c:v>
                </c:pt>
              </c:strCache>
            </c:strRef>
          </c:cat>
          <c:val>
            <c:numRef>
              <c:f>'Figura 11'!$G$24:$G$39</c:f>
              <c:numCache>
                <c:formatCode>0.0</c:formatCode>
                <c:ptCount val="16"/>
                <c:pt idx="0">
                  <c:v>12.611447229228256</c:v>
                </c:pt>
                <c:pt idx="1">
                  <c:v>12.213579791619043</c:v>
                </c:pt>
                <c:pt idx="2">
                  <c:v>11.787850950426982</c:v>
                </c:pt>
                <c:pt idx="3">
                  <c:v>8.4622470778781889</c:v>
                </c:pt>
                <c:pt idx="4">
                  <c:v>8.3304237675326824</c:v>
                </c:pt>
                <c:pt idx="5">
                  <c:v>7.4362956077156221</c:v>
                </c:pt>
                <c:pt idx="6">
                  <c:v>6.5668758848843058</c:v>
                </c:pt>
                <c:pt idx="7">
                  <c:v>3.8695153106782842</c:v>
                </c:pt>
                <c:pt idx="8">
                  <c:v>3.2070393904974619</c:v>
                </c:pt>
                <c:pt idx="9">
                  <c:v>2.1562207578196575</c:v>
                </c:pt>
                <c:pt idx="10">
                  <c:v>1.8735748898163671</c:v>
                </c:pt>
                <c:pt idx="11">
                  <c:v>1.7239646799448405</c:v>
                </c:pt>
                <c:pt idx="12">
                  <c:v>1.4720985107456424</c:v>
                </c:pt>
                <c:pt idx="13">
                  <c:v>1.3911377989729572</c:v>
                </c:pt>
                <c:pt idx="14">
                  <c:v>1.3911318877041516</c:v>
                </c:pt>
                <c:pt idx="15">
                  <c:v>1.0404363706502771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149232"/>
        <c:axId val="171149792"/>
      </c:barChart>
      <c:catAx>
        <c:axId val="1711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1149792"/>
        <c:crosses val="autoZero"/>
        <c:auto val="1"/>
        <c:lblAlgn val="ctr"/>
        <c:lblOffset val="100"/>
        <c:noMultiLvlLbl val="0"/>
      </c:catAx>
      <c:valAx>
        <c:axId val="1711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114923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266882766072393E-2"/>
          <c:y val="0.90401974380068173"/>
          <c:w val="0.93446777013489202"/>
          <c:h val="9.376644337368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 </a:t>
            </a:r>
            <a:r>
              <a:rPr lang="en-US" sz="800" b="1"/>
              <a:t>martie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2994973355603277"/>
          <c:y val="6.6987868927853282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7693777798733237"/>
          <c:h val="0.61960520208285863"/>
        </c:manualLayout>
      </c:layout>
      <c:pieChart>
        <c:varyColors val="1"/>
        <c:ser>
          <c:idx val="0"/>
          <c:order val="0"/>
          <c:tx>
            <c:strRef>
              <c:f>'Figura 12'!$B$21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5452334367294998"/>
                  <c:y val="1.22787050558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25319739656822"/>
                      <c:h val="0.171093418599112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2.8732999284180388E-3"/>
                  <c:y val="-2.7425338573038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4.0405631114292535E-3"/>
                  <c:y val="7.56222847494066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2.0898751292453563E-3"/>
                  <c:y val="-5.711512148993058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3.0729340650600492E-3"/>
                  <c:y val="-2.8018932626219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3.7371192237334046E-2"/>
                  <c:y val="-1.64574474276513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2372544341048256E-2"/>
                  <c:y val="-4.950129350629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8711524695776661E-3"/>
                  <c:y val="4.2586426799639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13790635104777"/>
                      <c:h val="0.281118164727678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3.1061799093295155E-3"/>
                  <c:y val="7.905832132895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12'!$A$22:$A$30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12'!$B$22:$B$30</c:f>
              <c:numCache>
                <c:formatCode>#\ ##0.0</c:formatCode>
                <c:ptCount val="9"/>
                <c:pt idx="0">
                  <c:v>13</c:v>
                </c:pt>
                <c:pt idx="1">
                  <c:v>1.9</c:v>
                </c:pt>
                <c:pt idx="2">
                  <c:v>3.7</c:v>
                </c:pt>
                <c:pt idx="3">
                  <c:v>15.2</c:v>
                </c:pt>
                <c:pt idx="4">
                  <c:v>0.2</c:v>
                </c:pt>
                <c:pt idx="5">
                  <c:v>16.2</c:v>
                </c:pt>
                <c:pt idx="6">
                  <c:v>17.899999999999999</c:v>
                </c:pt>
                <c:pt idx="7">
                  <c:v>21.8</c:v>
                </c:pt>
                <c:pt idx="8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martie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300323352997809"/>
          <c:y val="8.4107907564186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4.5977011494252873E-2"/>
                  <c:y val="3.007518796992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3571857593"/>
                      <c:h val="0.167685749807589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4.1798928738923311E-3"/>
                  <c:y val="6.51631046119234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4578467939185621E-2"/>
                  <c:y val="0.18676195292133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128008293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1.2539268504749599E-2"/>
                  <c:y val="0.1228972892625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4.6391198004274235E-2"/>
                  <c:y val="0.141865540563250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2590949351145347"/>
                  <c:y val="6.015028223709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3661539211623315E-2"/>
                  <c:y val="-2.571195615024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2.0898641588296763E-3"/>
                  <c:y val="-5.01253132832075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164301170817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1329319129226493E-2"/>
                  <c:y val="7.497155347663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12'!$A$33:$A$41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12'!$B$33:$B$41</c:f>
              <c:numCache>
                <c:formatCode>#\ ##0.0</c:formatCode>
                <c:ptCount val="9"/>
                <c:pt idx="0">
                  <c:v>12.4</c:v>
                </c:pt>
                <c:pt idx="1">
                  <c:v>1.6</c:v>
                </c:pt>
                <c:pt idx="2">
                  <c:v>3.6</c:v>
                </c:pt>
                <c:pt idx="3">
                  <c:v>12.6</c:v>
                </c:pt>
                <c:pt idx="4">
                  <c:v>0.2</c:v>
                </c:pt>
                <c:pt idx="5">
                  <c:v>15.5</c:v>
                </c:pt>
                <c:pt idx="6">
                  <c:v>17.100000000000001</c:v>
                </c:pt>
                <c:pt idx="7">
                  <c:v>25.5</c:v>
                </c:pt>
                <c:pt idx="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General</c:formatCode>
                <c:ptCount val="6"/>
                <c:pt idx="0">
                  <c:v>-90.5</c:v>
                </c:pt>
                <c:pt idx="1">
                  <c:v>-127.3</c:v>
                </c:pt>
                <c:pt idx="2" formatCode="0.0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 formatCode="0.0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General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General</c:formatCode>
                <c:ptCount val="6"/>
                <c:pt idx="0">
                  <c:v>-205.5</c:v>
                </c:pt>
                <c:pt idx="1">
                  <c:v>-219.1</c:v>
                </c:pt>
                <c:pt idx="2" formatCode="0.0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 formatCode="0.0">
                  <c:v>-343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General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 formatCode="0.0">
                  <c:v>-300</c:v>
                </c:pt>
                <c:pt idx="4">
                  <c:v>-135.80000000000001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General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General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General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-287.5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General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General</c:formatCode>
                <c:ptCount val="6"/>
                <c:pt idx="0" formatCode="0.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 formatCode="0.0">
                  <c:v>-296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General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 formatCode="0.0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General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General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 formatCode="0.0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A-42CE-A505-575161E0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069392"/>
        <c:axId val="172069952"/>
      </c:barChart>
      <c:catAx>
        <c:axId val="17206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06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069952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0693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0.89999992082437663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1656412723329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14'!$B$25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559322033898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74-4B92-A94C-8B7F164E29B4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74-4B92-A94C-8B7F164E29B4}"/>
                </c:ext>
              </c:extLst>
            </c:dLbl>
            <c:dLbl>
              <c:idx val="2"/>
              <c:layout>
                <c:manualLayout>
                  <c:x val="-1.3559322033898305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74-4B92-A94C-8B7F164E29B4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74-4B92-A94C-8B7F164E29B4}"/>
                </c:ext>
              </c:extLst>
            </c:dLbl>
            <c:dLbl>
              <c:idx val="4"/>
              <c:layout>
                <c:manualLayout>
                  <c:x val="-1.5819209039548105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74-4B92-A94C-8B7F164E29B4}"/>
                </c:ext>
              </c:extLst>
            </c:dLbl>
            <c:dLbl>
              <c:idx val="5"/>
              <c:layout>
                <c:manualLayout>
                  <c:x val="-1.1299435028248588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74-4B92-A94C-8B7F164E2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14'!$B$26:$B$31</c:f>
              <c:numCache>
                <c:formatCode>#\ ##0.0</c:formatCode>
                <c:ptCount val="6"/>
                <c:pt idx="0">
                  <c:v>416.4</c:v>
                </c:pt>
                <c:pt idx="1">
                  <c:v>528.20000000000005</c:v>
                </c:pt>
                <c:pt idx="2">
                  <c:v>677.9</c:v>
                </c:pt>
                <c:pt idx="3">
                  <c:v>732.9</c:v>
                </c:pt>
                <c:pt idx="4">
                  <c:v>675</c:v>
                </c:pt>
                <c:pt idx="5">
                  <c:v>712.7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504203923662083E-3"/>
                  <c:y val="1.663890084478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4.1088854648176684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0"/>
                  <c:y val="2.0416065355174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5176E-3"/>
                  <c:y val="1.7148981779206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74-4B92-A94C-8B7F164E29B4}"/>
                </c:ext>
              </c:extLst>
            </c:dLbl>
            <c:dLbl>
              <c:idx val="4"/>
              <c:layout>
                <c:manualLayout>
                  <c:x val="0"/>
                  <c:y val="2.1436227224008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74-4B92-A94C-8B7F164E29B4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74-4B92-A94C-8B7F164E2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14'!$C$26:$C$31</c:f>
              <c:numCache>
                <c:formatCode>#\ ##0.0</c:formatCode>
                <c:ptCount val="6"/>
                <c:pt idx="0">
                  <c:v>861.1</c:v>
                </c:pt>
                <c:pt idx="1">
                  <c:v>1030.7</c:v>
                </c:pt>
                <c:pt idx="2">
                  <c:v>1326</c:v>
                </c:pt>
                <c:pt idx="3">
                  <c:v>1365.6</c:v>
                </c:pt>
                <c:pt idx="4">
                  <c:v>1365.1</c:v>
                </c:pt>
                <c:pt idx="5">
                  <c:v>1551.1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2115184"/>
        <c:axId val="172115744"/>
      </c:barChart>
      <c:lineChart>
        <c:grouping val="standard"/>
        <c:varyColors val="0"/>
        <c:ser>
          <c:idx val="2"/>
          <c:order val="2"/>
          <c:tx>
            <c:strRef>
              <c:f>'Figura 14'!$D$25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74-4B92-A94C-8B7F164E29B4}"/>
                </c:ext>
              </c:extLst>
            </c:dLbl>
            <c:dLbl>
              <c:idx val="5"/>
              <c:layout>
                <c:manualLayout>
                  <c:x val="-1.1299435028248588E-2"/>
                  <c:y val="-2.5723472668810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74-4B92-A94C-8B7F164E2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14'!$D$26:$D$31</c:f>
              <c:numCache>
                <c:formatCode>#\ ##0.0</c:formatCode>
                <c:ptCount val="6"/>
                <c:pt idx="0">
                  <c:v>-444.7</c:v>
                </c:pt>
                <c:pt idx="1">
                  <c:v>-502.5</c:v>
                </c:pt>
                <c:pt idx="2">
                  <c:v>-648.1</c:v>
                </c:pt>
                <c:pt idx="3">
                  <c:v>-632.70000000000005</c:v>
                </c:pt>
                <c:pt idx="4">
                  <c:v>-690.1</c:v>
                </c:pt>
                <c:pt idx="5">
                  <c:v>-838.4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15184"/>
        <c:axId val="172115744"/>
      </c:lineChart>
      <c:catAx>
        <c:axId val="1721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5744"/>
        <c:crosses val="autoZero"/>
        <c:auto val="1"/>
        <c:lblAlgn val="ctr"/>
        <c:lblOffset val="100"/>
        <c:noMultiLvlLbl val="0"/>
      </c:catAx>
      <c:valAx>
        <c:axId val="17211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16784554473065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2225680993372"/>
          <c:y val="7.7845040012200314E-2"/>
          <c:w val="0.89823830143437733"/>
          <c:h val="0.67422560302770596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289512056606958E-2"/>
                  <c:y val="-5.369205806797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D9-49AD-91DC-F360B76BFB5A}"/>
                </c:ext>
              </c:extLst>
            </c:dLbl>
            <c:dLbl>
              <c:idx val="1"/>
              <c:layout>
                <c:manualLayout>
                  <c:x val="-3.608678301177265E-2"/>
                  <c:y val="2.9641305643520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D9-49AD-91DC-F360B76BFB5A}"/>
                </c:ext>
              </c:extLst>
            </c:dLbl>
            <c:dLbl>
              <c:idx val="2"/>
              <c:layout>
                <c:manualLayout>
                  <c:x val="-3.0238829795398381E-2"/>
                  <c:y val="-3.517353279875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D9-49AD-91DC-F360B76BFB5A}"/>
                </c:ext>
              </c:extLst>
            </c:dLbl>
            <c:dLbl>
              <c:idx val="3"/>
              <c:layout>
                <c:manualLayout>
                  <c:x val="-3.5648263265337446E-2"/>
                  <c:y val="4.353019959543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D9-49AD-91DC-F360B76BFB5A}"/>
                </c:ext>
              </c:extLst>
            </c:dLbl>
            <c:dLbl>
              <c:idx val="6"/>
              <c:layout>
                <c:manualLayout>
                  <c:x val="-4.193473622814695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D9-49AD-91DC-F360B76BFB5A}"/>
                </c:ext>
              </c:extLst>
            </c:dLbl>
            <c:dLbl>
              <c:idx val="7"/>
              <c:layout>
                <c:manualLayout>
                  <c:x val="-2.7850992310171754E-2"/>
                  <c:y val="3.8900568278130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D9-49AD-91DC-F360B76BFB5A}"/>
                </c:ext>
              </c:extLst>
            </c:dLbl>
            <c:dLbl>
              <c:idx val="8"/>
              <c:layout>
                <c:manualLayout>
                  <c:x val="-3.4137465272981227E-2"/>
                  <c:y val="-3.980316411605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D9-49AD-91DC-F360B76BFB5A}"/>
                </c:ext>
              </c:extLst>
            </c:dLbl>
            <c:dLbl>
              <c:idx val="9"/>
              <c:layout>
                <c:manualLayout>
                  <c:x val="-1.2694970146275575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D9-49AD-91DC-F360B76BFB5A}"/>
                </c:ext>
              </c:extLst>
            </c:dLbl>
            <c:dLbl>
              <c:idx val="10"/>
              <c:layout>
                <c:manualLayout>
                  <c:x val="-2.2003039093797559E-2"/>
                  <c:y val="-4.443279543336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D9-49AD-91DC-F360B76BFB5A}"/>
                </c:ext>
              </c:extLst>
            </c:dLbl>
            <c:dLbl>
              <c:idx val="11"/>
              <c:layout>
                <c:manualLayout>
                  <c:x val="-3.17496277877546E-2"/>
                  <c:y val="4.353019959543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D9-49AD-91DC-F360B76BFB5A}"/>
                </c:ext>
              </c:extLst>
            </c:dLbl>
            <c:dLbl>
              <c:idx val="12"/>
              <c:layout>
                <c:manualLayout>
                  <c:x val="-4.778268944452126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D9-49AD-91DC-F360B76BFB5A}"/>
                </c:ext>
              </c:extLst>
            </c:dLbl>
            <c:dLbl>
              <c:idx val="13"/>
              <c:layout>
                <c:manualLayout>
                  <c:x val="-3.413746527298122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D9-49AD-91DC-F360B76BFB5A}"/>
                </c:ext>
              </c:extLst>
            </c:dLbl>
            <c:dLbl>
              <c:idx val="14"/>
              <c:layout>
                <c:manualLayout>
                  <c:x val="-1.2256450399840442E-2"/>
                  <c:y val="-2.591427016414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D9-49AD-91DC-F360B76BFB5A}"/>
                </c:ext>
              </c:extLst>
            </c:dLbl>
            <c:dLbl>
              <c:idx val="15"/>
              <c:layout>
                <c:manualLayout>
                  <c:x val="-2.5901674571380404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D9-49AD-91DC-F360B76BFB5A}"/>
                </c:ext>
              </c:extLst>
            </c:dLbl>
            <c:dLbl>
              <c:idx val="16"/>
              <c:layout>
                <c:manualLayout>
                  <c:x val="-5.7529278138478301E-2"/>
                  <c:y val="-3.517353279875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D9-49AD-91DC-F360B76BFB5A}"/>
                </c:ext>
              </c:extLst>
            </c:dLbl>
            <c:dLbl>
              <c:idx val="17"/>
              <c:layout>
                <c:manualLayout>
                  <c:x val="-3.6086783011772795E-2"/>
                  <c:y val="-3.054390148144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D9-49AD-91DC-F360B76BFB5A}"/>
                </c:ext>
              </c:extLst>
            </c:dLbl>
            <c:dLbl>
              <c:idx val="18"/>
              <c:layout>
                <c:manualLayout>
                  <c:x val="-1.2694970146275575E-2"/>
                  <c:y val="-2.128463884683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D9-49AD-91DC-F360B76BFB5A}"/>
                </c:ext>
              </c:extLst>
            </c:dLbl>
            <c:dLbl>
              <c:idx val="20"/>
              <c:layout>
                <c:manualLayout>
                  <c:x val="-3.6086783011772795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D9-49AD-91DC-F360B76BFB5A}"/>
                </c:ext>
              </c:extLst>
            </c:dLbl>
            <c:dLbl>
              <c:idx val="21"/>
              <c:layout>
                <c:manualLayout>
                  <c:x val="-1.8542923362649844E-2"/>
                  <c:y val="-2.591427016414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D9-49AD-91DC-F360B76BFB5A}"/>
                </c:ext>
              </c:extLst>
            </c:dLbl>
            <c:dLbl>
              <c:idx val="22"/>
              <c:layout>
                <c:manualLayout>
                  <c:x val="-2.4390876579024112E-2"/>
                  <c:y val="-4.44327954333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D9-49AD-91DC-F360B76BFB5A}"/>
                </c:ext>
              </c:extLst>
            </c:dLbl>
            <c:dLbl>
              <c:idx val="23"/>
              <c:layout>
                <c:manualLayout>
                  <c:x val="-3.1749627787754746E-2"/>
                  <c:y val="3.4270936960825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D9-49AD-91DC-F360B76BFB5A}"/>
                </c:ext>
              </c:extLst>
            </c:dLbl>
            <c:dLbl>
              <c:idx val="25"/>
              <c:layout>
                <c:manualLayout>
                  <c:x val="-4.771868428727110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D9-49AD-91DC-F360B76BFB5A}"/>
                </c:ext>
              </c:extLst>
            </c:dLbl>
            <c:dLbl>
              <c:idx val="26"/>
              <c:layout>
                <c:manualLayout>
                  <c:x val="-2.9239766081871343E-2"/>
                  <c:y val="-1.6655007529530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D9-49AD-91DC-F360B76BFB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'Figura 2'!$B$23:$AB$24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2'!$B$25:$AB$25</c:f>
              <c:numCache>
                <c:formatCode>0.0</c:formatCode>
                <c:ptCount val="27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 formatCode="#\ ##0.0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 formatCode="#\ ##0.0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 formatCode="#\ ##0.0">
                  <c:v>110.31315379040727</c:v>
                </c:pt>
                <c:pt idx="19" formatCode="#\ ##0.0">
                  <c:v>78.376764810035453</c:v>
                </c:pt>
                <c:pt idx="20" formatCode="#\ ##0.0">
                  <c:v>129.49769232961904</c:v>
                </c:pt>
                <c:pt idx="21" formatCode="#\ ##0.0">
                  <c:v>117.47585360993436</c:v>
                </c:pt>
                <c:pt idx="22" formatCode="#\ ##0.0">
                  <c:v>105.08585699580438</c:v>
                </c:pt>
                <c:pt idx="23" formatCode="#\ ##0.0">
                  <c:v>83.287463510424814</c:v>
                </c:pt>
                <c:pt idx="24" formatCode="#\ ##0.0">
                  <c:v>90.924906043100663</c:v>
                </c:pt>
                <c:pt idx="25" formatCode="#\ ##0.0">
                  <c:v>114.41186008293316</c:v>
                </c:pt>
                <c:pt idx="26" formatCode="#\ ##0.0">
                  <c:v>126.519650972162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38829795398381E-2"/>
                  <c:y val="9.99887357789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D9-49AD-91DC-F360B76BFB5A}"/>
                </c:ext>
              </c:extLst>
            </c:dLbl>
            <c:dLbl>
              <c:idx val="1"/>
              <c:layout>
                <c:manualLayout>
                  <c:x val="-1.8542923362649844E-2"/>
                  <c:y val="-4.81594663748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D9-49AD-91DC-F360B76BFB5A}"/>
                </c:ext>
              </c:extLst>
            </c:dLbl>
            <c:dLbl>
              <c:idx val="2"/>
              <c:layout>
                <c:manualLayout>
                  <c:x val="-2.0492241101441266E-2"/>
                  <c:y val="2.59146347020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FD9-49AD-91DC-F360B76BFB5A}"/>
                </c:ext>
              </c:extLst>
            </c:dLbl>
            <c:dLbl>
              <c:idx val="3"/>
              <c:layout>
                <c:manualLayout>
                  <c:x val="-1.6593605623858421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FD9-49AD-91DC-F360B76BFB5A}"/>
                </c:ext>
              </c:extLst>
            </c:dLbl>
            <c:dLbl>
              <c:idx val="4"/>
              <c:layout>
                <c:manualLayout>
                  <c:x val="-2.9800310048963177E-2"/>
                  <c:y val="3.517389733664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FD9-49AD-91DC-F360B76BFB5A}"/>
                </c:ext>
              </c:extLst>
            </c:dLbl>
            <c:dLbl>
              <c:idx val="5"/>
              <c:layout>
                <c:manualLayout>
                  <c:x val="-2.5901674571380331E-2"/>
                  <c:y val="5.36924226058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FD9-49AD-91DC-F360B76BFB5A}"/>
                </c:ext>
              </c:extLst>
            </c:dLbl>
            <c:dLbl>
              <c:idx val="6"/>
              <c:layout>
                <c:manualLayout>
                  <c:x val="-3.608678301177265E-2"/>
                  <c:y val="4.906279128856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FD9-49AD-91DC-F360B76BFB5A}"/>
                </c:ext>
              </c:extLst>
            </c:dLbl>
            <c:dLbl>
              <c:idx val="7"/>
              <c:layout>
                <c:manualLayout>
                  <c:x val="-4.4591794446746788E-3"/>
                  <c:y val="-1.1122415836401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FD9-49AD-91DC-F360B76BFB5A}"/>
                </c:ext>
              </c:extLst>
            </c:dLbl>
            <c:dLbl>
              <c:idx val="8"/>
              <c:layout>
                <c:manualLayout>
                  <c:x val="-6.1427913616061147E-2"/>
                  <c:y val="1.665537206742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FD9-49AD-91DC-F360B76BFB5A}"/>
                </c:ext>
              </c:extLst>
            </c:dLbl>
            <c:dLbl>
              <c:idx val="9"/>
              <c:layout>
                <c:manualLayout>
                  <c:x val="-3.8036100750564072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FD9-49AD-91DC-F360B76BFB5A}"/>
                </c:ext>
              </c:extLst>
            </c:dLbl>
            <c:dLbl>
              <c:idx val="10"/>
              <c:layout>
                <c:manualLayout>
                  <c:x val="-3.174962778775467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FD9-49AD-91DC-F360B76BFB5A}"/>
                </c:ext>
              </c:extLst>
            </c:dLbl>
            <c:dLbl>
              <c:idx val="11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FD9-49AD-91DC-F360B76BFB5A}"/>
                </c:ext>
              </c:extLst>
            </c:dLbl>
            <c:dLbl>
              <c:idx val="12"/>
              <c:layout>
                <c:manualLayout>
                  <c:x val="-3.174962778775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FD9-49AD-91DC-F360B76BFB5A}"/>
                </c:ext>
              </c:extLst>
            </c:dLbl>
            <c:dLbl>
              <c:idx val="13"/>
              <c:layout>
                <c:manualLayout>
                  <c:x val="-6.8470169299013062E-3"/>
                  <c:y val="-2.0381678471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FFD9-49AD-91DC-F360B76BFB5A}"/>
                </c:ext>
              </c:extLst>
            </c:dLbl>
            <c:dLbl>
              <c:idx val="14"/>
              <c:layout>
                <c:manualLayout>
                  <c:x val="-4.3445534220503138E-2"/>
                  <c:y val="4.44331599712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FD9-49AD-91DC-F360B76BFB5A}"/>
                </c:ext>
              </c:extLst>
            </c:dLbl>
            <c:dLbl>
              <c:idx val="15"/>
              <c:layout>
                <c:manualLayout>
                  <c:x val="-3.17496277877547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FD9-49AD-91DC-F360B76BFB5A}"/>
                </c:ext>
              </c:extLst>
            </c:dLbl>
            <c:dLbl>
              <c:idx val="16"/>
              <c:layout>
                <c:manualLayout>
                  <c:x val="-1.615508587742329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FD9-49AD-91DC-F360B76BFB5A}"/>
                </c:ext>
              </c:extLst>
            </c:dLbl>
            <c:dLbl>
              <c:idx val="17"/>
              <c:layout>
                <c:manualLayout>
                  <c:x val="-4.539485195929456E-2"/>
                  <c:y val="-2.501130978831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FFD9-49AD-91DC-F360B76BFB5A}"/>
                </c:ext>
              </c:extLst>
            </c:dLbl>
            <c:dLbl>
              <c:idx val="18"/>
              <c:layout>
                <c:manualLayout>
                  <c:x val="-2.9800310048963177E-2"/>
                  <c:y val="-2.9640941105621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FD9-49AD-91DC-F360B76BFB5A}"/>
                </c:ext>
              </c:extLst>
            </c:dLbl>
            <c:dLbl>
              <c:idx val="20"/>
              <c:layout>
                <c:manualLayout>
                  <c:x val="-1.810440361621464E-2"/>
                  <c:y val="3.5173897336649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FFD9-49AD-91DC-F360B76BFB5A}"/>
                </c:ext>
              </c:extLst>
            </c:dLbl>
            <c:dLbl>
              <c:idx val="21"/>
              <c:layout>
                <c:manualLayout>
                  <c:x val="-4.7344169698085983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FFD9-49AD-91DC-F360B76BFB5A}"/>
                </c:ext>
              </c:extLst>
            </c:dLbl>
            <c:dLbl>
              <c:idx val="22"/>
              <c:layout>
                <c:manualLayout>
                  <c:x val="-4.9293487436877552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FFD9-49AD-91DC-F360B76BFB5A}"/>
                </c:ext>
              </c:extLst>
            </c:dLbl>
            <c:dLbl>
              <c:idx val="23"/>
              <c:layout>
                <c:manualLayout>
                  <c:x val="-2.8289512056606958E-2"/>
                  <c:y val="-3.890020374023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FFD9-49AD-91DC-F360B76BFB5A}"/>
                </c:ext>
              </c:extLst>
            </c:dLbl>
            <c:dLbl>
              <c:idx val="24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FFD9-49AD-91DC-F360B76BFB5A}"/>
                </c:ext>
              </c:extLst>
            </c:dLbl>
            <c:dLbl>
              <c:idx val="25"/>
              <c:layout>
                <c:manualLayout>
                  <c:x val="-1.8917437951834967E-2"/>
                  <c:y val="3.980352865395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FFD9-49AD-91DC-F360B76BFB5A}"/>
                </c:ext>
              </c:extLst>
            </c:dLbl>
            <c:dLbl>
              <c:idx val="26"/>
              <c:layout>
                <c:manualLayout>
                  <c:x val="0"/>
                  <c:y val="-4.3529835057536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FFD9-49AD-91DC-F360B76BFB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2'!$B$23:$AB$24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2'!$B$26:$AB$26</c:f>
              <c:numCache>
                <c:formatCode>0.0</c:formatCode>
                <c:ptCount val="27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 formatCode="#\ ##0.0">
                  <c:v>93.68976480021378</c:v>
                </c:pt>
                <c:pt idx="13" formatCode="#\ ##0.0">
                  <c:v>101.62156394157972</c:v>
                </c:pt>
                <c:pt idx="14" formatCode="#\ ##0.0">
                  <c:v>81.728010071364707</c:v>
                </c:pt>
                <c:pt idx="15" formatCode="#\ ##0.0">
                  <c:v>69.517656214361068</c:v>
                </c:pt>
                <c:pt idx="16" formatCode="#\ ##0.0">
                  <c:v>73.959803043393492</c:v>
                </c:pt>
                <c:pt idx="17" formatCode="#\ ##0.0">
                  <c:v>93.752330261178145</c:v>
                </c:pt>
                <c:pt idx="18" formatCode="#\ ##0.0">
                  <c:v>94.987288243031671</c:v>
                </c:pt>
                <c:pt idx="19" formatCode="#\ ##0.0">
                  <c:v>79.643812518387932</c:v>
                </c:pt>
                <c:pt idx="20" formatCode="#\ ##0.0">
                  <c:v>88.887920831852767</c:v>
                </c:pt>
                <c:pt idx="21" formatCode="#\ ##0.0">
                  <c:v>92.923464078044901</c:v>
                </c:pt>
                <c:pt idx="22" formatCode="#\ ##0.0">
                  <c:v>98.30519698859753</c:v>
                </c:pt>
                <c:pt idx="23" formatCode="#\ ##0.0">
                  <c:v>99.977310656379856</c:v>
                </c:pt>
                <c:pt idx="24" formatCode="#\ ##0.0">
                  <c:v>90.415405658705879</c:v>
                </c:pt>
                <c:pt idx="25" formatCode="#\ ##0.0">
                  <c:v>92.544788099159774</c:v>
                </c:pt>
                <c:pt idx="26" formatCode="#\ ##0.0">
                  <c:v>136.63274586092987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00320"/>
        <c:axId val="168100880"/>
      </c:lineChart>
      <c:catAx>
        <c:axId val="1681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100880"/>
        <c:crossesAt val="50"/>
        <c:auto val="0"/>
        <c:lblAlgn val="ctr"/>
        <c:lblOffset val="100"/>
        <c:noMultiLvlLbl val="0"/>
      </c:catAx>
      <c:valAx>
        <c:axId val="168100880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10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3412934038983"/>
          <c:y val="2.5787239558018211E-2"/>
          <c:w val="0.8128217398239584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martie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3'!$B$23:$B$26</c:f>
              <c:numCache>
                <c:formatCode>0.0</c:formatCode>
                <c:ptCount val="4"/>
                <c:pt idx="0">
                  <c:v>5.8941561858610161</c:v>
                </c:pt>
                <c:pt idx="1">
                  <c:v>0.91292518424007718</c:v>
                </c:pt>
                <c:pt idx="2">
                  <c:v>87.999987852319379</c:v>
                </c:pt>
                <c:pt idx="3">
                  <c:v>5.0983840010794408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martie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3'!$C$23:$C$26</c:f>
              <c:numCache>
                <c:formatCode>0.0</c:formatCode>
                <c:ptCount val="4"/>
                <c:pt idx="0">
                  <c:v>8.8573967944301106</c:v>
                </c:pt>
                <c:pt idx="1">
                  <c:v>5.4812857315667092</c:v>
                </c:pt>
                <c:pt idx="2">
                  <c:v>84.297899790762372</c:v>
                </c:pt>
                <c:pt idx="3">
                  <c:v>1.3256265390416182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B-4EBD-A9C3-8A0B6CD0BE08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martie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3'!$D$23:$D$26</c:f>
              <c:numCache>
                <c:formatCode>0.0</c:formatCode>
                <c:ptCount val="4"/>
                <c:pt idx="0">
                  <c:v>8.1946819122417267</c:v>
                </c:pt>
                <c:pt idx="1">
                  <c:v>5.4179168737231267</c:v>
                </c:pt>
                <c:pt idx="2">
                  <c:v>84.86086178463151</c:v>
                </c:pt>
                <c:pt idx="3">
                  <c:v>1.4371101977702374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B-4EBD-A9C3-8A0B6CD0BE08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martie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3'!$E$23:$E$26</c:f>
              <c:numCache>
                <c:formatCode>0.0</c:formatCode>
                <c:ptCount val="4"/>
                <c:pt idx="0">
                  <c:v>7.5744728717612873</c:v>
                </c:pt>
                <c:pt idx="1">
                  <c:v>3.6676552838896059</c:v>
                </c:pt>
                <c:pt idx="2">
                  <c:v>87.292593501659226</c:v>
                </c:pt>
                <c:pt idx="3">
                  <c:v>1.4261846996081189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B-4EBD-A9C3-8A0B6CD0BE08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martie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3'!$F$23:$F$26</c:f>
              <c:numCache>
                <c:formatCode>0.0</c:formatCode>
                <c:ptCount val="4"/>
                <c:pt idx="0">
                  <c:v>7.6834251600785093</c:v>
                </c:pt>
                <c:pt idx="1">
                  <c:v>1.9254930461577608</c:v>
                </c:pt>
                <c:pt idx="2">
                  <c:v>86.88926678330516</c:v>
                </c:pt>
                <c:pt idx="3">
                  <c:v>3.4519503624582297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BB-4EBD-A9C3-8A0B6CD0BE08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martie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3'!$A$23:$A$26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'Figura 3'!$G$23:$G$26</c:f>
              <c:numCache>
                <c:formatCode>0.0</c:formatCode>
                <c:ptCount val="4"/>
                <c:pt idx="0">
                  <c:v>4.1230311337861734</c:v>
                </c:pt>
                <c:pt idx="1">
                  <c:v>0.77907970739916832</c:v>
                </c:pt>
                <c:pt idx="2">
                  <c:v>93.562403427059863</c:v>
                </c:pt>
                <c:pt idx="3">
                  <c:v>1.3587734790738548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BB-4EBD-A9C3-8A0B6CD0B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205424"/>
        <c:axId val="168205984"/>
      </c:barChart>
      <c:catAx>
        <c:axId val="16820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205984"/>
        <c:crossesAt val="0"/>
        <c:auto val="1"/>
        <c:lblAlgn val="ctr"/>
        <c:lblOffset val="100"/>
        <c:noMultiLvlLbl val="0"/>
      </c:catAx>
      <c:valAx>
        <c:axId val="16820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20542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4'!$B$21:$G$21</c:f>
              <c:numCache>
                <c:formatCode>#\ ##0.0</c:formatCode>
                <c:ptCount val="6"/>
                <c:pt idx="0">
                  <c:v>57.4</c:v>
                </c:pt>
                <c:pt idx="1">
                  <c:v>57.5</c:v>
                </c:pt>
                <c:pt idx="2">
                  <c:v>63.2</c:v>
                </c:pt>
                <c:pt idx="3">
                  <c:v>62.6</c:v>
                </c:pt>
                <c:pt idx="4">
                  <c:v>66.3</c:v>
                </c:pt>
                <c:pt idx="5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4'!$B$22:$G$22</c:f>
              <c:numCache>
                <c:formatCode>#\ ##0.0</c:formatCode>
                <c:ptCount val="6"/>
                <c:pt idx="0">
                  <c:v>20.399999999999999</c:v>
                </c:pt>
                <c:pt idx="1">
                  <c:v>20.100000000000001</c:v>
                </c:pt>
                <c:pt idx="2">
                  <c:v>16.8</c:v>
                </c:pt>
                <c:pt idx="3">
                  <c:v>13.9</c:v>
                </c:pt>
                <c:pt idx="4">
                  <c:v>14</c:v>
                </c:pt>
                <c:pt idx="5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martie 2016</c:v>
                </c:pt>
                <c:pt idx="1">
                  <c:v>Ianuarie - martie 2017</c:v>
                </c:pt>
                <c:pt idx="2">
                  <c:v>Ianuarie - martie 2018</c:v>
                </c:pt>
                <c:pt idx="3">
                  <c:v>Ianuarie - martie 2019</c:v>
                </c:pt>
                <c:pt idx="4">
                  <c:v>Ianuarie - martie 2020</c:v>
                </c:pt>
                <c:pt idx="5">
                  <c:v>Ianuarie - martie 2021</c:v>
                </c:pt>
              </c:strCache>
            </c:strRef>
          </c:cat>
          <c:val>
            <c:numRef>
              <c:f>'Figura 4'!$B$23:$G$23</c:f>
              <c:numCache>
                <c:formatCode>#\ ##0.0</c:formatCode>
                <c:ptCount val="6"/>
                <c:pt idx="0">
                  <c:v>22.2</c:v>
                </c:pt>
                <c:pt idx="1">
                  <c:v>22.4</c:v>
                </c:pt>
                <c:pt idx="2">
                  <c:v>20</c:v>
                </c:pt>
                <c:pt idx="3">
                  <c:v>23.5</c:v>
                </c:pt>
                <c:pt idx="4">
                  <c:v>19.7</c:v>
                </c:pt>
                <c:pt idx="5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78128"/>
        <c:axId val="168878688"/>
      </c:barChart>
      <c:catAx>
        <c:axId val="168878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878688"/>
        <c:crosses val="autoZero"/>
        <c:auto val="1"/>
        <c:lblAlgn val="ctr"/>
        <c:lblOffset val="100"/>
        <c:noMultiLvlLbl val="0"/>
      </c:catAx>
      <c:valAx>
        <c:axId val="16887868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878128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9.6676737160120846E-2"/>
          <c:y val="0.93755354110147993"/>
          <c:w val="0.90332326283987918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8287664041994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5'!$B$24</c:f>
              <c:strCache>
                <c:ptCount val="1"/>
                <c:pt idx="0">
                  <c:v> Ianuarie - martie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5'!$B$25:$B$40</c:f>
              <c:numCache>
                <c:formatCode>#\ ##0.0</c:formatCode>
                <c:ptCount val="16"/>
                <c:pt idx="0">
                  <c:v>23.834645785285961</c:v>
                </c:pt>
                <c:pt idx="1">
                  <c:v>6.897753458707637</c:v>
                </c:pt>
                <c:pt idx="2">
                  <c:v>2.8224726417184507</c:v>
                </c:pt>
                <c:pt idx="3">
                  <c:v>10.276805584179504</c:v>
                </c:pt>
                <c:pt idx="4">
                  <c:v>9.597144600901764</c:v>
                </c:pt>
                <c:pt idx="5">
                  <c:v>6.4082898638966475</c:v>
                </c:pt>
                <c:pt idx="6">
                  <c:v>3.708723329326634</c:v>
                </c:pt>
                <c:pt idx="7">
                  <c:v>2.8783117357122876</c:v>
                </c:pt>
                <c:pt idx="8">
                  <c:v>1.7682486485896531</c:v>
                </c:pt>
                <c:pt idx="9">
                  <c:v>6.2643787469860088</c:v>
                </c:pt>
                <c:pt idx="10">
                  <c:v>0.19201216082852104</c:v>
                </c:pt>
                <c:pt idx="11">
                  <c:v>2.3514741341697598</c:v>
                </c:pt>
                <c:pt idx="12">
                  <c:v>0.2326669974408887</c:v>
                </c:pt>
                <c:pt idx="13">
                  <c:v>0.89472369947939545</c:v>
                </c:pt>
                <c:pt idx="14">
                  <c:v>1.1547729764472978</c:v>
                </c:pt>
                <c:pt idx="15">
                  <c:v>3.0208110113531332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5'!$C$24</c:f>
              <c:strCache>
                <c:ptCount val="1"/>
                <c:pt idx="0">
                  <c:v>Ianuarie - martie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5'!$C$25:$C$40</c:f>
              <c:numCache>
                <c:formatCode>#\ ##0.0</c:formatCode>
                <c:ptCount val="16"/>
                <c:pt idx="0">
                  <c:v>24.293189858163196</c:v>
                </c:pt>
                <c:pt idx="1">
                  <c:v>6.9001494847474643</c:v>
                </c:pt>
                <c:pt idx="2">
                  <c:v>4.8124953200165255</c:v>
                </c:pt>
                <c:pt idx="3">
                  <c:v>11.50644244141988</c:v>
                </c:pt>
                <c:pt idx="4">
                  <c:v>9.0870345235114094</c:v>
                </c:pt>
                <c:pt idx="5">
                  <c:v>6.0171905992243602</c:v>
                </c:pt>
                <c:pt idx="6">
                  <c:v>3.2525107739185994</c:v>
                </c:pt>
                <c:pt idx="7">
                  <c:v>2.2389515644967615</c:v>
                </c:pt>
                <c:pt idx="8">
                  <c:v>1.3058059680219016</c:v>
                </c:pt>
                <c:pt idx="9">
                  <c:v>5.472196732332705</c:v>
                </c:pt>
                <c:pt idx="10">
                  <c:v>1.1786807083485533</c:v>
                </c:pt>
                <c:pt idx="11">
                  <c:v>3.3533387017497267</c:v>
                </c:pt>
                <c:pt idx="12">
                  <c:v>0.23880132979700436</c:v>
                </c:pt>
                <c:pt idx="13">
                  <c:v>1.5053634340668838</c:v>
                </c:pt>
                <c:pt idx="14">
                  <c:v>1.1959080857181046</c:v>
                </c:pt>
                <c:pt idx="15">
                  <c:v>2.0855214961783419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5'!$D$24</c:f>
              <c:strCache>
                <c:ptCount val="1"/>
                <c:pt idx="0">
                  <c:v>Ianuarie - martie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5'!$D$25:$D$40</c:f>
              <c:numCache>
                <c:formatCode>#\ ##0.0</c:formatCode>
                <c:ptCount val="16"/>
                <c:pt idx="0">
                  <c:v>24.480376666393699</c:v>
                </c:pt>
                <c:pt idx="1">
                  <c:v>8.9245818715912648</c:v>
                </c:pt>
                <c:pt idx="2">
                  <c:v>4.6028291176701384</c:v>
                </c:pt>
                <c:pt idx="3">
                  <c:v>8.8711122112110914</c:v>
                </c:pt>
                <c:pt idx="4">
                  <c:v>11.837708748746143</c:v>
                </c:pt>
                <c:pt idx="5">
                  <c:v>3.8316506223832243</c:v>
                </c:pt>
                <c:pt idx="6">
                  <c:v>3.3176264436448917</c:v>
                </c:pt>
                <c:pt idx="7">
                  <c:v>2.7388244743079651</c:v>
                </c:pt>
                <c:pt idx="8">
                  <c:v>1.4532683004387428</c:v>
                </c:pt>
                <c:pt idx="9">
                  <c:v>4.2226123705180276</c:v>
                </c:pt>
                <c:pt idx="10">
                  <c:v>1.6413879325977745</c:v>
                </c:pt>
                <c:pt idx="11">
                  <c:v>2.1634115530531393</c:v>
                </c:pt>
                <c:pt idx="12">
                  <c:v>0.28928785698881271</c:v>
                </c:pt>
                <c:pt idx="13">
                  <c:v>3.0149063021129874</c:v>
                </c:pt>
                <c:pt idx="14">
                  <c:v>1.5402911090041982</c:v>
                </c:pt>
                <c:pt idx="15">
                  <c:v>2.0418642421077893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5'!$E$24</c:f>
              <c:strCache>
                <c:ptCount val="1"/>
                <c:pt idx="0">
                  <c:v> Ianuarie - martie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5'!$E$25:$E$40</c:f>
              <c:numCache>
                <c:formatCode>#\ ##0.0</c:formatCode>
                <c:ptCount val="16"/>
                <c:pt idx="0">
                  <c:v>26.670587849245752</c:v>
                </c:pt>
                <c:pt idx="1">
                  <c:v>8.6701516015510247</c:v>
                </c:pt>
                <c:pt idx="2">
                  <c:v>9.9651915582350696</c:v>
                </c:pt>
                <c:pt idx="3">
                  <c:v>7.9271301062229762</c:v>
                </c:pt>
                <c:pt idx="4">
                  <c:v>11.280210200134601</c:v>
                </c:pt>
                <c:pt idx="5">
                  <c:v>1.6227455586633313</c:v>
                </c:pt>
                <c:pt idx="6">
                  <c:v>3.6354743009754968</c:v>
                </c:pt>
                <c:pt idx="7">
                  <c:v>2.2689766753784033</c:v>
                </c:pt>
                <c:pt idx="8">
                  <c:v>1.6628513949115047</c:v>
                </c:pt>
                <c:pt idx="9">
                  <c:v>3.2095524932068882</c:v>
                </c:pt>
                <c:pt idx="10">
                  <c:v>1.5761041973789758</c:v>
                </c:pt>
                <c:pt idx="11">
                  <c:v>1.5699593539802703</c:v>
                </c:pt>
                <c:pt idx="12">
                  <c:v>0.24037555229038912</c:v>
                </c:pt>
                <c:pt idx="13">
                  <c:v>3.0175231375948708</c:v>
                </c:pt>
                <c:pt idx="14">
                  <c:v>1.452514494382386</c:v>
                </c:pt>
                <c:pt idx="15">
                  <c:v>1.5057669439503893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5'!$F$24</c:f>
              <c:strCache>
                <c:ptCount val="1"/>
                <c:pt idx="0">
                  <c:v>Ianuarie - martie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5'!$F$25:$F$40</c:f>
              <c:numCache>
                <c:formatCode>#\ ##0.0</c:formatCode>
                <c:ptCount val="16"/>
                <c:pt idx="0">
                  <c:v>26.372449295316002</c:v>
                </c:pt>
                <c:pt idx="1">
                  <c:v>9.3500098318090981</c:v>
                </c:pt>
                <c:pt idx="2">
                  <c:v>6.3222118048310376</c:v>
                </c:pt>
                <c:pt idx="3">
                  <c:v>7.8478554533196743</c:v>
                </c:pt>
                <c:pt idx="4">
                  <c:v>9.0863640783208499</c:v>
                </c:pt>
                <c:pt idx="5">
                  <c:v>1.669577486955881</c:v>
                </c:pt>
                <c:pt idx="6">
                  <c:v>4.2899500165112823</c:v>
                </c:pt>
                <c:pt idx="7">
                  <c:v>2.62726971243378</c:v>
                </c:pt>
                <c:pt idx="8">
                  <c:v>3.4855808942043343</c:v>
                </c:pt>
                <c:pt idx="9">
                  <c:v>2.7670671101357405</c:v>
                </c:pt>
                <c:pt idx="10">
                  <c:v>1.5460706122273797</c:v>
                </c:pt>
                <c:pt idx="11">
                  <c:v>1.9814306583429524</c:v>
                </c:pt>
                <c:pt idx="12">
                  <c:v>0.68089011312251224</c:v>
                </c:pt>
                <c:pt idx="13">
                  <c:v>3.9554708662720697</c:v>
                </c:pt>
                <c:pt idx="14">
                  <c:v>1.4317137081391669</c:v>
                </c:pt>
                <c:pt idx="15">
                  <c:v>1.8247183820798041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5'!$G$24</c:f>
              <c:strCache>
                <c:ptCount val="1"/>
                <c:pt idx="0">
                  <c:v>Ianuarie - martie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Regatul Unit </c:v>
                </c:pt>
                <c:pt idx="6">
                  <c:v>Polonia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Belarus</c:v>
                </c:pt>
                <c:pt idx="10">
                  <c:v>Spania</c:v>
                </c:pt>
                <c:pt idx="11">
                  <c:v>Bulgaria</c:v>
                </c:pt>
                <c:pt idx="12">
                  <c:v>Ungaria</c:v>
                </c:pt>
                <c:pt idx="13">
                  <c:v>Elveţia</c:v>
                </c:pt>
                <c:pt idx="14">
                  <c:v>Olanda</c:v>
                </c:pt>
                <c:pt idx="15">
                  <c:v>Franţa</c:v>
                </c:pt>
              </c:strCache>
            </c:strRef>
          </c:cat>
          <c:val>
            <c:numRef>
              <c:f>'Figura 5'!$G$25:$G$40</c:f>
              <c:numCache>
                <c:formatCode>#\ ##0.0</c:formatCode>
                <c:ptCount val="16"/>
                <c:pt idx="0">
                  <c:v>25.692923835728038</c:v>
                </c:pt>
                <c:pt idx="1">
                  <c:v>10.033979574528585</c:v>
                </c:pt>
                <c:pt idx="2">
                  <c:v>9.6000056444291229</c:v>
                </c:pt>
                <c:pt idx="3">
                  <c:v>9.2623493615896528</c:v>
                </c:pt>
                <c:pt idx="4">
                  <c:v>5.7231747552992278</c:v>
                </c:pt>
                <c:pt idx="5">
                  <c:v>5.2635848598316128</c:v>
                </c:pt>
                <c:pt idx="6">
                  <c:v>3.8906288454035001</c:v>
                </c:pt>
                <c:pt idx="7">
                  <c:v>3.1948852235023888</c:v>
                </c:pt>
                <c:pt idx="8">
                  <c:v>2.8724635024708589</c:v>
                </c:pt>
                <c:pt idx="9">
                  <c:v>2.3334742916349893</c:v>
                </c:pt>
                <c:pt idx="10">
                  <c:v>2.1471247831526661</c:v>
                </c:pt>
                <c:pt idx="11">
                  <c:v>1.6210906985711291</c:v>
                </c:pt>
                <c:pt idx="12">
                  <c:v>1.5527653352137436</c:v>
                </c:pt>
                <c:pt idx="13">
                  <c:v>1.4142478902345337</c:v>
                </c:pt>
                <c:pt idx="14">
                  <c:v>1.3853230560778877</c:v>
                </c:pt>
                <c:pt idx="15">
                  <c:v>1.3589270908118609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167056"/>
        <c:axId val="169167616"/>
      </c:barChart>
      <c:catAx>
        <c:axId val="16916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167616"/>
        <c:crosses val="autoZero"/>
        <c:auto val="1"/>
        <c:lblAlgn val="ctr"/>
        <c:lblOffset val="100"/>
        <c:noMultiLvlLbl val="0"/>
      </c:catAx>
      <c:valAx>
        <c:axId val="1691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1670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5275447107965451E-2"/>
          <c:y val="0.8626137291750916"/>
          <c:w val="0.88406382134037409"/>
          <c:h val="0.10113249438986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</a:t>
            </a:r>
            <a:r>
              <a:rPr lang="en-US" sz="800" b="1"/>
              <a:t>martie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30684812159674069"/>
          <c:y val="3.4457231307625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67090652131"/>
          <c:y val="0.14671776027996497"/>
          <c:w val="0.60529683020391678"/>
          <c:h val="0.60159470891826594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1.0482180293501224E-2"/>
                  <c:y val="2.4000989775267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05231185724423"/>
                      <c:h val="0.19866203593237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2.6178556038704118E-2"/>
                  <c:y val="-8.7573942114926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4.9481255141614763E-2"/>
                  <c:y val="-0.118091886080406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3.3189015552160382E-2"/>
                  <c:y val="3.08316432971272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1.4198299839385748E-2"/>
                  <c:y val="4.38307980365515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2.1835233282406864E-2"/>
                  <c:y val="1.5572034822989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4956396579457"/>
                      <c:h val="0.159204522511609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2.2486778704900692E-2"/>
                  <c:y val="-8.21501261344096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7.7784306812394627E-3"/>
                  <c:y val="-6.9642888317946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1.4905516492218274E-2"/>
                  <c:y val="0.11505393216679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#\ ##0.0</c:formatCode>
                <c:ptCount val="9"/>
                <c:pt idx="0">
                  <c:v>29.1</c:v>
                </c:pt>
                <c:pt idx="1">
                  <c:v>6.9</c:v>
                </c:pt>
                <c:pt idx="2">
                  <c:v>9.6</c:v>
                </c:pt>
                <c:pt idx="3">
                  <c:v>0.3</c:v>
                </c:pt>
                <c:pt idx="4">
                  <c:v>4.5</c:v>
                </c:pt>
                <c:pt idx="5">
                  <c:v>3.2</c:v>
                </c:pt>
                <c:pt idx="6">
                  <c:v>6.2</c:v>
                </c:pt>
                <c:pt idx="7">
                  <c:v>21</c:v>
                </c:pt>
                <c:pt idx="8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martie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474015748031494"/>
          <c:y val="6.52920183538208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58989501312333"/>
          <c:y val="0.16552125228950701"/>
          <c:w val="0.59277007696872541"/>
          <c:h val="0.59143950440538373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6.25E-2"/>
                  <c:y val="6.18296852208226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96686351706039"/>
                      <c:h val="0.18460771540248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2.0031167979002625E-3"/>
                  <c:y val="-2.87770143910073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6112204724409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3.2851049868766404E-3"/>
                  <c:y val="-6.82437056308227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41666666666667"/>
                      <c:h val="0.25655016144564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1666830708661416E-2"/>
                  <c:y val="-3.0451417313497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1.666666666666659E-2"/>
                  <c:y val="3.5393906144858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17916650262467196"/>
                  <c:y val="-3.9149526181118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2.1816272965879267E-2"/>
                  <c:y val="-0.1201643043584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2637795275591"/>
                      <c:h val="0.280530976793368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2500000000000001E-2"/>
                  <c:y val="5.1456994846782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04133858267715"/>
                      <c:h val="0.280530976793368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#\ ##0.0</c:formatCode>
                <c:ptCount val="9"/>
                <c:pt idx="0">
                  <c:v>17</c:v>
                </c:pt>
                <c:pt idx="1">
                  <c:v>6.9</c:v>
                </c:pt>
                <c:pt idx="2">
                  <c:v>11</c:v>
                </c:pt>
                <c:pt idx="3">
                  <c:v>1.7</c:v>
                </c:pt>
                <c:pt idx="4">
                  <c:v>3.5</c:v>
                </c:pt>
                <c:pt idx="5">
                  <c:v>4.9000000000000004</c:v>
                </c:pt>
                <c:pt idx="6">
                  <c:v>7</c:v>
                </c:pt>
                <c:pt idx="7">
                  <c:v>28.3</c:v>
                </c:pt>
                <c:pt idx="8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29464840991261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7'!$B$23:$B$28</c:f>
              <c:numCache>
                <c:formatCode>General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7'!$C$23:$C$28</c:f>
              <c:numCache>
                <c:formatCode>General</c:formatCode>
                <c:ptCount val="6"/>
                <c:pt idx="0" formatCode="0.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7'!$D$23:$D$28</c:f>
              <c:numCache>
                <c:formatCode>General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7'!$E$23:$E$28</c:f>
              <c:numCache>
                <c:formatCode>General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7'!$F$23:$F$28</c:f>
              <c:numCache>
                <c:formatCode>General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7'!$G$23:$G$28</c:f>
              <c:numCache>
                <c:formatCode>General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7'!$H$23:$H$28</c:f>
              <c:numCache>
                <c:formatCode>General</c:formatCode>
                <c:ptCount val="6"/>
                <c:pt idx="0">
                  <c:v>314.10000000000002</c:v>
                </c:pt>
                <c:pt idx="1">
                  <c:v>396.9</c:v>
                </c:pt>
                <c:pt idx="2" formatCode="0.0">
                  <c:v>488</c:v>
                </c:pt>
                <c:pt idx="3">
                  <c:v>499.1</c:v>
                </c:pt>
                <c:pt idx="4">
                  <c:v>496.6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7'!$I$23:$I$28</c:f>
              <c:numCache>
                <c:formatCode>General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7'!$J$23:$J$28</c:f>
              <c:numCache>
                <c:formatCode>General</c:formatCode>
                <c:ptCount val="6"/>
                <c:pt idx="0">
                  <c:v>361.6</c:v>
                </c:pt>
                <c:pt idx="1">
                  <c:v>430.8</c:v>
                </c:pt>
                <c:pt idx="2" formatCode="0.0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7'!$K$23:$K$28</c:f>
              <c:numCache>
                <c:formatCode>General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7'!$L$23:$L$28</c:f>
              <c:numCache>
                <c:formatCode>General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7'!$M$23:$M$28</c:f>
              <c:numCache>
                <c:formatCode>General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3-4E62-A0AE-80BF44EFA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391808"/>
        <c:axId val="170392368"/>
      </c:barChart>
      <c:catAx>
        <c:axId val="1703918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392368"/>
        <c:crosses val="autoZero"/>
        <c:auto val="0"/>
        <c:lblAlgn val="ctr"/>
        <c:lblOffset val="100"/>
        <c:tickLblSkip val="1"/>
        <c:noMultiLvlLbl val="0"/>
      </c:catAx>
      <c:valAx>
        <c:axId val="17039236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39180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3521022575280011"/>
          <c:h val="0.7197508618632702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8'!$A$26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3.6681488343368845E-2"/>
                  <c:y val="-4.273689926690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2.2899953682260325E-2"/>
                  <c:y val="-4.0719110738116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4.5405591906645469E-2"/>
                  <c:y val="2.8905407803045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35510267098969E-2"/>
                  <c:y val="3.97136721546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43851064355E-2"/>
                  <c:y val="2.3833538879929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2.3270032422417784E-2"/>
                  <c:y val="-3.026123301985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7993243746739938E-2"/>
                  <c:y val="2.772361888498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9046271839231622E-2"/>
                  <c:y val="-2.622710622710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542843909217E-2"/>
                  <c:y val="4.001020248644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9.0875405280223046E-3"/>
                  <c:y val="-5.83022733443589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6.1627936751808388E-2"/>
                  <c:y val="-1.5295668686575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7415470125057895E-3"/>
                  <c:y val="-2.6595249261553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0"/>
                  <c:y val="3.512024946724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9E-47C9-B5DA-2EB823C55F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8'!$B$24:$AB$25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8'!$B$26:$AB$26</c:f>
              <c:numCache>
                <c:formatCode>0.0</c:formatCode>
                <c:ptCount val="27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 formatCode="#\ ##0.0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 formatCode="#\ ##0.0">
                  <c:v>125.55839051166471</c:v>
                </c:pt>
                <c:pt idx="18" formatCode="#\ ##0.0">
                  <c:v>120.09478099934977</c:v>
                </c:pt>
                <c:pt idx="19" formatCode="#\ ##0.0">
                  <c:v>87.312042792465732</c:v>
                </c:pt>
                <c:pt idx="20" formatCode="#\ ##0.0">
                  <c:v>117.22959939467061</c:v>
                </c:pt>
                <c:pt idx="21" formatCode="#\ ##0.0">
                  <c:v>97.096953437578748</c:v>
                </c:pt>
                <c:pt idx="22" formatCode="#\ ##0.0">
                  <c:v>105.93754706899317</c:v>
                </c:pt>
                <c:pt idx="23" formatCode="#\ ##0.0">
                  <c:v>108.49423751970338</c:v>
                </c:pt>
                <c:pt idx="24" formatCode="#\ ##0.0">
                  <c:v>70.407885353173725</c:v>
                </c:pt>
                <c:pt idx="25" formatCode="#\ ##0.0">
                  <c:v>130.56132614820868</c:v>
                </c:pt>
                <c:pt idx="26" formatCode="#\ ##0.0">
                  <c:v>120.84190761120013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8'!$A$27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5060830631465185E-2"/>
                  <c:y val="-3.019771431392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1184552635145978E-2"/>
                  <c:y val="2.346126314630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6.5345067160722916E-3"/>
                  <c:y val="-2.0092645159167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0040335333670146E-2"/>
                  <c:y val="-2.603097689711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3.4778094052797429E-2"/>
                  <c:y val="-4.418263101727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8917271491298332E-2"/>
                  <c:y val="2.5909488586653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1"/>
              <c:layout>
                <c:manualLayout>
                  <c:x val="-1.0038003924588368E-2"/>
                  <c:y val="-1.649533965734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9480623745561286E-2"/>
                  <c:y val="3.8432766437110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2.6921105450054109E-2"/>
                  <c:y val="-3.315116958342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9172248991265E-3"/>
                  <c:y val="1.056134112268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380731821004E-3"/>
                  <c:y val="1.608701733599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100154392465648E-2"/>
                  <c:y val="-1.8530677395733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32457338729E-2"/>
                  <c:y val="-2.721361034689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0181411147136019E-2"/>
                  <c:y val="-3.042990315865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1298824816415834E-2"/>
                  <c:y val="2.630086493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0982399258916165E-2"/>
                  <c:y val="3.7676795102806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8.3452215531882052E-3"/>
                  <c:y val="2.687696953241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644434151613546E-2"/>
                  <c:y val="-3.039485268103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3725490196078575E-2"/>
                  <c:y val="2.947926180073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0"/>
                  <c:y val="-2.3395946979981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9E-47C9-B5DA-2EB823C55F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'Figura 8'!$B$24:$AB$25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8'!$B$27:$AB$27</c:f>
              <c:numCache>
                <c:formatCode>0.0</c:formatCode>
                <c:ptCount val="27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 formatCode="#\ ##0.0">
                  <c:v>101.95494191241148</c:v>
                </c:pt>
                <c:pt idx="13" formatCode="#\ ##0.0">
                  <c:v>105.56040244460927</c:v>
                </c:pt>
                <c:pt idx="14" formatCode="#\ ##0.0">
                  <c:v>93.752698643620619</c:v>
                </c:pt>
                <c:pt idx="15" formatCode="#\ ##0.0">
                  <c:v>55.393509795256001</c:v>
                </c:pt>
                <c:pt idx="16" formatCode="#\ ##0.0">
                  <c:v>68.38775508029515</c:v>
                </c:pt>
                <c:pt idx="17" formatCode="#\ ##0.0">
                  <c:v>92.838583025180498</c:v>
                </c:pt>
                <c:pt idx="18" formatCode="#\ ##0.0">
                  <c:v>99.505682896081424</c:v>
                </c:pt>
                <c:pt idx="19" formatCode="#\ ##0.0">
                  <c:v>93.399537993946922</c:v>
                </c:pt>
                <c:pt idx="20" formatCode="#\ ##0.0">
                  <c:v>101.32416894790069</c:v>
                </c:pt>
                <c:pt idx="21" formatCode="#\ ##0.0">
                  <c:v>93.954405564414117</c:v>
                </c:pt>
                <c:pt idx="22" formatCode="#\ ##0.0">
                  <c:v>103.7223292586142</c:v>
                </c:pt>
                <c:pt idx="23" formatCode="#\ ##0.0">
                  <c:v>105.12020671519058</c:v>
                </c:pt>
                <c:pt idx="24" formatCode="#\ ##0.0">
                  <c:v>105.15855692598718</c:v>
                </c:pt>
                <c:pt idx="25" formatCode="#\ ##0.0">
                  <c:v>107.57243966520365</c:v>
                </c:pt>
                <c:pt idx="26" formatCode="#\ ##0.0">
                  <c:v>125.91184509771578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782368"/>
        <c:axId val="169782928"/>
      </c:lineChart>
      <c:catAx>
        <c:axId val="1697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782928"/>
        <c:crossesAt val="50"/>
        <c:auto val="1"/>
        <c:lblAlgn val="ctr"/>
        <c:lblOffset val="100"/>
        <c:noMultiLvlLbl val="0"/>
      </c:catAx>
      <c:valAx>
        <c:axId val="169782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78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11</xdr:col>
      <xdr:colOff>155575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10</xdr:col>
      <xdr:colOff>257175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0.04791</cdr:x>
      <cdr:y>0</cdr:y>
    </cdr:from>
    <cdr:to>
      <cdr:x>0.19629</cdr:x>
      <cdr:y>0.38554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13</xdr:col>
      <xdr:colOff>0</xdr:colOff>
      <xdr:row>22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28575</xdr:rowOff>
    </xdr:from>
    <xdr:to>
      <xdr:col>6</xdr:col>
      <xdr:colOff>676273</xdr:colOff>
      <xdr:row>23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28574</xdr:rowOff>
    </xdr:from>
    <xdr:to>
      <xdr:col>5</xdr:col>
      <xdr:colOff>0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0.05634</cdr:x>
      <cdr:y>0</cdr:y>
    </cdr:from>
    <cdr:to>
      <cdr:x>0.22535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9524</xdr:rowOff>
    </xdr:from>
    <xdr:to>
      <xdr:col>6</xdr:col>
      <xdr:colOff>1095375</xdr:colOff>
      <xdr:row>21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28574</xdr:rowOff>
    </xdr:from>
    <xdr:to>
      <xdr:col>0</xdr:col>
      <xdr:colOff>3200401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3181350</xdr:colOff>
      <xdr:row>2</xdr:row>
      <xdr:rowOff>28574</xdr:rowOff>
    </xdr:from>
    <xdr:to>
      <xdr:col>4</xdr:col>
      <xdr:colOff>0</xdr:colOff>
      <xdr:row>19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19049</xdr:rowOff>
    </xdr:from>
    <xdr:to>
      <xdr:col>10</xdr:col>
      <xdr:colOff>247650</xdr:colOff>
      <xdr:row>20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66674</xdr:rowOff>
    </xdr:from>
    <xdr:to>
      <xdr:col>3</xdr:col>
      <xdr:colOff>1466850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9526</xdr:rowOff>
    </xdr:from>
    <xdr:to>
      <xdr:col>12</xdr:col>
      <xdr:colOff>542924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0.08465</cdr:x>
      <cdr:y>0.00612</cdr:y>
    </cdr:from>
    <cdr:to>
      <cdr:x>0.22238</cdr:x>
      <cdr:y>0.29969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61975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9524</xdr:rowOff>
    </xdr:from>
    <xdr:to>
      <xdr:col>5</xdr:col>
      <xdr:colOff>914400</xdr:colOff>
      <xdr:row>19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28575</xdr:rowOff>
    </xdr:from>
    <xdr:to>
      <xdr:col>4</xdr:col>
      <xdr:colOff>942975</xdr:colOff>
      <xdr:row>18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19050</xdr:rowOff>
    </xdr:from>
    <xdr:to>
      <xdr:col>6</xdr:col>
      <xdr:colOff>266700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495300</xdr:colOff>
      <xdr:row>20</xdr:row>
      <xdr:rowOff>114300</xdr:rowOff>
    </xdr:to>
    <xdr:grpSp>
      <xdr:nvGrpSpPr>
        <xdr:cNvPr id="2" name="Group 1"/>
        <xdr:cNvGrpSpPr/>
      </xdr:nvGrpSpPr>
      <xdr:grpSpPr>
        <a:xfrm>
          <a:off x="0" y="352425"/>
          <a:ext cx="6286500" cy="2809875"/>
          <a:chOff x="9525" y="390525"/>
          <a:chExt cx="6286500" cy="26574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9525" y="390525"/>
          <a:ext cx="3190875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3248025" y="400050"/>
          <a:ext cx="3048000" cy="2647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id="7" name="Table18" displayName="Table18" ref="A25:D31" totalsRowShown="0" headerRowDxfId="8" dataDxfId="6" headerRowBorderDxfId="7" tableBorderDxfId="5" totalsRowBorderDxfId="4">
  <tableColumns count="4">
    <tableColumn id="1" name="Perioada" dataDxfId="3"/>
    <tableColumn id="2" name="Export" dataDxfId="2"/>
    <tableColumn id="4" name="Import" dataDxfId="1"/>
    <tableColumn id="3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workbookViewId="0">
      <selection activeCell="K35" sqref="K35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x14ac:dyDescent="0.2">
      <c r="A2" s="95" t="s">
        <v>95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">
      <c r="A3" s="1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">
      <c r="A4" s="1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">
      <c r="A5" s="1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x14ac:dyDescent="0.2">
      <c r="A6" s="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2">
      <c r="A7" s="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x14ac:dyDescent="0.2">
      <c r="A8" s="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x14ac:dyDescent="0.2">
      <c r="A9" s="1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x14ac:dyDescent="0.2">
      <c r="A10" s="1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x14ac:dyDescent="0.2">
      <c r="A11" s="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x14ac:dyDescent="0.2">
      <c r="A12" s="1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x14ac:dyDescent="0.2">
      <c r="A13" s="1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x14ac:dyDescent="0.2">
      <c r="A14" s="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2">
      <c r="A15" s="1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x14ac:dyDescent="0.2">
      <c r="A16" s="1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4" x14ac:dyDescent="0.2">
      <c r="A17" s="1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4" x14ac:dyDescent="0.2">
      <c r="N18" s="6"/>
    </row>
    <row r="19" spans="1:14" x14ac:dyDescent="0.2">
      <c r="A19" s="62" t="s">
        <v>0</v>
      </c>
      <c r="B19" s="63" t="s">
        <v>1</v>
      </c>
      <c r="C19" s="63" t="s">
        <v>2</v>
      </c>
      <c r="D19" s="63" t="s">
        <v>3</v>
      </c>
      <c r="E19" s="63" t="s">
        <v>4</v>
      </c>
      <c r="F19" s="63" t="s">
        <v>5</v>
      </c>
      <c r="G19" s="63" t="s">
        <v>6</v>
      </c>
      <c r="H19" s="63" t="s">
        <v>7</v>
      </c>
      <c r="I19" s="63" t="s">
        <v>8</v>
      </c>
      <c r="J19" s="63" t="s">
        <v>9</v>
      </c>
      <c r="K19" s="63" t="s">
        <v>10</v>
      </c>
      <c r="L19" s="63" t="s">
        <v>11</v>
      </c>
      <c r="M19" s="64" t="s">
        <v>12</v>
      </c>
    </row>
    <row r="20" spans="1:14" x14ac:dyDescent="0.2">
      <c r="A20" s="65">
        <v>2016</v>
      </c>
      <c r="B20" s="6">
        <v>116.8</v>
      </c>
      <c r="C20" s="6">
        <v>138.5</v>
      </c>
      <c r="D20" s="6">
        <v>161.30000000000001</v>
      </c>
      <c r="E20" s="6">
        <v>178.5</v>
      </c>
      <c r="F20" s="70">
        <v>153</v>
      </c>
      <c r="G20" s="6">
        <v>157.4</v>
      </c>
      <c r="H20" s="6">
        <v>165.6</v>
      </c>
      <c r="I20" s="70">
        <v>168</v>
      </c>
      <c r="J20" s="6">
        <v>193.6</v>
      </c>
      <c r="K20" s="6">
        <v>200.8</v>
      </c>
      <c r="L20" s="6">
        <v>217.6</v>
      </c>
      <c r="M20" s="6">
        <v>193.5</v>
      </c>
    </row>
    <row r="21" spans="1:14" x14ac:dyDescent="0.2">
      <c r="A21" s="66">
        <v>2017</v>
      </c>
      <c r="B21" s="6">
        <v>139.5</v>
      </c>
      <c r="C21" s="6">
        <v>176.6</v>
      </c>
      <c r="D21" s="6">
        <v>212.1</v>
      </c>
      <c r="E21" s="6">
        <v>154.19999999999999</v>
      </c>
      <c r="F21" s="6">
        <v>174.7</v>
      </c>
      <c r="G21" s="6">
        <v>171.1</v>
      </c>
      <c r="H21" s="6">
        <v>191.6</v>
      </c>
      <c r="I21" s="6">
        <v>207.9</v>
      </c>
      <c r="J21" s="6">
        <v>223.9</v>
      </c>
      <c r="K21" s="6">
        <v>268.2</v>
      </c>
      <c r="L21" s="6">
        <v>272.10000000000002</v>
      </c>
      <c r="M21" s="6">
        <v>233.1</v>
      </c>
    </row>
    <row r="22" spans="1:14" x14ac:dyDescent="0.2">
      <c r="A22" s="66">
        <v>2018</v>
      </c>
      <c r="B22" s="6">
        <v>220.3</v>
      </c>
      <c r="C22" s="6">
        <v>215.5</v>
      </c>
      <c r="D22" s="6">
        <v>242.1</v>
      </c>
      <c r="E22" s="6">
        <v>199.7</v>
      </c>
      <c r="F22" s="70">
        <v>223</v>
      </c>
      <c r="G22" s="6">
        <v>214.1</v>
      </c>
      <c r="H22" s="6">
        <v>218.8</v>
      </c>
      <c r="I22" s="6">
        <v>218.6</v>
      </c>
      <c r="J22" s="6">
        <v>207.3</v>
      </c>
      <c r="K22" s="70">
        <v>259</v>
      </c>
      <c r="L22" s="6">
        <v>268.89999999999998</v>
      </c>
      <c r="M22" s="6">
        <v>218.8</v>
      </c>
    </row>
    <row r="23" spans="1:14" x14ac:dyDescent="0.2">
      <c r="A23" s="66">
        <v>2019</v>
      </c>
      <c r="B23" s="6">
        <v>234.3</v>
      </c>
      <c r="C23" s="6">
        <v>241.4</v>
      </c>
      <c r="D23" s="6">
        <v>257.2</v>
      </c>
      <c r="E23" s="6">
        <v>215.6</v>
      </c>
      <c r="F23" s="6">
        <v>210.5</v>
      </c>
      <c r="G23" s="6">
        <v>202.2</v>
      </c>
      <c r="H23" s="6">
        <v>220.2</v>
      </c>
      <c r="I23" s="6">
        <v>205.8</v>
      </c>
      <c r="J23" s="6">
        <v>238.8</v>
      </c>
      <c r="K23" s="6">
        <v>268.3</v>
      </c>
      <c r="L23" s="6">
        <v>266.60000000000002</v>
      </c>
      <c r="M23" s="6">
        <v>218.3</v>
      </c>
    </row>
    <row r="24" spans="1:14" x14ac:dyDescent="0.2">
      <c r="A24" s="66">
        <v>2020</v>
      </c>
      <c r="B24" s="6">
        <v>219.5</v>
      </c>
      <c r="C24" s="6">
        <v>245.3</v>
      </c>
      <c r="D24" s="6">
        <v>210.2</v>
      </c>
      <c r="E24" s="6">
        <v>149.80000000000001</v>
      </c>
      <c r="F24" s="6">
        <v>155.69999999999999</v>
      </c>
      <c r="G24" s="6">
        <v>189.6</v>
      </c>
      <c r="H24" s="6">
        <v>209.1</v>
      </c>
      <c r="I24" s="6">
        <v>163.9</v>
      </c>
      <c r="J24" s="6">
        <v>212.3</v>
      </c>
      <c r="K24" s="6">
        <v>249.4</v>
      </c>
      <c r="L24" s="70">
        <v>262</v>
      </c>
      <c r="M24" s="6">
        <v>218.3</v>
      </c>
    </row>
    <row r="25" spans="1:14" x14ac:dyDescent="0.2">
      <c r="A25" s="67">
        <v>2021</v>
      </c>
      <c r="B25" s="68">
        <v>198.4</v>
      </c>
      <c r="C25" s="71">
        <v>227</v>
      </c>
      <c r="D25" s="68">
        <v>287.2</v>
      </c>
      <c r="E25" s="68"/>
      <c r="F25" s="68"/>
      <c r="G25" s="68"/>
      <c r="H25" s="68"/>
      <c r="I25" s="68"/>
      <c r="J25" s="68"/>
      <c r="K25" s="68"/>
      <c r="L25" s="68"/>
      <c r="M25" s="68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A2" sqref="A2:E2"/>
    </sheetView>
  </sheetViews>
  <sheetFormatPr defaultRowHeight="12" x14ac:dyDescent="0.2"/>
  <cols>
    <col min="1" max="1" width="27.28515625" style="3" customWidth="1"/>
    <col min="2" max="2" width="16.140625" style="3" customWidth="1"/>
    <col min="3" max="4" width="15.85546875" style="3" customWidth="1"/>
    <col min="5" max="5" width="15.7109375" style="3" customWidth="1"/>
    <col min="6" max="6" width="15.85546875" style="3" customWidth="1"/>
    <col min="7" max="7" width="16" style="3" customWidth="1"/>
    <col min="8" max="16384" width="9.140625" style="3"/>
  </cols>
  <sheetData>
    <row r="2" spans="1:7" x14ac:dyDescent="0.2">
      <c r="A2" s="107" t="s">
        <v>94</v>
      </c>
      <c r="B2" s="107"/>
      <c r="C2" s="107"/>
      <c r="D2" s="107"/>
      <c r="E2" s="107"/>
      <c r="F2" s="7"/>
      <c r="G2" s="7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/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50"/>
      <c r="B22" s="17" t="s">
        <v>83</v>
      </c>
      <c r="C22" s="17" t="s">
        <v>84</v>
      </c>
      <c r="D22" s="17" t="s">
        <v>85</v>
      </c>
      <c r="E22" s="18" t="s">
        <v>86</v>
      </c>
      <c r="F22" s="18" t="s">
        <v>87</v>
      </c>
      <c r="G22" s="72" t="s">
        <v>88</v>
      </c>
    </row>
    <row r="23" spans="1:7" ht="15" customHeight="1" x14ac:dyDescent="0.2">
      <c r="A23" s="32" t="s">
        <v>65</v>
      </c>
      <c r="B23" s="19">
        <v>44.7</v>
      </c>
      <c r="C23" s="19">
        <v>46.4</v>
      </c>
      <c r="D23" s="19">
        <v>47.5</v>
      </c>
      <c r="E23" s="19">
        <v>46.8</v>
      </c>
      <c r="F23" s="19">
        <v>47.4</v>
      </c>
      <c r="G23" s="26">
        <v>47.2</v>
      </c>
    </row>
    <row r="24" spans="1:7" ht="15" customHeight="1" x14ac:dyDescent="0.2">
      <c r="A24" s="33" t="s">
        <v>66</v>
      </c>
      <c r="B24" s="19">
        <v>29.1</v>
      </c>
      <c r="C24" s="19">
        <v>26.3</v>
      </c>
      <c r="D24" s="19">
        <v>25.1</v>
      </c>
      <c r="E24" s="19">
        <v>26.9</v>
      </c>
      <c r="F24" s="19">
        <v>25</v>
      </c>
      <c r="G24" s="28">
        <v>23.2</v>
      </c>
    </row>
    <row r="25" spans="1:7" ht="15.75" customHeight="1" x14ac:dyDescent="0.2">
      <c r="A25" s="34" t="s">
        <v>67</v>
      </c>
      <c r="B25" s="35">
        <v>26.2</v>
      </c>
      <c r="C25" s="20">
        <v>27.3</v>
      </c>
      <c r="D25" s="20">
        <v>27.4</v>
      </c>
      <c r="E25" s="20">
        <v>26.3</v>
      </c>
      <c r="F25" s="20">
        <v>27.6</v>
      </c>
      <c r="G25" s="20">
        <v>29.6</v>
      </c>
    </row>
    <row r="26" spans="1:7" x14ac:dyDescent="0.2">
      <c r="G26" s="11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P13" sqref="P13"/>
    </sheetView>
  </sheetViews>
  <sheetFormatPr defaultRowHeight="12" x14ac:dyDescent="0.2"/>
  <cols>
    <col min="1" max="1" width="14.85546875" style="3" customWidth="1"/>
    <col min="2" max="6" width="13.7109375" style="3" customWidth="1"/>
    <col min="7" max="7" width="16.7109375" style="3" customWidth="1"/>
    <col min="8" max="16384" width="9.140625" style="3"/>
  </cols>
  <sheetData>
    <row r="2" spans="1:7" x14ac:dyDescent="0.2">
      <c r="A2" s="96" t="s">
        <v>98</v>
      </c>
      <c r="B2" s="96"/>
      <c r="C2" s="96"/>
      <c r="D2" s="96"/>
      <c r="E2" s="96"/>
      <c r="F2" s="96"/>
      <c r="G2" s="96"/>
    </row>
    <row r="23" spans="1:7" ht="24" x14ac:dyDescent="0.2">
      <c r="A23" s="81"/>
      <c r="B23" s="18" t="s">
        <v>89</v>
      </c>
      <c r="C23" s="18" t="s">
        <v>84</v>
      </c>
      <c r="D23" s="18" t="s">
        <v>85</v>
      </c>
      <c r="E23" s="18" t="s">
        <v>90</v>
      </c>
      <c r="F23" s="18" t="s">
        <v>87</v>
      </c>
      <c r="G23" s="72" t="s">
        <v>88</v>
      </c>
    </row>
    <row r="24" spans="1:7" x14ac:dyDescent="0.2">
      <c r="A24" s="65" t="s">
        <v>39</v>
      </c>
      <c r="B24" s="69">
        <v>18.41590483970451</v>
      </c>
      <c r="C24" s="69">
        <v>15.516146276606859</v>
      </c>
      <c r="D24" s="69">
        <v>15.164192621701055</v>
      </c>
      <c r="E24" s="69">
        <v>15.638744743035957</v>
      </c>
      <c r="F24" s="69">
        <v>13.746501380125775</v>
      </c>
      <c r="G24" s="69">
        <v>12.611447229228256</v>
      </c>
    </row>
    <row r="25" spans="1:7" x14ac:dyDescent="0.2">
      <c r="A25" s="66" t="s">
        <v>36</v>
      </c>
      <c r="B25" s="69">
        <v>11.60479953793865</v>
      </c>
      <c r="C25" s="69">
        <v>13.490666890818718</v>
      </c>
      <c r="D25" s="69">
        <v>12.965787475285925</v>
      </c>
      <c r="E25" s="69">
        <v>13.188850993489162</v>
      </c>
      <c r="F25" s="69">
        <v>12.989702470087657</v>
      </c>
      <c r="G25" s="69">
        <v>12.213579791619043</v>
      </c>
    </row>
    <row r="26" spans="1:7" x14ac:dyDescent="0.2">
      <c r="A26" s="66" t="s">
        <v>70</v>
      </c>
      <c r="B26" s="69">
        <v>9.2743550380860196</v>
      </c>
      <c r="C26" s="69">
        <v>10.208362124155089</v>
      </c>
      <c r="D26" s="69">
        <v>11.120620153541271</v>
      </c>
      <c r="E26" s="69">
        <v>10.515296876094746</v>
      </c>
      <c r="F26" s="69">
        <v>10.014849796747507</v>
      </c>
      <c r="G26" s="69">
        <v>11.787850950426982</v>
      </c>
    </row>
    <row r="27" spans="1:7" x14ac:dyDescent="0.2">
      <c r="A27" s="66" t="s">
        <v>37</v>
      </c>
      <c r="B27" s="69">
        <v>7.592089235777542</v>
      </c>
      <c r="C27" s="69">
        <v>7.8435590025013697</v>
      </c>
      <c r="D27" s="69">
        <v>8.3252502340061305</v>
      </c>
      <c r="E27" s="69">
        <v>8.3549043663538836</v>
      </c>
      <c r="F27" s="69">
        <v>8.3666381105745486</v>
      </c>
      <c r="G27" s="69">
        <v>8.4622470778781889</v>
      </c>
    </row>
    <row r="28" spans="1:7" x14ac:dyDescent="0.2">
      <c r="A28" s="66" t="s">
        <v>42</v>
      </c>
      <c r="B28" s="69">
        <v>8.1771082438897249</v>
      </c>
      <c r="C28" s="69">
        <v>7.9310478358780037</v>
      </c>
      <c r="D28" s="69">
        <v>8.2831505888684784</v>
      </c>
      <c r="E28" s="69">
        <v>8.8037073522407443</v>
      </c>
      <c r="F28" s="69">
        <v>8.7319381015874296</v>
      </c>
      <c r="G28" s="69">
        <v>8.3304237675326824</v>
      </c>
    </row>
    <row r="29" spans="1:7" x14ac:dyDescent="0.2">
      <c r="A29" s="66" t="s">
        <v>38</v>
      </c>
      <c r="B29" s="69">
        <v>7.012805151128652</v>
      </c>
      <c r="C29" s="69">
        <v>6.6906370667325428</v>
      </c>
      <c r="D29" s="69">
        <v>6.2254346440694119</v>
      </c>
      <c r="E29" s="69">
        <v>6.295049282777601</v>
      </c>
      <c r="F29" s="69">
        <v>7.0550481908314646</v>
      </c>
      <c r="G29" s="69">
        <v>7.4362956077156221</v>
      </c>
    </row>
    <row r="30" spans="1:7" x14ac:dyDescent="0.2">
      <c r="A30" s="66" t="s">
        <v>40</v>
      </c>
      <c r="B30" s="69">
        <v>6.6078071112794028</v>
      </c>
      <c r="C30" s="69">
        <v>6.3024216113127043</v>
      </c>
      <c r="D30" s="69">
        <v>6.4673426150111917</v>
      </c>
      <c r="E30" s="69">
        <v>6.2605185388302935</v>
      </c>
      <c r="F30" s="69">
        <v>5.9831240081712398</v>
      </c>
      <c r="G30" s="69">
        <v>6.5668758848843058</v>
      </c>
    </row>
    <row r="31" spans="1:7" x14ac:dyDescent="0.2">
      <c r="A31" s="66" t="s">
        <v>41</v>
      </c>
      <c r="B31" s="69">
        <v>2.8463544086514543</v>
      </c>
      <c r="C31" s="69">
        <v>2.9317203315303542</v>
      </c>
      <c r="D31" s="69">
        <v>3.4367930956252271</v>
      </c>
      <c r="E31" s="69">
        <v>3.2282204973434689</v>
      </c>
      <c r="F31" s="69">
        <v>3.8594482979323304</v>
      </c>
      <c r="G31" s="69">
        <v>3.8695153106782842</v>
      </c>
    </row>
    <row r="32" spans="1:7" x14ac:dyDescent="0.2">
      <c r="A32" s="66" t="s">
        <v>50</v>
      </c>
      <c r="B32" s="69">
        <v>2.905760341315641</v>
      </c>
      <c r="C32" s="69">
        <v>3.0474058835572788</v>
      </c>
      <c r="D32" s="69">
        <v>2.9982460944623415</v>
      </c>
      <c r="E32" s="69">
        <v>2.9721627411211347</v>
      </c>
      <c r="F32" s="69">
        <v>3.0810647358433494</v>
      </c>
      <c r="G32" s="69">
        <v>3.2070393904974619</v>
      </c>
    </row>
    <row r="33" spans="1:7" x14ac:dyDescent="0.2">
      <c r="A33" s="66" t="s">
        <v>45</v>
      </c>
      <c r="B33" s="69">
        <v>1.8602574777767289</v>
      </c>
      <c r="C33" s="69">
        <v>2.2218801365067575</v>
      </c>
      <c r="D33" s="69">
        <v>2.3833701784440247</v>
      </c>
      <c r="E33" s="69">
        <v>2.1278659194418581</v>
      </c>
      <c r="F33" s="69">
        <v>2.3842534124059824</v>
      </c>
      <c r="G33" s="69">
        <v>2.1562207578196575</v>
      </c>
    </row>
    <row r="34" spans="1:7" x14ac:dyDescent="0.2">
      <c r="A34" s="66" t="s">
        <v>44</v>
      </c>
      <c r="B34" s="69">
        <v>2.175895865766595</v>
      </c>
      <c r="C34" s="69">
        <v>2.7205638841491933</v>
      </c>
      <c r="D34" s="69">
        <v>1.4770632321263188</v>
      </c>
      <c r="E34" s="69">
        <v>2.0112629379808791</v>
      </c>
      <c r="F34" s="69">
        <v>1.8267000849566621</v>
      </c>
      <c r="G34" s="69">
        <v>1.8735748898163671</v>
      </c>
    </row>
    <row r="35" spans="1:7" x14ac:dyDescent="0.2">
      <c r="A35" s="66" t="s">
        <v>43</v>
      </c>
      <c r="B35" s="69">
        <v>1.3097300217673464</v>
      </c>
      <c r="C35" s="69">
        <v>1.4033552312606317</v>
      </c>
      <c r="D35" s="69">
        <v>1.4884089650219798</v>
      </c>
      <c r="E35" s="69">
        <v>1.831016408428392</v>
      </c>
      <c r="F35" s="69">
        <v>1.6923408775549895</v>
      </c>
      <c r="G35" s="69">
        <v>1.7239646799448405</v>
      </c>
    </row>
    <row r="36" spans="1:7" x14ac:dyDescent="0.2">
      <c r="A36" s="66" t="s">
        <v>47</v>
      </c>
      <c r="B36" s="69">
        <v>1.4348015501751412</v>
      </c>
      <c r="C36" s="69">
        <v>1.3454026539638824</v>
      </c>
      <c r="D36" s="69">
        <v>1.4579513401831468</v>
      </c>
      <c r="E36" s="69">
        <v>1.4991247234479623</v>
      </c>
      <c r="F36" s="69">
        <v>1.5624447279096139</v>
      </c>
      <c r="G36" s="69">
        <v>1.4720985107456424</v>
      </c>
    </row>
    <row r="37" spans="1:7" x14ac:dyDescent="0.2">
      <c r="A37" s="66" t="s">
        <v>72</v>
      </c>
      <c r="B37" s="69">
        <v>1.4016278010364707</v>
      </c>
      <c r="C37" s="69">
        <v>2.3001791733473396</v>
      </c>
      <c r="D37" s="69">
        <v>1.4541762187605112</v>
      </c>
      <c r="E37" s="69">
        <v>1.3759139214688016</v>
      </c>
      <c r="F37" s="69">
        <v>1.3079349377046015</v>
      </c>
      <c r="G37" s="69">
        <v>1.3911377989729572</v>
      </c>
    </row>
    <row r="38" spans="1:7" x14ac:dyDescent="0.2">
      <c r="A38" s="66" t="s">
        <v>71</v>
      </c>
      <c r="B38" s="69">
        <v>2.1338928552327365</v>
      </c>
      <c r="C38" s="69">
        <v>1.3826062737351703</v>
      </c>
      <c r="D38" s="69">
        <v>1.8440984367328419</v>
      </c>
      <c r="E38" s="69">
        <v>1.5310226746682658</v>
      </c>
      <c r="F38" s="69">
        <v>1.2446908612311953</v>
      </c>
      <c r="G38" s="69">
        <v>1.3911318877041516</v>
      </c>
    </row>
    <row r="39" spans="1:7" x14ac:dyDescent="0.2">
      <c r="A39" s="67" t="s">
        <v>49</v>
      </c>
      <c r="B39" s="71">
        <v>1.0591520242563035</v>
      </c>
      <c r="C39" s="71">
        <v>1.0107584017362046</v>
      </c>
      <c r="D39" s="71">
        <v>1.0673522048905471</v>
      </c>
      <c r="E39" s="71">
        <v>0.96699873163309924</v>
      </c>
      <c r="F39" s="71">
        <v>1.0686601556848554</v>
      </c>
      <c r="G39" s="71">
        <v>1.0404363706502771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Q25" sqref="Q25"/>
    </sheetView>
  </sheetViews>
  <sheetFormatPr defaultRowHeight="12" x14ac:dyDescent="0.2"/>
  <cols>
    <col min="1" max="1" width="54.28515625" style="3" customWidth="1"/>
    <col min="2" max="2" width="18.42578125" style="3" customWidth="1"/>
    <col min="3" max="3" width="9.140625" style="3"/>
    <col min="4" max="4" width="12" style="3" customWidth="1"/>
    <col min="5" max="16384" width="9.140625" style="3"/>
  </cols>
  <sheetData>
    <row r="2" spans="1:6" x14ac:dyDescent="0.2">
      <c r="A2" s="96" t="s">
        <v>81</v>
      </c>
      <c r="B2" s="96"/>
      <c r="C2" s="96"/>
      <c r="D2" s="96"/>
      <c r="E2" s="7"/>
      <c r="F2" s="7"/>
    </row>
    <row r="3" spans="1:6" x14ac:dyDescent="0.2">
      <c r="A3" s="4"/>
      <c r="B3" s="4"/>
      <c r="C3" s="4"/>
      <c r="D3" s="4"/>
      <c r="E3" s="4"/>
      <c r="F3" s="4"/>
    </row>
    <row r="4" spans="1:6" x14ac:dyDescent="0.2">
      <c r="A4" s="4"/>
      <c r="B4" s="4"/>
      <c r="C4" s="4"/>
      <c r="D4" s="4"/>
      <c r="E4" s="4"/>
      <c r="F4" s="4"/>
    </row>
    <row r="5" spans="1:6" x14ac:dyDescent="0.2">
      <c r="A5" s="4"/>
      <c r="B5" s="4"/>
      <c r="C5" s="4"/>
      <c r="D5" s="4"/>
      <c r="E5" s="4"/>
      <c r="F5" s="4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4"/>
      <c r="B7" s="4"/>
      <c r="C7" s="4"/>
      <c r="D7" s="4"/>
      <c r="E7" s="4"/>
      <c r="F7" s="4"/>
    </row>
    <row r="8" spans="1:6" x14ac:dyDescent="0.2">
      <c r="A8" s="4"/>
      <c r="B8" s="4"/>
      <c r="C8" s="4"/>
      <c r="D8" s="4"/>
      <c r="E8" s="4"/>
      <c r="F8" s="4"/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4"/>
      <c r="B10" s="4"/>
      <c r="C10" s="4"/>
      <c r="D10" s="4"/>
      <c r="E10" s="4"/>
      <c r="F10" s="4"/>
    </row>
    <row r="11" spans="1:6" x14ac:dyDescent="0.2">
      <c r="A11" s="4"/>
      <c r="B11" s="4"/>
      <c r="C11" s="4"/>
      <c r="D11" s="4"/>
      <c r="E11" s="4"/>
      <c r="F11" s="4"/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4"/>
      <c r="B13" s="4"/>
      <c r="C13" s="4"/>
      <c r="D13" s="4"/>
      <c r="E13" s="4"/>
      <c r="F13" s="4"/>
    </row>
    <row r="14" spans="1:6" x14ac:dyDescent="0.2">
      <c r="A14" s="4"/>
      <c r="B14" s="4"/>
      <c r="C14" s="4"/>
      <c r="D14" s="4"/>
      <c r="E14" s="4"/>
      <c r="F14" s="4"/>
    </row>
    <row r="15" spans="1:6" x14ac:dyDescent="0.2">
      <c r="A15" s="4"/>
      <c r="B15" s="4"/>
      <c r="C15" s="4"/>
      <c r="D15" s="4"/>
      <c r="E15" s="4"/>
      <c r="F15" s="4"/>
    </row>
    <row r="16" spans="1:6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93" t="s">
        <v>87</v>
      </c>
      <c r="B21" s="83" t="s">
        <v>52</v>
      </c>
    </row>
    <row r="22" spans="1:6" ht="13.5" customHeight="1" x14ac:dyDescent="0.2">
      <c r="A22" s="54" t="s">
        <v>53</v>
      </c>
      <c r="B22" s="88">
        <v>13</v>
      </c>
    </row>
    <row r="23" spans="1:6" ht="14.25" customHeight="1" x14ac:dyDescent="0.2">
      <c r="A23" s="55" t="s">
        <v>54</v>
      </c>
      <c r="B23" s="89">
        <v>1.9</v>
      </c>
    </row>
    <row r="24" spans="1:6" ht="15" customHeight="1" x14ac:dyDescent="0.2">
      <c r="A24" s="55" t="s">
        <v>55</v>
      </c>
      <c r="B24" s="89">
        <v>3.7</v>
      </c>
    </row>
    <row r="25" spans="1:6" ht="13.5" customHeight="1" x14ac:dyDescent="0.2">
      <c r="A25" s="55" t="s">
        <v>56</v>
      </c>
      <c r="B25" s="89">
        <v>15.2</v>
      </c>
    </row>
    <row r="26" spans="1:6" ht="15" customHeight="1" x14ac:dyDescent="0.2">
      <c r="A26" s="55" t="s">
        <v>68</v>
      </c>
      <c r="B26" s="89">
        <v>0.2</v>
      </c>
    </row>
    <row r="27" spans="1:6" ht="14.25" customHeight="1" x14ac:dyDescent="0.2">
      <c r="A27" s="55" t="s">
        <v>69</v>
      </c>
      <c r="B27" s="89">
        <v>16.2</v>
      </c>
    </row>
    <row r="28" spans="1:6" ht="15" customHeight="1" x14ac:dyDescent="0.2">
      <c r="A28" s="55" t="s">
        <v>59</v>
      </c>
      <c r="B28" s="89">
        <v>17.899999999999999</v>
      </c>
    </row>
    <row r="29" spans="1:6" ht="15" customHeight="1" x14ac:dyDescent="0.2">
      <c r="A29" s="55" t="s">
        <v>60</v>
      </c>
      <c r="B29" s="89">
        <v>21.8</v>
      </c>
    </row>
    <row r="30" spans="1:6" ht="13.5" customHeight="1" x14ac:dyDescent="0.2">
      <c r="A30" s="56" t="s">
        <v>61</v>
      </c>
      <c r="B30" s="90">
        <v>10.1</v>
      </c>
    </row>
    <row r="32" spans="1:6" x14ac:dyDescent="0.2">
      <c r="A32" s="93" t="s">
        <v>88</v>
      </c>
      <c r="B32" s="83" t="s">
        <v>52</v>
      </c>
    </row>
    <row r="33" spans="1:2" ht="15.75" customHeight="1" x14ac:dyDescent="0.2">
      <c r="A33" s="54" t="s">
        <v>53</v>
      </c>
      <c r="B33" s="88">
        <v>12.4</v>
      </c>
    </row>
    <row r="34" spans="1:2" ht="15" customHeight="1" x14ac:dyDescent="0.2">
      <c r="A34" s="55" t="s">
        <v>54</v>
      </c>
      <c r="B34" s="89">
        <v>1.6</v>
      </c>
    </row>
    <row r="35" spans="1:2" ht="13.5" customHeight="1" x14ac:dyDescent="0.2">
      <c r="A35" s="55" t="s">
        <v>55</v>
      </c>
      <c r="B35" s="89">
        <v>3.6</v>
      </c>
    </row>
    <row r="36" spans="1:2" ht="13.5" customHeight="1" x14ac:dyDescent="0.2">
      <c r="A36" s="55" t="s">
        <v>56</v>
      </c>
      <c r="B36" s="89">
        <v>12.6</v>
      </c>
    </row>
    <row r="37" spans="1:2" ht="14.25" customHeight="1" x14ac:dyDescent="0.2">
      <c r="A37" s="55" t="s">
        <v>57</v>
      </c>
      <c r="B37" s="89">
        <v>0.2</v>
      </c>
    </row>
    <row r="38" spans="1:2" ht="15" customHeight="1" x14ac:dyDescent="0.2">
      <c r="A38" s="55" t="s">
        <v>58</v>
      </c>
      <c r="B38" s="89">
        <v>15.5</v>
      </c>
    </row>
    <row r="39" spans="1:2" ht="14.25" customHeight="1" x14ac:dyDescent="0.2">
      <c r="A39" s="55" t="s">
        <v>59</v>
      </c>
      <c r="B39" s="89">
        <v>17.100000000000001</v>
      </c>
    </row>
    <row r="40" spans="1:2" ht="14.25" customHeight="1" x14ac:dyDescent="0.2">
      <c r="A40" s="55" t="s">
        <v>60</v>
      </c>
      <c r="B40" s="89">
        <v>25.5</v>
      </c>
    </row>
    <row r="41" spans="1:2" ht="15" customHeight="1" x14ac:dyDescent="0.2">
      <c r="A41" s="56" t="s">
        <v>61</v>
      </c>
      <c r="B41" s="90">
        <v>11.5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M18" sqref="M18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0" x14ac:dyDescent="0.2">
      <c r="A2" s="96" t="s">
        <v>82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78" t="s">
        <v>0</v>
      </c>
      <c r="B22" s="79" t="s">
        <v>1</v>
      </c>
      <c r="C22" s="79" t="s">
        <v>2</v>
      </c>
      <c r="D22" s="79" t="s">
        <v>3</v>
      </c>
      <c r="E22" s="79" t="s">
        <v>4</v>
      </c>
      <c r="F22" s="79" t="s">
        <v>5</v>
      </c>
      <c r="G22" s="79" t="s">
        <v>6</v>
      </c>
      <c r="H22" s="79" t="s">
        <v>7</v>
      </c>
      <c r="I22" s="79" t="s">
        <v>8</v>
      </c>
      <c r="J22" s="79" t="s">
        <v>9</v>
      </c>
      <c r="K22" s="79" t="s">
        <v>10</v>
      </c>
      <c r="L22" s="79" t="s">
        <v>11</v>
      </c>
      <c r="M22" s="80" t="s">
        <v>12</v>
      </c>
    </row>
    <row r="23" spans="1:13" x14ac:dyDescent="0.2">
      <c r="A23" s="77">
        <v>2016</v>
      </c>
      <c r="B23" s="6">
        <v>-90.5</v>
      </c>
      <c r="C23" s="6">
        <v>-148.5</v>
      </c>
      <c r="D23" s="6">
        <v>-205.5</v>
      </c>
      <c r="E23" s="6">
        <v>-176.4</v>
      </c>
      <c r="F23" s="6">
        <v>-174.7</v>
      </c>
      <c r="G23" s="6">
        <v>-167.2</v>
      </c>
      <c r="H23" s="6">
        <v>-148.5</v>
      </c>
      <c r="I23" s="6">
        <v>-183.1</v>
      </c>
      <c r="J23" s="70">
        <v>-168</v>
      </c>
      <c r="K23" s="6">
        <v>-179.4</v>
      </c>
      <c r="L23" s="6">
        <v>-135.9</v>
      </c>
      <c r="M23" s="6">
        <v>-197.9</v>
      </c>
    </row>
    <row r="24" spans="1:13" x14ac:dyDescent="0.2">
      <c r="A24" s="77">
        <v>2017</v>
      </c>
      <c r="B24" s="6">
        <v>-127.3</v>
      </c>
      <c r="C24" s="6">
        <v>-156.1</v>
      </c>
      <c r="D24" s="6">
        <v>-219.1</v>
      </c>
      <c r="E24" s="6">
        <v>-207.3</v>
      </c>
      <c r="F24" s="6">
        <v>-225.7</v>
      </c>
      <c r="G24" s="6">
        <v>-217.7</v>
      </c>
      <c r="H24" s="6">
        <v>-205.3</v>
      </c>
      <c r="I24" s="6">
        <v>-221.8</v>
      </c>
      <c r="J24" s="6">
        <v>-206.9</v>
      </c>
      <c r="K24" s="6">
        <v>-197.7</v>
      </c>
      <c r="L24" s="6">
        <v>-183.2</v>
      </c>
      <c r="M24" s="6">
        <v>-238.3</v>
      </c>
    </row>
    <row r="25" spans="1:13" x14ac:dyDescent="0.2">
      <c r="A25" s="77">
        <v>2018</v>
      </c>
      <c r="B25" s="70">
        <v>-154</v>
      </c>
      <c r="C25" s="6">
        <v>-212.1</v>
      </c>
      <c r="D25" s="70">
        <v>-282</v>
      </c>
      <c r="E25" s="6">
        <v>-244.9</v>
      </c>
      <c r="F25" s="6">
        <v>-282.60000000000002</v>
      </c>
      <c r="G25" s="6">
        <v>-244.6</v>
      </c>
      <c r="H25" s="6">
        <v>-269.2</v>
      </c>
      <c r="I25" s="6">
        <v>-262.10000000000002</v>
      </c>
      <c r="J25" s="6">
        <v>-266.7</v>
      </c>
      <c r="K25" s="6">
        <v>-281.60000000000002</v>
      </c>
      <c r="L25" s="6">
        <v>-253.70000000000005</v>
      </c>
      <c r="M25" s="6">
        <v>-300.49999999999994</v>
      </c>
    </row>
    <row r="26" spans="1:13" x14ac:dyDescent="0.2">
      <c r="A26" s="77">
        <v>2019</v>
      </c>
      <c r="B26" s="6">
        <v>-138.30000000000001</v>
      </c>
      <c r="C26" s="6">
        <v>-217.9</v>
      </c>
      <c r="D26" s="6">
        <v>-276.60000000000002</v>
      </c>
      <c r="E26" s="70">
        <v>-300</v>
      </c>
      <c r="F26" s="6">
        <v>-271.10000000000002</v>
      </c>
      <c r="G26" s="6">
        <v>-243.2</v>
      </c>
      <c r="H26" s="6">
        <v>-278.89999999999998</v>
      </c>
      <c r="I26" s="6">
        <v>-258.5</v>
      </c>
      <c r="J26" s="6">
        <v>-262.89999999999998</v>
      </c>
      <c r="K26" s="70">
        <v>-257</v>
      </c>
      <c r="L26" s="6">
        <v>-237.5</v>
      </c>
      <c r="M26" s="6">
        <v>-321.39999999999998</v>
      </c>
    </row>
    <row r="27" spans="1:13" x14ac:dyDescent="0.2">
      <c r="A27" s="77">
        <v>2020</v>
      </c>
      <c r="B27" s="6">
        <v>-160.30000000000001</v>
      </c>
      <c r="C27" s="6">
        <v>-239.5</v>
      </c>
      <c r="D27" s="6">
        <v>-290.3</v>
      </c>
      <c r="E27" s="6">
        <v>-135.80000000000001</v>
      </c>
      <c r="F27" s="6">
        <v>-173.7</v>
      </c>
      <c r="G27" s="6">
        <v>-223.9</v>
      </c>
      <c r="H27" s="6">
        <v>-287.5</v>
      </c>
      <c r="I27" s="6">
        <v>-269.7</v>
      </c>
      <c r="J27" s="70">
        <v>-296</v>
      </c>
      <c r="K27" s="6">
        <v>-244.2</v>
      </c>
      <c r="L27" s="6">
        <v>-260.89999999999998</v>
      </c>
      <c r="M27" s="70">
        <v>-349</v>
      </c>
    </row>
    <row r="28" spans="1:13" x14ac:dyDescent="0.2">
      <c r="A28" s="61">
        <v>2021</v>
      </c>
      <c r="B28" s="71">
        <v>-201</v>
      </c>
      <c r="C28" s="68">
        <v>-294.5</v>
      </c>
      <c r="D28" s="71">
        <v>-343</v>
      </c>
      <c r="E28" s="68"/>
      <c r="F28" s="68"/>
      <c r="G28" s="68"/>
      <c r="H28" s="68"/>
      <c r="I28" s="68"/>
      <c r="J28" s="68"/>
      <c r="K28" s="68"/>
      <c r="L28" s="68"/>
      <c r="M28" s="68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E11" sqref="E11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6" x14ac:dyDescent="0.2">
      <c r="A2" s="108" t="s">
        <v>99</v>
      </c>
      <c r="B2" s="108"/>
      <c r="C2" s="108"/>
      <c r="D2" s="108"/>
      <c r="E2" s="108"/>
      <c r="F2" s="13"/>
    </row>
    <row r="3" spans="1:6" x14ac:dyDescent="0.2">
      <c r="A3" s="4"/>
      <c r="B3" s="4"/>
      <c r="C3" s="4"/>
      <c r="D3" s="4"/>
      <c r="E3" s="4"/>
      <c r="F3" s="4"/>
    </row>
    <row r="4" spans="1:6" x14ac:dyDescent="0.2">
      <c r="A4" s="4"/>
      <c r="B4" s="4"/>
      <c r="C4" s="4"/>
      <c r="D4" s="4"/>
      <c r="E4" s="4"/>
      <c r="F4" s="4"/>
    </row>
    <row r="5" spans="1:6" x14ac:dyDescent="0.2">
      <c r="A5" s="4"/>
      <c r="B5" s="4"/>
      <c r="C5" s="4"/>
      <c r="D5" s="4"/>
      <c r="E5" s="4"/>
      <c r="F5" s="4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4"/>
      <c r="B7" s="4"/>
      <c r="C7" s="4"/>
      <c r="D7" s="4"/>
      <c r="E7" s="4"/>
      <c r="F7" s="4"/>
    </row>
    <row r="8" spans="1:6" x14ac:dyDescent="0.2">
      <c r="A8" s="4"/>
      <c r="B8" s="4"/>
      <c r="C8" s="4"/>
      <c r="D8" s="4"/>
      <c r="E8" s="4"/>
      <c r="F8" s="4"/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4"/>
      <c r="B10" s="4"/>
      <c r="C10" s="4"/>
      <c r="D10" s="4"/>
      <c r="E10" s="4"/>
      <c r="F10" s="4"/>
    </row>
    <row r="11" spans="1:6" x14ac:dyDescent="0.2">
      <c r="A11" s="4"/>
      <c r="B11" s="4"/>
      <c r="C11" s="4"/>
      <c r="D11" s="4"/>
      <c r="E11" s="4"/>
      <c r="F11" s="4"/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4"/>
      <c r="B13" s="4"/>
      <c r="C13" s="4"/>
      <c r="D13" s="4"/>
      <c r="E13" s="4"/>
      <c r="F13" s="4"/>
    </row>
    <row r="14" spans="1:6" x14ac:dyDescent="0.2">
      <c r="A14" s="4"/>
      <c r="B14" s="4"/>
      <c r="C14" s="4"/>
      <c r="D14" s="4"/>
      <c r="E14" s="4"/>
      <c r="F14" s="4"/>
    </row>
    <row r="15" spans="1:6" x14ac:dyDescent="0.2">
      <c r="A15" s="4"/>
      <c r="B15" s="4"/>
      <c r="C15" s="4"/>
      <c r="D15" s="4"/>
      <c r="E15" s="4"/>
      <c r="F15" s="4"/>
    </row>
    <row r="16" spans="1:6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5" spans="1:6" x14ac:dyDescent="0.2">
      <c r="A25" s="57" t="s">
        <v>73</v>
      </c>
      <c r="B25" s="58" t="s">
        <v>74</v>
      </c>
      <c r="C25" s="58" t="s">
        <v>75</v>
      </c>
      <c r="D25" s="59" t="s">
        <v>76</v>
      </c>
      <c r="E25" s="6"/>
    </row>
    <row r="26" spans="1:6" ht="15.75" customHeight="1" x14ac:dyDescent="0.2">
      <c r="A26" s="24" t="s">
        <v>83</v>
      </c>
      <c r="B26" s="26">
        <v>416.4</v>
      </c>
      <c r="C26" s="26">
        <v>861.1</v>
      </c>
      <c r="D26" s="27">
        <v>-444.7</v>
      </c>
      <c r="E26" s="6"/>
    </row>
    <row r="27" spans="1:6" ht="15" customHeight="1" x14ac:dyDescent="0.2">
      <c r="A27" s="25" t="s">
        <v>84</v>
      </c>
      <c r="B27" s="28">
        <v>528.20000000000005</v>
      </c>
      <c r="C27" s="28">
        <v>1030.7</v>
      </c>
      <c r="D27" s="29">
        <v>-502.5</v>
      </c>
      <c r="E27" s="6"/>
    </row>
    <row r="28" spans="1:6" ht="14.25" customHeight="1" x14ac:dyDescent="0.2">
      <c r="A28" s="25" t="s">
        <v>85</v>
      </c>
      <c r="B28" s="28">
        <v>677.9</v>
      </c>
      <c r="C28" s="28">
        <v>1326</v>
      </c>
      <c r="D28" s="29">
        <v>-648.1</v>
      </c>
      <c r="E28" s="6"/>
    </row>
    <row r="29" spans="1:6" ht="14.25" customHeight="1" x14ac:dyDescent="0.2">
      <c r="A29" s="25" t="s">
        <v>86</v>
      </c>
      <c r="B29" s="28">
        <v>732.9</v>
      </c>
      <c r="C29" s="28">
        <v>1365.6</v>
      </c>
      <c r="D29" s="29">
        <v>-632.70000000000005</v>
      </c>
      <c r="E29" s="6"/>
    </row>
    <row r="30" spans="1:6" ht="13.5" customHeight="1" x14ac:dyDescent="0.2">
      <c r="A30" s="25" t="s">
        <v>87</v>
      </c>
      <c r="B30" s="28">
        <v>675</v>
      </c>
      <c r="C30" s="28">
        <v>1365.1</v>
      </c>
      <c r="D30" s="29">
        <v>-690.1</v>
      </c>
      <c r="E30" s="6"/>
    </row>
    <row r="31" spans="1:6" ht="13.5" customHeight="1" x14ac:dyDescent="0.2">
      <c r="A31" s="25" t="s">
        <v>88</v>
      </c>
      <c r="B31" s="28">
        <v>712.7</v>
      </c>
      <c r="C31" s="28">
        <v>1551.1</v>
      </c>
      <c r="D31" s="29">
        <v>-838.4</v>
      </c>
      <c r="E31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workbookViewId="0">
      <selection activeCell="P13" sqref="P13"/>
    </sheetView>
  </sheetViews>
  <sheetFormatPr defaultRowHeight="12" x14ac:dyDescent="0.2"/>
  <cols>
    <col min="1" max="1" width="17.8554687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8.42578125" style="3" bestFit="1" customWidth="1"/>
    <col min="14" max="14" width="6.140625" style="3" bestFit="1" customWidth="1"/>
    <col min="15" max="15" width="6.85546875" style="3" bestFit="1" customWidth="1"/>
    <col min="16" max="16" width="7.7109375" style="3" bestFit="1" customWidth="1"/>
    <col min="17" max="17" width="7.5703125" style="3" bestFit="1" customWidth="1"/>
    <col min="18" max="18" width="9.28515625" style="3" customWidth="1"/>
    <col min="19" max="20" width="9.28515625" style="3" bestFit="1" customWidth="1"/>
    <col min="21" max="21" width="8.28515625" style="3" customWidth="1"/>
    <col min="22" max="22" width="9.140625" style="3" customWidth="1"/>
    <col min="23" max="23" width="8.42578125" style="3" customWidth="1"/>
    <col min="24" max="26" width="9.28515625" style="3" bestFit="1" customWidth="1"/>
    <col min="27" max="27" width="9.28515625" style="3" customWidth="1"/>
    <col min="28" max="28" width="9.28515625" style="3" bestFit="1" customWidth="1"/>
    <col min="29" max="16384" width="9.140625" style="3"/>
  </cols>
  <sheetData>
    <row r="2" spans="1:12" x14ac:dyDescent="0.2">
      <c r="A2" s="96" t="s">
        <v>93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2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29" x14ac:dyDescent="0.2">
      <c r="A18" s="5"/>
    </row>
    <row r="19" spans="1:29" x14ac:dyDescent="0.2">
      <c r="A19" s="5"/>
      <c r="AC19" s="6"/>
    </row>
    <row r="20" spans="1:29" x14ac:dyDescent="0.2">
      <c r="A20" s="5"/>
      <c r="AC20" s="6"/>
    </row>
    <row r="21" spans="1:29" x14ac:dyDescent="0.2">
      <c r="A21" s="5"/>
      <c r="AC21" s="6"/>
    </row>
    <row r="22" spans="1:29" x14ac:dyDescent="0.2">
      <c r="A22" s="5"/>
      <c r="AC22" s="6"/>
    </row>
    <row r="23" spans="1:29" x14ac:dyDescent="0.2">
      <c r="A23" s="97"/>
      <c r="B23" s="99">
        <v>2019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>
        <v>2020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>
        <v>2021</v>
      </c>
      <c r="AA23" s="100"/>
      <c r="AB23" s="99"/>
      <c r="AC23" s="6"/>
    </row>
    <row r="24" spans="1:29" x14ac:dyDescent="0.2">
      <c r="A24" s="98"/>
      <c r="B24" s="51" t="s">
        <v>13</v>
      </c>
      <c r="C24" s="51" t="s">
        <v>14</v>
      </c>
      <c r="D24" s="51" t="s">
        <v>15</v>
      </c>
      <c r="E24" s="51" t="s">
        <v>16</v>
      </c>
      <c r="F24" s="51" t="s">
        <v>17</v>
      </c>
      <c r="G24" s="51" t="s">
        <v>18</v>
      </c>
      <c r="H24" s="51" t="s">
        <v>19</v>
      </c>
      <c r="I24" s="51" t="s">
        <v>20</v>
      </c>
      <c r="J24" s="51" t="s">
        <v>21</v>
      </c>
      <c r="K24" s="51" t="s">
        <v>22</v>
      </c>
      <c r="L24" s="51" t="s">
        <v>23</v>
      </c>
      <c r="M24" s="51" t="s">
        <v>24</v>
      </c>
      <c r="N24" s="51" t="s">
        <v>13</v>
      </c>
      <c r="O24" s="51" t="s">
        <v>14</v>
      </c>
      <c r="P24" s="51" t="s">
        <v>15</v>
      </c>
      <c r="Q24" s="51" t="s">
        <v>16</v>
      </c>
      <c r="R24" s="51" t="s">
        <v>17</v>
      </c>
      <c r="S24" s="51" t="s">
        <v>25</v>
      </c>
      <c r="T24" s="51" t="s">
        <v>19</v>
      </c>
      <c r="U24" s="51" t="s">
        <v>26</v>
      </c>
      <c r="V24" s="51" t="s">
        <v>21</v>
      </c>
      <c r="W24" s="51" t="s">
        <v>27</v>
      </c>
      <c r="X24" s="51" t="s">
        <v>23</v>
      </c>
      <c r="Y24" s="51" t="s">
        <v>24</v>
      </c>
      <c r="Z24" s="51" t="s">
        <v>13</v>
      </c>
      <c r="AA24" s="52" t="s">
        <v>14</v>
      </c>
      <c r="AB24" s="51" t="s">
        <v>15</v>
      </c>
      <c r="AC24" s="6"/>
    </row>
    <row r="25" spans="1:29" ht="28.5" customHeight="1" x14ac:dyDescent="0.2">
      <c r="A25" s="49" t="s">
        <v>79</v>
      </c>
      <c r="B25" s="39">
        <v>107.04955714362214</v>
      </c>
      <c r="C25" s="39">
        <v>103.05469693630643</v>
      </c>
      <c r="D25" s="39">
        <v>106.5540849399146</v>
      </c>
      <c r="E25" s="39">
        <v>83.804058120513616</v>
      </c>
      <c r="F25" s="39">
        <v>97.663587687631406</v>
      </c>
      <c r="G25" s="39">
        <v>96.047232355670943</v>
      </c>
      <c r="H25" s="39">
        <v>108.87893967295254</v>
      </c>
      <c r="I25" s="26">
        <v>93.476142278451405</v>
      </c>
      <c r="J25" s="39">
        <v>116.03027535062083</v>
      </c>
      <c r="K25" s="39">
        <v>112.37403253245004</v>
      </c>
      <c r="L25" s="39">
        <v>99.332915825323369</v>
      </c>
      <c r="M25" s="40">
        <v>81.894486392152885</v>
      </c>
      <c r="N25" s="48">
        <v>100.54069338788538</v>
      </c>
      <c r="O25" s="48">
        <v>111.77933359663091</v>
      </c>
      <c r="P25" s="48">
        <v>85.694935103741471</v>
      </c>
      <c r="Q25" s="28">
        <v>71.283537880135214</v>
      </c>
      <c r="R25" s="48">
        <v>103.90424682350312</v>
      </c>
      <c r="S25" s="48">
        <v>121.75061963317823</v>
      </c>
      <c r="T25" s="28">
        <v>110.31315379040727</v>
      </c>
      <c r="U25" s="28">
        <v>78.376764810035453</v>
      </c>
      <c r="V25" s="28">
        <v>129.49769232961904</v>
      </c>
      <c r="W25" s="28">
        <v>117.47585360993436</v>
      </c>
      <c r="X25" s="28">
        <v>105.08585699580438</v>
      </c>
      <c r="Y25" s="21">
        <v>83.287463510424814</v>
      </c>
      <c r="Z25" s="45">
        <v>90.924906043100663</v>
      </c>
      <c r="AA25" s="29">
        <v>114.41186008293316</v>
      </c>
      <c r="AB25" s="41">
        <v>126.519650972162</v>
      </c>
      <c r="AC25" s="6"/>
    </row>
    <row r="26" spans="1:29" ht="40.5" customHeight="1" x14ac:dyDescent="0.2">
      <c r="A26" s="37" t="s">
        <v>80</v>
      </c>
      <c r="B26" s="42">
        <f>IF(220321.7383="","-",234254.08835/220321.7383*100)</f>
        <v>106.32363840150403</v>
      </c>
      <c r="C26" s="43">
        <f>IF(215472.31369="","-",241409.84081/215472.31369*100)</f>
        <v>112.03752197942065</v>
      </c>
      <c r="D26" s="43">
        <f>IF(242121.38159="","-",257232.04683/242121.38159*100)</f>
        <v>106.24094623150131</v>
      </c>
      <c r="E26" s="43">
        <f>IF(199735.58403="","-",215570.89403/199735.58403*100)</f>
        <v>107.92813662968615</v>
      </c>
      <c r="F26" s="43">
        <f>IF(223023.34378="","-",210534.26912/223023.34378*100)</f>
        <v>94.400104290284631</v>
      </c>
      <c r="G26" s="43">
        <f>IF(214123.17565="","-",202212.33865/214123.17565*100)</f>
        <v>94.437390084542201</v>
      </c>
      <c r="H26" s="43">
        <f>IF(218832.76993="","-",220166.65021/218832.76993*100)</f>
        <v>100.6095432052643</v>
      </c>
      <c r="I26" s="43">
        <f>IF(218601.82808="","-",205803.2912/218601.82808*100)</f>
        <v>94.145274542115814</v>
      </c>
      <c r="J26" s="43">
        <f>IF(207304.07378="","-",238794.12546/207304.07378*100)</f>
        <v>115.19027152038439</v>
      </c>
      <c r="K26" s="43">
        <f>IF(258965.48256="","-",268342.58823/258965.48256*100)</f>
        <v>103.62098669571817</v>
      </c>
      <c r="L26" s="43">
        <f>IF(268843.90574="","-",266552.51729/268843.90574*100)</f>
        <v>99.147688156183818</v>
      </c>
      <c r="M26" s="44">
        <f>IF(218827.70429="","-",218291.815/218827.70429*100)</f>
        <v>99.755109028932736</v>
      </c>
      <c r="N26" s="20">
        <f>IF(234254.08835="","-",219472.10441/234254.08835*100)</f>
        <v>93.68976480021378</v>
      </c>
      <c r="O26" s="20">
        <f>IF(241409.84081="","-",245324.45574/241409.84081*100)</f>
        <v>101.62156394157972</v>
      </c>
      <c r="P26" s="20">
        <f>IF(257232.04683="","-",210230.63314/257232.04683*100)</f>
        <v>81.728010071364707</v>
      </c>
      <c r="Q26" s="20">
        <f>IF(215570.89403="","-",149859.83301/215570.89403*100)</f>
        <v>69.517656214361068</v>
      </c>
      <c r="R26" s="20">
        <f>IF(210534.26912="","-",155710.73078/210534.26912*100)</f>
        <v>73.959803043393492</v>
      </c>
      <c r="S26" s="20">
        <f>IF(202212.33865="","-",189578.77956/202212.33865*100)</f>
        <v>93.752330261178145</v>
      </c>
      <c r="T26" s="20">
        <f>IF(220166.65021="","-",209130.33065/220166.65021*100)</f>
        <v>94.987288243031671</v>
      </c>
      <c r="U26" s="20">
        <f>IF(205803.2912="","-",163909.5874/205803.2912*100)</f>
        <v>79.643812518387932</v>
      </c>
      <c r="V26" s="20">
        <f>IF(238794.12546="","-",212259.13319/238794.12546*100)</f>
        <v>88.887920831852767</v>
      </c>
      <c r="W26" s="20">
        <f>IF(268342.58823="","-",249353.22858/268342.58823*100)</f>
        <v>92.923464078044901</v>
      </c>
      <c r="X26" s="20">
        <f>IF(266552.51729="","-",262034.9772/266552.51729*100)</f>
        <v>98.30519698859753</v>
      </c>
      <c r="Y26" s="23">
        <f>IF(218291.815="","-",218242.28602/218291.815*100)</f>
        <v>99.977310656379856</v>
      </c>
      <c r="Z26" s="35">
        <f>IF(219472.10441="","-",198436.59351/219472.10441*100)</f>
        <v>90.415405658705879</v>
      </c>
      <c r="AA26" s="20">
        <f>IF(245324.45574="","-",227034.99772/245324.45574*100)</f>
        <v>92.544788099159774</v>
      </c>
      <c r="AB26" s="23">
        <f>IF(210230.63314="","-",287243.8867/210230.63314*100)</f>
        <v>136.63274586092987</v>
      </c>
      <c r="AC26" s="6"/>
    </row>
  </sheetData>
  <mergeCells count="5">
    <mergeCell ref="A2:L2"/>
    <mergeCell ref="A23:A24"/>
    <mergeCell ref="B23:M23"/>
    <mergeCell ref="N23:Y23"/>
    <mergeCell ref="Z23:AB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B33" sqref="B33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5" width="14.7109375" style="3" customWidth="1"/>
    <col min="6" max="6" width="14.140625" style="3" customWidth="1"/>
    <col min="7" max="7" width="15.28515625" style="3" customWidth="1"/>
    <col min="8" max="16384" width="9.140625" style="3"/>
  </cols>
  <sheetData>
    <row r="2" spans="1:7" x14ac:dyDescent="0.2">
      <c r="A2" s="101" t="s">
        <v>100</v>
      </c>
      <c r="B2" s="101"/>
      <c r="C2" s="101"/>
      <c r="D2" s="101"/>
      <c r="E2" s="101"/>
      <c r="F2" s="101"/>
      <c r="G2" s="7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/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91" t="s">
        <v>28</v>
      </c>
      <c r="B22" s="73" t="s">
        <v>88</v>
      </c>
      <c r="C22" s="18" t="s">
        <v>87</v>
      </c>
      <c r="D22" s="18" t="s">
        <v>86</v>
      </c>
      <c r="E22" s="18" t="s">
        <v>85</v>
      </c>
      <c r="F22" s="18" t="s">
        <v>84</v>
      </c>
      <c r="G22" s="72" t="s">
        <v>83</v>
      </c>
      <c r="H22" s="6"/>
    </row>
    <row r="23" spans="1:8" x14ac:dyDescent="0.2">
      <c r="A23" s="66" t="s">
        <v>29</v>
      </c>
      <c r="B23" s="70">
        <v>5.8941561858610161</v>
      </c>
      <c r="C23" s="70">
        <v>8.8573967944301106</v>
      </c>
      <c r="D23" s="70">
        <v>8.1946819122417267</v>
      </c>
      <c r="E23" s="70">
        <v>7.5744728717612873</v>
      </c>
      <c r="F23" s="70">
        <v>7.6834251600785093</v>
      </c>
      <c r="G23" s="70">
        <v>4.1230311337861734</v>
      </c>
    </row>
    <row r="24" spans="1:8" x14ac:dyDescent="0.2">
      <c r="A24" s="66" t="s">
        <v>30</v>
      </c>
      <c r="B24" s="70">
        <v>0.91292518424007718</v>
      </c>
      <c r="C24" s="70">
        <v>5.4812857315667092</v>
      </c>
      <c r="D24" s="70">
        <v>5.4179168737231267</v>
      </c>
      <c r="E24" s="70">
        <v>3.6676552838896059</v>
      </c>
      <c r="F24" s="70">
        <v>1.9254930461577608</v>
      </c>
      <c r="G24" s="70">
        <v>0.77907970739916832</v>
      </c>
    </row>
    <row r="25" spans="1:8" x14ac:dyDescent="0.2">
      <c r="A25" s="66" t="s">
        <v>31</v>
      </c>
      <c r="B25" s="70">
        <v>87.999987852319379</v>
      </c>
      <c r="C25" s="70">
        <v>84.297899790762372</v>
      </c>
      <c r="D25" s="70">
        <v>84.86086178463151</v>
      </c>
      <c r="E25" s="70">
        <v>87.292593501659226</v>
      </c>
      <c r="F25" s="70">
        <v>86.88926678330516</v>
      </c>
      <c r="G25" s="70">
        <v>93.562403427059863</v>
      </c>
    </row>
    <row r="26" spans="1:8" x14ac:dyDescent="0.2">
      <c r="A26" s="66" t="s">
        <v>32</v>
      </c>
      <c r="B26" s="70">
        <v>5.0983840010794408</v>
      </c>
      <c r="C26" s="70">
        <v>1.3256265390416182</v>
      </c>
      <c r="D26" s="70">
        <v>1.4371101977702374</v>
      </c>
      <c r="E26" s="70">
        <v>1.4261846996081189</v>
      </c>
      <c r="F26" s="70">
        <v>3.4519503624582297</v>
      </c>
      <c r="G26" s="70">
        <v>1.3587734790738548</v>
      </c>
    </row>
    <row r="27" spans="1:8" x14ac:dyDescent="0.2">
      <c r="A27" s="67" t="s">
        <v>62</v>
      </c>
      <c r="B27" s="71">
        <v>8.6883965505912403E-2</v>
      </c>
      <c r="C27" s="71">
        <v>3.5245346019384512E-2</v>
      </c>
      <c r="D27" s="71">
        <v>6.9171142509713707E-2</v>
      </c>
      <c r="E27" s="71">
        <v>3.8793183776802964E-2</v>
      </c>
      <c r="F27" s="71">
        <v>3.7203372496652475E-2</v>
      </c>
      <c r="G27" s="71">
        <v>0.16531189472683239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J7" sqref="J7"/>
    </sheetView>
  </sheetViews>
  <sheetFormatPr defaultRowHeight="12" x14ac:dyDescent="0.2"/>
  <cols>
    <col min="1" max="1" width="26.140625" style="3" customWidth="1"/>
    <col min="2" max="2" width="16.140625" style="3" customWidth="1"/>
    <col min="3" max="3" width="16" style="3" customWidth="1"/>
    <col min="4" max="4" width="16.85546875" style="3" customWidth="1"/>
    <col min="5" max="6" width="16.140625" style="3" customWidth="1"/>
    <col min="7" max="7" width="16" style="3" customWidth="1"/>
    <col min="8" max="16384" width="9.140625" style="3"/>
  </cols>
  <sheetData>
    <row r="2" spans="1:7" x14ac:dyDescent="0.2">
      <c r="A2" s="102" t="s">
        <v>91</v>
      </c>
      <c r="B2" s="102"/>
      <c r="C2" s="102"/>
      <c r="D2" s="102"/>
      <c r="E2" s="102"/>
      <c r="F2" s="8"/>
      <c r="G2" s="8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/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53"/>
      <c r="B20" s="17" t="s">
        <v>83</v>
      </c>
      <c r="C20" s="17" t="s">
        <v>84</v>
      </c>
      <c r="D20" s="17" t="s">
        <v>85</v>
      </c>
      <c r="E20" s="18" t="s">
        <v>86</v>
      </c>
      <c r="F20" s="18" t="s">
        <v>87</v>
      </c>
      <c r="G20" s="72" t="s">
        <v>88</v>
      </c>
      <c r="H20" s="6"/>
    </row>
    <row r="21" spans="1:8" ht="15" customHeight="1" x14ac:dyDescent="0.2">
      <c r="A21" s="32" t="s">
        <v>33</v>
      </c>
      <c r="B21" s="19">
        <v>57.4</v>
      </c>
      <c r="C21" s="19">
        <v>57.5</v>
      </c>
      <c r="D21" s="19">
        <v>63.2</v>
      </c>
      <c r="E21" s="19">
        <v>62.6</v>
      </c>
      <c r="F21" s="19">
        <v>66.3</v>
      </c>
      <c r="G21" s="26">
        <v>61.6</v>
      </c>
      <c r="H21" s="9"/>
    </row>
    <row r="22" spans="1:8" ht="14.25" customHeight="1" x14ac:dyDescent="0.2">
      <c r="A22" s="33" t="s">
        <v>34</v>
      </c>
      <c r="B22" s="19">
        <v>20.399999999999999</v>
      </c>
      <c r="C22" s="19">
        <v>20.100000000000001</v>
      </c>
      <c r="D22" s="19">
        <v>16.8</v>
      </c>
      <c r="E22" s="19">
        <v>13.9</v>
      </c>
      <c r="F22" s="19">
        <v>14</v>
      </c>
      <c r="G22" s="28">
        <v>15.7</v>
      </c>
      <c r="H22" s="9"/>
    </row>
    <row r="23" spans="1:8" ht="15" customHeight="1" x14ac:dyDescent="0.2">
      <c r="A23" s="34" t="s">
        <v>35</v>
      </c>
      <c r="B23" s="35">
        <v>22.2</v>
      </c>
      <c r="C23" s="20">
        <v>22.4</v>
      </c>
      <c r="D23" s="20">
        <v>20</v>
      </c>
      <c r="E23" s="20">
        <v>23.5</v>
      </c>
      <c r="F23" s="20">
        <v>19.7</v>
      </c>
      <c r="G23" s="20">
        <v>22.7</v>
      </c>
      <c r="H23" s="9"/>
    </row>
  </sheetData>
  <mergeCells count="1"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I18" sqref="I18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9" x14ac:dyDescent="0.2">
      <c r="A2" s="94" t="s">
        <v>96</v>
      </c>
      <c r="B2" s="94"/>
      <c r="C2" s="94"/>
      <c r="D2" s="94"/>
      <c r="E2" s="94"/>
      <c r="F2" s="94"/>
      <c r="G2" s="10"/>
      <c r="H2" s="10"/>
      <c r="I2" s="10"/>
    </row>
    <row r="3" spans="1:9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5"/>
    </row>
    <row r="22" spans="1:9" x14ac:dyDescent="0.2">
      <c r="A22" s="5"/>
    </row>
    <row r="23" spans="1:9" x14ac:dyDescent="0.2">
      <c r="A23" s="5"/>
    </row>
    <row r="24" spans="1:9" ht="32.25" customHeight="1" x14ac:dyDescent="0.2">
      <c r="A24" s="50"/>
      <c r="B24" s="18" t="s">
        <v>89</v>
      </c>
      <c r="C24" s="18" t="s">
        <v>84</v>
      </c>
      <c r="D24" s="18" t="s">
        <v>85</v>
      </c>
      <c r="E24" s="18" t="s">
        <v>90</v>
      </c>
      <c r="F24" s="18" t="s">
        <v>87</v>
      </c>
      <c r="G24" s="18" t="s">
        <v>88</v>
      </c>
    </row>
    <row r="25" spans="1:9" ht="13.5" customHeight="1" x14ac:dyDescent="0.2">
      <c r="A25" s="30" t="s">
        <v>36</v>
      </c>
      <c r="B25" s="19">
        <v>23.834645785285961</v>
      </c>
      <c r="C25" s="19">
        <v>24.293189858163196</v>
      </c>
      <c r="D25" s="19">
        <v>24.480376666393699</v>
      </c>
      <c r="E25" s="19">
        <v>26.670587849245752</v>
      </c>
      <c r="F25" s="19">
        <v>26.372449295316002</v>
      </c>
      <c r="G25" s="21">
        <v>25.692923835728038</v>
      </c>
    </row>
    <row r="26" spans="1:9" ht="14.25" customHeight="1" x14ac:dyDescent="0.2">
      <c r="A26" s="31" t="s">
        <v>37</v>
      </c>
      <c r="B26" s="19">
        <v>6.897753458707637</v>
      </c>
      <c r="C26" s="19">
        <v>6.9001494847474643</v>
      </c>
      <c r="D26" s="19">
        <v>8.9245818715912648</v>
      </c>
      <c r="E26" s="19">
        <v>8.6701516015510247</v>
      </c>
      <c r="F26" s="19">
        <v>9.3500098318090981</v>
      </c>
      <c r="G26" s="22">
        <v>10.033979574528585</v>
      </c>
    </row>
    <row r="27" spans="1:9" ht="12.75" customHeight="1" x14ac:dyDescent="0.2">
      <c r="A27" s="31" t="s">
        <v>38</v>
      </c>
      <c r="B27" s="19">
        <v>2.8224726417184507</v>
      </c>
      <c r="C27" s="19">
        <v>4.8124953200165255</v>
      </c>
      <c r="D27" s="19">
        <v>4.6028291176701384</v>
      </c>
      <c r="E27" s="19">
        <v>9.9651915582350696</v>
      </c>
      <c r="F27" s="19">
        <v>6.3222118048310376</v>
      </c>
      <c r="G27" s="22">
        <v>9.6000056444291229</v>
      </c>
    </row>
    <row r="28" spans="1:9" ht="14.25" customHeight="1" x14ac:dyDescent="0.2">
      <c r="A28" s="31" t="s">
        <v>39</v>
      </c>
      <c r="B28" s="19">
        <v>10.276805584179504</v>
      </c>
      <c r="C28" s="19">
        <v>11.50644244141988</v>
      </c>
      <c r="D28" s="19">
        <v>8.8711122112110914</v>
      </c>
      <c r="E28" s="19">
        <v>7.9271301062229762</v>
      </c>
      <c r="F28" s="19">
        <v>7.8478554533196743</v>
      </c>
      <c r="G28" s="22">
        <v>9.2623493615896528</v>
      </c>
    </row>
    <row r="29" spans="1:9" ht="12.75" customHeight="1" x14ac:dyDescent="0.2">
      <c r="A29" s="31" t="s">
        <v>40</v>
      </c>
      <c r="B29" s="19">
        <v>9.597144600901764</v>
      </c>
      <c r="C29" s="19">
        <v>9.0870345235114094</v>
      </c>
      <c r="D29" s="19">
        <v>11.837708748746143</v>
      </c>
      <c r="E29" s="19">
        <v>11.280210200134601</v>
      </c>
      <c r="F29" s="19">
        <v>9.0863640783208499</v>
      </c>
      <c r="G29" s="22">
        <v>5.7231747552992278</v>
      </c>
    </row>
    <row r="30" spans="1:9" ht="13.5" customHeight="1" x14ac:dyDescent="0.2">
      <c r="A30" s="31" t="s">
        <v>51</v>
      </c>
      <c r="B30" s="28">
        <v>6.4082898638966475</v>
      </c>
      <c r="C30" s="28">
        <v>6.0171905992243602</v>
      </c>
      <c r="D30" s="28">
        <v>3.8316506223832243</v>
      </c>
      <c r="E30" s="28">
        <v>1.6227455586633313</v>
      </c>
      <c r="F30" s="28">
        <v>1.669577486955881</v>
      </c>
      <c r="G30" s="22">
        <v>5.2635848598316128</v>
      </c>
    </row>
    <row r="31" spans="1:9" ht="13.5" customHeight="1" x14ac:dyDescent="0.2">
      <c r="A31" s="31" t="s">
        <v>41</v>
      </c>
      <c r="B31" s="19">
        <v>3.708723329326634</v>
      </c>
      <c r="C31" s="19">
        <v>3.2525107739185994</v>
      </c>
      <c r="D31" s="19">
        <v>3.3176264436448917</v>
      </c>
      <c r="E31" s="19">
        <v>3.6354743009754968</v>
      </c>
      <c r="F31" s="19">
        <v>4.2899500165112823</v>
      </c>
      <c r="G31" s="22">
        <v>3.8906288454035001</v>
      </c>
    </row>
    <row r="32" spans="1:9" ht="13.5" customHeight="1" x14ac:dyDescent="0.2">
      <c r="A32" s="31" t="s">
        <v>42</v>
      </c>
      <c r="B32" s="19">
        <v>2.8783117357122876</v>
      </c>
      <c r="C32" s="19">
        <v>2.2389515644967615</v>
      </c>
      <c r="D32" s="19">
        <v>2.7388244743079651</v>
      </c>
      <c r="E32" s="19">
        <v>2.2689766753784033</v>
      </c>
      <c r="F32" s="19">
        <v>2.62726971243378</v>
      </c>
      <c r="G32" s="22">
        <v>3.1948852235023888</v>
      </c>
    </row>
    <row r="33" spans="1:7" ht="13.5" customHeight="1" x14ac:dyDescent="0.2">
      <c r="A33" s="46" t="s">
        <v>43</v>
      </c>
      <c r="B33" s="19">
        <v>1.7682486485896531</v>
      </c>
      <c r="C33" s="19">
        <v>1.3058059680219016</v>
      </c>
      <c r="D33" s="19">
        <v>1.4532683004387428</v>
      </c>
      <c r="E33" s="19">
        <v>1.6628513949115047</v>
      </c>
      <c r="F33" s="19">
        <v>3.4855808942043343</v>
      </c>
      <c r="G33" s="22">
        <v>2.8724635024708589</v>
      </c>
    </row>
    <row r="34" spans="1:7" ht="14.25" customHeight="1" x14ac:dyDescent="0.2">
      <c r="A34" s="31" t="s">
        <v>44</v>
      </c>
      <c r="B34" s="19">
        <v>6.2643787469860088</v>
      </c>
      <c r="C34" s="19">
        <v>5.472196732332705</v>
      </c>
      <c r="D34" s="19">
        <v>4.2226123705180276</v>
      </c>
      <c r="E34" s="19">
        <v>3.2095524932068882</v>
      </c>
      <c r="F34" s="19">
        <v>2.7670671101357405</v>
      </c>
      <c r="G34" s="22">
        <v>2.3334742916349893</v>
      </c>
    </row>
    <row r="35" spans="1:7" ht="13.5" customHeight="1" x14ac:dyDescent="0.2">
      <c r="A35" s="46" t="s">
        <v>47</v>
      </c>
      <c r="B35" s="19">
        <v>0.19201216082852104</v>
      </c>
      <c r="C35" s="19">
        <v>1.1786807083485533</v>
      </c>
      <c r="D35" s="19">
        <v>1.6413879325977745</v>
      </c>
      <c r="E35" s="19">
        <v>1.5761041973789758</v>
      </c>
      <c r="F35" s="19">
        <v>1.5460706122273797</v>
      </c>
      <c r="G35" s="22">
        <v>2.1471247831526661</v>
      </c>
    </row>
    <row r="36" spans="1:7" ht="15" customHeight="1" x14ac:dyDescent="0.2">
      <c r="A36" s="31" t="s">
        <v>48</v>
      </c>
      <c r="B36" s="19">
        <v>2.3514741341697598</v>
      </c>
      <c r="C36" s="19">
        <v>3.3533387017497267</v>
      </c>
      <c r="D36" s="19">
        <v>2.1634115530531393</v>
      </c>
      <c r="E36" s="19">
        <v>1.5699593539802703</v>
      </c>
      <c r="F36" s="19">
        <v>1.9814306583429524</v>
      </c>
      <c r="G36" s="22">
        <v>1.6210906985711291</v>
      </c>
    </row>
    <row r="37" spans="1:7" ht="14.25" customHeight="1" x14ac:dyDescent="0.2">
      <c r="A37" s="46" t="s">
        <v>45</v>
      </c>
      <c r="B37" s="19">
        <v>0.2326669974408887</v>
      </c>
      <c r="C37" s="19">
        <v>0.23880132979700436</v>
      </c>
      <c r="D37" s="19">
        <v>0.28928785698881271</v>
      </c>
      <c r="E37" s="19">
        <v>0.24037555229038912</v>
      </c>
      <c r="F37" s="19">
        <v>0.68089011312251224</v>
      </c>
      <c r="G37" s="22">
        <v>1.5527653352137436</v>
      </c>
    </row>
    <row r="38" spans="1:7" ht="14.25" customHeight="1" x14ac:dyDescent="0.2">
      <c r="A38" s="31" t="s">
        <v>46</v>
      </c>
      <c r="B38" s="19">
        <v>0.89472369947939545</v>
      </c>
      <c r="C38" s="19">
        <v>1.5053634340668838</v>
      </c>
      <c r="D38" s="19">
        <v>3.0149063021129874</v>
      </c>
      <c r="E38" s="19">
        <v>3.0175231375948708</v>
      </c>
      <c r="F38" s="19">
        <v>3.9554708662720697</v>
      </c>
      <c r="G38" s="22">
        <v>1.4142478902345337</v>
      </c>
    </row>
    <row r="39" spans="1:7" ht="15" customHeight="1" x14ac:dyDescent="0.2">
      <c r="A39" s="46" t="s">
        <v>49</v>
      </c>
      <c r="B39" s="19">
        <v>1.1547729764472978</v>
      </c>
      <c r="C39" s="19">
        <v>1.1959080857181046</v>
      </c>
      <c r="D39" s="19">
        <v>1.5402911090041982</v>
      </c>
      <c r="E39" s="19">
        <v>1.452514494382386</v>
      </c>
      <c r="F39" s="19">
        <v>1.4317137081391669</v>
      </c>
      <c r="G39" s="22">
        <v>1.3853230560778877</v>
      </c>
    </row>
    <row r="40" spans="1:7" ht="17.100000000000001" customHeight="1" x14ac:dyDescent="0.2">
      <c r="A40" s="47" t="s">
        <v>50</v>
      </c>
      <c r="B40" s="20">
        <v>3.0208110113531332</v>
      </c>
      <c r="C40" s="20">
        <v>2.0855214961783419</v>
      </c>
      <c r="D40" s="20">
        <v>2.0418642421077893</v>
      </c>
      <c r="E40" s="20">
        <v>1.5057669439503893</v>
      </c>
      <c r="F40" s="20">
        <v>1.8247183820798041</v>
      </c>
      <c r="G40" s="23">
        <v>1.3589270908118609</v>
      </c>
    </row>
    <row r="41" spans="1:7" ht="17.100000000000001" customHeight="1" x14ac:dyDescent="0.2">
      <c r="B41" s="11"/>
      <c r="C41" s="12"/>
      <c r="D41" s="12"/>
      <c r="G41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K18" sqref="K18"/>
    </sheetView>
  </sheetViews>
  <sheetFormatPr defaultRowHeight="12" x14ac:dyDescent="0.2"/>
  <cols>
    <col min="1" max="1" width="32" style="3" customWidth="1"/>
    <col min="2" max="16384" width="9.140625" style="3"/>
  </cols>
  <sheetData>
    <row r="2" spans="1:8" x14ac:dyDescent="0.2">
      <c r="A2" s="103" t="s">
        <v>92</v>
      </c>
      <c r="B2" s="103"/>
      <c r="C2" s="103"/>
      <c r="D2" s="103"/>
      <c r="E2" s="103"/>
      <c r="F2" s="103"/>
      <c r="G2" s="103"/>
      <c r="H2" s="103"/>
    </row>
    <row r="23" spans="1:2" x14ac:dyDescent="0.2">
      <c r="A23" s="92" t="s">
        <v>87</v>
      </c>
      <c r="B23" s="83" t="s">
        <v>52</v>
      </c>
    </row>
    <row r="24" spans="1:2" x14ac:dyDescent="0.2">
      <c r="A24" s="82" t="s">
        <v>53</v>
      </c>
      <c r="B24" s="86">
        <v>29.1</v>
      </c>
    </row>
    <row r="25" spans="1:2" x14ac:dyDescent="0.2">
      <c r="A25" s="74" t="s">
        <v>54</v>
      </c>
      <c r="B25" s="86">
        <v>6.9</v>
      </c>
    </row>
    <row r="26" spans="1:2" x14ac:dyDescent="0.2">
      <c r="A26" s="74" t="s">
        <v>55</v>
      </c>
      <c r="B26" s="86">
        <v>9.6</v>
      </c>
    </row>
    <row r="27" spans="1:2" x14ac:dyDescent="0.2">
      <c r="A27" s="74" t="s">
        <v>56</v>
      </c>
      <c r="B27" s="86">
        <v>0.3</v>
      </c>
    </row>
    <row r="28" spans="1:2" x14ac:dyDescent="0.2">
      <c r="A28" s="74" t="s">
        <v>57</v>
      </c>
      <c r="B28" s="86">
        <v>4.5</v>
      </c>
    </row>
    <row r="29" spans="1:2" x14ac:dyDescent="0.2">
      <c r="A29" s="74" t="s">
        <v>58</v>
      </c>
      <c r="B29" s="86">
        <v>3.2</v>
      </c>
    </row>
    <row r="30" spans="1:2" x14ac:dyDescent="0.2">
      <c r="A30" s="74" t="s">
        <v>59</v>
      </c>
      <c r="B30" s="86">
        <v>6.2</v>
      </c>
    </row>
    <row r="31" spans="1:2" x14ac:dyDescent="0.2">
      <c r="A31" s="74" t="s">
        <v>60</v>
      </c>
      <c r="B31" s="86">
        <v>21</v>
      </c>
    </row>
    <row r="32" spans="1:2" x14ac:dyDescent="0.2">
      <c r="A32" s="75" t="s">
        <v>61</v>
      </c>
      <c r="B32" s="87">
        <v>19.2</v>
      </c>
    </row>
    <row r="33" spans="1:2" x14ac:dyDescent="0.2">
      <c r="B33" s="85"/>
    </row>
    <row r="34" spans="1:2" x14ac:dyDescent="0.2">
      <c r="A34" s="92" t="s">
        <v>88</v>
      </c>
      <c r="B34" s="79" t="s">
        <v>52</v>
      </c>
    </row>
    <row r="35" spans="1:2" x14ac:dyDescent="0.2">
      <c r="A35" s="82" t="s">
        <v>53</v>
      </c>
      <c r="B35" s="86">
        <v>17</v>
      </c>
    </row>
    <row r="36" spans="1:2" x14ac:dyDescent="0.2">
      <c r="A36" s="74" t="s">
        <v>54</v>
      </c>
      <c r="B36" s="86">
        <v>6.9</v>
      </c>
    </row>
    <row r="37" spans="1:2" x14ac:dyDescent="0.2">
      <c r="A37" s="74" t="s">
        <v>55</v>
      </c>
      <c r="B37" s="86">
        <v>11</v>
      </c>
    </row>
    <row r="38" spans="1:2" x14ac:dyDescent="0.2">
      <c r="A38" s="74" t="s">
        <v>56</v>
      </c>
      <c r="B38" s="86">
        <v>1.7</v>
      </c>
    </row>
    <row r="39" spans="1:2" x14ac:dyDescent="0.2">
      <c r="A39" s="74" t="s">
        <v>57</v>
      </c>
      <c r="B39" s="86">
        <v>3.5</v>
      </c>
    </row>
    <row r="40" spans="1:2" x14ac:dyDescent="0.2">
      <c r="A40" s="74" t="s">
        <v>58</v>
      </c>
      <c r="B40" s="86">
        <v>4.9000000000000004</v>
      </c>
    </row>
    <row r="41" spans="1:2" x14ac:dyDescent="0.2">
      <c r="A41" s="74" t="s">
        <v>59</v>
      </c>
      <c r="B41" s="86">
        <v>7</v>
      </c>
    </row>
    <row r="42" spans="1:2" x14ac:dyDescent="0.2">
      <c r="A42" s="74" t="s">
        <v>60</v>
      </c>
      <c r="B42" s="86">
        <v>28.3</v>
      </c>
    </row>
    <row r="43" spans="1:2" x14ac:dyDescent="0.2">
      <c r="A43" s="75" t="s">
        <v>61</v>
      </c>
      <c r="B43" s="87">
        <v>19.7</v>
      </c>
    </row>
  </sheetData>
  <mergeCells count="1">
    <mergeCell ref="A2: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P14" sqref="P14"/>
    </sheetView>
  </sheetViews>
  <sheetFormatPr defaultRowHeight="12" x14ac:dyDescent="0.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0" x14ac:dyDescent="0.2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76" t="s">
        <v>0</v>
      </c>
      <c r="B22" s="62" t="s">
        <v>1</v>
      </c>
      <c r="C22" s="63" t="s">
        <v>2</v>
      </c>
      <c r="D22" s="63" t="s">
        <v>3</v>
      </c>
      <c r="E22" s="63" t="s">
        <v>4</v>
      </c>
      <c r="F22" s="63" t="s">
        <v>5</v>
      </c>
      <c r="G22" s="63" t="s">
        <v>6</v>
      </c>
      <c r="H22" s="63" t="s">
        <v>7</v>
      </c>
      <c r="I22" s="63" t="s">
        <v>8</v>
      </c>
      <c r="J22" s="63" t="s">
        <v>9</v>
      </c>
      <c r="K22" s="63" t="s">
        <v>10</v>
      </c>
      <c r="L22" s="63" t="s">
        <v>11</v>
      </c>
      <c r="M22" s="64" t="s">
        <v>12</v>
      </c>
    </row>
    <row r="23" spans="1:13" x14ac:dyDescent="0.2">
      <c r="A23" s="77">
        <v>2016</v>
      </c>
      <c r="B23" s="3">
        <v>207.3</v>
      </c>
      <c r="C23" s="69">
        <v>287</v>
      </c>
      <c r="D23" s="3">
        <v>366.8</v>
      </c>
      <c r="E23" s="3">
        <v>354.9</v>
      </c>
      <c r="F23" s="3">
        <v>327.7</v>
      </c>
      <c r="G23" s="3">
        <v>324.60000000000002</v>
      </c>
      <c r="H23" s="3">
        <v>314.10000000000002</v>
      </c>
      <c r="I23" s="3">
        <v>351.1</v>
      </c>
      <c r="J23" s="3">
        <v>361.6</v>
      </c>
      <c r="K23" s="3">
        <v>380.2</v>
      </c>
      <c r="L23" s="3">
        <v>353.5</v>
      </c>
      <c r="M23" s="3">
        <v>391.4</v>
      </c>
    </row>
    <row r="24" spans="1:13" x14ac:dyDescent="0.2">
      <c r="A24" s="77">
        <v>2017</v>
      </c>
      <c r="B24" s="3">
        <v>266.8</v>
      </c>
      <c r="C24" s="3">
        <v>332.7</v>
      </c>
      <c r="D24" s="3">
        <v>431.2</v>
      </c>
      <c r="E24" s="3">
        <v>361.5</v>
      </c>
      <c r="F24" s="3">
        <v>400.4</v>
      </c>
      <c r="G24" s="3">
        <v>388.8</v>
      </c>
      <c r="H24" s="3">
        <v>396.9</v>
      </c>
      <c r="I24" s="3">
        <v>429.7</v>
      </c>
      <c r="J24" s="3">
        <v>430.8</v>
      </c>
      <c r="K24" s="3">
        <v>465.9</v>
      </c>
      <c r="L24" s="3">
        <v>455.3</v>
      </c>
      <c r="M24" s="3">
        <v>471.4</v>
      </c>
    </row>
    <row r="25" spans="1:13" x14ac:dyDescent="0.2">
      <c r="A25" s="77">
        <v>2018</v>
      </c>
      <c r="B25" s="3">
        <v>374.3</v>
      </c>
      <c r="C25" s="3">
        <v>427.6</v>
      </c>
      <c r="D25" s="3">
        <v>524.1</v>
      </c>
      <c r="E25" s="3">
        <v>444.6</v>
      </c>
      <c r="F25" s="3">
        <v>505.6</v>
      </c>
      <c r="G25" s="3">
        <v>458.7</v>
      </c>
      <c r="H25" s="69">
        <v>488</v>
      </c>
      <c r="I25" s="3">
        <v>480.7</v>
      </c>
      <c r="J25" s="69">
        <v>474</v>
      </c>
      <c r="K25" s="3">
        <v>540.6</v>
      </c>
      <c r="L25" s="3">
        <v>522.6</v>
      </c>
      <c r="M25" s="3">
        <v>519.29999999999995</v>
      </c>
    </row>
    <row r="26" spans="1:13" x14ac:dyDescent="0.2">
      <c r="A26" s="77">
        <v>2019</v>
      </c>
      <c r="B26" s="3">
        <v>372.6</v>
      </c>
      <c r="C26" s="3">
        <v>459.3</v>
      </c>
      <c r="D26" s="3">
        <v>533.79999999999995</v>
      </c>
      <c r="E26" s="3">
        <v>515.6</v>
      </c>
      <c r="F26" s="3">
        <v>481.6</v>
      </c>
      <c r="G26" s="3">
        <v>445.4</v>
      </c>
      <c r="H26" s="3">
        <v>499.1</v>
      </c>
      <c r="I26" s="3">
        <v>464.3</v>
      </c>
      <c r="J26" s="3">
        <v>501.7</v>
      </c>
      <c r="K26" s="3">
        <v>525.29999999999995</v>
      </c>
      <c r="L26" s="3">
        <v>504.1</v>
      </c>
      <c r="M26" s="3">
        <v>539.70000000000005</v>
      </c>
    </row>
    <row r="27" spans="1:13" x14ac:dyDescent="0.2">
      <c r="A27" s="77">
        <v>2020</v>
      </c>
      <c r="B27" s="3">
        <v>379.8</v>
      </c>
      <c r="C27" s="3">
        <v>484.8</v>
      </c>
      <c r="D27" s="3">
        <v>500.5</v>
      </c>
      <c r="E27" s="3">
        <v>285.60000000000002</v>
      </c>
      <c r="F27" s="3">
        <v>329.4</v>
      </c>
      <c r="G27" s="3">
        <v>413.5</v>
      </c>
      <c r="H27" s="3">
        <v>496.6</v>
      </c>
      <c r="I27" s="3">
        <v>433.6</v>
      </c>
      <c r="J27" s="3">
        <v>508.3</v>
      </c>
      <c r="K27" s="3">
        <v>493.6</v>
      </c>
      <c r="L27" s="3">
        <v>522.9</v>
      </c>
      <c r="M27" s="3">
        <v>567.29999999999995</v>
      </c>
    </row>
    <row r="28" spans="1:13" x14ac:dyDescent="0.2">
      <c r="A28" s="61">
        <v>2021</v>
      </c>
      <c r="B28" s="68">
        <v>399.4</v>
      </c>
      <c r="C28" s="68">
        <v>521.5</v>
      </c>
      <c r="D28" s="68">
        <v>630.20000000000005</v>
      </c>
      <c r="E28" s="68"/>
      <c r="F28" s="68"/>
      <c r="G28" s="68"/>
      <c r="H28" s="68"/>
      <c r="I28" s="68"/>
      <c r="J28" s="68"/>
      <c r="K28" s="68"/>
      <c r="L28" s="68"/>
      <c r="M28" s="68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"/>
  <sheetViews>
    <sheetView workbookViewId="0">
      <selection activeCell="Q14" sqref="Q14"/>
    </sheetView>
  </sheetViews>
  <sheetFormatPr defaultRowHeight="12" x14ac:dyDescent="0.2"/>
  <cols>
    <col min="1" max="1" width="17.570312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5703125" style="3" bestFit="1" customWidth="1"/>
    <col min="13" max="13" width="8.42578125" style="3" bestFit="1" customWidth="1"/>
    <col min="14" max="14" width="6.140625" style="3" bestFit="1" customWidth="1"/>
    <col min="15" max="15" width="6.85546875" style="3" bestFit="1" customWidth="1"/>
    <col min="16" max="16" width="7.7109375" style="3" bestFit="1" customWidth="1"/>
    <col min="17" max="17" width="7.5703125" style="3" bestFit="1" customWidth="1"/>
    <col min="18" max="18" width="7.28515625" style="3" customWidth="1"/>
    <col min="19" max="21" width="9.28515625" style="3" bestFit="1" customWidth="1"/>
    <col min="22" max="22" width="8.5703125" style="3" customWidth="1"/>
    <col min="23" max="23" width="9.28515625" style="3" bestFit="1" customWidth="1"/>
    <col min="24" max="24" width="9.28515625" style="3" customWidth="1"/>
    <col min="25" max="26" width="9.28515625" style="3" bestFit="1" customWidth="1"/>
    <col min="27" max="27" width="9.28515625" style="3" customWidth="1"/>
    <col min="28" max="28" width="9.28515625" style="3" bestFit="1" customWidth="1"/>
    <col min="29" max="16384" width="9.140625" style="3"/>
  </cols>
  <sheetData>
    <row r="2" spans="1:12" x14ac:dyDescent="0.2">
      <c r="A2" s="96" t="s">
        <v>78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28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28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28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28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8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28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28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28" x14ac:dyDescent="0.2">
      <c r="A24" s="104"/>
      <c r="B24" s="99">
        <v>2019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>
        <v>2020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>
        <v>2021</v>
      </c>
      <c r="AA24" s="99"/>
      <c r="AB24" s="100"/>
    </row>
    <row r="25" spans="1:28" x14ac:dyDescent="0.2">
      <c r="A25" s="105"/>
      <c r="B25" s="51" t="s">
        <v>13</v>
      </c>
      <c r="C25" s="51" t="s">
        <v>14</v>
      </c>
      <c r="D25" s="51" t="s">
        <v>15</v>
      </c>
      <c r="E25" s="51" t="s">
        <v>16</v>
      </c>
      <c r="F25" s="51" t="s">
        <v>17</v>
      </c>
      <c r="G25" s="51" t="s">
        <v>18</v>
      </c>
      <c r="H25" s="51" t="s">
        <v>19</v>
      </c>
      <c r="I25" s="51" t="s">
        <v>20</v>
      </c>
      <c r="J25" s="51" t="s">
        <v>21</v>
      </c>
      <c r="K25" s="51" t="s">
        <v>22</v>
      </c>
      <c r="L25" s="51" t="s">
        <v>23</v>
      </c>
      <c r="M25" s="51" t="s">
        <v>24</v>
      </c>
      <c r="N25" s="51" t="s">
        <v>13</v>
      </c>
      <c r="O25" s="51" t="s">
        <v>14</v>
      </c>
      <c r="P25" s="51" t="s">
        <v>15</v>
      </c>
      <c r="Q25" s="51" t="s">
        <v>16</v>
      </c>
      <c r="R25" s="51" t="s">
        <v>17</v>
      </c>
      <c r="S25" s="51" t="s">
        <v>25</v>
      </c>
      <c r="T25" s="51" t="s">
        <v>19</v>
      </c>
      <c r="U25" s="51" t="s">
        <v>26</v>
      </c>
      <c r="V25" s="51" t="s">
        <v>21</v>
      </c>
      <c r="W25" s="51" t="s">
        <v>27</v>
      </c>
      <c r="X25" s="51" t="s">
        <v>23</v>
      </c>
      <c r="Y25" s="51" t="s">
        <v>24</v>
      </c>
      <c r="Z25" s="51" t="s">
        <v>13</v>
      </c>
      <c r="AA25" s="51" t="s">
        <v>14</v>
      </c>
      <c r="AB25" s="52" t="s">
        <v>15</v>
      </c>
    </row>
    <row r="26" spans="1:28" ht="27.75" customHeight="1" x14ac:dyDescent="0.2">
      <c r="A26" s="36" t="s">
        <v>79</v>
      </c>
      <c r="B26" s="38">
        <v>71.738158213015794</v>
      </c>
      <c r="C26" s="39">
        <v>123.27227087030982</v>
      </c>
      <c r="D26" s="39">
        <v>116.24365644398502</v>
      </c>
      <c r="E26" s="39">
        <v>96.580225893758936</v>
      </c>
      <c r="F26" s="39">
        <v>93.408604141465986</v>
      </c>
      <c r="G26" s="39">
        <v>92.490171422142794</v>
      </c>
      <c r="H26" s="39">
        <v>112.04816621722891</v>
      </c>
      <c r="I26" s="39">
        <v>93.020207912369386</v>
      </c>
      <c r="J26" s="39">
        <v>108.06099409813686</v>
      </c>
      <c r="K26" s="39">
        <v>104.71321760096355</v>
      </c>
      <c r="L26" s="39">
        <v>95.961007942682357</v>
      </c>
      <c r="M26" s="40">
        <v>107.05149255623367</v>
      </c>
      <c r="N26" s="39">
        <v>70.382208343865415</v>
      </c>
      <c r="O26" s="39">
        <v>127.63158194440297</v>
      </c>
      <c r="P26" s="26">
        <v>103.24095247310265</v>
      </c>
      <c r="Q26" s="39">
        <v>57.064146061655876</v>
      </c>
      <c r="R26" s="39">
        <v>115.32045479750228</v>
      </c>
      <c r="S26" s="26">
        <v>125.55839051166471</v>
      </c>
      <c r="T26" s="26">
        <v>120.09478099934977</v>
      </c>
      <c r="U26" s="26">
        <v>87.312042792465732</v>
      </c>
      <c r="V26" s="26">
        <v>117.22959939467061</v>
      </c>
      <c r="W26" s="26">
        <v>97.096953437578748</v>
      </c>
      <c r="X26" s="26">
        <v>105.93754706899317</v>
      </c>
      <c r="Y26" s="21">
        <v>108.49423751970338</v>
      </c>
      <c r="Z26" s="27">
        <v>70.407885353173725</v>
      </c>
      <c r="AA26" s="27">
        <v>130.56132614820868</v>
      </c>
      <c r="AB26" s="27">
        <v>120.84190761120013</v>
      </c>
    </row>
    <row r="27" spans="1:28" ht="42" customHeight="1" x14ac:dyDescent="0.2">
      <c r="A27" s="37" t="s">
        <v>80</v>
      </c>
      <c r="B27" s="42">
        <f>IF(374257.25828="","-",372548.49281/374257.25828*100)</f>
        <v>99.543424894989869</v>
      </c>
      <c r="C27" s="43">
        <f>IF(427600.8878="","-",459248.98718/427600.8878*100)</f>
        <v>107.40131750961253</v>
      </c>
      <c r="D27" s="43">
        <f>IF(524151.65323="","-",533847.81488/524151.65323*100)</f>
        <v>101.84987714724333</v>
      </c>
      <c r="E27" s="43">
        <f>IF(444601.83252="","-",515591.42554/444601.83252*100)</f>
        <v>115.96700414337735</v>
      </c>
      <c r="F27" s="43">
        <f>IF(505594.98812="","-",481606.75367/505594.98812*100)</f>
        <v>95.255444572503052</v>
      </c>
      <c r="G27" s="43">
        <f>IF(458682.35918="","-",445438.91205/458682.35918*100)</f>
        <v>97.112719321999705</v>
      </c>
      <c r="H27" s="43">
        <f>IF(488041.26888="","-",499106.13257/488041.26888*100)</f>
        <v>102.26719836939048</v>
      </c>
      <c r="I27" s="43">
        <f>IF(480650.77296="","-",464269.56222/480650.77296*100)</f>
        <v>96.591868428897087</v>
      </c>
      <c r="J27" s="43">
        <f>IF(473973.76404="","-",501694.30423/473973.76404*100)</f>
        <v>105.84853894732886</v>
      </c>
      <c r="K27" s="43">
        <f>IF(540614.13985="","-",525340.24848/540614.13985*100)</f>
        <v>97.174714783775727</v>
      </c>
      <c r="L27" s="43">
        <f>IF(522571.0681="","-",504121.79757/522571.0681*100)</f>
        <v>96.469519333115954</v>
      </c>
      <c r="M27" s="44">
        <f>IF(519317.05816="","-",539669.9086/519317.05816*100)</f>
        <v>103.91915692353963</v>
      </c>
      <c r="N27" s="20">
        <f>IF(372548.49281="","-",379831.59944/372548.49281*100)</f>
        <v>101.95494191241148</v>
      </c>
      <c r="O27" s="20">
        <f>IF(459248.98718="","-",484785.07909/459248.98718*100)</f>
        <v>105.56040244460927</v>
      </c>
      <c r="P27" s="20">
        <f>IF(533847.81488="","-",500496.7331/533847.81488*100)</f>
        <v>93.752698643620619</v>
      </c>
      <c r="Q27" s="20">
        <f>IF(515591.42554="","-",285604.18681/515591.42554*100)</f>
        <v>55.393509795256001</v>
      </c>
      <c r="R27" s="20">
        <f>IF(481606.75367="","-",329360.04715/481606.75367*100)</f>
        <v>68.38775508029515</v>
      </c>
      <c r="S27" s="20">
        <f>IF(445438.91205="","-",413539.17419/445438.91205*100)</f>
        <v>92.838583025180498</v>
      </c>
      <c r="T27" s="20">
        <f>IF(499106.13257="","-",496638.96559/499106.13257*100)</f>
        <v>99.505682896081424</v>
      </c>
      <c r="U27" s="20">
        <f>IF(464269.56222="","-",433625.62616/464269.56222*100)</f>
        <v>93.399537993946922</v>
      </c>
      <c r="V27" s="20">
        <f>IF(501694.30423="","-",508337.58442/501694.30423*100)</f>
        <v>101.32416894790069</v>
      </c>
      <c r="W27" s="20">
        <f>IF(525340.24848="","-",493580.30765/525340.24848*100)</f>
        <v>93.954405564414117</v>
      </c>
      <c r="X27" s="20">
        <f>IF(504121.79757="","-",522886.87074/504121.79757*100)</f>
        <v>103.7223292586142</v>
      </c>
      <c r="Y27" s="23">
        <f>IF(539669.9086="","-",567302.1235/539669.9086*100)</f>
        <v>105.12020671519058</v>
      </c>
      <c r="Z27" s="20">
        <f>IF(379831.59944="","-",399425.42872/379831.59944*100)</f>
        <v>105.15855692598718</v>
      </c>
      <c r="AA27" s="20">
        <f>IF(484785.07909="","-",521495.13671/484785.07909*100)</f>
        <v>107.57243966520365</v>
      </c>
      <c r="AB27" s="20">
        <f>IF(500496.7331="","-",630184.6713/500496.7331*100)</f>
        <v>125.91184509771578</v>
      </c>
    </row>
    <row r="28" spans="1:28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16"/>
      <c r="Q28" s="16"/>
      <c r="R28" s="16"/>
      <c r="S28" s="16"/>
      <c r="T28" s="16"/>
    </row>
    <row r="29" spans="1:28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6"/>
    </row>
  </sheetData>
  <mergeCells count="5">
    <mergeCell ref="A2:L2"/>
    <mergeCell ref="A24:A25"/>
    <mergeCell ref="B24:M24"/>
    <mergeCell ref="N24:Y24"/>
    <mergeCell ref="Z24:AB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K13" sqref="K13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7" x14ac:dyDescent="0.2">
      <c r="A2" s="106" t="s">
        <v>97</v>
      </c>
      <c r="B2" s="106"/>
      <c r="C2" s="106"/>
      <c r="D2" s="106"/>
      <c r="E2" s="106"/>
      <c r="F2" s="106"/>
      <c r="G2" s="106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/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/>
      <c r="B7" s="4"/>
      <c r="C7" s="4"/>
      <c r="D7" s="4"/>
      <c r="E7" s="4"/>
      <c r="F7" s="4"/>
      <c r="G7" s="4"/>
    </row>
    <row r="8" spans="1:7" x14ac:dyDescent="0.2">
      <c r="A8" s="4"/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x14ac:dyDescent="0.2">
      <c r="A10" s="4"/>
      <c r="B10" s="4"/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x14ac:dyDescent="0.2">
      <c r="A12" s="4"/>
      <c r="B12" s="4"/>
      <c r="C12" s="4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84"/>
      <c r="B22" s="84"/>
      <c r="C22" s="84"/>
      <c r="D22" s="84"/>
      <c r="E22" s="84"/>
      <c r="F22" s="84"/>
      <c r="G22" s="84"/>
    </row>
    <row r="23" spans="1:7" x14ac:dyDescent="0.2">
      <c r="A23" s="84"/>
      <c r="B23" s="84"/>
      <c r="C23" s="84"/>
      <c r="D23" s="84"/>
      <c r="E23" s="84"/>
      <c r="F23" s="84"/>
      <c r="G23" s="84"/>
    </row>
    <row r="24" spans="1:7" x14ac:dyDescent="0.2">
      <c r="A24" s="84"/>
      <c r="B24" s="84"/>
      <c r="C24" s="84"/>
      <c r="D24" s="84"/>
      <c r="E24" s="84"/>
      <c r="F24" s="84"/>
      <c r="G24" s="84"/>
    </row>
    <row r="25" spans="1:7" ht="24" x14ac:dyDescent="0.2">
      <c r="A25" s="91" t="s">
        <v>28</v>
      </c>
      <c r="B25" s="18" t="s">
        <v>88</v>
      </c>
      <c r="C25" s="18" t="s">
        <v>87</v>
      </c>
      <c r="D25" s="18" t="s">
        <v>86</v>
      </c>
      <c r="E25" s="18" t="s">
        <v>85</v>
      </c>
      <c r="F25" s="18" t="s">
        <v>84</v>
      </c>
      <c r="G25" s="72" t="s">
        <v>83</v>
      </c>
    </row>
    <row r="26" spans="1:7" x14ac:dyDescent="0.2">
      <c r="A26" s="65" t="s">
        <v>29</v>
      </c>
      <c r="B26" s="69">
        <v>2.0738961998359571</v>
      </c>
      <c r="C26" s="69">
        <v>1.7511545895264613</v>
      </c>
      <c r="D26" s="69">
        <v>1.6924811777131503</v>
      </c>
      <c r="E26" s="69">
        <v>2.6770091501941669</v>
      </c>
      <c r="F26" s="69">
        <v>2.6051771198365543</v>
      </c>
      <c r="G26" s="69">
        <v>1.2418958483409108</v>
      </c>
    </row>
    <row r="27" spans="1:7" x14ac:dyDescent="0.2">
      <c r="A27" s="66" t="s">
        <v>30</v>
      </c>
      <c r="B27" s="69">
        <v>4.7362421240273243</v>
      </c>
      <c r="C27" s="69">
        <v>4.5114964247888096</v>
      </c>
      <c r="D27" s="69">
        <v>4.0068014663506633</v>
      </c>
      <c r="E27" s="69">
        <v>5.7240329513021573</v>
      </c>
      <c r="F27" s="69">
        <v>6.2767965258035847</v>
      </c>
      <c r="G27" s="69">
        <v>5.8241137819357762</v>
      </c>
    </row>
    <row r="28" spans="1:7" x14ac:dyDescent="0.2">
      <c r="A28" s="66" t="s">
        <v>31</v>
      </c>
      <c r="B28" s="69">
        <v>85.776053347281376</v>
      </c>
      <c r="C28" s="69">
        <v>84.533053587255537</v>
      </c>
      <c r="D28" s="69">
        <v>81.470662345445405</v>
      </c>
      <c r="E28" s="69">
        <v>80.182184401899377</v>
      </c>
      <c r="F28" s="69">
        <v>80.856307980304194</v>
      </c>
      <c r="G28" s="69">
        <v>78.674986846448576</v>
      </c>
    </row>
    <row r="29" spans="1:7" x14ac:dyDescent="0.2">
      <c r="A29" s="66" t="s">
        <v>32</v>
      </c>
      <c r="B29" s="69">
        <v>2.1637656114652244</v>
      </c>
      <c r="C29" s="69">
        <v>2.1680314315175533</v>
      </c>
      <c r="D29" s="69">
        <v>2.5971272389128148</v>
      </c>
      <c r="E29" s="69">
        <v>2.6060634640846425</v>
      </c>
      <c r="F29" s="69">
        <v>2.6312995487312021</v>
      </c>
      <c r="G29" s="69">
        <v>1.6933353683426071</v>
      </c>
    </row>
    <row r="30" spans="1:7" x14ac:dyDescent="0.2">
      <c r="A30" s="66" t="s">
        <v>62</v>
      </c>
      <c r="B30" s="69">
        <v>0.18593816213786873</v>
      </c>
      <c r="C30" s="69">
        <v>0.1698167559010344</v>
      </c>
      <c r="D30" s="69">
        <v>0.16493651817651647</v>
      </c>
      <c r="E30" s="69">
        <v>0.27065161975933338</v>
      </c>
      <c r="F30" s="69">
        <v>0.26692034839824202</v>
      </c>
      <c r="G30" s="69">
        <v>0.8497236275978457</v>
      </c>
    </row>
    <row r="31" spans="1:7" x14ac:dyDescent="0.2">
      <c r="A31" s="66" t="s">
        <v>63</v>
      </c>
      <c r="B31" s="69">
        <v>4.5046396289204544</v>
      </c>
      <c r="C31" s="69">
        <v>6.384747861785975</v>
      </c>
      <c r="D31" s="69">
        <v>9.3233919875307318</v>
      </c>
      <c r="E31" s="69">
        <v>7.9342853570725165</v>
      </c>
      <c r="F31" s="69">
        <v>6.784714142043125</v>
      </c>
      <c r="G31" s="69">
        <v>11.237205910157396</v>
      </c>
    </row>
    <row r="32" spans="1:7" x14ac:dyDescent="0.2">
      <c r="A32" s="67" t="s">
        <v>64</v>
      </c>
      <c r="B32" s="71">
        <v>0.55946492633178802</v>
      </c>
      <c r="C32" s="71">
        <v>0.48169934922464064</v>
      </c>
      <c r="D32" s="71">
        <v>0.74459926587071623</v>
      </c>
      <c r="E32" s="71">
        <v>0.60577305568781126</v>
      </c>
      <c r="F32" s="71">
        <v>0.57878433488310166</v>
      </c>
      <c r="G32" s="71">
        <v>0.47873861717689309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2021-05-16T11:30:01Z</dcterms:modified>
</cp:coreProperties>
</file>