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9_2021_REV\"/>
    </mc:Choice>
  </mc:AlternateContent>
  <bookViews>
    <workbookView xWindow="0" yWindow="0" windowWidth="20730" windowHeight="11760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  <sheet name="Лист1" sheetId="9" r:id="rId9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 iterate="1"/>
</workbook>
</file>

<file path=xl/calcChain.xml><?xml version="1.0" encoding="utf-8"?>
<calcChain xmlns="http://schemas.openxmlformats.org/spreadsheetml/2006/main">
  <c r="E60" i="4" l="1"/>
  <c r="E51" i="4"/>
  <c r="E6" i="4" l="1"/>
  <c r="H59" i="5"/>
  <c r="G59" i="5"/>
  <c r="F59" i="5"/>
  <c r="E59" i="5"/>
  <c r="H50" i="5"/>
  <c r="G50" i="5"/>
  <c r="F50" i="5"/>
  <c r="E50" i="5"/>
  <c r="D50" i="5"/>
  <c r="D7" i="5"/>
  <c r="E36" i="7" l="1"/>
  <c r="D36" i="7"/>
  <c r="E32" i="7"/>
  <c r="D32" i="7"/>
  <c r="E10" i="7"/>
  <c r="D10" i="7"/>
  <c r="C126" i="3" l="1"/>
  <c r="D47" i="3"/>
  <c r="C47" i="3"/>
  <c r="C34" i="3"/>
  <c r="D18" i="3"/>
  <c r="C18" i="3"/>
  <c r="D5" i="3"/>
  <c r="G95" i="1" l="1"/>
  <c r="F95" i="1"/>
  <c r="E95" i="1"/>
  <c r="D95" i="1"/>
  <c r="B95" i="1"/>
  <c r="G47" i="1"/>
  <c r="F47" i="1"/>
  <c r="E47" i="1"/>
  <c r="D47" i="1"/>
  <c r="G14" i="1"/>
  <c r="F14" i="1"/>
  <c r="E14" i="1"/>
  <c r="D14" i="1"/>
  <c r="C14" i="1"/>
  <c r="G6" i="1"/>
  <c r="F6" i="1"/>
  <c r="C6" i="1"/>
  <c r="E80" i="4" l="1"/>
  <c r="C80" i="4"/>
  <c r="E79" i="4"/>
  <c r="C79" i="4"/>
  <c r="C78" i="4"/>
  <c r="C77" i="4"/>
  <c r="C76" i="4"/>
  <c r="E75" i="4"/>
  <c r="C75" i="4"/>
  <c r="E74" i="4"/>
  <c r="C74" i="4"/>
  <c r="E73" i="4"/>
  <c r="C73" i="4"/>
  <c r="E72" i="4"/>
  <c r="C72" i="4"/>
  <c r="C71" i="4"/>
  <c r="E70" i="4"/>
  <c r="C70" i="4"/>
  <c r="C69" i="4"/>
  <c r="E68" i="4"/>
  <c r="C68" i="4"/>
  <c r="E67" i="4"/>
  <c r="C67" i="4"/>
  <c r="C66" i="4"/>
  <c r="E65" i="4"/>
  <c r="C65" i="4"/>
  <c r="E64" i="4"/>
  <c r="C64" i="4"/>
  <c r="C63" i="4"/>
  <c r="E62" i="4"/>
  <c r="C62" i="4"/>
  <c r="E61" i="4"/>
  <c r="C61" i="4"/>
  <c r="C60" i="4"/>
  <c r="E59" i="4"/>
  <c r="C59" i="4"/>
  <c r="E58" i="4"/>
  <c r="C58" i="4"/>
  <c r="E57" i="4"/>
  <c r="C57" i="4"/>
  <c r="E56" i="4"/>
  <c r="C56" i="4"/>
  <c r="E55" i="4"/>
  <c r="C55" i="4"/>
  <c r="E54" i="4"/>
  <c r="C54" i="4"/>
  <c r="E53" i="4"/>
  <c r="C53" i="4"/>
  <c r="E52" i="4"/>
  <c r="C52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2" i="4"/>
  <c r="C42" i="4"/>
  <c r="E41" i="4"/>
  <c r="C41" i="4"/>
  <c r="E40" i="4"/>
  <c r="C40" i="4"/>
  <c r="E39" i="4"/>
  <c r="C39" i="4"/>
  <c r="E38" i="4"/>
  <c r="C38" i="4"/>
  <c r="E37" i="4"/>
  <c r="C37" i="4"/>
  <c r="E36" i="4"/>
  <c r="C36" i="4"/>
  <c r="E35" i="4"/>
  <c r="C35" i="4"/>
  <c r="C34" i="4"/>
  <c r="E33" i="4"/>
  <c r="C33" i="4"/>
  <c r="C32" i="4"/>
  <c r="E31" i="4"/>
  <c r="C31" i="4"/>
  <c r="C30" i="4"/>
  <c r="E29" i="4"/>
  <c r="C29" i="4"/>
  <c r="E28" i="4"/>
  <c r="C28" i="4"/>
  <c r="C27" i="4"/>
  <c r="E26" i="4"/>
  <c r="C26" i="4"/>
  <c r="C25" i="4"/>
  <c r="E24" i="4"/>
  <c r="C24" i="4"/>
  <c r="E23" i="4"/>
  <c r="C23" i="4"/>
  <c r="E22" i="4"/>
  <c r="C22" i="4"/>
  <c r="E21" i="4"/>
  <c r="C21" i="4"/>
  <c r="E20" i="4"/>
  <c r="C20" i="4"/>
  <c r="E19" i="4"/>
  <c r="C19" i="4"/>
  <c r="E18" i="4"/>
  <c r="C18" i="4"/>
  <c r="C17" i="4"/>
  <c r="E16" i="4"/>
  <c r="C16" i="4"/>
  <c r="E15" i="4"/>
  <c r="C15" i="4"/>
  <c r="E14" i="4"/>
  <c r="C14" i="4"/>
  <c r="C13" i="4"/>
  <c r="E12" i="4"/>
  <c r="C12" i="4"/>
  <c r="E11" i="4"/>
  <c r="C11" i="4"/>
  <c r="C10" i="4"/>
  <c r="E9" i="4"/>
  <c r="C9" i="4"/>
  <c r="E8" i="4"/>
  <c r="C8" i="4"/>
  <c r="D151" i="3" l="1"/>
  <c r="C151" i="3"/>
  <c r="C150" i="3"/>
  <c r="B150" i="3"/>
  <c r="D149" i="3"/>
  <c r="C149" i="3"/>
  <c r="B149" i="3"/>
  <c r="C148" i="3"/>
  <c r="B148" i="3"/>
  <c r="D147" i="3"/>
  <c r="C147" i="3"/>
  <c r="B147" i="3"/>
  <c r="D146" i="3"/>
  <c r="C146" i="3"/>
  <c r="B146" i="3"/>
  <c r="C145" i="3"/>
  <c r="C144" i="3"/>
  <c r="B144" i="3"/>
  <c r="C143" i="3"/>
  <c r="B143" i="3"/>
  <c r="C142" i="3"/>
  <c r="C141" i="3"/>
  <c r="B141" i="3"/>
  <c r="C140" i="3"/>
  <c r="C139" i="3"/>
  <c r="C138" i="3"/>
  <c r="B138" i="3"/>
  <c r="C137" i="3"/>
  <c r="B137" i="3"/>
  <c r="D136" i="3"/>
  <c r="C136" i="3"/>
  <c r="D135" i="3"/>
  <c r="C135" i="3"/>
  <c r="B135" i="3"/>
  <c r="C134" i="3"/>
  <c r="B134" i="3"/>
  <c r="C133" i="3"/>
  <c r="D132" i="3"/>
  <c r="C132" i="3"/>
  <c r="C131" i="3"/>
  <c r="B131" i="3"/>
  <c r="C130" i="3"/>
  <c r="B126" i="3"/>
  <c r="C129" i="3"/>
  <c r="C128" i="3"/>
  <c r="C127" i="3"/>
  <c r="D125" i="3"/>
  <c r="C125" i="3"/>
  <c r="C124" i="3"/>
  <c r="B124" i="3"/>
  <c r="D123" i="3"/>
  <c r="C123" i="3"/>
  <c r="D122" i="3"/>
  <c r="C122" i="3"/>
  <c r="D121" i="3"/>
  <c r="C121" i="3"/>
  <c r="B121" i="3"/>
  <c r="C120" i="3"/>
  <c r="B120" i="3"/>
  <c r="C119" i="3"/>
  <c r="D118" i="3"/>
  <c r="C118" i="3"/>
  <c r="C117" i="3"/>
  <c r="C116" i="3"/>
  <c r="C115" i="3"/>
  <c r="C114" i="3"/>
  <c r="B114" i="3"/>
  <c r="D113" i="3"/>
  <c r="C113" i="3"/>
  <c r="C112" i="3"/>
  <c r="B112" i="3"/>
  <c r="D111" i="3"/>
  <c r="C111" i="3"/>
  <c r="B111" i="3"/>
  <c r="C110" i="3"/>
  <c r="B110" i="3"/>
  <c r="D109" i="3"/>
  <c r="C109" i="3"/>
  <c r="B109" i="3"/>
  <c r="D108" i="3"/>
  <c r="C108" i="3"/>
  <c r="B108" i="3"/>
  <c r="C107" i="3"/>
  <c r="B107" i="3"/>
  <c r="C106" i="3"/>
  <c r="D105" i="3"/>
  <c r="C105" i="3"/>
  <c r="D104" i="3"/>
  <c r="C104" i="3"/>
  <c r="C103" i="3"/>
  <c r="D102" i="3"/>
  <c r="C102" i="3"/>
  <c r="B102" i="3"/>
  <c r="C101" i="3"/>
  <c r="B101" i="3"/>
  <c r="D100" i="3"/>
  <c r="C100" i="3"/>
  <c r="B100" i="3"/>
  <c r="D99" i="3"/>
  <c r="C99" i="3"/>
  <c r="B99" i="3"/>
  <c r="D98" i="3"/>
  <c r="C98" i="3"/>
  <c r="D97" i="3"/>
  <c r="C97" i="3"/>
  <c r="C96" i="3"/>
  <c r="B96" i="3"/>
  <c r="C95" i="3"/>
  <c r="B95" i="3"/>
  <c r="C94" i="3"/>
  <c r="B94" i="3"/>
  <c r="C93" i="3"/>
  <c r="B93" i="3"/>
  <c r="D92" i="3"/>
  <c r="C92" i="3"/>
  <c r="B92" i="3"/>
  <c r="C91" i="3"/>
  <c r="B91" i="3"/>
  <c r="C90" i="3"/>
  <c r="C89" i="3"/>
  <c r="B89" i="3"/>
  <c r="D88" i="3"/>
  <c r="C88" i="3"/>
  <c r="B88" i="3"/>
  <c r="C87" i="3"/>
  <c r="D86" i="3"/>
  <c r="C86" i="3"/>
  <c r="C85" i="3"/>
  <c r="D84" i="3"/>
  <c r="C84" i="3"/>
  <c r="B84" i="3"/>
  <c r="C83" i="3"/>
  <c r="B83" i="3"/>
  <c r="D82" i="3"/>
  <c r="C82" i="3"/>
  <c r="B82" i="3"/>
  <c r="C81" i="3"/>
  <c r="B81" i="3"/>
  <c r="C80" i="3"/>
  <c r="B80" i="3"/>
  <c r="D79" i="3"/>
  <c r="C79" i="3"/>
  <c r="B79" i="3"/>
  <c r="D78" i="3"/>
  <c r="C78" i="3"/>
  <c r="D77" i="3"/>
  <c r="C77" i="3"/>
  <c r="D76" i="3"/>
  <c r="C76" i="3"/>
  <c r="B76" i="3"/>
  <c r="D75" i="3"/>
  <c r="C75" i="3"/>
  <c r="B75" i="3"/>
  <c r="C74" i="3"/>
  <c r="B74" i="3"/>
  <c r="D73" i="3"/>
  <c r="C73" i="3"/>
  <c r="C72" i="3"/>
  <c r="B72" i="3"/>
  <c r="D71" i="3"/>
  <c r="C71" i="3"/>
  <c r="C70" i="3"/>
  <c r="B70" i="3"/>
  <c r="C69" i="3"/>
  <c r="B69" i="3"/>
  <c r="C68" i="3"/>
  <c r="B68" i="3"/>
  <c r="D67" i="3"/>
  <c r="C67" i="3"/>
  <c r="C66" i="3"/>
  <c r="D65" i="3"/>
  <c r="C65" i="3"/>
  <c r="D64" i="3"/>
  <c r="C64" i="3"/>
  <c r="B64" i="3"/>
  <c r="D63" i="3"/>
  <c r="C63" i="3"/>
  <c r="D62" i="3"/>
  <c r="C62" i="3"/>
  <c r="B62" i="3"/>
  <c r="D61" i="3"/>
  <c r="C61" i="3"/>
  <c r="B61" i="3"/>
  <c r="C60" i="3"/>
  <c r="C59" i="3"/>
  <c r="D58" i="3"/>
  <c r="C58" i="3"/>
  <c r="C57" i="3"/>
  <c r="B57" i="3"/>
  <c r="D56" i="3"/>
  <c r="C56" i="3"/>
  <c r="B56" i="3"/>
  <c r="D55" i="3"/>
  <c r="C55" i="3"/>
  <c r="D54" i="3"/>
  <c r="C54" i="3"/>
  <c r="B54" i="3"/>
  <c r="D53" i="3"/>
  <c r="C53" i="3"/>
  <c r="D52" i="3"/>
  <c r="C52" i="3"/>
  <c r="B52" i="3"/>
  <c r="D51" i="3"/>
  <c r="C51" i="3"/>
  <c r="C50" i="3"/>
  <c r="B50" i="3"/>
  <c r="D49" i="3"/>
  <c r="C49" i="3"/>
  <c r="B49" i="3"/>
  <c r="D48" i="3"/>
  <c r="C48" i="3"/>
  <c r="B48" i="3"/>
  <c r="B47" i="3"/>
  <c r="C46" i="3"/>
  <c r="B46" i="3"/>
  <c r="C45" i="3"/>
  <c r="B45" i="3"/>
  <c r="D44" i="3"/>
  <c r="C44" i="3"/>
  <c r="B44" i="3"/>
  <c r="C43" i="3"/>
  <c r="B43" i="3"/>
  <c r="D42" i="3"/>
  <c r="C42" i="3"/>
  <c r="B42" i="3"/>
  <c r="D41" i="3"/>
  <c r="C41" i="3"/>
  <c r="B41" i="3"/>
  <c r="C40" i="3"/>
  <c r="B40" i="3"/>
  <c r="C39" i="3"/>
  <c r="B39" i="3"/>
  <c r="D38" i="3"/>
  <c r="C38" i="3"/>
  <c r="B38" i="3"/>
  <c r="C37" i="3"/>
  <c r="B37" i="3"/>
  <c r="D36" i="3"/>
  <c r="C36" i="3"/>
  <c r="B36" i="3"/>
  <c r="D35" i="3"/>
  <c r="C35" i="3"/>
  <c r="B35" i="3"/>
  <c r="D34" i="3"/>
  <c r="D33" i="3"/>
  <c r="C33" i="3"/>
  <c r="B33" i="3"/>
  <c r="C32" i="3"/>
  <c r="B32" i="3"/>
  <c r="C31" i="3"/>
  <c r="B31" i="3"/>
  <c r="D30" i="3"/>
  <c r="C30" i="3"/>
  <c r="B30" i="3"/>
  <c r="C29" i="3"/>
  <c r="B29" i="3"/>
  <c r="D28" i="3"/>
  <c r="C28" i="3"/>
  <c r="B28" i="3"/>
  <c r="D27" i="3"/>
  <c r="C27" i="3"/>
  <c r="B27" i="3"/>
  <c r="C26" i="3"/>
  <c r="B26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B18" i="3"/>
  <c r="C17" i="3"/>
  <c r="B17" i="3"/>
  <c r="C16" i="3"/>
  <c r="B16" i="3"/>
  <c r="C15" i="3"/>
  <c r="B15" i="3"/>
  <c r="C14" i="3"/>
  <c r="B14" i="3"/>
  <c r="C13" i="3"/>
  <c r="B13" i="3"/>
  <c r="D12" i="3"/>
  <c r="C12" i="3"/>
  <c r="B12" i="3"/>
  <c r="C11" i="3"/>
  <c r="B11" i="3"/>
  <c r="D10" i="3"/>
  <c r="C10" i="3"/>
  <c r="B10" i="3"/>
  <c r="C9" i="3"/>
  <c r="B9" i="3"/>
  <c r="D8" i="3"/>
  <c r="C8" i="3"/>
  <c r="B8" i="3"/>
  <c r="C7" i="3"/>
  <c r="B7" i="3"/>
  <c r="B5" i="3"/>
  <c r="H79" i="5" l="1"/>
  <c r="G79" i="5"/>
  <c r="F79" i="5"/>
  <c r="E79" i="5"/>
  <c r="D79" i="5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D70" i="5"/>
  <c r="H69" i="5"/>
  <c r="G69" i="5"/>
  <c r="F69" i="5"/>
  <c r="E69" i="5"/>
  <c r="H68" i="5"/>
  <c r="G68" i="5"/>
  <c r="F68" i="5"/>
  <c r="E68" i="5"/>
  <c r="H67" i="5"/>
  <c r="G67" i="5"/>
  <c r="F67" i="5"/>
  <c r="E67" i="5"/>
  <c r="D67" i="5"/>
  <c r="H66" i="5"/>
  <c r="G66" i="5"/>
  <c r="F66" i="5"/>
  <c r="E66" i="5"/>
  <c r="D66" i="5"/>
  <c r="H65" i="5"/>
  <c r="G65" i="5"/>
  <c r="F65" i="5"/>
  <c r="E65" i="5"/>
  <c r="D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D62" i="5"/>
  <c r="H61" i="5"/>
  <c r="G61" i="5"/>
  <c r="F61" i="5"/>
  <c r="E61" i="5"/>
  <c r="D61" i="5"/>
  <c r="H60" i="5"/>
  <c r="G60" i="5"/>
  <c r="F60" i="5"/>
  <c r="E60" i="5"/>
  <c r="D60" i="5"/>
  <c r="H58" i="5"/>
  <c r="G58" i="5"/>
  <c r="F58" i="5"/>
  <c r="E58" i="5"/>
  <c r="D58" i="5"/>
  <c r="H57" i="5"/>
  <c r="G57" i="5"/>
  <c r="F57" i="5"/>
  <c r="E57" i="5"/>
  <c r="H56" i="5"/>
  <c r="G56" i="5"/>
  <c r="F56" i="5"/>
  <c r="E56" i="5"/>
  <c r="D56" i="5"/>
  <c r="H55" i="5"/>
  <c r="G55" i="5"/>
  <c r="F55" i="5"/>
  <c r="E55" i="5"/>
  <c r="D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D52" i="5"/>
  <c r="H51" i="5"/>
  <c r="G51" i="5"/>
  <c r="F51" i="5"/>
  <c r="E51" i="5"/>
  <c r="H49" i="5"/>
  <c r="G49" i="5"/>
  <c r="F49" i="5"/>
  <c r="E49" i="5"/>
  <c r="H48" i="5"/>
  <c r="G48" i="5"/>
  <c r="F48" i="5"/>
  <c r="E48" i="5"/>
  <c r="H47" i="5"/>
  <c r="G47" i="5"/>
  <c r="F47" i="5"/>
  <c r="E47" i="5"/>
  <c r="D47" i="5"/>
  <c r="H46" i="5"/>
  <c r="G46" i="5"/>
  <c r="F46" i="5"/>
  <c r="E46" i="5"/>
  <c r="H45" i="5"/>
  <c r="G45" i="5"/>
  <c r="F45" i="5"/>
  <c r="E45" i="5"/>
  <c r="D45" i="5"/>
  <c r="H44" i="5"/>
  <c r="G44" i="5"/>
  <c r="F44" i="5"/>
  <c r="E44" i="5"/>
  <c r="H43" i="5"/>
  <c r="G43" i="5"/>
  <c r="F43" i="5"/>
  <c r="E43" i="5"/>
  <c r="H42" i="5"/>
  <c r="G42" i="5"/>
  <c r="F42" i="5"/>
  <c r="E42" i="5"/>
  <c r="D42" i="5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D38" i="5"/>
  <c r="H37" i="5"/>
  <c r="G37" i="5"/>
  <c r="F37" i="5"/>
  <c r="E37" i="5"/>
  <c r="H36" i="5"/>
  <c r="G36" i="5"/>
  <c r="F36" i="5"/>
  <c r="E36" i="5"/>
  <c r="D36" i="5"/>
  <c r="H35" i="5"/>
  <c r="G35" i="5"/>
  <c r="F35" i="5"/>
  <c r="E35" i="5"/>
  <c r="D35" i="5"/>
  <c r="H34" i="5"/>
  <c r="G34" i="5"/>
  <c r="F34" i="5"/>
  <c r="E34" i="5"/>
  <c r="H33" i="5"/>
  <c r="G33" i="5"/>
  <c r="F33" i="5"/>
  <c r="E33" i="5"/>
  <c r="H32" i="5"/>
  <c r="G32" i="5"/>
  <c r="F32" i="5"/>
  <c r="E32" i="5"/>
  <c r="H31" i="5"/>
  <c r="G31" i="5"/>
  <c r="F31" i="5"/>
  <c r="E31" i="5"/>
  <c r="D31" i="5"/>
  <c r="H30" i="5"/>
  <c r="G30" i="5"/>
  <c r="F30" i="5"/>
  <c r="E30" i="5"/>
  <c r="H29" i="5"/>
  <c r="G29" i="5"/>
  <c r="F29" i="5"/>
  <c r="E29" i="5"/>
  <c r="D29" i="5"/>
  <c r="H28" i="5"/>
  <c r="G28" i="5"/>
  <c r="F28" i="5"/>
  <c r="E28" i="5"/>
  <c r="D28" i="5"/>
  <c r="H27" i="5"/>
  <c r="G27" i="5"/>
  <c r="F27" i="5"/>
  <c r="E27" i="5"/>
  <c r="H26" i="5"/>
  <c r="G26" i="5"/>
  <c r="F26" i="5"/>
  <c r="E26" i="5"/>
  <c r="D26" i="5"/>
  <c r="H25" i="5"/>
  <c r="G25" i="5"/>
  <c r="F25" i="5"/>
  <c r="E25" i="5"/>
  <c r="H24" i="5"/>
  <c r="G24" i="5"/>
  <c r="F24" i="5"/>
  <c r="E24" i="5"/>
  <c r="D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H12" i="5"/>
  <c r="G12" i="5"/>
  <c r="F12" i="5"/>
  <c r="E12" i="5"/>
  <c r="H11" i="5"/>
  <c r="G11" i="5"/>
  <c r="F11" i="5"/>
  <c r="E11" i="5"/>
  <c r="D11" i="5"/>
  <c r="H10" i="5"/>
  <c r="G10" i="5"/>
  <c r="F10" i="5"/>
  <c r="E10" i="5"/>
  <c r="H9" i="5"/>
  <c r="G9" i="5"/>
  <c r="F9" i="5"/>
  <c r="E9" i="5"/>
  <c r="D9" i="5"/>
  <c r="H8" i="5"/>
  <c r="G8" i="5"/>
  <c r="F8" i="5"/>
  <c r="E8" i="5"/>
  <c r="D8" i="5"/>
  <c r="H7" i="5"/>
  <c r="G7" i="5"/>
  <c r="E39" i="7" l="1"/>
  <c r="E38" i="7"/>
  <c r="D38" i="7"/>
  <c r="E37" i="7"/>
  <c r="D37" i="7"/>
  <c r="E35" i="7"/>
  <c r="D35" i="7"/>
  <c r="E34" i="7"/>
  <c r="D34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9" i="7"/>
  <c r="D9" i="7"/>
  <c r="E8" i="7"/>
  <c r="D8" i="7"/>
  <c r="G118" i="1" l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B114" i="1"/>
  <c r="G113" i="1"/>
  <c r="F113" i="1"/>
  <c r="E113" i="1"/>
  <c r="D113" i="1"/>
  <c r="C113" i="1"/>
  <c r="B113" i="1"/>
  <c r="G112" i="1"/>
  <c r="F112" i="1"/>
  <c r="E112" i="1"/>
  <c r="D112" i="1"/>
  <c r="B112" i="1"/>
  <c r="G111" i="1"/>
  <c r="F111" i="1"/>
  <c r="E111" i="1"/>
  <c r="D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B102" i="1"/>
  <c r="G101" i="1"/>
  <c r="F101" i="1"/>
  <c r="E101" i="1"/>
  <c r="D101" i="1"/>
  <c r="B101" i="1"/>
  <c r="G100" i="1"/>
  <c r="F100" i="1"/>
  <c r="E100" i="1"/>
  <c r="D100" i="1"/>
  <c r="C100" i="1"/>
  <c r="B100" i="1"/>
  <c r="G99" i="1"/>
  <c r="F99" i="1"/>
  <c r="E99" i="1"/>
  <c r="D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B96" i="1"/>
  <c r="G94" i="1"/>
  <c r="F94" i="1"/>
  <c r="E94" i="1"/>
  <c r="D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B90" i="1"/>
  <c r="G89" i="1"/>
  <c r="F89" i="1"/>
  <c r="E89" i="1"/>
  <c r="D89" i="1"/>
  <c r="B89" i="1"/>
  <c r="G88" i="1"/>
  <c r="F88" i="1"/>
  <c r="E88" i="1"/>
  <c r="D88" i="1"/>
  <c r="B88" i="1"/>
  <c r="G87" i="1"/>
  <c r="F87" i="1"/>
  <c r="E87" i="1"/>
  <c r="D87" i="1"/>
  <c r="C87" i="1"/>
  <c r="B87" i="1"/>
  <c r="G86" i="1"/>
  <c r="F86" i="1"/>
  <c r="E86" i="1"/>
  <c r="D86" i="1"/>
  <c r="B86" i="1"/>
  <c r="G85" i="1"/>
  <c r="F85" i="1"/>
  <c r="E85" i="1"/>
  <c r="D85" i="1"/>
  <c r="C85" i="1"/>
  <c r="B85" i="1"/>
  <c r="G84" i="1"/>
  <c r="F84" i="1"/>
  <c r="E84" i="1"/>
  <c r="D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B77" i="1"/>
  <c r="G76" i="1"/>
  <c r="F76" i="1"/>
  <c r="E76" i="1"/>
  <c r="D76" i="1"/>
  <c r="B76" i="1"/>
  <c r="G75" i="1"/>
  <c r="F75" i="1"/>
  <c r="E75" i="1"/>
  <c r="D75" i="1"/>
  <c r="C75" i="1"/>
  <c r="B75" i="1"/>
  <c r="G74" i="1"/>
  <c r="F74" i="1"/>
  <c r="E74" i="1"/>
  <c r="D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B71" i="1"/>
  <c r="G70" i="1"/>
  <c r="F70" i="1"/>
  <c r="E70" i="1"/>
  <c r="D70" i="1"/>
  <c r="B70" i="1"/>
  <c r="G69" i="1"/>
  <c r="F69" i="1"/>
  <c r="E69" i="1"/>
  <c r="D69" i="1"/>
  <c r="B69" i="1"/>
  <c r="G68" i="1"/>
  <c r="F68" i="1"/>
  <c r="E68" i="1"/>
  <c r="D68" i="1"/>
  <c r="B68" i="1"/>
  <c r="G67" i="1"/>
  <c r="F67" i="1"/>
  <c r="E67" i="1"/>
  <c r="D67" i="1"/>
  <c r="B67" i="1"/>
  <c r="G66" i="1"/>
  <c r="F66" i="1"/>
  <c r="E66" i="1"/>
  <c r="D66" i="1"/>
  <c r="B66" i="1"/>
  <c r="G65" i="1"/>
  <c r="F65" i="1"/>
  <c r="E65" i="1"/>
  <c r="D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B55" i="1"/>
  <c r="G54" i="1"/>
  <c r="F54" i="1"/>
  <c r="E54" i="1"/>
  <c r="D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B48" i="1"/>
  <c r="G46" i="1"/>
  <c r="F46" i="1"/>
  <c r="E46" i="1"/>
  <c r="D46" i="1"/>
  <c r="C46" i="1"/>
  <c r="G45" i="1"/>
  <c r="F45" i="1"/>
  <c r="E45" i="1"/>
  <c r="D45" i="1"/>
  <c r="G44" i="1"/>
  <c r="F44" i="1"/>
  <c r="E44" i="1"/>
  <c r="D44" i="1"/>
  <c r="C44" i="1"/>
  <c r="G43" i="1"/>
  <c r="F43" i="1"/>
  <c r="E43" i="1"/>
  <c r="D43" i="1"/>
  <c r="G42" i="1"/>
  <c r="F42" i="1"/>
  <c r="E42" i="1"/>
  <c r="D42" i="1"/>
  <c r="C42" i="1"/>
  <c r="G41" i="1"/>
  <c r="F41" i="1"/>
  <c r="E41" i="1"/>
  <c r="D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G22" i="1"/>
  <c r="F22" i="1"/>
  <c r="E22" i="1"/>
  <c r="D22" i="1"/>
  <c r="C22" i="1"/>
  <c r="G21" i="1"/>
  <c r="F21" i="1"/>
  <c r="E21" i="1"/>
  <c r="D21" i="1"/>
  <c r="G20" i="1"/>
  <c r="F20" i="1"/>
  <c r="E20" i="1"/>
  <c r="D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H80" i="6" l="1"/>
  <c r="G80" i="6"/>
  <c r="F80" i="6"/>
  <c r="E80" i="6"/>
  <c r="D80" i="6"/>
  <c r="H79" i="6"/>
  <c r="G79" i="6"/>
  <c r="F79" i="6"/>
  <c r="E79" i="6"/>
  <c r="D79" i="6"/>
  <c r="H78" i="6"/>
  <c r="G78" i="6"/>
  <c r="F78" i="6"/>
  <c r="E78" i="6"/>
  <c r="H77" i="6"/>
  <c r="G77" i="6"/>
  <c r="F77" i="6"/>
  <c r="E77" i="6"/>
  <c r="H76" i="6"/>
  <c r="G76" i="6"/>
  <c r="F76" i="6"/>
  <c r="E76" i="6"/>
  <c r="D76" i="6"/>
  <c r="H75" i="6"/>
  <c r="G75" i="6"/>
  <c r="F75" i="6"/>
  <c r="E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D39" i="6"/>
  <c r="H38" i="6"/>
  <c r="G38" i="6"/>
  <c r="F38" i="6"/>
  <c r="E38" i="6"/>
  <c r="D38" i="6"/>
  <c r="H37" i="6"/>
  <c r="G37" i="6"/>
  <c r="F37" i="6"/>
  <c r="E37" i="6"/>
  <c r="D37" i="6"/>
  <c r="H36" i="6"/>
  <c r="G36" i="6"/>
  <c r="F36" i="6"/>
  <c r="E36" i="6"/>
  <c r="D36" i="6"/>
  <c r="H35" i="6"/>
  <c r="G35" i="6"/>
  <c r="F35" i="6"/>
  <c r="E35" i="6"/>
  <c r="D35" i="6"/>
  <c r="H34" i="6"/>
  <c r="G34" i="6"/>
  <c r="F34" i="6"/>
  <c r="E34" i="6"/>
  <c r="H33" i="6"/>
  <c r="G33" i="6"/>
  <c r="F33" i="6"/>
  <c r="E33" i="6"/>
  <c r="D33" i="6"/>
  <c r="H32" i="6"/>
  <c r="G32" i="6"/>
  <c r="F32" i="6"/>
  <c r="E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H24" i="6"/>
  <c r="G24" i="6"/>
  <c r="F24" i="6"/>
  <c r="E24" i="6"/>
  <c r="D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H9" i="6"/>
  <c r="G9" i="6"/>
  <c r="F9" i="6"/>
  <c r="E9" i="6"/>
  <c r="D9" i="6"/>
  <c r="H8" i="6"/>
  <c r="G8" i="6"/>
  <c r="F8" i="6"/>
  <c r="E8" i="6"/>
  <c r="D8" i="6"/>
  <c r="H7" i="6"/>
  <c r="G7" i="6"/>
  <c r="D7" i="6"/>
  <c r="E39" i="8" l="1"/>
  <c r="D39" i="8"/>
  <c r="E38" i="8"/>
  <c r="D38" i="8"/>
  <c r="E37" i="8"/>
  <c r="D37" i="8"/>
  <c r="E36" i="8"/>
  <c r="D36" i="8"/>
  <c r="E35" i="8"/>
  <c r="D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G120" i="2" l="1"/>
  <c r="F120" i="2"/>
  <c r="E120" i="2"/>
  <c r="D120" i="2"/>
  <c r="C120" i="2"/>
  <c r="B120" i="2"/>
  <c r="G119" i="2"/>
  <c r="F119" i="2"/>
  <c r="E119" i="2"/>
  <c r="D119" i="2"/>
  <c r="C119" i="2"/>
  <c r="B119" i="2"/>
  <c r="G118" i="2"/>
  <c r="F118" i="2"/>
  <c r="E118" i="2"/>
  <c r="D118" i="2"/>
  <c r="B118" i="2"/>
  <c r="G117" i="2"/>
  <c r="F117" i="2"/>
  <c r="E117" i="2"/>
  <c r="D117" i="2"/>
  <c r="C117" i="2"/>
  <c r="B117" i="2"/>
  <c r="G116" i="2"/>
  <c r="F116" i="2"/>
  <c r="E116" i="2"/>
  <c r="D116" i="2"/>
  <c r="C116" i="2"/>
  <c r="B116" i="2"/>
  <c r="G115" i="2"/>
  <c r="F115" i="2"/>
  <c r="E115" i="2"/>
  <c r="D115" i="2"/>
  <c r="B115" i="2"/>
  <c r="G114" i="2"/>
  <c r="F114" i="2"/>
  <c r="E114" i="2"/>
  <c r="D114" i="2"/>
  <c r="C114" i="2"/>
  <c r="B114" i="2"/>
  <c r="G113" i="2"/>
  <c r="F113" i="2"/>
  <c r="E113" i="2"/>
  <c r="D113" i="2"/>
  <c r="B113" i="2"/>
  <c r="G112" i="2"/>
  <c r="F112" i="2"/>
  <c r="E112" i="2"/>
  <c r="D112" i="2"/>
  <c r="C112" i="2"/>
  <c r="B112" i="2"/>
  <c r="G111" i="2"/>
  <c r="F111" i="2"/>
  <c r="E111" i="2"/>
  <c r="D111" i="2"/>
  <c r="C111" i="2"/>
  <c r="B111" i="2"/>
  <c r="G110" i="2"/>
  <c r="F110" i="2"/>
  <c r="E110" i="2"/>
  <c r="D110" i="2"/>
  <c r="B110" i="2"/>
  <c r="G109" i="2"/>
  <c r="F109" i="2"/>
  <c r="E109" i="2"/>
  <c r="D109" i="2"/>
  <c r="B109" i="2"/>
  <c r="G108" i="2"/>
  <c r="F108" i="2"/>
  <c r="E108" i="2"/>
  <c r="D108" i="2"/>
  <c r="B108" i="2"/>
  <c r="G107" i="2"/>
  <c r="F107" i="2"/>
  <c r="E107" i="2"/>
  <c r="D107" i="2"/>
  <c r="C107" i="2"/>
  <c r="B107" i="2"/>
  <c r="G106" i="2"/>
  <c r="F106" i="2"/>
  <c r="E106" i="2"/>
  <c r="D106" i="2"/>
  <c r="C106" i="2"/>
  <c r="B106" i="2"/>
  <c r="G105" i="2"/>
  <c r="F105" i="2"/>
  <c r="E105" i="2"/>
  <c r="D105" i="2"/>
  <c r="B105" i="2"/>
  <c r="G104" i="2"/>
  <c r="F104" i="2"/>
  <c r="E104" i="2"/>
  <c r="D104" i="2"/>
  <c r="C104" i="2"/>
  <c r="B104" i="2"/>
  <c r="G103" i="2"/>
  <c r="F103" i="2"/>
  <c r="E103" i="2"/>
  <c r="D103" i="2"/>
  <c r="B103" i="2"/>
  <c r="G102" i="2"/>
  <c r="F102" i="2"/>
  <c r="E102" i="2"/>
  <c r="D102" i="2"/>
  <c r="B102" i="2"/>
  <c r="G101" i="2"/>
  <c r="F101" i="2"/>
  <c r="E101" i="2"/>
  <c r="D101" i="2"/>
  <c r="C101" i="2"/>
  <c r="B101" i="2"/>
  <c r="G100" i="2"/>
  <c r="F100" i="2"/>
  <c r="E100" i="2"/>
  <c r="D100" i="2"/>
  <c r="B100" i="2"/>
  <c r="G99" i="2"/>
  <c r="F99" i="2"/>
  <c r="E99" i="2"/>
  <c r="D99" i="2"/>
  <c r="C99" i="2"/>
  <c r="B99" i="2"/>
  <c r="G98" i="2"/>
  <c r="F98" i="2"/>
  <c r="E98" i="2"/>
  <c r="D98" i="2"/>
  <c r="B98" i="2"/>
  <c r="G97" i="2"/>
  <c r="F97" i="2"/>
  <c r="E97" i="2"/>
  <c r="D97" i="2"/>
  <c r="C97" i="2"/>
  <c r="B97" i="2"/>
  <c r="G96" i="2"/>
  <c r="F96" i="2"/>
  <c r="E96" i="2"/>
  <c r="D96" i="2"/>
  <c r="C96" i="2"/>
  <c r="B96" i="2"/>
  <c r="G95" i="2"/>
  <c r="F95" i="2"/>
  <c r="E95" i="2"/>
  <c r="D95" i="2"/>
  <c r="C95" i="2"/>
  <c r="B95" i="2"/>
  <c r="G94" i="2"/>
  <c r="F94" i="2"/>
  <c r="E94" i="2"/>
  <c r="D94" i="2"/>
  <c r="B94" i="2"/>
  <c r="G93" i="2"/>
  <c r="F93" i="2"/>
  <c r="E93" i="2"/>
  <c r="D93" i="2"/>
  <c r="B93" i="2"/>
  <c r="G92" i="2"/>
  <c r="F92" i="2"/>
  <c r="E92" i="2"/>
  <c r="D92" i="2"/>
  <c r="C92" i="2"/>
  <c r="B92" i="2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B80" i="2"/>
  <c r="G79" i="2"/>
  <c r="F79" i="2"/>
  <c r="E79" i="2"/>
  <c r="D79" i="2"/>
  <c r="C79" i="2"/>
  <c r="B79" i="2"/>
  <c r="G78" i="2"/>
  <c r="F78" i="2"/>
  <c r="E78" i="2"/>
  <c r="D78" i="2"/>
  <c r="B78" i="2"/>
  <c r="G77" i="2"/>
  <c r="F77" i="2"/>
  <c r="E77" i="2"/>
  <c r="D77" i="2"/>
  <c r="C77" i="2"/>
  <c r="B77" i="2"/>
  <c r="G76" i="2"/>
  <c r="F76" i="2"/>
  <c r="E76" i="2"/>
  <c r="D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G71" i="2"/>
  <c r="F71" i="2"/>
  <c r="E71" i="2"/>
  <c r="D71" i="2"/>
  <c r="C71" i="2"/>
  <c r="B71" i="2"/>
  <c r="G70" i="2"/>
  <c r="F70" i="2"/>
  <c r="E70" i="2"/>
  <c r="D70" i="2"/>
  <c r="C70" i="2"/>
  <c r="B70" i="2"/>
  <c r="G69" i="2"/>
  <c r="F69" i="2"/>
  <c r="E69" i="2"/>
  <c r="D69" i="2"/>
  <c r="C69" i="2"/>
  <c r="B69" i="2"/>
  <c r="G68" i="2"/>
  <c r="F68" i="2"/>
  <c r="E68" i="2"/>
  <c r="D68" i="2"/>
  <c r="C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G47" i="2"/>
  <c r="F47" i="2"/>
  <c r="E47" i="2"/>
  <c r="D47" i="2"/>
  <c r="G46" i="2"/>
  <c r="F46" i="2"/>
  <c r="E46" i="2"/>
  <c r="D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G42" i="2"/>
  <c r="F42" i="2"/>
  <c r="E42" i="2"/>
  <c r="D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G32" i="2"/>
  <c r="F32" i="2"/>
  <c r="E32" i="2"/>
  <c r="D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6" i="2"/>
  <c r="F6" i="2"/>
  <c r="C6" i="2"/>
</calcChain>
</file>

<file path=xl/sharedStrings.xml><?xml version="1.0" encoding="utf-8"?>
<sst xmlns="http://schemas.openxmlformats.org/spreadsheetml/2006/main" count="1166" uniqueCount="412">
  <si>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</si>
  <si>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</si>
  <si>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</si>
  <si>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</si>
  <si>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</si>
  <si>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</si>
  <si>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</si>
  <si>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</si>
  <si>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</si>
  <si>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</si>
  <si>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</si>
  <si>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</si>
  <si>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</si>
  <si>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</si>
  <si>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</si>
  <si>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</si>
  <si>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</si>
  <si>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</si>
  <si>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</si>
  <si>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</si>
  <si>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</si>
  <si>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</si>
  <si>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</si>
  <si>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</si>
  <si>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</si>
  <si>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</si>
  <si>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</si>
  <si>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</si>
  <si>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</si>
  <si>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</si>
  <si>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</si>
  <si>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</si>
  <si>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</si>
  <si>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</si>
  <si>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</si>
  <si>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</si>
  <si>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</si>
  <si>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</si>
  <si>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</si>
  <si>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</si>
  <si>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</si>
  <si>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</si>
  <si>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</si>
  <si>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</si>
  <si>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</si>
  <si>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</si>
  <si>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</si>
  <si>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</si>
  <si>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</si>
  <si>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</si>
  <si>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</si>
  <si>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</si>
  <si>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</si>
  <si>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</si>
  <si>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</si>
  <si>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</si>
  <si>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</si>
  <si>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</si>
  <si>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</si>
  <si>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</si>
  <si>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</si>
  <si>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</si>
  <si>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</si>
  <si>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</si>
  <si>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</si>
  <si>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</si>
  <si>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</si>
  <si>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</si>
  <si>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</si>
  <si>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</si>
  <si>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</si>
  <si>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</si>
  <si>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</si>
  <si>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</si>
  <si>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</si>
  <si>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</si>
  <si>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</si>
  <si>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</si>
  <si>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</si>
  <si>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</si>
  <si>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</si>
  <si>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</si>
  <si>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</si>
  <si>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</si>
  <si>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</si>
  <si>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</si>
  <si>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</si>
  <si>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</si>
  <si>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</si>
  <si>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</si>
  <si>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</si>
  <si>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</si>
  <si>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</si>
  <si>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</si>
  <si>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</si>
  <si>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</si>
  <si>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</si>
  <si>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</si>
  <si>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</si>
  <si>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</si>
  <si>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</si>
  <si>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</si>
  <si>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</si>
  <si>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</si>
  <si>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</si>
  <si>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</si>
  <si>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</si>
  <si>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</si>
  <si>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</si>
  <si>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</si>
  <si>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</si>
  <si>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</si>
  <si>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</si>
  <si>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</si>
  <si>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</si>
  <si>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</si>
  <si>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</si>
  <si>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</si>
  <si>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</si>
  <si>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</si>
  <si>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</si>
  <si>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</si>
  <si>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</si>
  <si>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</si>
  <si>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</si>
  <si>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</si>
  <si>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>Senegal</t>
  </si>
  <si>
    <t xml:space="preserve">   din care:</t>
  </si>
  <si>
    <t xml:space="preserve">IMPORT - total      </t>
  </si>
  <si>
    <t>Burkina Faso</t>
  </si>
  <si>
    <t>Macedonia de Nord</t>
  </si>
  <si>
    <t>Cote D'Ivoire</t>
  </si>
  <si>
    <t>Laos</t>
  </si>
  <si>
    <t xml:space="preserve">     din care:</t>
  </si>
  <si>
    <t>Zimbabwe</t>
  </si>
  <si>
    <t>Camerun</t>
  </si>
  <si>
    <t xml:space="preserve">EXPORT - total      </t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</si>
  <si>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</si>
  <si>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</si>
  <si>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</si>
  <si>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</si>
  <si>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</si>
  <si>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</si>
  <si>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</si>
  <si>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</si>
  <si>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</si>
  <si>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</si>
  <si>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</si>
  <si>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</si>
  <si>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</si>
  <si>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</si>
  <si>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</si>
  <si>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</si>
  <si>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</si>
  <si>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</si>
  <si>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</si>
  <si>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</si>
  <si>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</si>
  <si>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</si>
  <si>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</si>
  <si>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</si>
  <si>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</si>
  <si>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</si>
  <si>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</si>
  <si>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</si>
  <si>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</si>
  <si>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</si>
  <si>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</si>
  <si>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</si>
  <si>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</si>
  <si>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</si>
  <si>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</si>
  <si>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</si>
  <si>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</si>
  <si>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</si>
  <si>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</si>
  <si>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</si>
  <si>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</si>
  <si>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</si>
  <si>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</si>
  <si>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</si>
  <si>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</si>
  <si>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</si>
  <si>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</si>
  <si>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</si>
  <si>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</si>
  <si>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</si>
  <si>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</si>
  <si>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</si>
  <si>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</si>
  <si>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</si>
  <si>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</si>
  <si>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</si>
  <si>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</si>
  <si>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</si>
  <si>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</si>
  <si>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</si>
  <si>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</si>
  <si>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</si>
  <si>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</si>
  <si>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</si>
  <si>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</si>
  <si>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</si>
  <si>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</si>
  <si>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</si>
  <si>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</si>
  <si>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</si>
  <si>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</si>
  <si>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de 2,2 ori</t>
  </si>
  <si>
    <t>de 1,8 ori</t>
  </si>
  <si>
    <t>Țările CSI - total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</si>
  <si>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</si>
  <si>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</si>
  <si>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</si>
  <si>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</si>
  <si>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</si>
  <si>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BALANŢA COMERCIALĂ – total, mii dolari SUA</t>
  </si>
  <si>
    <t>de 2,5 ori</t>
  </si>
  <si>
    <t>Libia</t>
  </si>
  <si>
    <t>Statul Palestina</t>
  </si>
  <si>
    <t>de 2,3 ori</t>
  </si>
  <si>
    <t>de 1,5 ori</t>
  </si>
  <si>
    <t>Kosovo</t>
  </si>
  <si>
    <t>Afganistan</t>
  </si>
  <si>
    <t>Tanzania</t>
  </si>
  <si>
    <t>Nicaragua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</si>
  <si>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</si>
  <si>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</si>
  <si>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</si>
  <si>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</si>
  <si>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</si>
  <si>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</si>
  <si>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</si>
  <si>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</si>
  <si>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</si>
  <si>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</si>
  <si>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</si>
  <si>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</si>
  <si>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</si>
  <si>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</si>
  <si>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</si>
  <si>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</si>
  <si>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</si>
  <si>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</si>
  <si>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</si>
  <si>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</si>
  <si>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</si>
  <si>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</si>
  <si>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</si>
  <si>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</si>
  <si>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</si>
  <si>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</si>
  <si>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</si>
  <si>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</si>
  <si>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</si>
  <si>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</si>
  <si>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</si>
  <si>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</si>
  <si>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</si>
  <si>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</si>
  <si>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</si>
  <si>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</si>
  <si>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</si>
  <si>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</si>
  <si>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</si>
  <si>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</si>
  <si>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</si>
  <si>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</si>
  <si>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</si>
  <si>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</si>
  <si>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</si>
  <si>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</si>
  <si>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</si>
  <si>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</si>
  <si>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</si>
  <si>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</si>
  <si>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</si>
  <si>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</si>
  <si>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</si>
  <si>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</si>
  <si>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</si>
  <si>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</si>
  <si>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</si>
  <si>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</si>
  <si>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</si>
  <si>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</si>
  <si>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</si>
  <si>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</si>
  <si>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</si>
  <si>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</si>
  <si>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</si>
  <si>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</si>
  <si>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</si>
  <si>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</si>
  <si>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</si>
  <si>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</si>
  <si>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de 2,6 ori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</si>
  <si>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</si>
  <si>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</si>
  <si>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</si>
  <si>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</si>
  <si>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</si>
  <si>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</si>
  <si>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Sierra Leone</t>
  </si>
  <si>
    <t>de 2,9 ori</t>
  </si>
  <si>
    <t>-</t>
  </si>
  <si>
    <t>de 2,7 ori</t>
  </si>
  <si>
    <t>de 2,4 ori</t>
  </si>
  <si>
    <t>35</t>
  </si>
  <si>
    <t>Energie electrica</t>
  </si>
  <si>
    <t>de 4,3 ori</t>
  </si>
  <si>
    <t>Energie electrică</t>
  </si>
  <si>
    <t>BALANŢA COMERCIALĂ - total, mii dolari SUA</t>
  </si>
  <si>
    <t>mii dolari                 SUA</t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</si>
  <si>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al mărfurilor 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</si>
  <si>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al mărfurilor </t>
    </r>
  </si>
  <si>
    <t>de 4,2 ori</t>
  </si>
  <si>
    <t>Andorra</t>
  </si>
  <si>
    <t>Mauritius</t>
  </si>
  <si>
    <t>de 3,0 ori</t>
  </si>
  <si>
    <t xml:space="preserve">      din care:</t>
  </si>
  <si>
    <t>de 3,1 ori</t>
  </si>
  <si>
    <t>de 5,8 ori</t>
  </si>
  <si>
    <t>Celelalte țări ale lumii</t>
  </si>
  <si>
    <t>de 3,4 ori</t>
  </si>
  <si>
    <t>Țările Uniunii Europene - total</t>
  </si>
  <si>
    <t>Trinidad Tobago</t>
  </si>
  <si>
    <t>Congo</t>
  </si>
  <si>
    <t>Angola</t>
  </si>
  <si>
    <t>Madagascar</t>
  </si>
  <si>
    <t>Nepal</t>
  </si>
  <si>
    <t>Togo</t>
  </si>
  <si>
    <t>de 4,5 ori</t>
  </si>
  <si>
    <t>San Marino</t>
  </si>
  <si>
    <t>Malawi</t>
  </si>
  <si>
    <t>de 3,6 ori</t>
  </si>
  <si>
    <t>de 4,9 ori</t>
  </si>
  <si>
    <t>de 6,7 ori</t>
  </si>
  <si>
    <t>Barbados</t>
  </si>
  <si>
    <t>Guatemala</t>
  </si>
  <si>
    <t>Coreea de Nord</t>
  </si>
  <si>
    <t>Honduras</t>
  </si>
  <si>
    <t>Groenlanda</t>
  </si>
  <si>
    <t>Algeria</t>
  </si>
  <si>
    <t>de 5,2 ori</t>
  </si>
  <si>
    <t>de 95,0 ori</t>
  </si>
  <si>
    <t>de 5,0 ori</t>
  </si>
  <si>
    <t>Mărfuri manufacturate, clasificate mai ales după materia primă</t>
  </si>
  <si>
    <t>de 4,4 ori</t>
  </si>
  <si>
    <t>Ianuarie - septembrie 2021</t>
  </si>
  <si>
    <t>în % faţă de ianuarie - septembrie 2020 ¹</t>
  </si>
  <si>
    <t>ianuarie - septembrie</t>
  </si>
  <si>
    <t>în % faţă de ianuarie-septembrie 2020 ¹</t>
  </si>
  <si>
    <t>Ianuarie - septembrie</t>
  </si>
  <si>
    <t>Ianuarie - septembrie 2021 în % faţă de ianuarie - septembrie 2020 ¹</t>
  </si>
  <si>
    <t>Ianuarie - septembrie 2021 în % faţă de            ianuarie - septembrie 2020 ¹</t>
  </si>
  <si>
    <t>Franţa</t>
  </si>
  <si>
    <t>Croaţia</t>
  </si>
  <si>
    <t xml:space="preserve">Ţări cu codul ţării de origine a mărfii "EU" </t>
  </si>
  <si>
    <t>Federaţia Rusă</t>
  </si>
  <si>
    <t>Regatul Unit al Marii Britanii şi Irlandei de Nord</t>
  </si>
  <si>
    <t>Elveţia</t>
  </si>
  <si>
    <t>Bosnia şi Herţegovina</t>
  </si>
  <si>
    <t>Şri Lanka</t>
  </si>
  <si>
    <t>Namibia</t>
  </si>
  <si>
    <t>de 20,6 ori</t>
  </si>
  <si>
    <t>de 23,5 ori</t>
  </si>
  <si>
    <t>de 5420,0 ori</t>
  </si>
  <si>
    <t>de 8,9 ori</t>
  </si>
  <si>
    <t>de 8,7 ori</t>
  </si>
  <si>
    <t>de 196,1 ori</t>
  </si>
  <si>
    <t>de 7,8 ori</t>
  </si>
  <si>
    <t>Mărfuri manufacturate, clasificate septembrie ales după materia primă</t>
  </si>
  <si>
    <t>Rwanda</t>
  </si>
  <si>
    <t>de 26,3 ori</t>
  </si>
  <si>
    <t>de 17,7 ori</t>
  </si>
  <si>
    <t>de 10,6 ori</t>
  </si>
  <si>
    <t>de 131,7 ori</t>
  </si>
  <si>
    <t>de 7,1 ori</t>
  </si>
  <si>
    <t>de 25,1 ori</t>
  </si>
  <si>
    <t>de 3,3 ori</t>
  </si>
  <si>
    <t>de 13,2 ori</t>
  </si>
  <si>
    <t>de 20,5 ori</t>
  </si>
  <si>
    <t>de 4,0 ori</t>
  </si>
  <si>
    <t>de 21,5 ori</t>
  </si>
  <si>
    <t>de 5,1 ori</t>
  </si>
  <si>
    <t>de 12,5 ori</t>
  </si>
  <si>
    <t>de 4,6 ori</t>
  </si>
  <si>
    <t>de 3,9 ori</t>
  </si>
  <si>
    <t>de 67,1 ori</t>
  </si>
  <si>
    <t>de 8,6 ori</t>
  </si>
  <si>
    <t>Gambia</t>
  </si>
  <si>
    <t>de 3,7 ori</t>
  </si>
  <si>
    <t>de 9,2 ori</t>
  </si>
  <si>
    <t>de 38,6 ori</t>
  </si>
  <si>
    <t>de 21,6 ori</t>
  </si>
  <si>
    <r>
      <t>ianuarie - septembrie</t>
    </r>
    <r>
      <rPr>
        <b/>
        <vertAlign val="superscript"/>
        <sz val="10"/>
        <color indexed="8"/>
        <rFont val="Times New Roman"/>
        <family val="1"/>
        <charset val="204"/>
      </rPr>
      <t>1,2</t>
    </r>
  </si>
  <si>
    <t>de 6,2 ori</t>
  </si>
  <si>
    <r>
      <t>ianuarie - septembrie</t>
    </r>
    <r>
      <rPr>
        <b/>
        <vertAlign val="superscript"/>
        <sz val="10"/>
        <rFont val="Times New Roman"/>
        <family val="1"/>
        <charset val="204"/>
      </rPr>
      <t>1,2</t>
    </r>
  </si>
  <si>
    <t>Insulele Feroe</t>
  </si>
  <si>
    <t>Republica Dominicană</t>
  </si>
  <si>
    <t>Insulele Seychelles</t>
  </si>
  <si>
    <t>Insulele Turks şi Caicos</t>
  </si>
  <si>
    <t>Republica Yemen</t>
  </si>
  <si>
    <t>Muntenegru</t>
  </si>
  <si>
    <t>Kârgâzstan</t>
  </si>
  <si>
    <t>Mbntenegru</t>
  </si>
  <si>
    <t>de 16,1 ori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</si>
  <si>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pe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</si>
  <si>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pe grupe de ţări</t>
    </r>
  </si>
  <si>
    <r>
      <t xml:space="preserve">  </t>
    </r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 xml:space="preserve"> Faţă de perioada corespunzătoare din anul precedent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</si>
  <si>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pe grupe de ţări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</si>
</sst>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b/>
      <vertAlign val="superscript"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34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23" fillId="0" borderId="0" xfId="0" applyNumberFormat="1" applyFont="1" applyFill="1" applyAlignment="1" applyProtection="1">
      <alignment horizontal="right" vertical="top" indent="1"/>
    </xf>
    <xf numFmtId="4" fontId="23" fillId="0" borderId="0" xfId="0" applyNumberFormat="1" applyFont="1" applyFill="1" applyAlignment="1" applyProtection="1">
      <alignment horizontal="right" vertical="top" wrapText="1" indent="1"/>
    </xf>
    <xf numFmtId="4" fontId="23" fillId="0" borderId="0" xfId="0" applyNumberFormat="1" applyFont="1" applyFill="1" applyBorder="1" applyAlignment="1" applyProtection="1">
      <alignment horizontal="right" vertical="top" wrapText="1" indent="1"/>
    </xf>
    <xf numFmtId="4" fontId="23" fillId="0" borderId="0" xfId="0" applyNumberFormat="1" applyFont="1" applyFill="1" applyBorder="1" applyAlignment="1" applyProtection="1">
      <alignment horizontal="right" vertical="top"/>
    </xf>
    <xf numFmtId="4" fontId="25" fillId="0" borderId="0" xfId="0" applyNumberFormat="1" applyFont="1" applyAlignment="1">
      <alignment horizontal="right" vertical="top"/>
    </xf>
    <xf numFmtId="4" fontId="11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/>
    </xf>
    <xf numFmtId="38" fontId="11" fillId="0" borderId="0" xfId="0" applyNumberFormat="1" applyFont="1" applyFill="1" applyAlignment="1" applyProtection="1">
      <alignment horizontal="center" vertical="top"/>
    </xf>
    <xf numFmtId="38" fontId="11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Alignment="1" applyProtection="1">
      <alignment horizontal="left" vertical="top" wrapText="1"/>
    </xf>
    <xf numFmtId="0" fontId="24" fillId="0" borderId="0" xfId="0" applyFont="1" applyAlignment="1">
      <alignment horizontal="center" vertical="top"/>
    </xf>
    <xf numFmtId="0" fontId="29" fillId="0" borderId="5" xfId="0" applyNumberFormat="1" applyFont="1" applyFill="1" applyBorder="1" applyAlignment="1" applyProtection="1">
      <alignment horizontal="center" vertical="top"/>
    </xf>
    <xf numFmtId="38" fontId="11" fillId="0" borderId="3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4" fontId="28" fillId="0" borderId="5" xfId="0" applyNumberFormat="1" applyFont="1" applyFill="1" applyBorder="1" applyAlignment="1" applyProtection="1">
      <alignment horizontal="right" vertical="top"/>
    </xf>
    <xf numFmtId="4" fontId="28" fillId="0" borderId="5" xfId="0" applyNumberFormat="1" applyFont="1" applyFill="1" applyBorder="1" applyAlignment="1" applyProtection="1">
      <alignment horizontal="right" vertical="top" indent="1"/>
    </xf>
    <xf numFmtId="0" fontId="11" fillId="0" borderId="0" xfId="0" applyNumberFormat="1" applyFont="1" applyFill="1" applyAlignment="1" applyProtection="1">
      <alignment horizontal="left" vertical="top" wrapText="1" indent="1"/>
    </xf>
    <xf numFmtId="4" fontId="11" fillId="0" borderId="0" xfId="0" applyNumberFormat="1" applyFont="1" applyFill="1" applyAlignment="1" applyProtection="1">
      <alignment horizontal="right" vertical="top" indent="1"/>
    </xf>
    <xf numFmtId="38" fontId="9" fillId="0" borderId="0" xfId="0" applyNumberFormat="1" applyFont="1" applyFill="1" applyAlignment="1" applyProtection="1">
      <alignment horizontal="left" vertical="top" wrapText="1" indent="1"/>
    </xf>
    <xf numFmtId="4" fontId="9" fillId="0" borderId="0" xfId="0" applyNumberFormat="1" applyFont="1" applyFill="1" applyAlignment="1" applyProtection="1">
      <alignment horizontal="right" vertical="top" indent="1"/>
    </xf>
    <xf numFmtId="38" fontId="9" fillId="0" borderId="3" xfId="0" applyNumberFormat="1" applyFont="1" applyFill="1" applyBorder="1" applyAlignment="1" applyProtection="1">
      <alignment horizontal="left" vertical="top" wrapText="1" indent="1"/>
    </xf>
    <xf numFmtId="4" fontId="9" fillId="0" borderId="3" xfId="0" applyNumberFormat="1" applyFont="1" applyFill="1" applyBorder="1" applyAlignment="1" applyProtection="1">
      <alignment horizontal="right" vertical="top"/>
    </xf>
    <xf numFmtId="4" fontId="9" fillId="0" borderId="3" xfId="0" applyNumberFormat="1" applyFont="1" applyFill="1" applyBorder="1" applyAlignment="1" applyProtection="1">
      <alignment horizontal="right" vertical="top" indent="1"/>
    </xf>
    <xf numFmtId="0" fontId="28" fillId="0" borderId="5" xfId="0" applyNumberFormat="1" applyFont="1" applyFill="1" applyBorder="1" applyAlignment="1" applyProtection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left" vertical="top" wrapText="1" indent="1"/>
    </xf>
    <xf numFmtId="0" fontId="28" fillId="0" borderId="5" xfId="0" applyNumberFormat="1" applyFont="1" applyFill="1" applyBorder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28" fillId="0" borderId="0" xfId="0" applyNumberFormat="1" applyFont="1" applyFill="1" applyAlignment="1" applyProtection="1">
      <alignment horizontal="right" vertical="top" indent="1"/>
    </xf>
    <xf numFmtId="4" fontId="28" fillId="0" borderId="0" xfId="0" applyNumberFormat="1" applyFont="1" applyFill="1" applyAlignment="1" applyProtection="1">
      <alignment horizontal="right" vertical="top" wrapText="1" indent="1"/>
    </xf>
    <xf numFmtId="4" fontId="30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9" fillId="0" borderId="0" xfId="0" applyNumberFormat="1" applyFont="1" applyBorder="1" applyAlignment="1">
      <alignment horizontal="right" vertical="top" indent="1"/>
    </xf>
    <xf numFmtId="0" fontId="28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0" xfId="0" applyNumberFormat="1" applyFont="1" applyFill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horizontal="left" vertical="top" wrapText="1" indent="1"/>
    </xf>
    <xf numFmtId="4" fontId="28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Alignment="1">
      <alignment horizontal="right" vertical="top" wrapText="1" indent="1"/>
    </xf>
    <xf numFmtId="4" fontId="9" fillId="0" borderId="3" xfId="0" applyNumberFormat="1" applyFont="1" applyBorder="1" applyAlignment="1">
      <alignment horizontal="right" vertical="top" indent="1"/>
    </xf>
    <xf numFmtId="0" fontId="11" fillId="0" borderId="0" xfId="0" applyNumberFormat="1" applyFont="1" applyFill="1" applyBorder="1" applyAlignment="1" applyProtection="1">
      <alignment horizontal="left" vertical="top" wrapText="1" indent="1"/>
    </xf>
    <xf numFmtId="4" fontId="22" fillId="0" borderId="0" xfId="0" applyNumberFormat="1" applyFont="1" applyFill="1" applyBorder="1" applyAlignment="1" applyProtection="1">
      <alignment horizontal="right" vertical="top"/>
    </xf>
    <xf numFmtId="4" fontId="22" fillId="0" borderId="0" xfId="0" applyNumberFormat="1" applyFont="1" applyFill="1" applyBorder="1" applyAlignment="1" applyProtection="1">
      <alignment horizontal="right" vertical="top" indent="1"/>
    </xf>
    <xf numFmtId="4" fontId="24" fillId="0" borderId="0" xfId="0" applyNumberFormat="1" applyFont="1" applyAlignment="1">
      <alignment horizontal="right" vertical="top" indent="1"/>
    </xf>
    <xf numFmtId="4" fontId="24" fillId="0" borderId="0" xfId="0" applyNumberFormat="1" applyFont="1" applyAlignment="1">
      <alignment horizontal="right" vertical="top" indent="2"/>
    </xf>
    <xf numFmtId="2" fontId="28" fillId="0" borderId="5" xfId="0" applyNumberFormat="1" applyFont="1" applyFill="1" applyBorder="1" applyAlignment="1" applyProtection="1">
      <alignment horizontal="right" vertical="top" indent="1"/>
    </xf>
    <xf numFmtId="2" fontId="11" fillId="0" borderId="0" xfId="0" applyNumberFormat="1" applyFont="1" applyFill="1" applyAlignment="1" applyProtection="1">
      <alignment horizontal="right" vertical="top" indent="1"/>
    </xf>
    <xf numFmtId="2" fontId="9" fillId="0" borderId="0" xfId="0" applyNumberFormat="1" applyFont="1" applyFill="1" applyAlignment="1" applyProtection="1">
      <alignment horizontal="right" vertical="top" indent="1"/>
    </xf>
    <xf numFmtId="38" fontId="9" fillId="0" borderId="0" xfId="0" applyNumberFormat="1" applyFont="1" applyFill="1" applyBorder="1" applyAlignment="1" applyProtection="1">
      <alignment horizontal="left" vertical="top" wrapText="1" indent="1"/>
    </xf>
    <xf numFmtId="2" fontId="9" fillId="0" borderId="0" xfId="0" applyNumberFormat="1" applyFont="1" applyFill="1" applyBorder="1" applyAlignment="1" applyProtection="1">
      <alignment horizontal="right" vertical="top" indent="1"/>
    </xf>
    <xf numFmtId="4" fontId="9" fillId="0" borderId="0" xfId="0" applyNumberFormat="1" applyFont="1" applyFill="1" applyBorder="1" applyAlignment="1" applyProtection="1">
      <alignment horizontal="right" vertical="center"/>
    </xf>
    <xf numFmtId="0" fontId="29" fillId="0" borderId="5" xfId="0" applyNumberFormat="1" applyFont="1" applyFill="1" applyBorder="1" applyAlignment="1" applyProtection="1"/>
    <xf numFmtId="2" fontId="9" fillId="0" borderId="3" xfId="0" applyNumberFormat="1" applyFont="1" applyBorder="1" applyAlignment="1">
      <alignment horizontal="right" vertical="top" wrapText="1" indent="1"/>
    </xf>
    <xf numFmtId="38" fontId="9" fillId="0" borderId="0" xfId="0" applyNumberFormat="1" applyFont="1" applyFill="1" applyBorder="1" applyAlignment="1" applyProtection="1">
      <alignment horizontal="center" vertical="top"/>
    </xf>
    <xf numFmtId="38" fontId="9" fillId="0" borderId="0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right" vertical="center" indent="1"/>
    </xf>
    <xf numFmtId="4" fontId="11" fillId="0" borderId="0" xfId="0" applyNumberFormat="1" applyFont="1" applyFill="1" applyAlignment="1" applyProtection="1">
      <alignment horizontal="right" vertical="center" indent="1"/>
    </xf>
    <xf numFmtId="4" fontId="11" fillId="0" borderId="3" xfId="0" applyNumberFormat="1" applyFont="1" applyFill="1" applyBorder="1" applyAlignment="1" applyProtection="1">
      <alignment horizontal="right" vertical="top" indent="1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3" fillId="0" borderId="0" xfId="0" applyNumberFormat="1" applyFont="1" applyAlignment="1">
      <alignment horizontal="right" vertical="top"/>
    </xf>
    <xf numFmtId="2" fontId="25" fillId="0" borderId="0" xfId="0" applyNumberFormat="1" applyFont="1" applyAlignment="1">
      <alignment horizontal="right" vertical="top" indent="1"/>
    </xf>
    <xf numFmtId="2" fontId="11" fillId="0" borderId="3" xfId="0" applyNumberFormat="1" applyFont="1" applyFill="1" applyBorder="1" applyAlignment="1" applyProtection="1">
      <alignment horizontal="right" vertical="top" indent="1"/>
    </xf>
    <xf numFmtId="4" fontId="32" fillId="0" borderId="0" xfId="0" applyNumberFormat="1" applyFont="1" applyAlignment="1">
      <alignment horizontal="right" vertical="top" indent="1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4" fillId="0" borderId="0" xfId="0" applyFont="1"/>
    <xf numFmtId="38" fontId="35" fillId="0" borderId="0" xfId="0" applyNumberFormat="1" applyFont="1" applyFill="1" applyBorder="1" applyAlignment="1" applyProtection="1">
      <alignment horizontal="left" wrapText="1"/>
    </xf>
    <xf numFmtId="4" fontId="35" fillId="0" borderId="0" xfId="0" applyNumberFormat="1" applyFont="1" applyFill="1" applyBorder="1" applyAlignment="1" applyProtection="1">
      <alignment horizontal="right" vertical="top"/>
    </xf>
    <xf numFmtId="2" fontId="35" fillId="0" borderId="0" xfId="0" applyNumberFormat="1" applyFont="1" applyFill="1" applyBorder="1" applyAlignment="1" applyProtection="1">
      <alignment horizontal="right" vertical="top" inden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0"/>
  <sheetViews>
    <sheetView tabSelected="1" zoomScale="99" zoomScaleNormal="99" workbookViewId="0">
      <selection activeCell="B122" sqref="B122"/>
    </sheetView>
  </sheetViews>
  <sheetFormatPr defaultRowHeight="15.75" x14ac:dyDescent="0.25"/>
  <cols>
    <col min="1" max="1" width="29.75" style="7" customWidth="1"/>
    <col min="2" max="2" width="12.25" style="7" customWidth="1"/>
    <col min="3" max="3" width="10.5" style="7" customWidth="1"/>
    <col min="4" max="4" width="9" style="7" customWidth="1"/>
    <col min="5" max="5" width="8.75" style="7" customWidth="1"/>
    <col min="6" max="6" width="9.875" style="7" customWidth="1"/>
    <col min="7" max="7" width="9.375" style="7" customWidth="1"/>
  </cols>
  <sheetData>
    <row r="1" spans="1:7" x14ac:dyDescent="0.25">
      <c r="A1" s="91" t="s">
        <v>408</v>
      </c>
      <c r="B1" s="91"/>
      <c r="C1" s="91"/>
      <c r="D1" s="91"/>
      <c r="E1" s="91"/>
      <c r="F1" s="91"/>
      <c r="G1" s="91"/>
    </row>
    <row r="3" spans="1:7" ht="54" customHeight="1" x14ac:dyDescent="0.25">
      <c r="A3" s="92"/>
      <c r="B3" s="95" t="s">
        <v>349</v>
      </c>
      <c r="C3" s="96"/>
      <c r="D3" s="95" t="s">
        <v>108</v>
      </c>
      <c r="E3" s="96"/>
      <c r="F3" s="97" t="s">
        <v>1</v>
      </c>
      <c r="G3" s="98"/>
    </row>
    <row r="4" spans="1:7" ht="22.5" customHeight="1" x14ac:dyDescent="0.25">
      <c r="A4" s="93"/>
      <c r="B4" s="99" t="s">
        <v>99</v>
      </c>
      <c r="C4" s="101" t="s">
        <v>350</v>
      </c>
      <c r="D4" s="103" t="s">
        <v>351</v>
      </c>
      <c r="E4" s="103"/>
      <c r="F4" s="103" t="s">
        <v>398</v>
      </c>
      <c r="G4" s="95"/>
    </row>
    <row r="5" spans="1:7" ht="28.5" customHeight="1" x14ac:dyDescent="0.25">
      <c r="A5" s="94"/>
      <c r="B5" s="100"/>
      <c r="C5" s="102"/>
      <c r="D5" s="20">
        <v>2020</v>
      </c>
      <c r="E5" s="20">
        <v>2021</v>
      </c>
      <c r="F5" s="20">
        <v>2020</v>
      </c>
      <c r="G5" s="16">
        <v>2021</v>
      </c>
    </row>
    <row r="6" spans="1:7" ht="15.75" customHeight="1" x14ac:dyDescent="0.25">
      <c r="A6" s="51" t="s">
        <v>100</v>
      </c>
      <c r="B6" s="42">
        <v>2103349.3090300001</v>
      </c>
      <c r="C6" s="43">
        <f>IF(1737475.58788="","-",2103349.30903/1737475.58788*100)</f>
        <v>121.05777621868201</v>
      </c>
      <c r="D6" s="43">
        <v>100</v>
      </c>
      <c r="E6" s="43">
        <v>100</v>
      </c>
      <c r="F6" s="43">
        <f>IF(2025977.54466="","-",(1737475.58788-2025977.54466)/2025977.54466*100)</f>
        <v>-14.240135955130556</v>
      </c>
      <c r="G6" s="43">
        <f>IF(1737475.58788="","-",(2103349.30903-1737475.58788)/1737475.58788*100)</f>
        <v>21.057776218682012</v>
      </c>
    </row>
    <row r="7" spans="1:7" x14ac:dyDescent="0.25">
      <c r="A7" s="41" t="s">
        <v>320</v>
      </c>
      <c r="B7" s="74"/>
      <c r="C7" s="75"/>
      <c r="D7" s="75"/>
      <c r="E7" s="75"/>
      <c r="F7" s="75"/>
      <c r="G7" s="75"/>
    </row>
    <row r="8" spans="1:7" x14ac:dyDescent="0.25">
      <c r="A8" s="44" t="s">
        <v>142</v>
      </c>
      <c r="B8" s="32">
        <v>1288481.51513</v>
      </c>
      <c r="C8" s="45">
        <f>IF(1141098.49545="","-",1288481.51513/1141098.49545*100)</f>
        <v>112.91588940548716</v>
      </c>
      <c r="D8" s="45">
        <f>IF(1141098.49545="","-",1141098.49545/1737475.58788*100)</f>
        <v>65.67565630331093</v>
      </c>
      <c r="E8" s="45">
        <f>IF(1288481.51513="","-",1288481.51513/2103396.42877*100)</f>
        <v>61.257188493158345</v>
      </c>
      <c r="F8" s="45">
        <f>IF(2025977.54466="","-",(1141098.49545-1289470.65466)/2025977.54466*100)</f>
        <v>-7.3234848826964569</v>
      </c>
      <c r="G8" s="45">
        <f>IF(1737475.58788="","-",(1288481.51513-1141098.49545)/1737475.58788*100)</f>
        <v>8.4825951344634962</v>
      </c>
    </row>
    <row r="9" spans="1:7" ht="15.75" customHeight="1" x14ac:dyDescent="0.25">
      <c r="A9" s="46" t="s">
        <v>2</v>
      </c>
      <c r="B9" s="33">
        <v>564960.02157999994</v>
      </c>
      <c r="C9" s="47">
        <f>IF(OR(485645.87832="",564960.02158=""),"-",564960.02158/485645.87832*100)</f>
        <v>116.33168256968889</v>
      </c>
      <c r="D9" s="47">
        <f>IF(485645.87832="","-",485645.87832/1737475.58788*100)</f>
        <v>27.951234636485811</v>
      </c>
      <c r="E9" s="47">
        <f>IF(564960.02158="","-",564960.02158/2103396.42877*100)</f>
        <v>26.859417171796316</v>
      </c>
      <c r="F9" s="47">
        <f>IF(OR(2025977.54466="",571993.18397="",485645.87832=""),"-",(485645.87832-571993.18397)/2025977.54466*100)</f>
        <v>-4.2620070433451334</v>
      </c>
      <c r="G9" s="47">
        <f>IF(OR(1737475.58788="",564960.02158="",485645.87832=""),"-",(564960.02158-485645.87832)/1737475.58788*100)</f>
        <v>4.5649069151397947</v>
      </c>
    </row>
    <row r="10" spans="1:7" ht="15.75" customHeight="1" x14ac:dyDescent="0.25">
      <c r="A10" s="46" t="s">
        <v>4</v>
      </c>
      <c r="B10" s="33">
        <v>187902.20155999999</v>
      </c>
      <c r="C10" s="47">
        <f>IF(OR(162216.33362="",187902.20156=""),"-",187902.20156/162216.33362*100)</f>
        <v>115.83432898944102</v>
      </c>
      <c r="D10" s="47">
        <f>IF(162216.33362="","-",162216.33362/1737475.58788*100)</f>
        <v>9.3363230396767776</v>
      </c>
      <c r="E10" s="47">
        <f>IF(187902.20156="","-",187902.20156/2103396.42877*100)</f>
        <v>8.9332756768955477</v>
      </c>
      <c r="F10" s="47">
        <f>IF(OR(2025977.54466="",181909.45768="",162216.33362=""),"-",(162216.33362-181909.45768)/2025977.54466*100)</f>
        <v>-0.97203071731502866</v>
      </c>
      <c r="G10" s="47">
        <f>IF(OR(1737475.58788="",187902.20156="",162216.33362=""),"-",(187902.20156-162216.33362)/1737475.58788*100)</f>
        <v>1.4783441056193998</v>
      </c>
    </row>
    <row r="11" spans="1:7" ht="13.5" customHeight="1" x14ac:dyDescent="0.25">
      <c r="A11" s="46" t="s">
        <v>3</v>
      </c>
      <c r="B11" s="33">
        <v>157045.45701000001</v>
      </c>
      <c r="C11" s="47">
        <f>IF(OR(152786.40842="",157045.45701=""),"-",157045.45701/152786.40842*100)</f>
        <v>102.78758342056982</v>
      </c>
      <c r="D11" s="47">
        <f>IF(152786.40842="","-",152786.40842/1737475.58788*100)</f>
        <v>8.793585906229854</v>
      </c>
      <c r="E11" s="47">
        <f>IF(157045.45701="","-",157045.45701/2103396.42877*100)</f>
        <v>7.4662795306653278</v>
      </c>
      <c r="F11" s="47">
        <f>IF(OR(2025977.54466="",206768.43293="",152786.40842=""),"-",(152786.40842-206768.43293)/2025977.54466*100)</f>
        <v>-2.6644927359774511</v>
      </c>
      <c r="G11" s="47">
        <f>IF(OR(1737475.58788="",157045.45701="",152786.40842=""),"-",(157045.45701-152786.40842)/1737475.58788*100)</f>
        <v>0.24512854279562829</v>
      </c>
    </row>
    <row r="12" spans="1:7" ht="15.75" customHeight="1" x14ac:dyDescent="0.25">
      <c r="A12" s="46" t="s">
        <v>5</v>
      </c>
      <c r="B12" s="33">
        <v>76744.803870000003</v>
      </c>
      <c r="C12" s="47">
        <f>IF(OR(73089.08248="",76744.80387=""),"-",76744.80387/73089.08248*100)</f>
        <v>105.00173386497273</v>
      </c>
      <c r="D12" s="47">
        <f>IF(73089.08248="","-",73089.08248/1737475.58788*100)</f>
        <v>4.2066250018039364</v>
      </c>
      <c r="E12" s="47">
        <f>IF(76744.80387="","-",76744.80387/2103396.42877*100)</f>
        <v>3.6486133959482832</v>
      </c>
      <c r="F12" s="47">
        <f>IF(OR(2025977.54466="",80428.17802="",73089.08248=""),"-",(73089.08248-80428.17802)/2025977.54466*100)</f>
        <v>-0.36224959942641705</v>
      </c>
      <c r="G12" s="47">
        <f>IF(OR(1737475.58788="",76744.80387="",73089.08248=""),"-",(76744.80387-73089.08248)/1737475.58788*100)</f>
        <v>0.21040418728763693</v>
      </c>
    </row>
    <row r="13" spans="1:7" s="12" customFormat="1" x14ac:dyDescent="0.25">
      <c r="A13" s="46" t="s">
        <v>7</v>
      </c>
      <c r="B13" s="33">
        <v>60180.038869999997</v>
      </c>
      <c r="C13" s="47">
        <f>IF(OR(57395.94823="",60180.03887=""),"-",60180.03887/57395.94823*100)</f>
        <v>104.85067452643773</v>
      </c>
      <c r="D13" s="47">
        <f>IF(57395.94823="","-",57395.94823/1737475.58788*100)</f>
        <v>3.3034103402875603</v>
      </c>
      <c r="E13" s="47">
        <f>IF(60180.03887="","-",60180.03887/2103396.42877*100)</f>
        <v>2.8610887632433317</v>
      </c>
      <c r="F13" s="47">
        <f>IF(OR(2025977.54466="",41936.67614="",57395.94823=""),"-",(57395.94823-41936.67614)/2025977.54466*100)</f>
        <v>0.76305248943883919</v>
      </c>
      <c r="G13" s="47">
        <f>IF(OR(1737475.58788="",60180.03887="",57395.94823=""),"-",(60180.03887-57395.94823)/1737475.58788*100)</f>
        <v>0.16023768388003851</v>
      </c>
    </row>
    <row r="14" spans="1:7" s="12" customFormat="1" x14ac:dyDescent="0.25">
      <c r="A14" s="46" t="s">
        <v>6</v>
      </c>
      <c r="B14" s="33">
        <v>39863.774279999998</v>
      </c>
      <c r="C14" s="47">
        <f>IF(OR(28849.81433="",39863.77428=""),"-",39863.77428/28849.81433*100)</f>
        <v>138.17688330335955</v>
      </c>
      <c r="D14" s="47">
        <f>IF(28849.81433="","-",28849.81433/1737475.58788*100)</f>
        <v>1.6604442981096166</v>
      </c>
      <c r="E14" s="47">
        <f>IF(39863.77428="","-",39863.77428/2103349.30903*100)</f>
        <v>1.8952522107887035</v>
      </c>
      <c r="F14" s="47">
        <f>IF(OR(2025977.54466="",35518.75181="",28849.81433=""),"-",(28849.81433-35518.75181)/2025977.54466*100)</f>
        <v>-0.32917134237631362</v>
      </c>
      <c r="G14" s="47">
        <f>IF(OR(1737475.58788="",39863.77428="",28849.81433=""),"-",(39863.77428-28849.81433)/1737475.58788*100)</f>
        <v>0.63390588200659559</v>
      </c>
    </row>
    <row r="15" spans="1:7" s="12" customFormat="1" x14ac:dyDescent="0.25">
      <c r="A15" s="46" t="s">
        <v>42</v>
      </c>
      <c r="B15" s="33">
        <v>29367.785769999999</v>
      </c>
      <c r="C15" s="47" t="s">
        <v>103</v>
      </c>
      <c r="D15" s="47">
        <f>IF(16961.98669="","-",16961.98669/1737475.58788*100)</f>
        <v>0.9762431661383143</v>
      </c>
      <c r="E15" s="47">
        <f>IF(29367.78577="","-",29367.78577/2103396.42877*100)</f>
        <v>1.3962078364454271</v>
      </c>
      <c r="F15" s="47">
        <f>IF(OR(2025977.54466="",6804.82704="",16961.98669=""),"-",(16961.98669-6804.82704)/2025977.54466*100)</f>
        <v>0.501346111992795</v>
      </c>
      <c r="G15" s="47">
        <f>IF(OR(1737475.58788="",29367.78577="",16961.98669=""),"-",(29367.78577-16961.98669)/1737475.58788*100)</f>
        <v>0.7140128567295192</v>
      </c>
    </row>
    <row r="16" spans="1:7" s="12" customFormat="1" x14ac:dyDescent="0.25">
      <c r="A16" s="46" t="s">
        <v>10</v>
      </c>
      <c r="B16" s="33">
        <v>26262.042160000001</v>
      </c>
      <c r="C16" s="47">
        <f>IF(OR(25874.58039="",26262.04216=""),"-",26262.04216/25874.58039*100)</f>
        <v>101.49746107631468</v>
      </c>
      <c r="D16" s="47">
        <f>IF(25874.58039="","-",25874.58039/1737475.58788*100)</f>
        <v>1.4892054064236466</v>
      </c>
      <c r="E16" s="47">
        <f>IF(26262.04216="","-",26262.04216/2103396.42877*100)</f>
        <v>1.2485540909355453</v>
      </c>
      <c r="F16" s="47">
        <f>IF(OR(2025977.54466="",25412.43392="",25874.58039=""),"-",(25874.58039-25412.43392)/2025977.54466*100)</f>
        <v>2.2811036144902447E-2</v>
      </c>
      <c r="G16" s="47">
        <f>IF(OR(1737475.58788="",26262.04216="",25874.58039=""),"-",(26262.04216-25874.58039)/1737475.58788*100)</f>
        <v>2.2300271307567978E-2</v>
      </c>
    </row>
    <row r="17" spans="1:7" s="12" customFormat="1" x14ac:dyDescent="0.25">
      <c r="A17" s="46" t="s">
        <v>356</v>
      </c>
      <c r="B17" s="33">
        <v>23529.454730000001</v>
      </c>
      <c r="C17" s="47">
        <f>IF(OR(23108.66947="",23529.45473=""),"-",23529.45473/23108.66947*100)</f>
        <v>101.82089782601405</v>
      </c>
      <c r="D17" s="47">
        <f>IF(23108.66947="","-",23108.66947/1737475.58788*100)</f>
        <v>1.3300140520648291</v>
      </c>
      <c r="E17" s="47">
        <f>IF(23529.45473="","-",23529.45473/2103396.42877*100)</f>
        <v>1.1186409945442042</v>
      </c>
      <c r="F17" s="47">
        <f>IF(OR(2025977.54466="",24901.85569="",23108.66947=""),"-",(23108.66947-24901.85569)/2025977.54466*100)</f>
        <v>-8.8509678931359165E-2</v>
      </c>
      <c r="G17" s="47">
        <f>IF(OR(1737475.58788="",23529.45473="",23108.66947=""),"-",(23529.45473-23108.66947)/1737475.58788*100)</f>
        <v>2.4218196959729741E-2</v>
      </c>
    </row>
    <row r="18" spans="1:7" s="12" customFormat="1" x14ac:dyDescent="0.25">
      <c r="A18" s="46" t="s">
        <v>40</v>
      </c>
      <c r="B18" s="33">
        <v>20909.852129999999</v>
      </c>
      <c r="C18" s="47">
        <f>IF(OR(23538.44809="",20909.85213=""),"-",20909.85213/23538.44809*100)</f>
        <v>88.832755881146113</v>
      </c>
      <c r="D18" s="47">
        <f>IF(23538.44809="","-",23538.44809/1737475.58788*100)</f>
        <v>1.3547498597503</v>
      </c>
      <c r="E18" s="47">
        <f>IF(20909.85213="","-",20909.85213/2103396.42877*100)</f>
        <v>0.99409944050477539</v>
      </c>
      <c r="F18" s="47">
        <f>IF(OR(2025977.54466="",23567.17997="",23538.44809=""),"-",(23538.44809-23567.17997)/2025977.54466*100)</f>
        <v>-1.4181736651390753E-3</v>
      </c>
      <c r="G18" s="47">
        <f>IF(OR(1737475.58788="",20909.85213="",23538.44809=""),"-",(20909.85213-23538.44809)/1737475.58788*100)</f>
        <v>-0.15128822403814679</v>
      </c>
    </row>
    <row r="19" spans="1:7" s="14" customFormat="1" x14ac:dyDescent="0.25">
      <c r="A19" s="46" t="s">
        <v>9</v>
      </c>
      <c r="B19" s="33">
        <v>20502.342830000001</v>
      </c>
      <c r="C19" s="47">
        <f>IF(OR(23648.08193="",20502.34283=""),"-",20502.34283/23648.08193*100)</f>
        <v>86.69769874228443</v>
      </c>
      <c r="D19" s="47">
        <f>IF(23648.08193="","-",23648.08193/1737475.58788*100)</f>
        <v>1.3610598097009505</v>
      </c>
      <c r="E19" s="47">
        <f>IF(20502.34283="","-",20502.34283/2103396.42877*100)</f>
        <v>0.97472557001483195</v>
      </c>
      <c r="F19" s="47">
        <f>IF(OR(2025977.54466="",22860.25702="",23648.08193=""),"-",(23648.08193-22860.25702)/2025977.54466*100)</f>
        <v>3.8886161995058656E-2</v>
      </c>
      <c r="G19" s="47">
        <f>IF(OR(1737475.58788="",20502.34283="",23648.08193=""),"-",(20502.34283-23648.08193)/1737475.58788*100)</f>
        <v>-0.18105227618411071</v>
      </c>
    </row>
    <row r="20" spans="1:7" s="12" customFormat="1" x14ac:dyDescent="0.25">
      <c r="A20" s="46" t="s">
        <v>41</v>
      </c>
      <c r="B20" s="33">
        <v>16551.938160000002</v>
      </c>
      <c r="C20" s="47" t="s">
        <v>20</v>
      </c>
      <c r="D20" s="47">
        <f>IF(8421.95879="","-",8421.95879/1737475.58788*100)</f>
        <v>0.48472386310049664</v>
      </c>
      <c r="E20" s="47">
        <f>IF(16551.93816="","-",16551.93816/2103396.42877*100)</f>
        <v>0.78691481708367517</v>
      </c>
      <c r="F20" s="47">
        <f>IF(OR(2025977.54466="",10504.59952="",8421.95879=""),"-",(8421.95879-10504.59952)/2025977.54466*100)</f>
        <v>-0.10279683185479276</v>
      </c>
      <c r="G20" s="47">
        <f>IF(OR(1737475.58788="",16551.93816="",8421.95879=""),"-",(16551.93816-8421.95879)/1737475.58788*100)</f>
        <v>0.46791905605533629</v>
      </c>
    </row>
    <row r="21" spans="1:7" s="12" customFormat="1" x14ac:dyDescent="0.25">
      <c r="A21" s="46" t="s">
        <v>51</v>
      </c>
      <c r="B21" s="33">
        <v>16158.78217</v>
      </c>
      <c r="C21" s="47" t="s">
        <v>209</v>
      </c>
      <c r="D21" s="47">
        <f>IF(9101.07578="","-",9101.07578/1737475.58788*100)</f>
        <v>0.52381028219825387</v>
      </c>
      <c r="E21" s="47">
        <f>IF(16158.78217="","-",16158.78217/2103396.42877*100)</f>
        <v>0.76822333388904473</v>
      </c>
      <c r="F21" s="47">
        <f>IF(OR(2025977.54466="",146.4413="",9101.07578=""),"-",(9101.07578-146.4413)/2025977.54466*100)</f>
        <v>0.44199080604828561</v>
      </c>
      <c r="G21" s="47">
        <f>IF(OR(1737475.58788="",16158.78217="",9101.07578=""),"-",(16158.78217-9101.07578)/1737475.58788*100)</f>
        <v>0.40620463615327912</v>
      </c>
    </row>
    <row r="22" spans="1:7" s="12" customFormat="1" x14ac:dyDescent="0.25">
      <c r="A22" s="46" t="s">
        <v>8</v>
      </c>
      <c r="B22" s="33">
        <v>15554.980750000001</v>
      </c>
      <c r="C22" s="47">
        <f>IF(OR(15773.65486="",15554.98075=""),"-",15554.98075/15773.65486*100)</f>
        <v>98.613675068074869</v>
      </c>
      <c r="D22" s="47">
        <f>IF(15773.65486="","-",15773.65486/1737475.58788*100)</f>
        <v>0.9078490063418041</v>
      </c>
      <c r="E22" s="47">
        <f>IF(15554.98075="","-",15554.98075/2103396.42877*100)</f>
        <v>0.73951731291547651</v>
      </c>
      <c r="F22" s="47">
        <f>IF(OR(2025977.54466="",20742.6282="",15773.65486=""),"-",(15773.65486-20742.6282)/2025977.54466*100)</f>
        <v>-0.24526300170981868</v>
      </c>
      <c r="G22" s="47">
        <f>IF(OR(1737475.58788="",15554.98075="",15773.65486=""),"-",(15554.98075-15773.65486)/1737475.58788*100)</f>
        <v>-1.2585737119150984E-2</v>
      </c>
    </row>
    <row r="23" spans="1:7" s="12" customFormat="1" x14ac:dyDescent="0.25">
      <c r="A23" s="46" t="s">
        <v>44</v>
      </c>
      <c r="B23" s="33">
        <v>10544.08345</v>
      </c>
      <c r="C23" s="47" t="s">
        <v>104</v>
      </c>
      <c r="D23" s="47">
        <f>IF(6599.21807="","-",6599.21807/1737475.58788*100)</f>
        <v>0.37981644841710316</v>
      </c>
      <c r="E23" s="47">
        <f>IF(10544.08345="","-",10544.08345/2103396.42877*100)</f>
        <v>0.5012884545100158</v>
      </c>
      <c r="F23" s="47">
        <f>IF(OR(2025977.54466="",9799.82699="",6599.21807=""),"-",(6599.21807-9799.82699)/2025977.54466*100)</f>
        <v>-0.15797849924033225</v>
      </c>
      <c r="G23" s="47">
        <f>IF(OR(1737475.58788="",10544.08345="",6599.21807=""),"-",(10544.08345-6599.21807)/1737475.58788*100)</f>
        <v>0.22704580182409187</v>
      </c>
    </row>
    <row r="24" spans="1:7" s="12" customFormat="1" x14ac:dyDescent="0.25">
      <c r="A24" s="46" t="s">
        <v>43</v>
      </c>
      <c r="B24" s="33">
        <v>4832.6456099999996</v>
      </c>
      <c r="C24" s="47">
        <f>IF(OR(4980.94004="",4832.64561=""),"-",4832.64561/4980.94004*100)</f>
        <v>97.022762193298746</v>
      </c>
      <c r="D24" s="47">
        <f>IF(4980.94004="","-",4980.94004/1737475.58788*100)</f>
        <v>0.28667683590752197</v>
      </c>
      <c r="E24" s="47">
        <f>IF(4832.64561="","-",4832.64561/2103396.42877*100)</f>
        <v>0.22975438884937058</v>
      </c>
      <c r="F24" s="47">
        <f>IF(OR(2025977.54466="",6366.4125="",4980.94004=""),"-",(4980.94004-6366.4125)/2025977.54466*100)</f>
        <v>-6.8385380857343622E-2</v>
      </c>
      <c r="G24" s="47">
        <f>IF(OR(1737475.58788="",4832.64561="",4980.94004=""),"-",(4832.64561-4980.94004)/1737475.58788*100)</f>
        <v>-8.535051141693676E-3</v>
      </c>
    </row>
    <row r="25" spans="1:7" s="12" customFormat="1" x14ac:dyDescent="0.25">
      <c r="A25" s="46" t="s">
        <v>45</v>
      </c>
      <c r="B25" s="33">
        <v>4560.4076400000004</v>
      </c>
      <c r="C25" s="47">
        <f>IF(OR(5288.03884="",4560.40764=""),"-",4560.40764/5288.03884*100)</f>
        <v>86.240055680075159</v>
      </c>
      <c r="D25" s="47">
        <f>IF(5288.03884="","-",5288.03884/1737475.58788*100)</f>
        <v>0.30435183532289273</v>
      </c>
      <c r="E25" s="47">
        <f>IF(4560.40764="","-",4560.40764/2103396.42877*100)</f>
        <v>0.21681160895888671</v>
      </c>
      <c r="F25" s="47">
        <f>IF(OR(2025977.54466="",5687.62943="",5288.03884=""),"-",(5288.03884-5687.62943)/2025977.54466*100)</f>
        <v>-1.9723347430637944E-2</v>
      </c>
      <c r="G25" s="47">
        <f>IF(OR(1737475.58788="",4560.40764="",5288.03884=""),"-",(4560.40764-5288.03884)/1737475.58788*100)</f>
        <v>-4.1878643077099403E-2</v>
      </c>
    </row>
    <row r="26" spans="1:7" s="7" customFormat="1" x14ac:dyDescent="0.25">
      <c r="A26" s="46" t="s">
        <v>47</v>
      </c>
      <c r="B26" s="33">
        <v>4362.3726500000002</v>
      </c>
      <c r="C26" s="47">
        <f>IF(OR(10063.699="",4362.37265=""),"-",4362.37265/10063.699*100)</f>
        <v>43.347606580840704</v>
      </c>
      <c r="D26" s="47">
        <f>IF(10063.699="","-",10063.699/1737475.58788*100)</f>
        <v>0.57921383587779407</v>
      </c>
      <c r="E26" s="47">
        <f>IF(4362.37265="","-",4362.37265/2103396.42877*100)</f>
        <v>0.20739659867878438</v>
      </c>
      <c r="F26" s="47">
        <f>IF(OR(2025977.54466="",8294.22635="",10063.699=""),"-",(10063.699-8294.22635)/2025977.54466*100)</f>
        <v>8.7339203470636353E-2</v>
      </c>
      <c r="G26" s="47">
        <f>IF(OR(1737475.58788="",4362.37265="",10063.699=""),"-",(4362.37265-10063.699)/1737475.58788*100)</f>
        <v>-0.3281385010396915</v>
      </c>
    </row>
    <row r="27" spans="1:7" s="7" customFormat="1" x14ac:dyDescent="0.25">
      <c r="A27" s="46" t="s">
        <v>46</v>
      </c>
      <c r="B27" s="33">
        <v>3126.6557499999999</v>
      </c>
      <c r="C27" s="47">
        <f>IF(OR(3854.37644="",3126.65575=""),"-",3126.65575/3854.37644*100)</f>
        <v>81.119625928390121</v>
      </c>
      <c r="D27" s="47">
        <f>IF(3854.37644="","-",3854.37644/1737475.58788*100)</f>
        <v>0.22183773210321533</v>
      </c>
      <c r="E27" s="47">
        <f>IF(3126.65575="","-",3126.65575/2103396.42877*100)</f>
        <v>0.14864795372065787</v>
      </c>
      <c r="F27" s="47">
        <f>IF(OR(2025977.54466="",2618.69697="",3854.37644=""),"-",(3854.37644-2618.69697)/2025977.54466*100)</f>
        <v>6.0991765345917104E-2</v>
      </c>
      <c r="G27" s="47">
        <f>IF(OR(1737475.58788="",3126.65575="",3854.37644=""),"-",(3126.65575-3854.37644)/1737475.58788*100)</f>
        <v>-4.1883793653062863E-2</v>
      </c>
    </row>
    <row r="28" spans="1:7" s="12" customFormat="1" x14ac:dyDescent="0.25">
      <c r="A28" s="46" t="s">
        <v>49</v>
      </c>
      <c r="B28" s="33">
        <v>1379.19921</v>
      </c>
      <c r="C28" s="47">
        <f>IF(OR(996.17865="",1379.19921=""),"-",1379.19921/996.17865*100)</f>
        <v>138.44898302126833</v>
      </c>
      <c r="D28" s="47">
        <f>IF(996.17865="","-",996.17865/1737475.58788*100)</f>
        <v>5.7334828584008957E-2</v>
      </c>
      <c r="E28" s="47">
        <f>IF(1379.19921="","-",1379.19921/2103396.42877*100)</f>
        <v>6.5570103245183892E-2</v>
      </c>
      <c r="F28" s="47">
        <f>IF(OR(2025977.54466="",790.49321="",996.17865=""),"-",(996.17865-790.49321)/2025977.54466*100)</f>
        <v>1.0152404726406687E-2</v>
      </c>
      <c r="G28" s="47">
        <f>IF(OR(1737475.58788="",1379.19921="",996.17865=""),"-",(1379.19921-996.17865)/1737475.58788*100)</f>
        <v>2.2044658507538905E-2</v>
      </c>
    </row>
    <row r="29" spans="1:7" s="12" customFormat="1" x14ac:dyDescent="0.25">
      <c r="A29" s="46" t="s">
        <v>357</v>
      </c>
      <c r="B29" s="33">
        <v>1291.84709</v>
      </c>
      <c r="C29" s="47">
        <f>IF(OR(1462.08818="",1291.84709=""),"-",1291.84709/1462.08818*100)</f>
        <v>88.356304884429065</v>
      </c>
      <c r="D29" s="47">
        <f>IF(1462.08818="","-",1462.08818/1737475.58788*100)</f>
        <v>8.415014232136539E-2</v>
      </c>
      <c r="E29" s="47">
        <f>IF(1291.84709="","-",1291.84709/2103396.42877*100)</f>
        <v>6.1417195176823196E-2</v>
      </c>
      <c r="F29" s="47">
        <f>IF(OR(2025977.54466="",644.75473="",1462.08818=""),"-",(1462.08818-644.75473)/2025977.54466*100)</f>
        <v>4.0342670734643565E-2</v>
      </c>
      <c r="G29" s="47">
        <f>IF(OR(1737475.58788="",1291.84709="",1462.08818=""),"-",(1291.84709-1462.08818)/1737475.58788*100)</f>
        <v>-9.7981860112188127E-3</v>
      </c>
    </row>
    <row r="30" spans="1:7" s="7" customFormat="1" x14ac:dyDescent="0.25">
      <c r="A30" s="46" t="s">
        <v>48</v>
      </c>
      <c r="B30" s="33">
        <v>1038.66373</v>
      </c>
      <c r="C30" s="47" t="s">
        <v>103</v>
      </c>
      <c r="D30" s="47">
        <f>IF(606.21766="","-",606.21766/1737475.58788*100)</f>
        <v>3.4890715255440401E-2</v>
      </c>
      <c r="E30" s="47">
        <f>IF(1038.66373="","-",1038.66373/2103396.42877*100)</f>
        <v>4.9380312517093031E-2</v>
      </c>
      <c r="F30" s="47">
        <f>IF(OR(2025977.54466="",592.71755="",606.21766=""),"-",(606.21766-592.71755)/2025977.54466*100)</f>
        <v>6.6635042602437411E-4</v>
      </c>
      <c r="G30" s="47">
        <f>IF(OR(1737475.58788="",1038.66373="",606.21766=""),"-",(1038.66373-606.21766)/1737475.58788*100)</f>
        <v>2.4889332144669374E-2</v>
      </c>
    </row>
    <row r="31" spans="1:7" s="7" customFormat="1" x14ac:dyDescent="0.25">
      <c r="A31" s="46" t="s">
        <v>50</v>
      </c>
      <c r="B31" s="33">
        <v>763.18885999999998</v>
      </c>
      <c r="C31" s="47" t="s">
        <v>208</v>
      </c>
      <c r="D31" s="47">
        <f>IF(354.05754="","-",354.05754/1737475.58788*100)</f>
        <v>2.037769868364063E-2</v>
      </c>
      <c r="E31" s="47">
        <f>IF(763.18886="","-",763.18886/2103396.42877*100)</f>
        <v>3.6283643423616951E-2</v>
      </c>
      <c r="F31" s="47">
        <f>IF(OR(2025977.54466="",529.755="",354.05754=""),"-",(354.05754-529.755)/2025977.54466*100)</f>
        <v>-8.6722313612555644E-3</v>
      </c>
      <c r="G31" s="47">
        <f>IF(OR(1737475.58788="",763.18886="",354.05754=""),"-",(763.18886-354.05754)/1737475.58788*100)</f>
        <v>2.3547457176028935E-2</v>
      </c>
    </row>
    <row r="32" spans="1:7" s="7" customFormat="1" x14ac:dyDescent="0.25">
      <c r="A32" s="46" t="s">
        <v>53</v>
      </c>
      <c r="B32" s="33">
        <v>564.98132999999996</v>
      </c>
      <c r="C32" s="47" t="s">
        <v>220</v>
      </c>
      <c r="D32" s="47">
        <f>IF(241.0205="","-",241.0205/1737475.58788*100)</f>
        <v>1.3871878355084334E-2</v>
      </c>
      <c r="E32" s="47">
        <f>IF(564.98133="","-",564.98133/2103396.42877*100)</f>
        <v>2.6860430220012461E-2</v>
      </c>
      <c r="F32" s="47">
        <f>IF(OR(2025977.54466="",64.64568="",241.0205=""),"-",(241.0205-64.64568)/2025977.54466*100)</f>
        <v>8.7056650980600718E-3</v>
      </c>
      <c r="G32" s="47">
        <f>IF(OR(1737475.58788="",564.98133="",241.0205=""),"-",(564.98133-241.0205)/1737475.58788*100)</f>
        <v>1.8645489597657276E-2</v>
      </c>
    </row>
    <row r="33" spans="1:7" s="7" customFormat="1" x14ac:dyDescent="0.25">
      <c r="A33" s="46" t="s">
        <v>52</v>
      </c>
      <c r="B33" s="33">
        <v>472.71483999999998</v>
      </c>
      <c r="C33" s="47" t="s">
        <v>220</v>
      </c>
      <c r="D33" s="47">
        <f>IF(209.6629="","-",209.6629/1737475.58788*100)</f>
        <v>1.2067099040845951E-2</v>
      </c>
      <c r="E33" s="47">
        <f>IF(472.71484="","-",472.71484/2103396.42877*100)</f>
        <v>2.2473882409148556E-2</v>
      </c>
      <c r="F33" s="47">
        <f>IF(OR(2025977.54466="",63.81918="",209.6629=""),"-",(209.6629-63.81918)/2025977.54466*100)</f>
        <v>7.1986839333145489E-3</v>
      </c>
      <c r="G33" s="47">
        <f>IF(OR(1737475.58788="",472.71484="",209.6629=""),"-",(472.71484-209.6629)/1737475.58788*100)</f>
        <v>1.5139892717627515E-2</v>
      </c>
    </row>
    <row r="34" spans="1:7" s="7" customFormat="1" x14ac:dyDescent="0.25">
      <c r="A34" s="46" t="s">
        <v>54</v>
      </c>
      <c r="B34" s="33">
        <v>9.7850300000000008</v>
      </c>
      <c r="C34" s="47">
        <f>IF(OR(28.70659="",9.78503=""),"-",9.78503/28.70659*100)</f>
        <v>34.086354387616232</v>
      </c>
      <c r="D34" s="47">
        <f>IF(28.70659="","-",28.70659/1737475.58788*100)</f>
        <v>1.6522010553844191E-3</v>
      </c>
      <c r="E34" s="47">
        <f>IF(9.78503="","-",9.78503/2103396.42877*100)</f>
        <v>4.6520141739148899E-4</v>
      </c>
      <c r="F34" s="47">
        <f>IF(OR(2025977.54466="",61.68467="",28.70659=""),"-",(28.70659-61.68467)/2025977.54466*100)</f>
        <v>-1.6277613780529036E-3</v>
      </c>
      <c r="G34" s="47">
        <f>IF(OR(1737475.58788="",9.78503="",28.70659=""),"-",(9.78503-28.70659)/1737475.58788*100)</f>
        <v>-1.0890259484501504E-3</v>
      </c>
    </row>
    <row r="35" spans="1:7" s="7" customFormat="1" x14ac:dyDescent="0.25">
      <c r="A35" s="46" t="s">
        <v>55</v>
      </c>
      <c r="B35" s="33">
        <v>1.49407</v>
      </c>
      <c r="C35" s="47">
        <f>IF(OR(2.36964="",1.49407=""),"-",1.49407/2.36964*100)</f>
        <v>63.050505562026302</v>
      </c>
      <c r="D35" s="47">
        <f>IF(2.36964="","-",2.36964/1737475.58788*100)</f>
        <v>1.3638407448885901E-4</v>
      </c>
      <c r="E35" s="47">
        <f>IF(1.49407="","-",1.49407/2103396.42877*100)</f>
        <v>7.1031308200598456E-5</v>
      </c>
      <c r="F35" s="47">
        <f>IF(OR(2025977.54466="",461.08919="",2.36964=""),"-",(2.36964-461.08919)/2025977.54466*100)</f>
        <v>-2.2641887182267978E-2</v>
      </c>
      <c r="G35" s="47">
        <f>IF(OR(1737475.58788="",1.49407="",2.36964=""),"-",(1.49407-2.36964)/1737475.58788*100)</f>
        <v>-5.0393226017542867E-5</v>
      </c>
    </row>
    <row r="36" spans="1:7" s="7" customFormat="1" x14ac:dyDescent="0.25">
      <c r="A36" s="44" t="s">
        <v>144</v>
      </c>
      <c r="B36" s="32">
        <v>322952.0491</v>
      </c>
      <c r="C36" s="45">
        <f>IF(275063.82338="","-",322952.0491/275063.82338*100)</f>
        <v>117.40985969421449</v>
      </c>
      <c r="D36" s="45">
        <f>IF(275063.82338="","-",275063.82338/1737475.58788*100)</f>
        <v>15.831233848621848</v>
      </c>
      <c r="E36" s="45">
        <f>IF(322952.0491="","-",322952.0491/2103396.42877*100)</f>
        <v>15.35383652281145</v>
      </c>
      <c r="F36" s="45">
        <f>IF(2025977.54466="","-",(275063.82338-301814.02988)/2025977.54466*100)</f>
        <v>-1.3203604635454731</v>
      </c>
      <c r="G36" s="45">
        <f>IF(1737475.58788="","-",(322952.0491-275063.82338)/1737475.58788*100)</f>
        <v>2.7561956009080584</v>
      </c>
    </row>
    <row r="37" spans="1:7" s="7" customFormat="1" x14ac:dyDescent="0.25">
      <c r="A37" s="46" t="s">
        <v>359</v>
      </c>
      <c r="B37" s="33">
        <v>194181.41430999999</v>
      </c>
      <c r="C37" s="47">
        <f>IF(OR(163144.20091="",194181.41431=""),"-",194181.41431/163144.20091*100)</f>
        <v>119.02440492942922</v>
      </c>
      <c r="D37" s="47">
        <f>IF(163144.20091="","-",163144.20091/1737475.58788*100)</f>
        <v>9.3897262239558845</v>
      </c>
      <c r="E37" s="47">
        <f>IF(194181.41431="","-",194181.41431/2103396.42877*100)</f>
        <v>9.231802985590841</v>
      </c>
      <c r="F37" s="47">
        <f>IF(OR(2025977.54466="",171717.60674="",163144.20091=""),"-",(163144.20091-171717.60674)/2025977.54466*100)</f>
        <v>-0.42317378356919377</v>
      </c>
      <c r="G37" s="47">
        <f>IF(OR(1737475.58788="",194181.41431="",163144.20091=""),"-",(194181.41431-163144.20091)/1737475.58788*100)</f>
        <v>1.7863395386101728</v>
      </c>
    </row>
    <row r="38" spans="1:7" s="7" customFormat="1" ht="14.25" customHeight="1" x14ac:dyDescent="0.25">
      <c r="A38" s="46" t="s">
        <v>12</v>
      </c>
      <c r="B38" s="33">
        <v>63539.927940000001</v>
      </c>
      <c r="C38" s="47">
        <f>IF(OR(46029.36365="",63539.92794=""),"-",63539.92794/46029.36365*100)</f>
        <v>138.04216026784025</v>
      </c>
      <c r="D38" s="47">
        <f>IF(46029.36365="","-",46029.36365/1737475.58788*100)</f>
        <v>2.6492092303963379</v>
      </c>
      <c r="E38" s="47">
        <f>IF(63539.92794="","-",63539.92794/2103396.42877*100)</f>
        <v>3.0208251317207067</v>
      </c>
      <c r="F38" s="47">
        <f>IF(OR(2025977.54466="",53790.2203="",46029.36365=""),"-",(46029.36365-53790.2203)/2025977.54466*100)</f>
        <v>-0.38306725908467215</v>
      </c>
      <c r="G38" s="47">
        <f>IF(OR(1737475.58788="",63539.92794="",46029.36365=""),"-",(63539.92794-46029.36365)/1737475.58788*100)</f>
        <v>1.007816421257792</v>
      </c>
    </row>
    <row r="39" spans="1:7" s="13" customFormat="1" ht="14.25" customHeight="1" x14ac:dyDescent="0.2">
      <c r="A39" s="46" t="s">
        <v>11</v>
      </c>
      <c r="B39" s="33">
        <v>45755.922749999998</v>
      </c>
      <c r="C39" s="47">
        <f>IF(OR(48512.69635="",45755.92275=""),"-",45755.92275/48512.69635*100)</f>
        <v>94.317418310227566</v>
      </c>
      <c r="D39" s="47">
        <f>IF(48512.69635="","-",48512.69635/1737475.58788*100)</f>
        <v>2.7921368615712927</v>
      </c>
      <c r="E39" s="47">
        <f>IF(45755.92275="","-",45755.92275/2103396.42877*100)</f>
        <v>2.1753351923658357</v>
      </c>
      <c r="F39" s="47">
        <f>IF(OR(2025977.54466="",59903.40742="",48512.69635=""),"-",(48512.69635-59903.40742)/2025977.54466*100)</f>
        <v>-0.56223283915575661</v>
      </c>
      <c r="G39" s="47">
        <f>IF(OR(1737475.58788="",45755.92275="",48512.69635=""),"-",(45755.92275-48512.69635)/1737475.58788*100)</f>
        <v>-0.15866545804903701</v>
      </c>
    </row>
    <row r="40" spans="1:7" s="13" customFormat="1" ht="14.25" customHeight="1" x14ac:dyDescent="0.2">
      <c r="A40" s="46" t="s">
        <v>13</v>
      </c>
      <c r="B40" s="33">
        <v>9315.3628000000008</v>
      </c>
      <c r="C40" s="47">
        <f>IF(OR(10910.73166="",9315.3628=""),"-",9315.3628/10910.73166*100)</f>
        <v>85.377984632792277</v>
      </c>
      <c r="D40" s="47">
        <f>IF(10910.73166="","-",10910.73166/1737475.58788*100)</f>
        <v>0.62796460198401116</v>
      </c>
      <c r="E40" s="47">
        <f>IF(9315.3628="","-",9315.3628/2103396.42877*100)</f>
        <v>0.4428724263569912</v>
      </c>
      <c r="F40" s="47">
        <f>IF(OR(2025977.54466="",6767.22455="",10910.73166=""),"-",(10910.73166-6767.22455)/2025977.54466*100)</f>
        <v>0.20451890599287784</v>
      </c>
      <c r="G40" s="47">
        <f>IF(OR(1737475.58788="",9315.3628="",10910.73166=""),"-",(9315.3628-10910.73166)/1737475.58788*100)</f>
        <v>-9.1821080602726951E-2</v>
      </c>
    </row>
    <row r="41" spans="1:7" s="13" customFormat="1" ht="14.25" customHeight="1" x14ac:dyDescent="0.2">
      <c r="A41" s="46" t="s">
        <v>15</v>
      </c>
      <c r="B41" s="33">
        <v>5081.0466900000001</v>
      </c>
      <c r="C41" s="47" t="s">
        <v>209</v>
      </c>
      <c r="D41" s="47">
        <f>IF(2883.73879="","-",2883.73879/1737475.58788*100)</f>
        <v>0.16597290978451246</v>
      </c>
      <c r="E41" s="47">
        <f>IF(5081.04669="","-",5081.04669/2103396.42877*100)</f>
        <v>0.24156391160991159</v>
      </c>
      <c r="F41" s="47">
        <f>IF(OR(2025977.54466="",2077.1917="",2883.73879=""),"-",(2883.73879-2077.1917)/2025977.54466*100)</f>
        <v>3.9810267992647225E-2</v>
      </c>
      <c r="G41" s="47">
        <f>IF(OR(1737475.58788="",5081.04669="",2883.73879=""),"-",(5081.04669-2883.73879)/1737475.58788*100)</f>
        <v>0.12646554088745901</v>
      </c>
    </row>
    <row r="42" spans="1:7" s="11" customFormat="1" ht="14.25" customHeight="1" x14ac:dyDescent="0.2">
      <c r="A42" s="46" t="s">
        <v>14</v>
      </c>
      <c r="B42" s="33">
        <v>2441.5664200000001</v>
      </c>
      <c r="C42" s="47">
        <f>IF(OR(1644.477="",2441.56642=""),"-",2441.56642/1644.477*100)</f>
        <v>148.47069433017305</v>
      </c>
      <c r="D42" s="47">
        <f>IF(1644.477="","-",1644.477/1737475.58788*100)</f>
        <v>9.4647488083934861E-2</v>
      </c>
      <c r="E42" s="47">
        <f>IF(2441.56642="","-",2441.56642/2103396.42877*100)</f>
        <v>0.11607733029326056</v>
      </c>
      <c r="F42" s="47">
        <f>IF(OR(2025977.54466="",3475.47705="",1644.477=""),"-",(1644.477-3475.47705)/2025977.54466*100)</f>
        <v>-9.037612755511952E-2</v>
      </c>
      <c r="G42" s="47">
        <f>IF(OR(1737475.58788="",2441.56642="",1644.477=""),"-",(2441.56642-1644.477)/1737475.58788*100)</f>
        <v>4.5876294640351034E-2</v>
      </c>
    </row>
    <row r="43" spans="1:7" s="13" customFormat="1" ht="14.25" customHeight="1" x14ac:dyDescent="0.2">
      <c r="A43" s="46" t="s">
        <v>405</v>
      </c>
      <c r="B43" s="33">
        <v>1226.6596</v>
      </c>
      <c r="C43" s="47" t="s">
        <v>319</v>
      </c>
      <c r="D43" s="47">
        <f>IF(413.07465="","-",413.07465/1737475.58788*100)</f>
        <v>2.3774414609417198E-2</v>
      </c>
      <c r="E43" s="47">
        <f>IF(1226.6596="","-",1226.6596/2103396.42877*100)</f>
        <v>5.831804139352427E-2</v>
      </c>
      <c r="F43" s="47">
        <f>IF(OR(2025977.54466="",669.8355="",413.07465=""),"-",(413.07465-669.8355)/2025977.54466*100)</f>
        <v>-1.2673430200485747E-2</v>
      </c>
      <c r="G43" s="47">
        <f>IF(OR(1737475.58788="",1226.6596="",413.07465=""),"-",(1226.6596-413.07465)/1737475.58788*100)</f>
        <v>4.6825691001086502E-2</v>
      </c>
    </row>
    <row r="44" spans="1:7" s="11" customFormat="1" ht="14.25" customHeight="1" x14ac:dyDescent="0.2">
      <c r="A44" s="46" t="s">
        <v>17</v>
      </c>
      <c r="B44" s="33">
        <v>665.7414</v>
      </c>
      <c r="C44" s="47">
        <f>IF(OR(1017.87128="",665.7414=""),"-",665.7414/1017.87128*100)</f>
        <v>65.405264209832112</v>
      </c>
      <c r="D44" s="47">
        <f>IF(1017.87128="","-",1017.87128/1737475.58788*100)</f>
        <v>5.8583342816457454E-2</v>
      </c>
      <c r="E44" s="47">
        <f>IF(665.7414="","-",665.7414/2103396.42877*100)</f>
        <v>3.1650781131605542E-2</v>
      </c>
      <c r="F44" s="47">
        <f>IF(OR(2025977.54466="",2785.45748="",1017.87128=""),"-",(1017.87128-2785.45748)/2025977.54466*100)</f>
        <v>-8.7246090395174503E-2</v>
      </c>
      <c r="G44" s="47">
        <f>IF(OR(1737475.58788="",665.7414="",1017.87128=""),"-",(665.7414-1017.87128)/1737475.58788*100)</f>
        <v>-2.0266752664401755E-2</v>
      </c>
    </row>
    <row r="45" spans="1:7" s="11" customFormat="1" ht="14.25" customHeight="1" x14ac:dyDescent="0.2">
      <c r="A45" s="46" t="s">
        <v>16</v>
      </c>
      <c r="B45" s="33">
        <v>524.29943000000003</v>
      </c>
      <c r="C45" s="47" t="s">
        <v>104</v>
      </c>
      <c r="D45" s="47">
        <f>IF(326.59073="","-",326.59073/1737475.58788*100)</f>
        <v>1.8796852875411808E-2</v>
      </c>
      <c r="E45" s="47">
        <f>IF(524.29943="","-",524.29943/2103396.42877*100)</f>
        <v>2.4926325006009151E-2</v>
      </c>
      <c r="F45" s="47">
        <f>IF(OR(2025977.54466="",486.57003="",326.59073=""),"-",(326.59073-486.57003)/2025977.54466*100)</f>
        <v>-7.8964004522985836E-3</v>
      </c>
      <c r="G45" s="47">
        <f>IF(OR(1737475.58788="",524.29943="",326.59073=""),"-",(524.29943-326.59073)/1737475.58788*100)</f>
        <v>1.1379077863260022E-2</v>
      </c>
    </row>
    <row r="46" spans="1:7" s="11" customFormat="1" ht="14.25" customHeight="1" x14ac:dyDescent="0.2">
      <c r="A46" s="46" t="s">
        <v>18</v>
      </c>
      <c r="B46" s="33">
        <v>220.10776000000001</v>
      </c>
      <c r="C46" s="47">
        <f>IF(OR(181.07836="",220.10776=""),"-",220.10776/181.07836*100)</f>
        <v>121.55387314088775</v>
      </c>
      <c r="D46" s="47">
        <f>IF(181.07836="","-",181.07836/1737475.58788*100)</f>
        <v>1.0421922544589231E-2</v>
      </c>
      <c r="E46" s="47">
        <f>IF(220.10776="","-",220.10776/2103396.42877*100)</f>
        <v>1.0464397342763965E-2</v>
      </c>
      <c r="F46" s="47">
        <f>IF(OR(2025977.54466="",141.03911="",181.07836=""),"-",(181.07836-141.03911)/2025977.54466*100)</f>
        <v>1.9762928817021715E-3</v>
      </c>
      <c r="G46" s="47">
        <f>IF(OR(1737475.58788="",220.10776="",181.07836=""),"-",(220.10776-181.07836)/1737475.58788*100)</f>
        <v>2.2463279641023425E-3</v>
      </c>
    </row>
    <row r="47" spans="1:7" s="11" customFormat="1" ht="12.75" x14ac:dyDescent="0.2">
      <c r="A47" s="44" t="s">
        <v>145</v>
      </c>
      <c r="B47" s="32">
        <v>491915.74479999999</v>
      </c>
      <c r="C47" s="45" t="s">
        <v>221</v>
      </c>
      <c r="D47" s="45">
        <f>IF(321313.26905="","-",321313.26905/1737475.58788*100)</f>
        <v>18.493109848067213</v>
      </c>
      <c r="E47" s="45">
        <f>IF(491915.7448="","-",491915.7448/2103349.30903*100)</f>
        <v>23.387258725316357</v>
      </c>
      <c r="F47" s="45">
        <f>IF(2025977.54466="","-",(321313.26905-434692.86012)/2025977.54466*100)</f>
        <v>-5.5962906088886299</v>
      </c>
      <c r="G47" s="45">
        <f>IF(1737475.58788="","-",(491915.7448-321313.26905)/1737475.58788*100)</f>
        <v>9.818985483310442</v>
      </c>
    </row>
    <row r="48" spans="1:7" s="7" customFormat="1" x14ac:dyDescent="0.25">
      <c r="A48" s="46" t="s">
        <v>56</v>
      </c>
      <c r="B48" s="33">
        <f>IF(204584.72006="","-",204584.72006)</f>
        <v>204584.72005999999</v>
      </c>
      <c r="C48" s="47" t="s">
        <v>209</v>
      </c>
      <c r="D48" s="47">
        <f>IF(115613.39395="","-",115613.39395/1737475.58788*100)</f>
        <v>6.6541017759603154</v>
      </c>
      <c r="E48" s="47">
        <f>IF(204584.72006="","-",204584.72006/2103396.42877*100)</f>
        <v>9.7263985648028637</v>
      </c>
      <c r="F48" s="47">
        <f>IF(OR(2025977.54466="",149842.38951="",115613.39395=""),"-",(115613.39395-149842.38951)/2025977.54466*100)</f>
        <v>-1.6895051798683349</v>
      </c>
      <c r="G48" s="47">
        <f>IF(OR(1737475.58788="",204584.72006="",115613.39395=""),"-",(204584.72006-115613.39395)/1737475.58788*100)</f>
        <v>5.1207238093376235</v>
      </c>
    </row>
    <row r="49" spans="1:7" s="7" customFormat="1" x14ac:dyDescent="0.25">
      <c r="A49" s="46" t="s">
        <v>361</v>
      </c>
      <c r="B49" s="33">
        <f>IF(61892.70369="","-",61892.70369)</f>
        <v>61892.703690000002</v>
      </c>
      <c r="C49" s="47">
        <f>IF(OR(44392.71862="",61892.70369=""),"-",61892.70369/44392.71862*100)</f>
        <v>139.42084561164009</v>
      </c>
      <c r="D49" s="47">
        <f>IF(44392.71862="","-",44392.71862/1737475.58788*100)</f>
        <v>2.5550125095090555</v>
      </c>
      <c r="E49" s="47">
        <f>IF(61892.70369="","-",61892.70369/2103396.42877*100)</f>
        <v>2.9425125403580199</v>
      </c>
      <c r="F49" s="47">
        <f>IF(OR(2025977.54466="",60026.74529="",44392.71862=""),"-",(44392.71862-60026.74529)/2025977.54466*100)</f>
        <v>-0.77167818129118038</v>
      </c>
      <c r="G49" s="47">
        <f>IF(OR(1737475.58788="",61892.70369="",44392.71862=""),"-",(61892.70369-44392.71862)/1737475.58788*100)</f>
        <v>1.0072075367316558</v>
      </c>
    </row>
    <row r="50" spans="1:7" s="12" customFormat="1" ht="25.5" x14ac:dyDescent="0.25">
      <c r="A50" s="46" t="s">
        <v>360</v>
      </c>
      <c r="B50" s="33">
        <f>IF(45227.9916="","-",45227.9916)</f>
        <v>45227.991600000001</v>
      </c>
      <c r="C50" s="47">
        <f>IF(OR(30311.90985="",45227.9916=""),"-",45227.9916/30311.90985*100)</f>
        <v>149.20865040775385</v>
      </c>
      <c r="D50" s="47">
        <f>IF(30311.90985="","-",30311.90985/1737475.58788*100)</f>
        <v>1.7445948628829606</v>
      </c>
      <c r="E50" s="47">
        <f>IF(45227.9916="","-",45227.9916/2103396.42877*100)</f>
        <v>2.1502362075630175</v>
      </c>
      <c r="F50" s="47">
        <f>IF(OR(2025977.54466="",38961.05259="",30311.90985=""),"-",(30311.90985-38961.05259)/2025977.54466*100)</f>
        <v>-0.4269120732752989</v>
      </c>
      <c r="G50" s="47">
        <f>IF(OR(1737475.58788="",45227.9916="",30311.90985=""),"-",(45227.9916-30311.90985)/1737475.58788*100)</f>
        <v>0.85849158710770856</v>
      </c>
    </row>
    <row r="51" spans="1:7" s="7" customFormat="1" x14ac:dyDescent="0.25">
      <c r="A51" s="46" t="s">
        <v>60</v>
      </c>
      <c r="B51" s="33">
        <f>IF(20489.65165="","-",20489.65165)</f>
        <v>20489.65165</v>
      </c>
      <c r="C51" s="47" t="s">
        <v>95</v>
      </c>
      <c r="D51" s="47">
        <f>IF(9946.45765="","-",9946.45765/1737475.58788*100)</f>
        <v>0.57246603747315261</v>
      </c>
      <c r="E51" s="47">
        <f>IF(20489.65165="","-",20489.65165/2103396.42877*100)</f>
        <v>0.97412220396236493</v>
      </c>
      <c r="F51" s="47">
        <f>IF(OR(2025977.54466="",9537.19106="",9946.45765=""),"-",(9946.45765-9537.19106)/2025977.54466*100)</f>
        <v>2.0200944037051718E-2</v>
      </c>
      <c r="G51" s="47">
        <f>IF(OR(1737475.58788="",20489.65165="",9946.45765=""),"-",(20489.65165-9946.45765)/1737475.58788*100)</f>
        <v>0.60681105815503256</v>
      </c>
    </row>
    <row r="52" spans="1:7" s="14" customFormat="1" x14ac:dyDescent="0.25">
      <c r="A52" s="46" t="s">
        <v>19</v>
      </c>
      <c r="B52" s="33">
        <f>IF(18590.72177="","-",18590.72177)</f>
        <v>18590.72177</v>
      </c>
      <c r="C52" s="47">
        <f>IF(OR(19624.344="",18590.72177=""),"-",18590.72177/19624.344*100)</f>
        <v>94.732959073689287</v>
      </c>
      <c r="D52" s="47">
        <f>IF(19624.344="","-",19624.344/1737475.58788*100)</f>
        <v>1.129474516758239</v>
      </c>
      <c r="E52" s="47">
        <f>IF(18590.72177="","-",18590.72177/2103396.42877*100)</f>
        <v>0.88384298440932829</v>
      </c>
      <c r="F52" s="47">
        <f>IF(OR(2025977.54466="",16327.32733="",19624.344=""),"-",(19624.344-16327.32733)/2025977.54466*100)</f>
        <v>0.16273707863594841</v>
      </c>
      <c r="G52" s="47">
        <f>IF(OR(1737475.58788="",18590.72177="",19624.344=""),"-",(18590.72177-19624.344)/1737475.58788*100)</f>
        <v>-5.9489885049906599E-2</v>
      </c>
    </row>
    <row r="53" spans="1:7" s="12" customFormat="1" x14ac:dyDescent="0.25">
      <c r="A53" s="46" t="s">
        <v>58</v>
      </c>
      <c r="B53" s="33">
        <f>IF(14704.47591="","-",14704.47591)</f>
        <v>14704.475909999999</v>
      </c>
      <c r="C53" s="47">
        <f>IF(OR(18126.34449="",14704.47591=""),"-",14704.47591/18126.34449*100)</f>
        <v>81.122125413164312</v>
      </c>
      <c r="D53" s="47">
        <f>IF(18126.34449="","-",18126.34449/1737475.58788*100)</f>
        <v>1.0432575062603935</v>
      </c>
      <c r="E53" s="47">
        <f>IF(14704.47591="","-",14704.47591/2103396.42877*100)</f>
        <v>0.69908247959699699</v>
      </c>
      <c r="F53" s="47">
        <f>IF(OR(2025977.54466="",15050.84506="",18126.34449=""),"-",(18126.34449-15050.84506)/2025977.54466*100)</f>
        <v>0.15180323385648042</v>
      </c>
      <c r="G53" s="47">
        <f>IF(OR(1737475.58788="",14704.47591="",18126.34449=""),"-",(14704.47591-18126.34449)/1737475.58788*100)</f>
        <v>-0.19694484364958653</v>
      </c>
    </row>
    <row r="54" spans="1:7" s="7" customFormat="1" x14ac:dyDescent="0.25">
      <c r="A54" s="46" t="s">
        <v>75</v>
      </c>
      <c r="B54" s="33">
        <f>IF(12789.46006="","-",12789.46006)</f>
        <v>12789.460059999999</v>
      </c>
      <c r="C54" s="47" t="s">
        <v>374</v>
      </c>
      <c r="D54" s="47">
        <f>IF(486.3="","-",486.3/1737475.58788*100)</f>
        <v>2.7988882456378237E-2</v>
      </c>
      <c r="E54" s="47">
        <f>IF(12789.46006="","-",12789.46006/2103396.42877*100)</f>
        <v>0.60803849835757651</v>
      </c>
      <c r="F54" s="47">
        <f>IF(OR(2025977.54466="",1648.0195="",486.3=""),"-",(486.3-1648.0195)/2025977.54466*100)</f>
        <v>-5.7341183423380945E-2</v>
      </c>
      <c r="G54" s="47">
        <f>IF(OR(1737475.58788="",12789.46006="",486.3=""),"-",(12789.46006-486.3)/1737475.58788*100)</f>
        <v>0.70810549200359341</v>
      </c>
    </row>
    <row r="55" spans="1:7" s="7" customFormat="1" x14ac:dyDescent="0.25">
      <c r="A55" s="46" t="s">
        <v>62</v>
      </c>
      <c r="B55" s="33">
        <f>IF(9607.46071="","-",9607.46071)</f>
        <v>9607.4607099999994</v>
      </c>
      <c r="C55" s="47" t="s">
        <v>306</v>
      </c>
      <c r="D55" s="47">
        <f>IF(3518.76028="","-",3518.76028/1737475.58788*100)</f>
        <v>0.20252142272073323</v>
      </c>
      <c r="E55" s="47">
        <f>IF(9607.46071="","-",9607.46071/2103396.42877*100)</f>
        <v>0.45675939060228121</v>
      </c>
      <c r="F55" s="47">
        <f>IF(OR(2025977.54466="",5239.02706="",3518.76028=""),"-",(3518.76028-5239.02706)/2025977.54466*100)</f>
        <v>-8.4910456413212418E-2</v>
      </c>
      <c r="G55" s="47">
        <f>IF(OR(1737475.58788="",9607.46071="",3518.76028=""),"-",(9607.46071-3518.76028)/1737475.58788*100)</f>
        <v>0.35043372536987377</v>
      </c>
    </row>
    <row r="56" spans="1:7" s="14" customFormat="1" x14ac:dyDescent="0.25">
      <c r="A56" s="46" t="s">
        <v>59</v>
      </c>
      <c r="B56" s="33">
        <f>IF(9477.93467="","-",9477.93467)</f>
        <v>9477.9346700000006</v>
      </c>
      <c r="C56" s="47">
        <f>IF(OR(7769.039="",9477.93467=""),"-",9477.93467/7769.039*100)</f>
        <v>121.99622977822612</v>
      </c>
      <c r="D56" s="47">
        <f>IF(7769.039="","-",7769.039/1737475.58788*100)</f>
        <v>0.44714521770515797</v>
      </c>
      <c r="E56" s="47">
        <f>IF(9477.93467="","-",9477.93467/2103396.42877*100)</f>
        <v>0.45060144347313541</v>
      </c>
      <c r="F56" s="47">
        <f>IF(OR(2025977.54466="",13020.92407="",7769.039=""),"-",(7769.039-13020.92407)/2025977.54466*100)</f>
        <v>-0.25922721028388163</v>
      </c>
      <c r="G56" s="47">
        <f>IF(OR(1737475.58788="",9477.93467="",7769.039=""),"-",(9477.93467-7769.039)/1737475.58788*100)</f>
        <v>9.8355089528775988E-2</v>
      </c>
    </row>
    <row r="57" spans="1:7" s="7" customFormat="1" x14ac:dyDescent="0.25">
      <c r="A57" s="46" t="s">
        <v>66</v>
      </c>
      <c r="B57" s="33">
        <f>IF(7800.40714="","-",7800.40714)</f>
        <v>7800.4071400000003</v>
      </c>
      <c r="C57" s="47">
        <f>IF(OR(6303.487="",7800.40714=""),"-",7800.40714/6303.487*100)</f>
        <v>123.74749309390182</v>
      </c>
      <c r="D57" s="47">
        <f>IF(6303.487="","-",6303.487/1737475.58788*100)</f>
        <v>0.36279571603600308</v>
      </c>
      <c r="E57" s="47">
        <f>IF(7800.40714="","-",7800.40714/2103396.42877*100)</f>
        <v>0.37084816886189315</v>
      </c>
      <c r="F57" s="47">
        <f>IF(OR(2025977.54466="",6625.79312="",6303.487=""),"-",(6303.487-6625.79312)/2025977.54466*100)</f>
        <v>-1.5908671882841115E-2</v>
      </c>
      <c r="G57" s="47">
        <f>IF(OR(1737475.58788="",7800.40714="",6303.487=""),"-",(7800.40714-6303.487)/1737475.58788*100)</f>
        <v>8.6154887610621553E-2</v>
      </c>
    </row>
    <row r="58" spans="1:7" s="12" customFormat="1" x14ac:dyDescent="0.25">
      <c r="A58" s="46" t="s">
        <v>68</v>
      </c>
      <c r="B58" s="33">
        <f>IF(5466.1023="","-",5466.1023)</f>
        <v>5466.1022999999996</v>
      </c>
      <c r="C58" s="47" t="s">
        <v>221</v>
      </c>
      <c r="D58" s="47">
        <f>IF(3624.4969="","-",3624.4969/1737475.58788*100)</f>
        <v>0.20860706908823221</v>
      </c>
      <c r="E58" s="47">
        <f>IF(5466.1023="","-",5466.1023/2103396.42877*100)</f>
        <v>0.2598702852793377</v>
      </c>
      <c r="F58" s="47">
        <f>IF(OR(2025977.54466="",5862.79928="",3624.4969=""),"-",(3624.4969-5862.79928)/2025977.54466*100)</f>
        <v>-0.11048011790158475</v>
      </c>
      <c r="G58" s="47">
        <f>IF(OR(1737475.58788="",5466.1023="",3624.4969=""),"-",(5466.1023-3624.4969)/1737475.58788*100)</f>
        <v>0.10599316691678266</v>
      </c>
    </row>
    <row r="59" spans="1:7" s="7" customFormat="1" x14ac:dyDescent="0.25">
      <c r="A59" s="46" t="s">
        <v>65</v>
      </c>
      <c r="B59" s="33">
        <f>IF(5191.75293="","-",5191.75293)</f>
        <v>5191.7529299999997</v>
      </c>
      <c r="C59" s="47">
        <f>IF(OR(4635.8806="",5191.75293=""),"-",5191.75293/4635.8806*100)</f>
        <v>111.99065243397337</v>
      </c>
      <c r="D59" s="47">
        <f>IF(4635.8806="","-",4635.8806/1737475.58788*100)</f>
        <v>0.26681702075921088</v>
      </c>
      <c r="E59" s="47">
        <f>IF(5191.75293="","-",5191.75293/2103396.42877*100)</f>
        <v>0.24682712488182612</v>
      </c>
      <c r="F59" s="47">
        <f>IF(OR(2025977.54466="",10099.78861="",4635.8806=""),"-",(4635.8806-10099.78861)/2025977.54466*100)</f>
        <v>-0.26969242696700046</v>
      </c>
      <c r="G59" s="47">
        <f>IF(OR(1737475.58788="",5191.75293="",4635.8806=""),"-",(5191.75293-4635.8806)/1737475.58788*100)</f>
        <v>3.1993101593919542E-2</v>
      </c>
    </row>
    <row r="60" spans="1:7" s="12" customFormat="1" x14ac:dyDescent="0.25">
      <c r="A60" s="46" t="s">
        <v>57</v>
      </c>
      <c r="B60" s="33">
        <f>IF(4235.98151="","-",4235.98151)</f>
        <v>4235.9815099999996</v>
      </c>
      <c r="C60" s="47">
        <f>IF(OR(5091.43487="",4235.98151=""),"-",4235.98151/5091.43487*100)</f>
        <v>83.198187115374012</v>
      </c>
      <c r="D60" s="47">
        <f>IF(5091.43487="","-",5091.43487/1737475.58788*100)</f>
        <v>0.29303633993570927</v>
      </c>
      <c r="E60" s="47">
        <f>IF(4235.98151="","-",4235.98151/2103396.42877*100)</f>
        <v>0.20138769145277421</v>
      </c>
      <c r="F60" s="47">
        <f>IF(OR(2025977.54466="",7608.46309="",5091.43487=""),"-",(5091.43487-7608.46309)/2025977.54466*100)</f>
        <v>-0.1242377155973073</v>
      </c>
      <c r="G60" s="47">
        <f>IF(OR(1737475.58788="",4235.98151="",5091.43487=""),"-",(4235.98151-5091.43487)/1737475.58788*100)</f>
        <v>-4.9235417519954409E-2</v>
      </c>
    </row>
    <row r="61" spans="1:7" s="7" customFormat="1" x14ac:dyDescent="0.25">
      <c r="A61" s="46" t="s">
        <v>122</v>
      </c>
      <c r="B61" s="33">
        <f>IF(3952.97102="","-",3952.97102)</f>
        <v>3952.97102</v>
      </c>
      <c r="C61" s="47">
        <f>IF(OR(3777.24465="",3952.97102=""),"-",3952.97102/3777.24465*100)</f>
        <v>104.65223691560462</v>
      </c>
      <c r="D61" s="47">
        <f>IF(3777.24465="","-",3777.24465/1737475.58788*100)</f>
        <v>0.21739843001816486</v>
      </c>
      <c r="E61" s="47">
        <f>IF(3952.97102="","-",3952.97102/2103396.42877*100)</f>
        <v>0.18793276274180865</v>
      </c>
      <c r="F61" s="47">
        <f>IF(OR(2025977.54466="",9539.48348="",3777.24465=""),"-",(3777.24465-9539.48348)/2025977.54466*100)</f>
        <v>-0.28441770468719685</v>
      </c>
      <c r="G61" s="47">
        <f>IF(OR(1737475.58788="",3952.97102="",3777.24465=""),"-",(3952.97102-3777.24465)/1737475.58788*100)</f>
        <v>1.0113890015249902E-2</v>
      </c>
    </row>
    <row r="62" spans="1:7" s="12" customFormat="1" x14ac:dyDescent="0.25">
      <c r="A62" s="46" t="s">
        <v>63</v>
      </c>
      <c r="B62" s="33">
        <f>IF(3781.28541="","-",3781.28541)</f>
        <v>3781.28541</v>
      </c>
      <c r="C62" s="47" t="s">
        <v>375</v>
      </c>
      <c r="D62" s="47">
        <f>IF(213.56542="","-",213.56542/1737475.58788*100)</f>
        <v>1.2291707664254678E-2</v>
      </c>
      <c r="E62" s="47">
        <f>IF(3781.28541="","-",3781.28541/2103396.42877*100)</f>
        <v>0.17977045878180825</v>
      </c>
      <c r="F62" s="47">
        <f>IF(OR(2025977.54466="",2280.60948="",213.56542=""),"-",(213.56542-2280.60948)/2025977.54466*100)</f>
        <v>-0.10202699755721588</v>
      </c>
      <c r="G62" s="47">
        <f>IF(OR(1737475.58788="",3781.28541="",213.56542=""),"-",(3781.28541-213.56542)/1737475.58788*100)</f>
        <v>0.20533928734809984</v>
      </c>
    </row>
    <row r="63" spans="1:7" s="7" customFormat="1" x14ac:dyDescent="0.25">
      <c r="A63" s="46" t="s">
        <v>61</v>
      </c>
      <c r="B63" s="33">
        <f>IF(3597.2005="","-",3597.2005)</f>
        <v>3597.2004999999999</v>
      </c>
      <c r="C63" s="47">
        <f>IF(OR(2443.00026="",3597.2005=""),"-",3597.2005/2443.00026*100)</f>
        <v>147.24519513559119</v>
      </c>
      <c r="D63" s="47">
        <f>IF(2443.00026="","-",2443.00026/1737475.58788*100)</f>
        <v>0.14060630704923188</v>
      </c>
      <c r="E63" s="47">
        <f>IF(3597.2005="","-",3597.2005/2103396.42877*100)</f>
        <v>0.17101866537367516</v>
      </c>
      <c r="F63" s="47">
        <f>IF(OR(2025977.54466="",6800.02939="",2443.00026=""),"-",(2443.00026-6800.02939)/2025977.54466*100)</f>
        <v>-0.21505811559876881</v>
      </c>
      <c r="G63" s="47">
        <f>IF(OR(1737475.58788="",3597.2005="",2443.00026=""),"-",(3597.2005-2443.00026)/1737475.58788*100)</f>
        <v>6.6429724138358126E-2</v>
      </c>
    </row>
    <row r="64" spans="1:7" s="7" customFormat="1" x14ac:dyDescent="0.25">
      <c r="A64" s="46" t="s">
        <v>37</v>
      </c>
      <c r="B64" s="33">
        <f>IF(3416.79387="","-",3416.79387)</f>
        <v>3416.79387</v>
      </c>
      <c r="C64" s="47">
        <f>IF(OR(3158.8167="",3416.79387=""),"-",3416.79387/3158.8167*100)</f>
        <v>108.1668926848462</v>
      </c>
      <c r="D64" s="47">
        <f>IF(3158.8167="","-",3158.8167/1737475.58788*100)</f>
        <v>0.18180495438524491</v>
      </c>
      <c r="E64" s="47">
        <f>IF(3416.79387="","-",3416.79387/2103396.42877*100)</f>
        <v>0.16244174532510894</v>
      </c>
      <c r="F64" s="47">
        <f>IF(OR(2025977.54466="",2373.71774="",3158.8167=""),"-",(3158.8167-2373.71774)/2025977.54466*100)</f>
        <v>3.8751612132589326E-2</v>
      </c>
      <c r="G64" s="47">
        <f>IF(OR(1737475.58788="",3416.79387="",3158.8167=""),"-",(3416.79387-3158.8167)/1737475.58788*100)</f>
        <v>1.4847815520376537E-2</v>
      </c>
    </row>
    <row r="65" spans="1:7" s="12" customFormat="1" x14ac:dyDescent="0.25">
      <c r="A65" s="46" t="s">
        <v>71</v>
      </c>
      <c r="B65" s="33">
        <f>IF(3323.84276="","-",3323.84276)</f>
        <v>3323.84276</v>
      </c>
      <c r="C65" s="47" t="s">
        <v>376</v>
      </c>
      <c r="D65" s="47">
        <f>IF(312.37617="","-",312.37617/1737475.58788*100)</f>
        <v>1.7978737208109451E-2</v>
      </c>
      <c r="E65" s="47">
        <f>IF(3323.84276="","-",3323.84276/2103396.42877*100)</f>
        <v>0.15802264920377745</v>
      </c>
      <c r="F65" s="47">
        <f>IF(OR(2025977.54466="",986.17689="",312.37617=""),"-",(312.37617-986.17689)/2025977.54466*100)</f>
        <v>-3.3258054699371181E-2</v>
      </c>
      <c r="G65" s="47">
        <f>IF(OR(1737475.58788="",3323.84276="",312.37617=""),"-",(3323.84276-312.37617)/1737475.58788*100)</f>
        <v>0.17332425335969606</v>
      </c>
    </row>
    <row r="66" spans="1:7" s="14" customFormat="1" x14ac:dyDescent="0.25">
      <c r="A66" s="46" t="s">
        <v>76</v>
      </c>
      <c r="B66" s="33">
        <f>IF(2487.1373="","-",2487.1373)</f>
        <v>2487.1372999999999</v>
      </c>
      <c r="C66" s="47" t="s">
        <v>104</v>
      </c>
      <c r="D66" s="47">
        <f>IF(1577.582="","-",1577.582/1737475.58788*100)</f>
        <v>9.0797362046675101E-2</v>
      </c>
      <c r="E66" s="47">
        <f>IF(2487.1373="","-",2487.1373/2103396.42877*100)</f>
        <v>0.11824386815444006</v>
      </c>
      <c r="F66" s="47">
        <f>IF(OR(2025977.54466="",1324.48157="",1577.582=""),"-",(1577.582-1324.48157)/2025977.54466*100)</f>
        <v>1.2492755937355444E-2</v>
      </c>
      <c r="G66" s="47">
        <f>IF(OR(1737475.58788="",2487.1373="",1577.582=""),"-",(2487.1373-1577.582)/1737475.58788*100)</f>
        <v>5.2349241989051699E-2</v>
      </c>
    </row>
    <row r="67" spans="1:7" s="7" customFormat="1" x14ac:dyDescent="0.25">
      <c r="A67" s="46" t="s">
        <v>130</v>
      </c>
      <c r="B67" s="33">
        <f>IF(2161.61563="","-",2161.61563)</f>
        <v>2161.6156299999998</v>
      </c>
      <c r="C67" s="47" t="s">
        <v>209</v>
      </c>
      <c r="D67" s="47">
        <f>IF(1195.56086="","-",1195.56086/1737475.58788*100)</f>
        <v>6.8810224922859306E-2</v>
      </c>
      <c r="E67" s="47">
        <f>IF(2161.61563="","-",2161.61563/2103396.42877*100)</f>
        <v>0.1027678663153405</v>
      </c>
      <c r="F67" s="47">
        <f>IF(OR(2025977.54466="",876.79476="",1195.56086=""),"-",(1195.56086-876.79476)/2025977.54466*100)</f>
        <v>1.573394042990222E-2</v>
      </c>
      <c r="G67" s="47">
        <f>IF(OR(1737475.58788="",2161.61563="",1195.56086=""),"-",(2161.61563-1195.56086)/1737475.58788*100)</f>
        <v>5.5601055735047311E-2</v>
      </c>
    </row>
    <row r="68" spans="1:7" s="7" customFormat="1" x14ac:dyDescent="0.25">
      <c r="A68" s="46" t="s">
        <v>218</v>
      </c>
      <c r="B68" s="33">
        <f>IF(2085.50385="","-",2085.50385)</f>
        <v>2085.5038500000001</v>
      </c>
      <c r="C68" s="47" t="s">
        <v>377</v>
      </c>
      <c r="D68" s="47">
        <f>IF(15.83932="","-",15.83932/1737475.58788*100)</f>
        <v>9.116283480751819E-4</v>
      </c>
      <c r="E68" s="47">
        <f>IF(2085.50385="","-",2085.50385/2103396.42877*100)</f>
        <v>9.9149348238626464E-2</v>
      </c>
      <c r="F68" s="47">
        <f>IF(OR(2025977.54466="",390.55589="",15.83932=""),"-",(15.83932-390.55589)/2025977.54466*100)</f>
        <v>-1.8495593447600871E-2</v>
      </c>
      <c r="G68" s="47">
        <f>IF(OR(1737475.58788="",2085.50385="",15.83932=""),"-",(2085.50385-15.83932)/1737475.58788*100)</f>
        <v>0.11911905666112546</v>
      </c>
    </row>
    <row r="69" spans="1:7" s="7" customFormat="1" x14ac:dyDescent="0.25">
      <c r="A69" s="46" t="s">
        <v>91</v>
      </c>
      <c r="B69" s="33">
        <f>IF(2005.108="","-",2005.108)</f>
        <v>2005.1079999999999</v>
      </c>
      <c r="C69" s="47" t="s">
        <v>378</v>
      </c>
      <c r="D69" s="47">
        <f>IF(281.47476="","-",281.47476/1737475.58788*100)</f>
        <v>1.6200213802338631E-2</v>
      </c>
      <c r="E69" s="47">
        <f>IF(2005.108="","-",2005.108/2103396.42877*100)</f>
        <v>9.5327156239992467E-2</v>
      </c>
      <c r="F69" s="47">
        <f>IF(OR(2025977.54466="",1175.53676="",281.47476=""),"-",(281.47476-1175.53676)/2025977.54466*100)</f>
        <v>-4.4129906689071505E-2</v>
      </c>
      <c r="G69" s="47">
        <f>IF(OR(1737475.58788="",2005.108="",281.47476=""),"-",(2005.108-281.47476)/1737475.58788*100)</f>
        <v>9.9203306913975692E-2</v>
      </c>
    </row>
    <row r="70" spans="1:7" s="7" customFormat="1" x14ac:dyDescent="0.25">
      <c r="A70" s="46" t="s">
        <v>77</v>
      </c>
      <c r="B70" s="33">
        <f>IF(1907.63046="","-",1907.63046)</f>
        <v>1907.6304600000001</v>
      </c>
      <c r="C70" s="47" t="s">
        <v>95</v>
      </c>
      <c r="D70" s="47">
        <f>IF(904.64582="","-",904.64582/1737475.58788*100)</f>
        <v>5.206667801898808E-2</v>
      </c>
      <c r="E70" s="47">
        <f>IF(1907.63046="","-",1907.63046/2103396.42877*100)</f>
        <v>9.069286387994499E-2</v>
      </c>
      <c r="F70" s="47">
        <f>IF(OR(2025977.54466="",1212.99964="",904.64582=""),"-",(904.64582-1212.99964)/2025977.54466*100)</f>
        <v>-1.5220001860965742E-2</v>
      </c>
      <c r="G70" s="47">
        <f>IF(OR(1737475.58788="",1907.63046="",904.64582=""),"-",(1907.63046-904.64582)/1737475.58788*100)</f>
        <v>5.7726545742366533E-2</v>
      </c>
    </row>
    <row r="71" spans="1:7" s="7" customFormat="1" x14ac:dyDescent="0.25">
      <c r="A71" s="46" t="s">
        <v>88</v>
      </c>
      <c r="B71" s="33">
        <f>IF(1008.15851="","-",1008.15851)</f>
        <v>1008.15851</v>
      </c>
      <c r="C71" s="47" t="s">
        <v>379</v>
      </c>
      <c r="D71" s="47">
        <f>IF(40.1874="","-",40.1874/1737475.58788*100)</f>
        <v>2.3129763825364071E-3</v>
      </c>
      <c r="E71" s="47">
        <f>IF(1008.15851="","-",1008.15851/2103396.42877*100)</f>
        <v>4.7930028605665143E-2</v>
      </c>
      <c r="F71" s="47">
        <f>IF(OR(2025977.54466="",3.99636="",40.1874=""),"-",(40.1874-3.99636)/2025977.54466*100)</f>
        <v>1.7863495128754539E-3</v>
      </c>
      <c r="G71" s="47">
        <f>IF(OR(1737475.58788="",1008.15851="",40.1874=""),"-",(1008.15851-40.1874)/1737475.58788*100)</f>
        <v>5.5711350234340873E-2</v>
      </c>
    </row>
    <row r="72" spans="1:7" s="7" customFormat="1" x14ac:dyDescent="0.25">
      <c r="A72" s="46" t="s">
        <v>362</v>
      </c>
      <c r="B72" s="33">
        <f>IF(964.14826="","-",964.14826)</f>
        <v>964.14826000000005</v>
      </c>
      <c r="C72" s="47">
        <f>IF(OR(988.66293="",964.14826=""),"-",964.14826/988.66293*100)</f>
        <v>97.520421848930866</v>
      </c>
      <c r="D72" s="47">
        <f>IF(988.66293="","-",988.66293/1737475.58788*100)</f>
        <v>5.6902263081942225E-2</v>
      </c>
      <c r="E72" s="47">
        <f>IF(964.14826="","-",964.14826/2103396.42877*100)</f>
        <v>4.5837686458553302E-2</v>
      </c>
      <c r="F72" s="47">
        <f>IF(OR(2025977.54466="",978.71283="",988.66293=""),"-",(988.66293-978.71283)/2025977.54466*100)</f>
        <v>4.9112587778803521E-4</v>
      </c>
      <c r="G72" s="47">
        <f>IF(OR(1737475.58788="",964.14826="",988.66293=""),"-",(964.14826-988.66293)/1737475.58788*100)</f>
        <v>-1.4109360828437167E-3</v>
      </c>
    </row>
    <row r="73" spans="1:7" s="7" customFormat="1" x14ac:dyDescent="0.25">
      <c r="A73" s="46" t="s">
        <v>70</v>
      </c>
      <c r="B73" s="33">
        <f>IF(963.02727="","-",963.02727)</f>
        <v>963.02727000000004</v>
      </c>
      <c r="C73" s="47">
        <f>IF(OR(906.21396="",963.02727=""),"-",963.02727/906.21396*100)</f>
        <v>106.26930421597125</v>
      </c>
      <c r="D73" s="47">
        <f>IF(906.21396="","-",906.21396/1737475.58788*100)</f>
        <v>5.2156931948939042E-2</v>
      </c>
      <c r="E73" s="47">
        <f>IF(963.02727="","-",963.02727/2103396.42877*100)</f>
        <v>4.578439217770984E-2</v>
      </c>
      <c r="F73" s="47">
        <f>IF(OR(2025977.54466="",2259.90074="",906.21396=""),"-",(906.21396-2259.90074)/2025977.54466*100)</f>
        <v>-6.6816475018096802E-2</v>
      </c>
      <c r="G73" s="47">
        <f>IF(OR(1737475.58788="",963.02727="",906.21396=""),"-",(963.02727-906.21396)/1737475.58788*100)</f>
        <v>3.2698767335960898E-3</v>
      </c>
    </row>
    <row r="74" spans="1:7" s="7" customFormat="1" x14ac:dyDescent="0.25">
      <c r="A74" s="46" t="s">
        <v>109</v>
      </c>
      <c r="B74" s="33">
        <f>IF(889.4889="","-",889.4889)</f>
        <v>889.48889999999994</v>
      </c>
      <c r="C74" s="47" t="s">
        <v>104</v>
      </c>
      <c r="D74" s="47">
        <f>IF(557.97836="","-",557.97836/1737475.58788*100)</f>
        <v>3.2114313656678391E-2</v>
      </c>
      <c r="E74" s="47">
        <f>IF(889.4889="","-",889.4889/2103396.42877*100)</f>
        <v>4.228821955926515E-2</v>
      </c>
      <c r="F74" s="47">
        <f>IF(OR(2025977.54466="",962.50047="",557.97836=""),"-",(557.97836-962.50047)/2025977.54466*100)</f>
        <v>-1.9966761777109775E-2</v>
      </c>
      <c r="G74" s="47">
        <f>IF(OR(1737475.58788="",889.4889="",557.97836=""),"-",(889.4889-557.97836)/1737475.58788*100)</f>
        <v>1.9080011386202914E-2</v>
      </c>
    </row>
    <row r="75" spans="1:7" s="7" customFormat="1" x14ac:dyDescent="0.25">
      <c r="A75" s="46" t="s">
        <v>67</v>
      </c>
      <c r="B75" s="33">
        <f>IF(872.74951="","-",872.74951)</f>
        <v>872.74950999999999</v>
      </c>
      <c r="C75" s="47">
        <f>IF(OR(3143.24012="",872.74951=""),"-",872.74951/3143.24012*100)</f>
        <v>27.765919136970041</v>
      </c>
      <c r="D75" s="47">
        <f>IF(3143.24012="","-",3143.24012/1737475.58788*100)</f>
        <v>0.18090844797625383</v>
      </c>
      <c r="E75" s="47">
        <f>IF(872.74951="","-",872.74951/2103396.42877*100)</f>
        <v>4.1492392877663882E-2</v>
      </c>
      <c r="F75" s="47">
        <f>IF(OR(2025977.54466="",22.26872="",3143.24012=""),"-",(3143.24012-22.26872)/2025977.54466*100)</f>
        <v>0.15404767975963735</v>
      </c>
      <c r="G75" s="47">
        <f>IF(OR(1737475.58788="",872.74951="",3143.24012=""),"-",(872.74951-3143.24012)/1737475.58788*100)</f>
        <v>-0.13067755459921965</v>
      </c>
    </row>
    <row r="76" spans="1:7" x14ac:dyDescent="0.25">
      <c r="A76" s="46" t="s">
        <v>148</v>
      </c>
      <c r="B76" s="33">
        <f>IF(821.28264="","-",821.28264)</f>
        <v>821.28264000000001</v>
      </c>
      <c r="C76" s="47" t="s">
        <v>380</v>
      </c>
      <c r="D76" s="47">
        <f>IF(248.79612="","-",248.79612/1737475.58788*100)</f>
        <v>1.4319402340701162E-2</v>
      </c>
      <c r="E76" s="47">
        <f>IF(821.28264="","-",821.28264/2103396.42877*100)</f>
        <v>3.9045546943343445E-2</v>
      </c>
      <c r="F76" s="47">
        <f>IF(OR(2025977.54466="",716.48107="",248.79612=""),"-",(248.79612-716.48107)/2025977.54466*100)</f>
        <v>-2.3084409362419022E-2</v>
      </c>
      <c r="G76" s="47">
        <f>IF(OR(1737475.58788="",821.28264="",248.79612=""),"-",(821.28264-248.79612)/1737475.58788*100)</f>
        <v>3.2949327403127761E-2</v>
      </c>
    </row>
    <row r="77" spans="1:7" x14ac:dyDescent="0.25">
      <c r="A77" s="46" t="s">
        <v>129</v>
      </c>
      <c r="B77" s="33">
        <f>IF(778.29226="","-",778.29226)</f>
        <v>778.29226000000006</v>
      </c>
      <c r="C77" s="47" t="s">
        <v>20</v>
      </c>
      <c r="D77" s="47">
        <f>IF(383.71544="","-",383.71544/1737475.58788*100)</f>
        <v>2.2084652162980584E-2</v>
      </c>
      <c r="E77" s="47">
        <f>IF(778.29226="","-",778.29226/2103396.42877*100)</f>
        <v>3.7001691614315463E-2</v>
      </c>
      <c r="F77" s="47">
        <f>IF(OR(2025977.54466="",82.66785="",383.71544=""),"-",(383.71544-82.66785)/2025977.54466*100)</f>
        <v>1.4859374468068051E-2</v>
      </c>
      <c r="G77" s="47">
        <f>IF(OR(1737475.58788="",778.29226="",383.71544=""),"-",(778.29226-383.71544)/1737475.58788*100)</f>
        <v>2.2709776341746896E-2</v>
      </c>
    </row>
    <row r="78" spans="1:7" x14ac:dyDescent="0.25">
      <c r="A78" s="46" t="s">
        <v>36</v>
      </c>
      <c r="B78" s="33">
        <f>IF(731.8085="","-",731.8085)</f>
        <v>731.80849999999998</v>
      </c>
      <c r="C78" s="47">
        <f>IF(OR(519.92449="",731.8085=""),"-",731.8085/519.92449*100)</f>
        <v>140.75284278299719</v>
      </c>
      <c r="D78" s="47">
        <f>IF(519.92449="","-",519.92449/1737475.58788*100)</f>
        <v>2.992413209295168E-2</v>
      </c>
      <c r="E78" s="47">
        <f>IF(731.8085="","-",731.8085/2103396.42877*100)</f>
        <v>3.4791753470264211E-2</v>
      </c>
      <c r="F78" s="47">
        <f>IF(OR(2025977.54466="",284.40152="",519.92449=""),"-",(519.92449-284.40152)/2025977.54466*100)</f>
        <v>1.1625152046762963E-2</v>
      </c>
      <c r="G78" s="47">
        <f>IF(OR(1737475.58788="",731.8085="",519.92449=""),"-",(731.8085-519.92449)/1737475.58788*100)</f>
        <v>1.2194934506017009E-2</v>
      </c>
    </row>
    <row r="79" spans="1:7" x14ac:dyDescent="0.25">
      <c r="A79" s="46" t="s">
        <v>39</v>
      </c>
      <c r="B79" s="33">
        <f>IF(706.71184="","-",706.71184)</f>
        <v>706.71184000000005</v>
      </c>
      <c r="C79" s="47">
        <f>IF(OR(1572.32814="",706.71184=""),"-",706.71184/1572.32814*100)</f>
        <v>44.946841694253465</v>
      </c>
      <c r="D79" s="47">
        <f>IF(1572.32814="","-",1572.32814/1737475.58788*100)</f>
        <v>9.0494977366473023E-2</v>
      </c>
      <c r="E79" s="47">
        <f>IF(706.71184="","-",706.71184/2103396.42877*100)</f>
        <v>3.3598604159143827E-2</v>
      </c>
      <c r="F79" s="47">
        <f>IF(OR(2025977.54466="",1392.19485="",1572.32814=""),"-",(1572.32814-1392.19485)/2025977.54466*100)</f>
        <v>8.8911790002208536E-3</v>
      </c>
      <c r="G79" s="47">
        <f>IF(OR(1737475.58788="",706.71184="",1572.32814=""),"-",(706.71184-1572.32814)/1737475.58788*100)</f>
        <v>-4.9820343148313885E-2</v>
      </c>
    </row>
    <row r="80" spans="1:7" x14ac:dyDescent="0.25">
      <c r="A80" s="46" t="s">
        <v>330</v>
      </c>
      <c r="B80" s="33">
        <f>IF(662.95097="","-",662.95097)</f>
        <v>662.95096999999998</v>
      </c>
      <c r="C80" s="47" t="s">
        <v>381</v>
      </c>
      <c r="D80" s="47">
        <f>IF(50.40516="","-",50.40516/1737475.58788*100)</f>
        <v>2.9010571631399103E-3</v>
      </c>
      <c r="E80" s="47">
        <f>IF(662.95097="","-",662.95097/2103396.42877*100)</f>
        <v>3.1518118074759349E-2</v>
      </c>
      <c r="F80" s="47">
        <f>IF(OR(2025977.54466="",30.4369="",50.40516=""),"-",(50.40516-30.4369)/2025977.54466*100)</f>
        <v>9.8561112153644709E-4</v>
      </c>
      <c r="G80" s="47">
        <f>IF(OR(1737475.58788="",662.95097="",50.40516=""),"-",(662.95097-50.40516)/1737475.58788*100)</f>
        <v>3.5254930444657613E-2</v>
      </c>
    </row>
    <row r="81" spans="1:7" x14ac:dyDescent="0.25">
      <c r="A81" s="46" t="s">
        <v>93</v>
      </c>
      <c r="B81" s="33">
        <f>IF(660.06404="","-",660.06404)</f>
        <v>660.06403999999998</v>
      </c>
      <c r="C81" s="47">
        <f>IF(OR(664.08261="",660.06404=""),"-",660.06404/664.08261*100)</f>
        <v>99.394868960655344</v>
      </c>
      <c r="D81" s="47">
        <f>IF(664.08261="","-",664.08261/1737475.58788*100)</f>
        <v>3.8221118882613356E-2</v>
      </c>
      <c r="E81" s="47">
        <f>IF(660.06404="","-",660.06404/2103396.42877*100)</f>
        <v>3.1380867199911747E-2</v>
      </c>
      <c r="F81" s="47">
        <f>IF(OR(2025977.54466="",144.64753="",664.08261=""),"-",(664.08261-144.64753)/2025977.54466*100)</f>
        <v>2.5638738265836594E-2</v>
      </c>
      <c r="G81" s="47">
        <f>IF(OR(1737475.58788="",660.06404="",664.08261=""),"-",(660.06404-664.08261)/1737475.58788*100)</f>
        <v>-2.3128785394351185E-4</v>
      </c>
    </row>
    <row r="82" spans="1:7" x14ac:dyDescent="0.25">
      <c r="A82" s="46" t="s">
        <v>38</v>
      </c>
      <c r="B82" s="33">
        <f>IF(650.08955="","-",650.08955)</f>
        <v>650.08955000000003</v>
      </c>
      <c r="C82" s="47">
        <f>IF(OR(873.84464="",650.08955=""),"-",650.08955/873.84464*100)</f>
        <v>74.394179496254623</v>
      </c>
      <c r="D82" s="47">
        <f>IF(873.84464="","-",873.84464/1737475.58788*100)</f>
        <v>5.0293923327362038E-2</v>
      </c>
      <c r="E82" s="47">
        <f>IF(650.08955="","-",650.08955/2103396.42877*100)</f>
        <v>3.0906658445747762E-2</v>
      </c>
      <c r="F82" s="47">
        <f>IF(OR(2025977.54466="",715.05089="",873.84464=""),"-",(873.84464-715.05089)/2025977.54466*100)</f>
        <v>7.8378830218796356E-3</v>
      </c>
      <c r="G82" s="47">
        <f>IF(OR(1737475.58788="",650.08955="",873.84464=""),"-",(650.08955-873.84464)/1737475.58788*100)</f>
        <v>-1.287817173149565E-2</v>
      </c>
    </row>
    <row r="83" spans="1:7" x14ac:dyDescent="0.25">
      <c r="A83" s="46" t="s">
        <v>72</v>
      </c>
      <c r="B83" s="33">
        <f>IF(562.50789="","-",562.50789)</f>
        <v>562.50788999999997</v>
      </c>
      <c r="C83" s="47">
        <f>IF(OR(717.92232="",562.50789=""),"-",562.50789/717.92232*100)</f>
        <v>78.352194148247122</v>
      </c>
      <c r="D83" s="47">
        <f>IF(717.92232="","-",717.92232/1737475.58788*100)</f>
        <v>4.1319850765556991E-2</v>
      </c>
      <c r="E83" s="47">
        <f>IF(562.50789="","-",562.50789/2103396.42877*100)</f>
        <v>2.6742837551023933E-2</v>
      </c>
      <c r="F83" s="47">
        <f>IF(OR(2025977.54466="",1020.88238="",717.92232=""),"-",(717.92232-1020.88238)/2025977.54466*100)</f>
        <v>-1.4953771861812163E-2</v>
      </c>
      <c r="G83" s="47">
        <f>IF(OR(1737475.58788="",562.50789="",717.92232=""),"-",(562.50789-717.92232)/1737475.58788*100)</f>
        <v>-8.9448410719618031E-3</v>
      </c>
    </row>
    <row r="84" spans="1:7" x14ac:dyDescent="0.25">
      <c r="A84" s="46" t="s">
        <v>223</v>
      </c>
      <c r="B84" s="33">
        <f>IF(530.40108="","-",530.40108)</f>
        <v>530.40107999999998</v>
      </c>
      <c r="C84" s="47" t="s">
        <v>322</v>
      </c>
      <c r="D84" s="47">
        <f>IF(91.26775="","-",91.26775/1737475.58788*100)</f>
        <v>5.2528939477855547E-3</v>
      </c>
      <c r="E84" s="47">
        <f>IF(530.40108="","-",530.40108/2103396.42877*100)</f>
        <v>2.5216410598840933E-2</v>
      </c>
      <c r="F84" s="47">
        <f>IF(OR(2025977.54466="",3021.10454="",91.26775=""),"-",(91.26775-3021.10454)/2025977.54466*100)</f>
        <v>-0.14461348783071956</v>
      </c>
      <c r="G84" s="47">
        <f>IF(OR(1737475.58788="",530.40108="",91.26775=""),"-",(530.40108-91.26775)/1737475.58788*100)</f>
        <v>2.5274215825720658E-2</v>
      </c>
    </row>
    <row r="85" spans="1:7" x14ac:dyDescent="0.25">
      <c r="A85" s="46" t="s">
        <v>87</v>
      </c>
      <c r="B85" s="33">
        <f>IF(497.93655="","-",497.93655)</f>
        <v>497.93655000000001</v>
      </c>
      <c r="C85" s="47">
        <f>IF(OR(1122.93476="",497.93655=""),"-",497.93655/1122.93476*100)</f>
        <v>44.342429118500164</v>
      </c>
      <c r="D85" s="47">
        <f>IF(1122.93476="","-",1122.93476/1737475.58788*100)</f>
        <v>6.4630246769116412E-2</v>
      </c>
      <c r="E85" s="47">
        <f>IF(497.93655="","-",497.93655/2103396.42877*100)</f>
        <v>2.3672976866808585E-2</v>
      </c>
      <c r="F85" s="47">
        <f>IF(OR(2025977.54466="",340.55037="",1122.93476=""),"-",(1122.93476-340.55037)/2025977.54466*100)</f>
        <v>3.8617623974272632E-2</v>
      </c>
      <c r="G85" s="47">
        <f>IF(OR(1737475.58788="",497.93655="",1122.93476=""),"-",(497.93655-1122.93476)/1737475.58788*100)</f>
        <v>-3.5971625406409226E-2</v>
      </c>
    </row>
    <row r="86" spans="1:7" x14ac:dyDescent="0.25">
      <c r="A86" s="46" t="s">
        <v>131</v>
      </c>
      <c r="B86" s="33">
        <f>IF(465.76273="","-",465.76273)</f>
        <v>465.76272999999998</v>
      </c>
      <c r="C86" s="47" t="s">
        <v>296</v>
      </c>
      <c r="D86" s="47">
        <f>IF(176.0637="","-",176.0637/1737475.58788*100)</f>
        <v>1.0133304964291675E-2</v>
      </c>
      <c r="E86" s="47">
        <f>IF(465.76273="","-",465.76273/2103396.42877*100)</f>
        <v>2.2143364114788542E-2</v>
      </c>
      <c r="F86" s="47">
        <f>IF(OR(2025977.54466="",133.4746="",176.0637=""),"-",(176.0637-133.4746)/2025977.54466*100)</f>
        <v>2.1021506438832381E-3</v>
      </c>
      <c r="G86" s="47">
        <f>IF(OR(1737475.58788="",465.76273="",176.0637=""),"-",(465.76273-176.0637)/1737475.58788*100)</f>
        <v>1.6673559733491244E-2</v>
      </c>
    </row>
    <row r="87" spans="1:7" x14ac:dyDescent="0.25">
      <c r="A87" s="46" t="s">
        <v>141</v>
      </c>
      <c r="B87" s="33">
        <f>IF(455.90303="","-",455.90303)</f>
        <v>455.90303</v>
      </c>
      <c r="C87" s="47">
        <f>IF(OR(305.79612="",455.90303=""),"-",455.90303/305.79612*100)</f>
        <v>149.08725133595547</v>
      </c>
      <c r="D87" s="47">
        <f>IF(305.79612="","-",305.79612/1737475.58788*100)</f>
        <v>1.7600023973466036E-2</v>
      </c>
      <c r="E87" s="47">
        <f>IF(455.90303="","-",455.90303/2103396.42877*100)</f>
        <v>2.1674612724649236E-2</v>
      </c>
      <c r="F87" s="47">
        <f>IF(OR(2025977.54466="",315.51659="",305.79612=""),"-",(305.79612-315.51659)/2025977.54466*100)</f>
        <v>-4.7979159619122662E-4</v>
      </c>
      <c r="G87" s="47">
        <f>IF(OR(1737475.58788="",455.90303="",305.79612=""),"-",(455.90303-305.79612)/1737475.58788*100)</f>
        <v>8.6393680030436935E-3</v>
      </c>
    </row>
    <row r="88" spans="1:7" x14ac:dyDescent="0.25">
      <c r="A88" s="46" t="s">
        <v>78</v>
      </c>
      <c r="B88" s="33">
        <f>IF(451.18879="","-",451.18879)</f>
        <v>451.18878999999998</v>
      </c>
      <c r="C88" s="47" t="s">
        <v>217</v>
      </c>
      <c r="D88" s="47">
        <f>IF(181.8109="","-",181.8109/1737475.58788*100)</f>
        <v>1.0464083712499152E-2</v>
      </c>
      <c r="E88" s="47">
        <f>IF(451.18879="","-",451.18879/2103396.42877*100)</f>
        <v>2.1450487593717222E-2</v>
      </c>
      <c r="F88" s="47">
        <f>IF(OR(2025977.54466="",98.36857="",181.8109=""),"-",(181.8109-98.36857)/2025977.54466*100)</f>
        <v>4.1186206737549658E-3</v>
      </c>
      <c r="G88" s="47">
        <f>IF(OR(1737475.58788="",451.18879="",181.8109=""),"-",(451.18879-181.8109)/1737475.58788*100)</f>
        <v>1.5503981286360654E-2</v>
      </c>
    </row>
    <row r="89" spans="1:7" x14ac:dyDescent="0.25">
      <c r="A89" s="46" t="s">
        <v>83</v>
      </c>
      <c r="B89" s="33">
        <f>IF(441.01508="","-",441.01508)</f>
        <v>441.01508000000001</v>
      </c>
      <c r="C89" s="47" t="s">
        <v>319</v>
      </c>
      <c r="D89" s="47">
        <f>IF(146.38074="","-",146.38074/1737475.58788*100)</f>
        <v>8.4249091625286134E-3</v>
      </c>
      <c r="E89" s="47">
        <f>IF(441.01508="","-",441.01508/2103396.42877*100)</f>
        <v>2.0966807491343498E-2</v>
      </c>
      <c r="F89" s="47">
        <f>IF(OR(2025977.54466="",671.07024="",146.38074=""),"-",(146.38074-671.07024)/2025977.54466*100)</f>
        <v>-2.5898090597448034E-2</v>
      </c>
      <c r="G89" s="47">
        <f>IF(OR(1737475.58788="",441.01508="",146.38074=""),"-",(441.01508-146.38074)/1737475.58788*100)</f>
        <v>1.6957610343147404E-2</v>
      </c>
    </row>
    <row r="90" spans="1:7" x14ac:dyDescent="0.25">
      <c r="A90" s="46" t="s">
        <v>84</v>
      </c>
      <c r="B90" s="33">
        <f>IF(440.26803="","-",440.26803)</f>
        <v>440.26803000000001</v>
      </c>
      <c r="C90" s="47" t="s">
        <v>382</v>
      </c>
      <c r="D90" s="47">
        <f>IF(21.46641="","-",21.46641/1737475.58788*100)</f>
        <v>1.235494193400005E-3</v>
      </c>
      <c r="E90" s="47">
        <f>IF(440.26803="","-",440.26803/2103396.42877*100)</f>
        <v>2.0931291124110869E-2</v>
      </c>
      <c r="F90" s="47">
        <f>IF(OR(2025977.54466="",4.79066="",21.46641=""),"-",(21.46641-4.79066)/2025977.54466*100)</f>
        <v>8.2309648712313485E-4</v>
      </c>
      <c r="G90" s="47">
        <f>IF(OR(1737475.58788="",440.26803="",21.46641=""),"-",(440.26803-21.46641)/1737475.58788*100)</f>
        <v>2.4104029024718872E-2</v>
      </c>
    </row>
    <row r="91" spans="1:7" x14ac:dyDescent="0.25">
      <c r="A91" s="46" t="s">
        <v>96</v>
      </c>
      <c r="B91" s="33">
        <f>IF(419.24466="","-",419.24466)</f>
        <v>419.24466000000001</v>
      </c>
      <c r="C91" s="47">
        <f>IF(OR(329.41595="",419.24466=""),"-",419.24466/329.41595*100)</f>
        <v>127.26908335798555</v>
      </c>
      <c r="D91" s="47">
        <f>IF(329.41595="","-",329.41595/1737475.58788*100)</f>
        <v>1.8959457749961283E-2</v>
      </c>
      <c r="E91" s="47">
        <f>IF(419.24466="","-",419.24466/2103396.42877*100)</f>
        <v>1.9931794799383635E-2</v>
      </c>
      <c r="F91" s="47">
        <f>IF(OR(2025977.54466="",586.39953="",329.41595=""),"-",(329.41595-586.39953)/2025977.54466*100)</f>
        <v>-1.2684423905750994E-2</v>
      </c>
      <c r="G91" s="47">
        <f>IF(OR(1737475.58788="",419.24466="",329.41595=""),"-",(419.24466-329.41595)/1737475.58788*100)</f>
        <v>5.1700703380589937E-3</v>
      </c>
    </row>
    <row r="92" spans="1:7" x14ac:dyDescent="0.25">
      <c r="A92" s="46" t="s">
        <v>125</v>
      </c>
      <c r="B92" s="33">
        <f>IF(413.10412="","-",413.10412)</f>
        <v>413.10412000000002</v>
      </c>
      <c r="C92" s="47">
        <f>IF(OR(1000.08336="",413.10412=""),"-",413.10412/1000.08336*100)</f>
        <v>41.30696865109325</v>
      </c>
      <c r="D92" s="47">
        <f>IF(1000.08336="","-",1000.08336/1737475.58788*100)</f>
        <v>5.7559563252354104E-2</v>
      </c>
      <c r="E92" s="47">
        <f>IF(413.10412="","-",413.10412/2103396.42877*100)</f>
        <v>1.9639860292126211E-2</v>
      </c>
      <c r="F92" s="47">
        <f>IF(OR(2025977.54466="",378.42153="",1000.08336=""),"-",(1000.08336-378.42153)/2025977.54466*100)</f>
        <v>3.0684537034408616E-2</v>
      </c>
      <c r="G92" s="47">
        <f>IF(OR(1737475.58788="",413.10412="",1000.08336=""),"-",(413.10412-1000.08336)/1737475.58788*100)</f>
        <v>-3.3783452503998002E-2</v>
      </c>
    </row>
    <row r="93" spans="1:7" x14ac:dyDescent="0.25">
      <c r="A93" s="46" t="s">
        <v>102</v>
      </c>
      <c r="B93" s="33">
        <f>IF(389.85509="","-",389.85509)</f>
        <v>389.85509000000002</v>
      </c>
      <c r="C93" s="47">
        <f>IF(OR(395.39674="",389.85509=""),"-",389.85509/395.39674*100)</f>
        <v>98.598458348442634</v>
      </c>
      <c r="D93" s="47">
        <f>IF(395.39674="","-",395.39674/1737475.58788*100)</f>
        <v>2.2756966645065081E-2</v>
      </c>
      <c r="E93" s="47">
        <f>IF(389.85509="","-",389.85509/2103396.42877*100)</f>
        <v>1.8534551293689083E-2</v>
      </c>
      <c r="F93" s="47">
        <f>IF(OR(2025977.54466="",100.98459="",395.39674=""),"-",(395.39674-100.98459)/2025977.54466*100)</f>
        <v>1.4531856524076545E-2</v>
      </c>
      <c r="G93" s="47">
        <f>IF(OR(1737475.58788="",389.85509="",395.39674=""),"-",(389.85509-395.39674)/1737475.58788*100)</f>
        <v>-3.1894836616160516E-4</v>
      </c>
    </row>
    <row r="94" spans="1:7" x14ac:dyDescent="0.25">
      <c r="A94" s="46" t="s">
        <v>101</v>
      </c>
      <c r="B94" s="33">
        <f>IF(377.67869="","-",377.67869)</f>
        <v>377.67869000000002</v>
      </c>
      <c r="C94" s="47" t="s">
        <v>307</v>
      </c>
      <c r="D94" s="47">
        <f>IF(154.33353="","-",154.33353/1737475.58788*100)</f>
        <v>8.8826301259467919E-3</v>
      </c>
      <c r="E94" s="47">
        <f>IF(377.67869="","-",377.67869/2103396.42877*100)</f>
        <v>1.7955658992007253E-2</v>
      </c>
      <c r="F94" s="47">
        <f>IF(OR(2025977.54466="",477.81045="",154.33353=""),"-",(154.33353-477.81045)/2025977.54466*100)</f>
        <v>-1.5966461269652722E-2</v>
      </c>
      <c r="G94" s="47">
        <f>IF(OR(1737475.58788="",377.67869="",154.33353=""),"-",(377.67869-154.33353)/1737475.58788*100)</f>
        <v>1.2854578306479523E-2</v>
      </c>
    </row>
    <row r="95" spans="1:7" x14ac:dyDescent="0.25">
      <c r="A95" s="46" t="s">
        <v>135</v>
      </c>
      <c r="B95" s="33">
        <f>IF(352.40001="","-",352.40001)</f>
        <v>352.40001000000001</v>
      </c>
      <c r="C95" s="47" t="s">
        <v>407</v>
      </c>
      <c r="D95" s="47">
        <f>IF(21.90433="","-",21.90433/1737475.58788*100)</f>
        <v>1.2606985763021173E-3</v>
      </c>
      <c r="E95" s="47">
        <f>IF(352.40001="","-",352.40001/2103349.30903*100)</f>
        <v>1.6754231381686958E-2</v>
      </c>
      <c r="F95" s="47">
        <f>IF(OR(2025977.54466="",58.46004="",21.90433=""),"-",(21.90433-58.46004)/2025977.54466*100)</f>
        <v>-1.8043492187932808E-3</v>
      </c>
      <c r="G95" s="47">
        <f>IF(OR(1737475.58788="",352.40001="",21.90433=""),"-",(352.40001-21.90433)/1737475.58788*100)</f>
        <v>1.9021601356900671E-2</v>
      </c>
    </row>
    <row r="96" spans="1:7" x14ac:dyDescent="0.25">
      <c r="A96" s="46" t="s">
        <v>146</v>
      </c>
      <c r="B96" s="33">
        <f>IF(332.148="","-",332.148)</f>
        <v>332.14800000000002</v>
      </c>
      <c r="C96" s="47" t="s">
        <v>103</v>
      </c>
      <c r="D96" s="47">
        <f>IF(200.6088="","-",200.6088/1737475.58788*100)</f>
        <v>1.1545992438649169E-2</v>
      </c>
      <c r="E96" s="47">
        <f>IF(332.148="","-",332.148/2103396.42877*100)</f>
        <v>1.5791031850055468E-2</v>
      </c>
      <c r="F96" s="47">
        <f>IF(OR(2025977.54466="",129.0535="",200.6088=""),"-",(200.6088-129.0535)/2025977.54466*100)</f>
        <v>3.5318900838068479E-3</v>
      </c>
      <c r="G96" s="47">
        <f>IF(OR(1737475.58788="",332.148="",200.6088=""),"-",(332.148-200.6088)/1737475.58788*100)</f>
        <v>7.5707078083611544E-3</v>
      </c>
    </row>
    <row r="97" spans="1:7" x14ac:dyDescent="0.25">
      <c r="A97" s="46" t="s">
        <v>126</v>
      </c>
      <c r="B97" s="33">
        <f>IF(285.26516="","-",285.26516)</f>
        <v>285.26515999999998</v>
      </c>
      <c r="C97" s="47">
        <f>IF(OR(282.28205="",285.26516=""),"-",285.26516/282.28205*100)</f>
        <v>101.05678345470423</v>
      </c>
      <c r="D97" s="47">
        <f>IF(282.28205="","-",282.28205/1737475.58788*100)</f>
        <v>1.6246677188968717E-2</v>
      </c>
      <c r="E97" s="47">
        <f>IF(285.26516="","-",285.26516/2103396.42877*100)</f>
        <v>1.3562120582605251E-2</v>
      </c>
      <c r="F97" s="47">
        <f>IF(OR(2025977.54466="",352.84249="",282.28205=""),"-",(282.28205-352.84249)/2025977.54466*100)</f>
        <v>-3.4827848998613378E-3</v>
      </c>
      <c r="G97" s="47">
        <f>IF(OR(1737475.58788="",285.26516="",282.28205=""),"-",(285.26516-282.28205)/1737475.58788*100)</f>
        <v>1.7169219647222947E-4</v>
      </c>
    </row>
    <row r="98" spans="1:7" x14ac:dyDescent="0.25">
      <c r="A98" s="46" t="s">
        <v>64</v>
      </c>
      <c r="B98" s="33">
        <f>IF(281.34681="","-",281.34681)</f>
        <v>281.34681</v>
      </c>
      <c r="C98" s="47">
        <f>IF(OR(432.21897="",281.34681=""),"-",281.34681/432.21897*100)</f>
        <v>65.093582079472355</v>
      </c>
      <c r="D98" s="47">
        <f>IF(432.21897="","-",432.21897/1737475.58788*100)</f>
        <v>2.4876261457427253E-2</v>
      </c>
      <c r="E98" s="47">
        <f>IF(281.34681="","-",281.34681/2103396.42877*100)</f>
        <v>1.3375833777778292E-2</v>
      </c>
      <c r="F98" s="47">
        <f>IF(OR(2025977.54466="",1302.93805="",432.21897=""),"-",(432.21897-1302.93805)/2025977.54466*100)</f>
        <v>-4.2977726100420541E-2</v>
      </c>
      <c r="G98" s="47">
        <f>IF(OR(1737475.58788="",281.34681="",432.21897=""),"-",(281.34681-432.21897)/1737475.58788*100)</f>
        <v>-8.6834117873326976E-3</v>
      </c>
    </row>
    <row r="99" spans="1:7" ht="16.5" customHeight="1" x14ac:dyDescent="0.25">
      <c r="A99" s="46" t="s">
        <v>90</v>
      </c>
      <c r="B99" s="33">
        <f>IF(277.37867="","-",277.37867)</f>
        <v>277.37867</v>
      </c>
      <c r="C99" s="47" t="s">
        <v>220</v>
      </c>
      <c r="D99" s="47">
        <f>IF(118.95241="","-",118.95241/1737475.58788*100)</f>
        <v>6.8462780616757391E-3</v>
      </c>
      <c r="E99" s="47">
        <f>IF(277.37867="","-",277.37867/2103396.42877*100)</f>
        <v>1.3187179849031229E-2</v>
      </c>
      <c r="F99" s="47">
        <f>IF(OR(2025977.54466="",103.15059="",118.95241=""),"-",(118.95241-103.15059)/2025977.54466*100)</f>
        <v>7.7996027358002496E-4</v>
      </c>
      <c r="G99" s="47">
        <f>IF(OR(1737475.58788="",277.37867="",118.95241=""),"-",(277.37867-118.95241)/1737475.58788*100)</f>
        <v>9.1181862412988233E-3</v>
      </c>
    </row>
    <row r="100" spans="1:7" ht="15.75" customHeight="1" x14ac:dyDescent="0.25">
      <c r="A100" s="46" t="s">
        <v>86</v>
      </c>
      <c r="B100" s="33">
        <f>IF(250.61993="","-",250.61993)</f>
        <v>250.61993000000001</v>
      </c>
      <c r="C100" s="47">
        <f>IF(OR(290.07564="",250.61993=""),"-",250.61993/290.07564*100)</f>
        <v>86.398130501409909</v>
      </c>
      <c r="D100" s="47">
        <f>IF(290.07564="","-",290.07564/1737475.58788*100)</f>
        <v>1.6695235433721346E-2</v>
      </c>
      <c r="E100" s="47">
        <f>IF(250.61993="","-",250.61993/2103396.42877*100)</f>
        <v>1.1915011672172262E-2</v>
      </c>
      <c r="F100" s="47">
        <f>IF(OR(2025977.54466="",130.24588="",290.07564=""),"-",(290.07564-130.24588)/2025977.54466*100)</f>
        <v>7.8890193240923959E-3</v>
      </c>
      <c r="G100" s="47">
        <f>IF(OR(1737475.58788="",250.61993="",290.07564=""),"-",(250.61993-290.07564)/1737475.58788*100)</f>
        <v>-2.2708641361771495E-3</v>
      </c>
    </row>
    <row r="101" spans="1:7" x14ac:dyDescent="0.25">
      <c r="A101" s="46" t="s">
        <v>403</v>
      </c>
      <c r="B101" s="33">
        <f>IF(211.45377="","-",211.45377)</f>
        <v>211.45376999999999</v>
      </c>
      <c r="C101" s="47" t="s">
        <v>316</v>
      </c>
      <c r="D101" s="47">
        <f>IF(50.18097="","-",50.18097/1737475.58788*100)</f>
        <v>2.888153960265356E-3</v>
      </c>
      <c r="E101" s="47">
        <f>IF(211.45377="","-",211.45377/2103396.42877*100)</f>
        <v>1.0052968004878256E-2</v>
      </c>
      <c r="F101" s="47">
        <f>IF(OR(2025977.54466="",43.23246="",50.18097=""),"-",(50.18097-43.23246)/2025977.54466*100)</f>
        <v>3.4297073125586392E-4</v>
      </c>
      <c r="G101" s="47">
        <f>IF(OR(1737475.58788="",211.45377="",50.18097=""),"-",(211.45377-50.18097)/1737475.58788*100)</f>
        <v>9.2820181834484799E-3</v>
      </c>
    </row>
    <row r="102" spans="1:7" x14ac:dyDescent="0.25">
      <c r="A102" s="46" t="s">
        <v>69</v>
      </c>
      <c r="B102" s="33">
        <f>IF(193.19476="","-",193.19476)</f>
        <v>193.19476</v>
      </c>
      <c r="C102" s="47" t="s">
        <v>383</v>
      </c>
      <c r="D102" s="47">
        <f>IF(47.70546="","-",47.70546/1737475.58788*100)</f>
        <v>2.7456765627543777E-3</v>
      </c>
      <c r="E102" s="47">
        <f>IF(193.19476="","-",193.19476/2103396.42877*100)</f>
        <v>9.1848953130045114E-3</v>
      </c>
      <c r="F102" s="47">
        <f>IF(OR(2025977.54466="",236.29408="",47.70546=""),"-",(47.70546-236.29408)/2025977.54466*100)</f>
        <v>-9.3085246920468212E-3</v>
      </c>
      <c r="G102" s="47">
        <f>IF(OR(1737475.58788="",193.19476="",47.70546=""),"-",(193.19476-47.70546)/1737475.58788*100)</f>
        <v>8.3736025423827905E-3</v>
      </c>
    </row>
    <row r="103" spans="1:7" x14ac:dyDescent="0.25">
      <c r="A103" s="46" t="s">
        <v>402</v>
      </c>
      <c r="B103" s="33">
        <f>IF(183.52502="","-",183.52502)</f>
        <v>183.52502000000001</v>
      </c>
      <c r="C103" s="47" t="str">
        <f>IF(OR(""="",183.52502=""),"-",183.52502/""*100)</f>
        <v>-</v>
      </c>
      <c r="D103" s="47" t="str">
        <f>IF(""="","-",""/1737475.58788*100)</f>
        <v>-</v>
      </c>
      <c r="E103" s="47">
        <f>IF(183.52502="","-",183.52502/2103396.42877*100)</f>
        <v>8.7251750307154249E-3</v>
      </c>
      <c r="F103" s="47" t="str">
        <f>IF(OR(2025977.54466="",""="",""=""),"-",(""-"")/2025977.54466*100)</f>
        <v>-</v>
      </c>
      <c r="G103" s="47" t="str">
        <f>IF(OR(1737475.58788="",183.52502="",""=""),"-",(183.52502-"")/1737475.58788*100)</f>
        <v>-</v>
      </c>
    </row>
    <row r="104" spans="1:7" x14ac:dyDescent="0.25">
      <c r="A104" s="46" t="s">
        <v>329</v>
      </c>
      <c r="B104" s="33">
        <f>IF(171.86099="","-",171.86099)</f>
        <v>171.86098999999999</v>
      </c>
      <c r="C104" s="47" t="str">
        <f>IF(OR(""="",171.86099=""),"-",171.86099/""*100)</f>
        <v>-</v>
      </c>
      <c r="D104" s="47" t="str">
        <f>IF(""="","-",""/1737475.58788*100)</f>
        <v>-</v>
      </c>
      <c r="E104" s="47">
        <f>IF(171.86099="","-",171.86099/2103396.42877*100)</f>
        <v>8.1706419032240574E-3</v>
      </c>
      <c r="F104" s="47" t="str">
        <f>IF(OR(2025977.54466="",""="",""=""),"-",(""-"")/2025977.54466*100)</f>
        <v>-</v>
      </c>
      <c r="G104" s="47" t="str">
        <f>IF(OR(1737475.58788="",171.86099="",""=""),"-",(171.86099-"")/1737475.58788*100)</f>
        <v>-</v>
      </c>
    </row>
    <row r="105" spans="1:7" x14ac:dyDescent="0.25">
      <c r="A105" s="46" t="s">
        <v>107</v>
      </c>
      <c r="B105" s="33">
        <f>IF(163.10625="","-",163.10625)</f>
        <v>163.10624999999999</v>
      </c>
      <c r="C105" s="47">
        <f>IF(OR(135.01827="",163.10625=""),"-",163.10625/135.01827*100)</f>
        <v>120.8030957588184</v>
      </c>
      <c r="D105" s="47">
        <f>IF(135.01827="","-",135.01827/1737475.58788*100)</f>
        <v>7.7709448663243683E-3</v>
      </c>
      <c r="E105" s="47">
        <f>IF(163.10625="","-",163.10625/2103396.42877*100)</f>
        <v>7.7544226931762633E-3</v>
      </c>
      <c r="F105" s="47">
        <f>IF(OR(2025977.54466="",354.73718="",135.01827=""),"-",(135.01827-354.73718)/2025977.54466*100)</f>
        <v>-1.0845081209272401E-2</v>
      </c>
      <c r="G105" s="47">
        <f>IF(OR(1737475.58788="",163.10625="",135.01827=""),"-",(163.10625-135.01827)/1737475.58788*100)</f>
        <v>1.6165971019064416E-3</v>
      </c>
    </row>
    <row r="106" spans="1:7" x14ac:dyDescent="0.25">
      <c r="A106" s="46" t="s">
        <v>219</v>
      </c>
      <c r="B106" s="33">
        <f>IF(162.96405="","-",162.96405)</f>
        <v>162.96404999999999</v>
      </c>
      <c r="C106" s="47" t="str">
        <f>IF(OR(""="",162.96405=""),"-",162.96405/""*100)</f>
        <v>-</v>
      </c>
      <c r="D106" s="47" t="str">
        <f>IF(""="","-",""/1737475.58788*100)</f>
        <v>-</v>
      </c>
      <c r="E106" s="47">
        <f>IF(162.96405="","-",162.96405/2103396.42877*100)</f>
        <v>7.7476621986705668E-3</v>
      </c>
      <c r="F106" s="47" t="str">
        <f>IF(OR(2025977.54466="",984.25349="",""=""),"-",(""-984.25349)/2025977.54466*100)</f>
        <v>-</v>
      </c>
      <c r="G106" s="47" t="str">
        <f>IF(OR(1737475.58788="",162.96405="",""=""),"-",(162.96405-"")/1737475.58788*100)</f>
        <v>-</v>
      </c>
    </row>
    <row r="107" spans="1:7" x14ac:dyDescent="0.25">
      <c r="A107" s="46" t="s">
        <v>74</v>
      </c>
      <c r="B107" s="33">
        <f>IF(151.18419="","-",151.18419)</f>
        <v>151.18419</v>
      </c>
      <c r="C107" s="47">
        <f>IF(OR(215.83129="",151.18419=""),"-",151.18419/215.83129*100)</f>
        <v>70.047392108901349</v>
      </c>
      <c r="D107" s="47">
        <f>IF(215.83129="","-",215.83129/1737475.58788*100)</f>
        <v>1.2422119280728941E-2</v>
      </c>
      <c r="E107" s="47">
        <f>IF(151.18419="","-",151.18419/2103396.42877*100)</f>
        <v>7.1876222633128527E-3</v>
      </c>
      <c r="F107" s="47">
        <f>IF(OR(2025977.54466="",711.11685="",215.83129=""),"-",(215.83129-711.11685)/2025977.54466*100)</f>
        <v>-2.4446744797614182E-2</v>
      </c>
      <c r="G107" s="47">
        <f>IF(OR(1737475.58788="",151.18419="",215.83129=""),"-",(151.18419-215.83129)/1737475.58788*100)</f>
        <v>-3.7207486799213027E-3</v>
      </c>
    </row>
    <row r="108" spans="1:7" x14ac:dyDescent="0.25">
      <c r="A108" s="46" t="s">
        <v>331</v>
      </c>
      <c r="B108" s="33">
        <f>IF(127.69588="","-",127.69588)</f>
        <v>127.69588</v>
      </c>
      <c r="C108" s="47" t="str">
        <f>IF(OR(""="",127.69588=""),"-",127.69588/""*100)</f>
        <v>-</v>
      </c>
      <c r="D108" s="47" t="str">
        <f>IF(""="","-",""/1737475.58788*100)</f>
        <v>-</v>
      </c>
      <c r="E108" s="47">
        <f>IF(127.69588="","-",127.69588/2103396.42877*100)</f>
        <v>6.0709373779184615E-3</v>
      </c>
      <c r="F108" s="47" t="str">
        <f>IF(OR(2025977.54466="",17.48765="",""=""),"-",(""-17.48765)/2025977.54466*100)</f>
        <v>-</v>
      </c>
      <c r="G108" s="47" t="str">
        <f>IF(OR(1737475.58788="",127.69588="",""=""),"-",(127.69588-"")/1737475.58788*100)</f>
        <v>-</v>
      </c>
    </row>
    <row r="109" spans="1:7" x14ac:dyDescent="0.25">
      <c r="A109" s="46" t="s">
        <v>222</v>
      </c>
      <c r="B109" s="33">
        <f>IF(111.51571="","-",111.51571)</f>
        <v>111.51571</v>
      </c>
      <c r="C109" s="47">
        <f>IF(OR(315.98349="",111.51571=""),"-",111.51571/315.98349*100)</f>
        <v>35.291625521320746</v>
      </c>
      <c r="D109" s="47">
        <f>IF(315.98349="","-",315.98349/1737475.58788*100)</f>
        <v>1.8186355664746391E-2</v>
      </c>
      <c r="E109" s="47">
        <f>IF(111.51571="","-",111.51571/2103396.42877*100)</f>
        <v>5.3016972204907127E-3</v>
      </c>
      <c r="F109" s="47">
        <f>IF(OR(2025977.54466="",100.3211="",315.98349=""),"-",(315.98349-100.3211)/2025977.54466*100)</f>
        <v>1.0644855890354526E-2</v>
      </c>
      <c r="G109" s="47">
        <f>IF(OR(1737475.58788="",111.51571="",315.98349=""),"-",(111.51571-315.98349)/1737475.58788*100)</f>
        <v>-1.176809512756859E-2</v>
      </c>
    </row>
    <row r="110" spans="1:7" x14ac:dyDescent="0.25">
      <c r="A110" s="46" t="s">
        <v>85</v>
      </c>
      <c r="B110" s="33">
        <f>IF(105.61203="","-",105.61203)</f>
        <v>105.61203</v>
      </c>
      <c r="C110" s="47">
        <f>IF(OR(1055.7773="",105.61203=""),"-",105.61203/1055.7773*100)</f>
        <v>10.003248791198676</v>
      </c>
      <c r="D110" s="47">
        <f>IF(1055.7773="","-",1055.7773/1737475.58788*100)</f>
        <v>6.0765014908106894E-2</v>
      </c>
      <c r="E110" s="47">
        <f>IF(105.61203="","-",105.61203/2103396.42877*100)</f>
        <v>5.0210235481743491E-3</v>
      </c>
      <c r="F110" s="47">
        <f>IF(OR(2025977.54466="",1886.59286="",1055.7773=""),"-",(1055.7773-1886.59286)/2025977.54466*100)</f>
        <v>-4.1008132700672537E-2</v>
      </c>
      <c r="G110" s="47">
        <f>IF(OR(1737475.58788="",105.61203="",1055.7773=""),"-",(105.61203-1055.7773)/1737475.58788*100)</f>
        <v>-5.468653928884E-2</v>
      </c>
    </row>
    <row r="111" spans="1:7" x14ac:dyDescent="0.25">
      <c r="A111" s="46" t="s">
        <v>81</v>
      </c>
      <c r="B111" s="33">
        <f>IF(105.49958="","-",105.49958)</f>
        <v>105.49957999999999</v>
      </c>
      <c r="C111" s="47" t="s">
        <v>384</v>
      </c>
      <c r="D111" s="47">
        <f>IF(4.91="","-",4.91/1737475.58788*100)</f>
        <v>2.8259389854167627E-4</v>
      </c>
      <c r="E111" s="47">
        <f>IF(105.49958="","-",105.49958/2103396.42877*100)</f>
        <v>5.0156774327934379E-3</v>
      </c>
      <c r="F111" s="47" t="str">
        <f>IF(OR(2025977.54466="",""="",4.91=""),"-",(4.91-"")/2025977.54466*100)</f>
        <v>-</v>
      </c>
      <c r="G111" s="47">
        <f>IF(OR(1737475.58788="",105.49958="",4.91=""),"-",(105.49958-4.91)/1737475.58788*100)</f>
        <v>5.7894096873461962E-3</v>
      </c>
    </row>
    <row r="112" spans="1:7" x14ac:dyDescent="0.25">
      <c r="A112" s="46" t="s">
        <v>80</v>
      </c>
      <c r="B112" s="33">
        <f>IF(105.34275="","-",105.34275)</f>
        <v>105.34275</v>
      </c>
      <c r="C112" s="47" t="s">
        <v>385</v>
      </c>
      <c r="D112" s="47">
        <f>IF(20.50316="","-",20.50316/1737475.58788*100)</f>
        <v>1.1800545655445529E-3</v>
      </c>
      <c r="E112" s="47">
        <f>IF(105.34275="","-",105.34275/2103396.42877*100)</f>
        <v>5.0082213965534353E-3</v>
      </c>
      <c r="F112" s="47" t="str">
        <f>IF(OR(2025977.54466="",""="",20.50316=""),"-",(20.50316-"")/2025977.54466*100)</f>
        <v>-</v>
      </c>
      <c r="G112" s="47">
        <f>IF(OR(1737475.58788="",105.34275="",20.50316=""),"-",(105.34275-20.50316)/1737475.58788*100)</f>
        <v>4.8829227064719769E-3</v>
      </c>
    </row>
    <row r="113" spans="1:7" x14ac:dyDescent="0.25">
      <c r="A113" s="46" t="s">
        <v>98</v>
      </c>
      <c r="B113" s="33">
        <f>IF(102.5224="","-",102.5224)</f>
        <v>102.5224</v>
      </c>
      <c r="C113" s="47">
        <f>IF(OR(129.41661="",102.5224=""),"-",102.5224/129.41661*100)</f>
        <v>79.218888518251262</v>
      </c>
      <c r="D113" s="47">
        <f>IF(129.41661="","-",129.41661/1737475.58788*100)</f>
        <v>7.4485426386858818E-3</v>
      </c>
      <c r="E113" s="47">
        <f>IF(102.5224="","-",102.5224/2103396.42877*100)</f>
        <v>4.8741358784160282E-3</v>
      </c>
      <c r="F113" s="47">
        <f>IF(OR(2025977.54466="",64.91936="",129.41661=""),"-",(129.41661-64.91936)/2025977.54466*100)</f>
        <v>3.1835125798901167E-3</v>
      </c>
      <c r="G113" s="47">
        <f>IF(OR(1737475.58788="",102.5224="",129.41661=""),"-",(102.5224-129.41661)/1737475.58788*100)</f>
        <v>-1.5478899495109026E-3</v>
      </c>
    </row>
    <row r="114" spans="1:7" x14ac:dyDescent="0.25">
      <c r="A114" s="46" t="s">
        <v>328</v>
      </c>
      <c r="B114" s="33">
        <f>IF(75.18943="","-",75.18943)</f>
        <v>75.189430000000002</v>
      </c>
      <c r="C114" s="47" t="s">
        <v>306</v>
      </c>
      <c r="D114" s="47">
        <f>IF(27.49258="","-",27.49258/1737475.58788*100)</f>
        <v>1.5823289945354213E-3</v>
      </c>
      <c r="E114" s="47">
        <f>IF(75.18943="","-",75.18943/2103396.42877*100)</f>
        <v>3.5746675696301531E-3</v>
      </c>
      <c r="F114" s="47">
        <f>IF(OR(2025977.54466="",0.20947="",27.49258=""),"-",(27.49258-0.20947)/2025977.54466*100)</f>
        <v>1.3466639880541547E-3</v>
      </c>
      <c r="G114" s="47">
        <f>IF(OR(1737475.58788="",75.18943="",27.49258=""),"-",(75.18943-27.49258)/1737475.58788*100)</f>
        <v>2.7451810162235336E-3</v>
      </c>
    </row>
    <row r="115" spans="1:7" x14ac:dyDescent="0.25">
      <c r="A115" s="46" t="s">
        <v>373</v>
      </c>
      <c r="B115" s="33">
        <f>IF(66.80164="","-",66.80164)</f>
        <v>66.801640000000006</v>
      </c>
      <c r="C115" s="47" t="str">
        <f>IF(OR(""="",66.80164=""),"-",66.80164/""*100)</f>
        <v>-</v>
      </c>
      <c r="D115" s="47" t="str">
        <f>IF(""="","-",""/1737475.58788*100)</f>
        <v>-</v>
      </c>
      <c r="E115" s="47">
        <f>IF(66.80164="","-",66.80164/2103396.42877*100)</f>
        <v>3.1758939535265589E-3</v>
      </c>
      <c r="F115" s="47" t="str">
        <f>IF(OR(2025977.54466="",""="",""=""),"-",(""-"")/2025977.54466*100)</f>
        <v>-</v>
      </c>
      <c r="G115" s="47" t="str">
        <f>IF(OR(1737475.58788="",66.80164="",""=""),"-",(66.80164-"")/1737475.58788*100)</f>
        <v>-</v>
      </c>
    </row>
    <row r="116" spans="1:7" x14ac:dyDescent="0.25">
      <c r="A116" s="46" t="s">
        <v>406</v>
      </c>
      <c r="B116" s="33">
        <f>IF(61.36344="","-",61.36344)</f>
        <v>61.363439999999997</v>
      </c>
      <c r="C116" s="47">
        <f>IF(OR(72.2805="",61.36344=""),"-",61.36344/72.2805*100)</f>
        <v>84.896258326934642</v>
      </c>
      <c r="D116" s="47">
        <f>IF(72.2805="","-",72.2805/1737475.58788*100)</f>
        <v>4.1600872267905566E-3</v>
      </c>
      <c r="E116" s="47">
        <f>IF(61.36344="","-",61.36344/2103396.42877*100)</f>
        <v>2.917350203731372E-3</v>
      </c>
      <c r="F116" s="47">
        <f>IF(OR(2025977.54466="",406.86074="",72.2805=""),"-",(72.2805-406.86074)/2025977.54466*100)</f>
        <v>-1.6514508804990204E-2</v>
      </c>
      <c r="G116" s="47">
        <f>IF(OR(1737475.58788="",61.36344="",72.2805=""),"-",(61.36344-72.2805)/1737475.58788*100)</f>
        <v>-6.2832882810863423E-4</v>
      </c>
    </row>
    <row r="117" spans="1:7" x14ac:dyDescent="0.25">
      <c r="A117" s="81" t="s">
        <v>303</v>
      </c>
      <c r="B117" s="56">
        <f>IF(60.504="","-",60.504)</f>
        <v>60.503999999999998</v>
      </c>
      <c r="C117" s="57">
        <f>IF(OR(109.128="",60.504=""),"-",60.504/109.128*100)</f>
        <v>55.443149329228056</v>
      </c>
      <c r="D117" s="57">
        <f>IF(109.128="","-",109.128/1737475.58788*100)</f>
        <v>6.2808364480765877E-3</v>
      </c>
      <c r="E117" s="57">
        <f>IF(60.504="","-",60.504/2103396.42877*100)</f>
        <v>2.8764905736471573E-3</v>
      </c>
      <c r="F117" s="57">
        <f>IF(OR(2025977.54466="",63.86311="",109.128=""),"-",(109.128-63.86311)/2025977.54466*100)</f>
        <v>2.2342246644987554E-3</v>
      </c>
      <c r="G117" s="57">
        <f>IF(OR(1737475.58788="",60.504="",109.128=""),"-",(60.504-109.128)/1737475.58788*100)</f>
        <v>-2.7985429170449012E-3</v>
      </c>
    </row>
    <row r="118" spans="1:7" x14ac:dyDescent="0.25">
      <c r="A118" s="48" t="s">
        <v>94</v>
      </c>
      <c r="B118" s="49">
        <f>IF(49.79375="","-",49.79375)</f>
        <v>49.793750000000003</v>
      </c>
      <c r="C118" s="50">
        <f>IF(OR(116.12427="",49.79375=""),"-",49.79375/116.12427*100)</f>
        <v>42.879709814322197</v>
      </c>
      <c r="D118" s="50">
        <f>IF(116.12427="","-",116.12427/1737475.58788*100)</f>
        <v>6.6835051272110422E-3</v>
      </c>
      <c r="E118" s="50">
        <f>IF(49.79375="","-",49.79375/2103396.42877*100)</f>
        <v>2.3673022031856267E-3</v>
      </c>
      <c r="F118" s="50">
        <f>IF(OR(2025977.54466="",81.87974="",116.12427=""),"-",(116.12427-81.87974)/2025977.54466*100)</f>
        <v>1.6902719425622719E-3</v>
      </c>
      <c r="G118" s="50">
        <f>IF(OR(1737475.58788="",49.79375="",116.12427=""),"-",(49.79375-116.12427)/1737475.58788*100)</f>
        <v>-3.8176375232376017E-3</v>
      </c>
    </row>
    <row r="119" spans="1:7" x14ac:dyDescent="0.25">
      <c r="A119" s="127" t="s">
        <v>302</v>
      </c>
      <c r="B119" s="128"/>
      <c r="C119" s="128"/>
      <c r="D119" s="128"/>
      <c r="E119" s="128"/>
    </row>
    <row r="120" spans="1:7" x14ac:dyDescent="0.25">
      <c r="A120" s="129" t="s">
        <v>410</v>
      </c>
      <c r="B120" s="129"/>
      <c r="C120" s="129"/>
      <c r="D120" s="129"/>
      <c r="E120" s="129"/>
    </row>
  </sheetData>
  <mergeCells count="10">
    <mergeCell ref="A120:E120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2"/>
  <sheetViews>
    <sheetView zoomScaleNormal="100" workbookViewId="0">
      <selection activeCell="L116" sqref="L116"/>
    </sheetView>
  </sheetViews>
  <sheetFormatPr defaultRowHeight="15.75" x14ac:dyDescent="0.25"/>
  <cols>
    <col min="1" max="1" width="29.625" customWidth="1"/>
    <col min="2" max="2" width="12.625" customWidth="1"/>
    <col min="3" max="3" width="10.25" customWidth="1"/>
    <col min="4" max="5" width="8.875" customWidth="1"/>
    <col min="6" max="6" width="9.625" customWidth="1"/>
    <col min="7" max="7" width="10.125" customWidth="1"/>
  </cols>
  <sheetData>
    <row r="1" spans="1:7" x14ac:dyDescent="0.25">
      <c r="A1" s="104" t="s">
        <v>409</v>
      </c>
      <c r="B1" s="104"/>
      <c r="C1" s="104"/>
      <c r="D1" s="104"/>
      <c r="E1" s="104"/>
      <c r="F1" s="104"/>
      <c r="G1" s="104"/>
    </row>
    <row r="2" spans="1:7" x14ac:dyDescent="0.25">
      <c r="A2" s="2"/>
    </row>
    <row r="3" spans="1:7" ht="55.5" customHeight="1" x14ac:dyDescent="0.25">
      <c r="A3" s="92"/>
      <c r="B3" s="95" t="s">
        <v>349</v>
      </c>
      <c r="C3" s="96"/>
      <c r="D3" s="95" t="s">
        <v>108</v>
      </c>
      <c r="E3" s="96"/>
      <c r="F3" s="97" t="s">
        <v>120</v>
      </c>
      <c r="G3" s="98"/>
    </row>
    <row r="4" spans="1:7" ht="21" customHeight="1" x14ac:dyDescent="0.25">
      <c r="A4" s="93"/>
      <c r="B4" s="99" t="s">
        <v>313</v>
      </c>
      <c r="C4" s="101" t="s">
        <v>352</v>
      </c>
      <c r="D4" s="103" t="s">
        <v>351</v>
      </c>
      <c r="E4" s="103"/>
      <c r="F4" s="103" t="s">
        <v>398</v>
      </c>
      <c r="G4" s="95"/>
    </row>
    <row r="5" spans="1:7" ht="30" customHeight="1" x14ac:dyDescent="0.25">
      <c r="A5" s="94"/>
      <c r="B5" s="100"/>
      <c r="C5" s="102"/>
      <c r="D5" s="24">
        <v>2020</v>
      </c>
      <c r="E5" s="24">
        <v>2021</v>
      </c>
      <c r="F5" s="24">
        <v>2020</v>
      </c>
      <c r="G5" s="23">
        <v>2021</v>
      </c>
    </row>
    <row r="6" spans="1:7" s="3" customFormat="1" ht="15" x14ac:dyDescent="0.25">
      <c r="A6" s="51" t="s">
        <v>123</v>
      </c>
      <c r="B6" s="42">
        <v>5072717.7421800001</v>
      </c>
      <c r="C6" s="43">
        <f>IF(3832218.99595="","-",5072717.74218/3832218.99595*100)</f>
        <v>132.37024678237321</v>
      </c>
      <c r="D6" s="43">
        <v>100</v>
      </c>
      <c r="E6" s="43">
        <v>100</v>
      </c>
      <c r="F6" s="43">
        <f>IF(4273352.38515="","-",(3832218.99595-4273352.38515)/4273352.38515*100)</f>
        <v>-10.322888202081097</v>
      </c>
      <c r="G6" s="43">
        <f>IF(3832218.99595="","-",(5072717.74218-3832218.99595)/3832218.99595*100)</f>
        <v>32.370246782373222</v>
      </c>
    </row>
    <row r="7" spans="1:7" s="3" customFormat="1" ht="15" x14ac:dyDescent="0.25">
      <c r="A7" s="52" t="s">
        <v>127</v>
      </c>
      <c r="B7" s="74"/>
      <c r="C7" s="75"/>
      <c r="D7" s="75"/>
      <c r="E7" s="75"/>
      <c r="F7" s="75"/>
      <c r="G7" s="75"/>
    </row>
    <row r="8" spans="1:7" ht="16.5" customHeight="1" x14ac:dyDescent="0.25">
      <c r="A8" s="44" t="s">
        <v>142</v>
      </c>
      <c r="B8" s="32">
        <v>2323028.3776799999</v>
      </c>
      <c r="C8" s="45">
        <f>IF(1751819.85285="","-",2323028.37768/1751819.85285*100)</f>
        <v>132.60657903269635</v>
      </c>
      <c r="D8" s="45">
        <f>IF(1751819.85285="","-",1751819.85285/3832218.99595*100)</f>
        <v>45.712936935529356</v>
      </c>
      <c r="E8" s="45">
        <f>IF(2323028.37768="","-",2323028.37768/5072717.74218*100)</f>
        <v>45.794552264634355</v>
      </c>
      <c r="F8" s="45">
        <f>IF(4273352.38515="","-",(1751819.85285-2091806.6709)/4273352.38515*100)</f>
        <v>-7.9559743126137281</v>
      </c>
      <c r="G8" s="45">
        <f>IF(3832218.99595="","-",(2323028.37768-1751819.85285)/3832218.99595*100)</f>
        <v>14.905424910050019</v>
      </c>
    </row>
    <row r="9" spans="1:7" x14ac:dyDescent="0.25">
      <c r="A9" s="46" t="s">
        <v>2</v>
      </c>
      <c r="B9" s="33">
        <v>609858.04819999996</v>
      </c>
      <c r="C9" s="47">
        <f>IF(OR(455838.18818="",609858.0482=""),"-",609858.0482/455838.18818*100)</f>
        <v>133.78827487774697</v>
      </c>
      <c r="D9" s="47">
        <f>IF(455838.18818="","-",455838.18818/3832218.99595*100)</f>
        <v>11.894888801024758</v>
      </c>
      <c r="E9" s="47">
        <f>IF(609858.0482="","-",609858.0482/5072717.74218*100)</f>
        <v>12.022313860063374</v>
      </c>
      <c r="F9" s="47">
        <f>IF(OR(4273352.38515="",625180.76675="",455838.18818=""),"-",(455838.18818-625180.76675)/4273352.38515*100)</f>
        <v>-3.962757182358033</v>
      </c>
      <c r="G9" s="47">
        <f>IF(OR(3832218.99595="",609858.0482="",455838.18818=""),"-",(609858.0482-455838.18818)/3832218.99595*100)</f>
        <v>4.0190777244925879</v>
      </c>
    </row>
    <row r="10" spans="1:7" s="7" customFormat="1" x14ac:dyDescent="0.25">
      <c r="A10" s="46" t="s">
        <v>4</v>
      </c>
      <c r="B10" s="33">
        <v>404252.99797000003</v>
      </c>
      <c r="C10" s="47">
        <f>IF(OR(317639.1272="",404252.99797=""),"-",404252.99797/317639.1272*100)</f>
        <v>127.26801056705588</v>
      </c>
      <c r="D10" s="47">
        <f>IF(317639.1272="","-",317639.1272/3832218.99595*100)</f>
        <v>8.2886475834416089</v>
      </c>
      <c r="E10" s="47">
        <f>IF(404252.99797="","-",404252.99797/5072717.74218*100)</f>
        <v>7.969160093584712</v>
      </c>
      <c r="F10" s="47">
        <f>IF(OR(4273352.38515="",358007.14578="",317639.1272=""),"-",(317639.1272-358007.14578)/4273352.38515*100)</f>
        <v>-0.9446452092338522</v>
      </c>
      <c r="G10" s="47">
        <f>IF(OR(3832218.99595="",404252.99797="",317639.1272=""),"-",(404252.99797-317639.1272)/3832218.99595*100)</f>
        <v>2.2601492989188796</v>
      </c>
    </row>
    <row r="11" spans="1:7" s="7" customFormat="1" x14ac:dyDescent="0.25">
      <c r="A11" s="46" t="s">
        <v>3</v>
      </c>
      <c r="B11" s="33">
        <v>328473.12919000001</v>
      </c>
      <c r="C11" s="47">
        <f>IF(OR(248522.58662="",328473.12919=""),"-",328473.12919/248522.58662*100)</f>
        <v>132.1703325469758</v>
      </c>
      <c r="D11" s="47">
        <f>IF(248522.58662="","-",248522.58662/3832218.99595*100)</f>
        <v>6.4850831041400783</v>
      </c>
      <c r="E11" s="47">
        <f>IF(328473.12919="","-",328473.12919/5072717.74218*100)</f>
        <v>6.4752889059590908</v>
      </c>
      <c r="F11" s="47">
        <f>IF(OR(4273352.38515="",294121.68144="",248522.58662=""),"-",(248522.58662-294121.68144)/4273352.38515*100)</f>
        <v>-1.0670567439853065</v>
      </c>
      <c r="G11" s="47">
        <f>IF(OR(3832218.99595="",328473.12919="",248522.58662=""),"-",(328473.12919-248522.58662)/3832218.99595*100)</f>
        <v>2.0862728005496054</v>
      </c>
    </row>
    <row r="12" spans="1:7" s="7" customFormat="1" x14ac:dyDescent="0.25">
      <c r="A12" s="46" t="s">
        <v>5</v>
      </c>
      <c r="B12" s="33">
        <v>191903.85096000001</v>
      </c>
      <c r="C12" s="47">
        <f>IF(OR(152924.50092="",191903.85096=""),"-",191903.85096/152924.50092*100)</f>
        <v>125.48927726132743</v>
      </c>
      <c r="D12" s="47">
        <f>IF(152924.50092="","-",152924.50092/3832218.99595*100)</f>
        <v>3.990494830321937</v>
      </c>
      <c r="E12" s="47">
        <f>IF(191903.85096="","-",191903.85096/5072717.74218*100)</f>
        <v>3.783057932916436</v>
      </c>
      <c r="F12" s="47">
        <f>IF(OR(4273352.38515="",146482.88877="",152924.50092=""),"-",(152924.50092-146482.88877)/4273352.38515*100)</f>
        <v>0.15073908185959001</v>
      </c>
      <c r="G12" s="47">
        <f>IF(OR(3832218.99595="",191903.85096="",152924.50092=""),"-",(191903.85096-152924.50092)/3832218.99595*100)</f>
        <v>1.0171482913996963</v>
      </c>
    </row>
    <row r="13" spans="1:7" s="7" customFormat="1" x14ac:dyDescent="0.25">
      <c r="A13" s="46" t="s">
        <v>356</v>
      </c>
      <c r="B13" s="33">
        <v>128203.07203</v>
      </c>
      <c r="C13" s="47">
        <f>IF(OR(89701.16994="",128203.07203=""),"-",128203.07203/89701.16994*100)</f>
        <v>142.92240794156132</v>
      </c>
      <c r="D13" s="47">
        <f>IF(89701.16994="","-",89701.16994/3832218.99595*100)</f>
        <v>2.3407109571451632</v>
      </c>
      <c r="E13" s="47">
        <f>IF(128203.07203="","-",128203.07203/5072717.74218*100)</f>
        <v>2.5273054513556423</v>
      </c>
      <c r="F13" s="47">
        <f>IF(OR(4273352.38515="",106480.52326="",89701.16994=""),"-",(89701.16994-106480.52326)/4273352.38515*100)</f>
        <v>-0.39265082323443862</v>
      </c>
      <c r="G13" s="47">
        <f>IF(OR(3832218.99595="",128203.07203="",89701.16994=""),"-",(128203.07203-89701.16994)/3832218.99595*100)</f>
        <v>1.0046895057586718</v>
      </c>
    </row>
    <row r="14" spans="1:7" s="7" customFormat="1" x14ac:dyDescent="0.25">
      <c r="A14" s="46" t="s">
        <v>42</v>
      </c>
      <c r="B14" s="33">
        <v>91812.385689999996</v>
      </c>
      <c r="C14" s="47">
        <f>IF(OR(74196.9715="",91812.38569=""),"-",91812.38569/74196.9715*100)</f>
        <v>123.74141940550767</v>
      </c>
      <c r="D14" s="47">
        <f>IF(74196.9715="","-",74196.9715/3832218.99595*100)</f>
        <v>1.9361359979274022</v>
      </c>
      <c r="E14" s="47">
        <f>IF(91812.38569="","-",91812.38569/5072717.74218*100)</f>
        <v>1.8099249821564807</v>
      </c>
      <c r="F14" s="47">
        <f>IF(OR(4273352.38515="",84522.84282="",74196.9715=""),"-",(74196.9715-84522.84282)/4273352.38515*100)</f>
        <v>-0.24163397701258268</v>
      </c>
      <c r="G14" s="47">
        <f>IF(OR(3832218.99595="",91812.38569="",74196.9715=""),"-",(91812.38569-74196.9715)/3832218.99595*100)</f>
        <v>0.45966616752895589</v>
      </c>
    </row>
    <row r="15" spans="1:7" s="7" customFormat="1" x14ac:dyDescent="0.25">
      <c r="A15" s="46" t="s">
        <v>7</v>
      </c>
      <c r="B15" s="33">
        <v>85218.625740000003</v>
      </c>
      <c r="C15" s="47">
        <f>IF(OR(65075.35071="",85218.62574=""),"-",85218.62574/65075.35071*100)</f>
        <v>130.95377099044143</v>
      </c>
      <c r="D15" s="47">
        <f>IF(65075.35071="","-",65075.35071/3832218.99595*100)</f>
        <v>1.6981114800269377</v>
      </c>
      <c r="E15" s="47">
        <f>IF(85218.62574="","-",85218.62574/5072717.74218*100)</f>
        <v>1.6799402228001221</v>
      </c>
      <c r="F15" s="47">
        <f>IF(OR(4273352.38515="",82748.88366="",65075.35071=""),"-",(65075.35071-82748.88366)/4273352.38515*100)</f>
        <v>-0.41357537027407215</v>
      </c>
      <c r="G15" s="47">
        <f>IF(OR(3832218.99595="",85218.62574="",65075.35071=""),"-",(85218.62574-65075.35071)/3832218.99595*100)</f>
        <v>0.52562953868993401</v>
      </c>
    </row>
    <row r="16" spans="1:7" s="7" customFormat="1" x14ac:dyDescent="0.25">
      <c r="A16" s="46" t="s">
        <v>8</v>
      </c>
      <c r="B16" s="33">
        <v>75564.583929999993</v>
      </c>
      <c r="C16" s="47" t="s">
        <v>209</v>
      </c>
      <c r="D16" s="47">
        <f>IF(42361.17194="","-",42361.17194/3832218.99595*100)</f>
        <v>1.1053953854090415</v>
      </c>
      <c r="E16" s="47">
        <f>IF(75564.58393="","-",75564.58393/5072717.74218*100)</f>
        <v>1.489627213075059</v>
      </c>
      <c r="F16" s="47">
        <f>IF(OR(4273352.38515="",71024.25736="",42361.17194=""),"-",(42361.17194-71024.25736)/4273352.38515*100)</f>
        <v>-0.67074003818652772</v>
      </c>
      <c r="G16" s="47">
        <f>IF(OR(3832218.99595="",75564.58393="",42361.17194=""),"-",(75564.58393-42361.17194)/3832218.99595*100)</f>
        <v>0.86642783267580281</v>
      </c>
    </row>
    <row r="17" spans="1:7" s="7" customFormat="1" x14ac:dyDescent="0.25">
      <c r="A17" s="46" t="s">
        <v>40</v>
      </c>
      <c r="B17" s="33">
        <v>69336.755050000007</v>
      </c>
      <c r="C17" s="47">
        <f>IF(OR(55173.92854="",69336.75505=""),"-",69336.75505/55173.92854*100)</f>
        <v>125.66941830095031</v>
      </c>
      <c r="D17" s="47">
        <f>IF(55173.92854="","-",55173.92854/3832218.99595*100)</f>
        <v>1.4397384021714157</v>
      </c>
      <c r="E17" s="47">
        <f>IF(69336.75505="","-",69336.75505/5072717.74218*100)</f>
        <v>1.3668561621999995</v>
      </c>
      <c r="F17" s="47">
        <f>IF(OR(4273352.38515="",60964.36237="",55173.92854=""),"-",(55173.92854-60964.36237)/4273352.38515*100)</f>
        <v>-0.13550096758043861</v>
      </c>
      <c r="G17" s="47">
        <f>IF(OR(3832218.99595="",69336.75505="",55173.92854=""),"-",(69336.75505-55173.92854)/3832218.99595*100)</f>
        <v>0.36957247289279899</v>
      </c>
    </row>
    <row r="18" spans="1:7" s="7" customFormat="1" x14ac:dyDescent="0.25">
      <c r="A18" s="46" t="s">
        <v>6</v>
      </c>
      <c r="B18" s="33">
        <v>62917.133229999999</v>
      </c>
      <c r="C18" s="47">
        <f>IF(OR(45164.07225="",62917.13323=""),"-",62917.13323/45164.07225*100)</f>
        <v>139.30792795151461</v>
      </c>
      <c r="D18" s="47">
        <f>IF(45164.07225="","-",45164.07225/3832218.99595*100)</f>
        <v>1.1785357856043901</v>
      </c>
      <c r="E18" s="47">
        <f>IF(62917.13323="","-",62917.13323/5072717.74218*100)</f>
        <v>1.2403042398129049</v>
      </c>
      <c r="F18" s="47">
        <f>IF(OR(4273352.38515="",43635.72121="",45164.07225=""),"-",(45164.07225-43635.72121)/4273352.38515*100)</f>
        <v>3.5764685479977021E-2</v>
      </c>
      <c r="G18" s="47">
        <f>IF(OR(3832218.99595="",62917.13323="",45164.07225=""),"-",(62917.13323-45164.07225)/3832218.99595*100)</f>
        <v>0.4632579974881903</v>
      </c>
    </row>
    <row r="19" spans="1:7" s="7" customFormat="1" x14ac:dyDescent="0.25">
      <c r="A19" s="46" t="s">
        <v>10</v>
      </c>
      <c r="B19" s="33">
        <v>54849.84143</v>
      </c>
      <c r="C19" s="47">
        <f>IF(OR(40498.95568="",54849.84143=""),"-",54849.84143/40498.95568*100)</f>
        <v>135.43519952314978</v>
      </c>
      <c r="D19" s="47">
        <f>IF(40498.95568="","-",40498.95568/3832218.99595*100)</f>
        <v>1.0568017047773226</v>
      </c>
      <c r="E19" s="47">
        <f>IF(54849.84143="","-",54849.84143/5072717.74218*100)</f>
        <v>1.0812713069745583</v>
      </c>
      <c r="F19" s="47">
        <f>IF(OR(4273352.38515="",43208.96261="",40498.95568=""),"-",(40498.95568-43208.96261)/4273352.38515*100)</f>
        <v>-6.3416416100327708E-2</v>
      </c>
      <c r="G19" s="47">
        <f>IF(OR(3832218.99595="",54849.84143="",40498.95568=""),"-",(54849.84143-40498.95568)/3832218.99595*100)</f>
        <v>0.37447979265189263</v>
      </c>
    </row>
    <row r="20" spans="1:7" s="7" customFormat="1" ht="15.75" customHeight="1" x14ac:dyDescent="0.25">
      <c r="A20" s="46" t="s">
        <v>41</v>
      </c>
      <c r="B20" s="33">
        <v>37856.223270000002</v>
      </c>
      <c r="C20" s="47">
        <f>IF(OR(29312.47566="",37856.22327=""),"-",37856.22327/29312.47566*100)</f>
        <v>129.14713758435238</v>
      </c>
      <c r="D20" s="47">
        <f>IF(29312.47566="","-",29312.47566/3832218.99595*100)</f>
        <v>0.76489563072930522</v>
      </c>
      <c r="E20" s="47">
        <f>IF(37856.22327="","-",37856.22327/5072717.74218*100)</f>
        <v>0.74627103643522041</v>
      </c>
      <c r="F20" s="47">
        <f>IF(OR(4273352.38515="",31053.46074="",29312.47566=""),"-",(29312.47566-31053.46074)/4273352.38515*100)</f>
        <v>-4.0740498865714007E-2</v>
      </c>
      <c r="G20" s="47">
        <f>IF(OR(3832218.99595="",37856.22327="",29312.47566=""),"-",(37856.22327-29312.47566)/3832218.99595*100)</f>
        <v>0.22294518186537052</v>
      </c>
    </row>
    <row r="21" spans="1:7" s="7" customFormat="1" x14ac:dyDescent="0.25">
      <c r="A21" s="46" t="s">
        <v>9</v>
      </c>
      <c r="B21" s="33">
        <v>29822.314640000001</v>
      </c>
      <c r="C21" s="47" t="s">
        <v>103</v>
      </c>
      <c r="D21" s="47">
        <f>IF(18001.30049="","-",18001.30049/3832218.99595*100)</f>
        <v>0.46973569383754682</v>
      </c>
      <c r="E21" s="47">
        <f>IF(29822.31464="","-",29822.31464/5072717.74218*100)</f>
        <v>0.58789619599816056</v>
      </c>
      <c r="F21" s="47">
        <f>IF(OR(4273352.38515="",16746.52123="",18001.30049=""),"-",(18001.30049-16746.52123)/4273352.38515*100)</f>
        <v>2.9362878295747158E-2</v>
      </c>
      <c r="G21" s="47">
        <f>IF(OR(3832218.99595="",29822.31464="",18001.30049=""),"-",(29822.31464-18001.30049)/3832218.99595*100)</f>
        <v>0.30846395162940293</v>
      </c>
    </row>
    <row r="22" spans="1:7" s="7" customFormat="1" x14ac:dyDescent="0.25">
      <c r="A22" s="46" t="s">
        <v>44</v>
      </c>
      <c r="B22" s="33">
        <v>28719.554410000001</v>
      </c>
      <c r="C22" s="47">
        <f>IF(OR(20965.84265="",28719.55441=""),"-",28719.55441/20965.84265*100)</f>
        <v>136.98259063295984</v>
      </c>
      <c r="D22" s="47">
        <f>IF(20965.84265="","-",20965.84265/3832218.99595*100)</f>
        <v>0.54709406409595351</v>
      </c>
      <c r="E22" s="47">
        <f>IF(28719.55441="","-",28719.55441/5072717.74218*100)</f>
        <v>0.56615715420542545</v>
      </c>
      <c r="F22" s="47">
        <f>IF(OR(4273352.38515="",24345.40551="",20965.84265=""),"-",(20965.84265-24345.40551)/4273352.38515*100)</f>
        <v>-7.9084581738310691E-2</v>
      </c>
      <c r="G22" s="47">
        <f>IF(OR(3832218.99595="",28719.55441="",20965.84265=""),"-",(28719.55441-20965.84265)/3832218.99595*100)</f>
        <v>0.20232955810182951</v>
      </c>
    </row>
    <row r="23" spans="1:7" s="7" customFormat="1" x14ac:dyDescent="0.25">
      <c r="A23" s="46" t="s">
        <v>52</v>
      </c>
      <c r="B23" s="33">
        <v>22399.674620000002</v>
      </c>
      <c r="C23" s="47">
        <f>IF(OR(17861.69975="",22399.67462=""),"-",22399.67462/17861.69975*100)</f>
        <v>125.40617597157852</v>
      </c>
      <c r="D23" s="47">
        <f>IF(17861.69975="","-",17861.69975/3832218.99595*100)</f>
        <v>0.46609287644773856</v>
      </c>
      <c r="E23" s="47">
        <f>IF(22399.67462="","-",22399.67462/5072717.74218*100)</f>
        <v>0.44157147624724224</v>
      </c>
      <c r="F23" s="47">
        <f>IF(OR(4273352.38515="",16409.44292="",17861.69975=""),"-",(17861.69975-16409.44292)/4273352.38515*100)</f>
        <v>3.3984017677704863E-2</v>
      </c>
      <c r="G23" s="47">
        <f>IF(OR(3832218.99595="",22399.67462="",17861.69975=""),"-",(22399.67462-17861.69975)/3832218.99595*100)</f>
        <v>0.11841637638130453</v>
      </c>
    </row>
    <row r="24" spans="1:7" s="7" customFormat="1" x14ac:dyDescent="0.25">
      <c r="A24" s="46" t="s">
        <v>50</v>
      </c>
      <c r="B24" s="33">
        <v>19423.187000000002</v>
      </c>
      <c r="C24" s="47">
        <f>IF(OR(15467.99592="",19423.187=""),"-",19423.187/15467.99592*100)</f>
        <v>125.57015854190891</v>
      </c>
      <c r="D24" s="47">
        <f>IF(15467.99592="","-",15467.99592/3832218.99595*100)</f>
        <v>0.40363027103479804</v>
      </c>
      <c r="E24" s="47">
        <f>IF(19423.187="","-",19423.187/5072717.74218*100)</f>
        <v>0.38289508675980238</v>
      </c>
      <c r="F24" s="47">
        <f>IF(OR(4273352.38515="",18110.01321="",15467.99592=""),"-",(15467.99592-18110.01321)/4273352.38515*100)</f>
        <v>-6.1825401976702728E-2</v>
      </c>
      <c r="G24" s="47">
        <f>IF(OR(3832218.99595="",19423.187="",15467.99592=""),"-",(19423.187-15467.99592)/3832218.99595*100)</f>
        <v>0.10320890022673451</v>
      </c>
    </row>
    <row r="25" spans="1:7" s="7" customFormat="1" x14ac:dyDescent="0.25">
      <c r="A25" s="46" t="s">
        <v>51</v>
      </c>
      <c r="B25" s="33">
        <v>19406.324850000001</v>
      </c>
      <c r="C25" s="47">
        <f>IF(OR(13060.23039="",19406.32485=""),"-",19406.32485/13060.23039*100)</f>
        <v>148.59098400637018</v>
      </c>
      <c r="D25" s="47">
        <f>IF(13060.23039="","-",13060.23039/3832218.99595*100)</f>
        <v>0.34080073199893929</v>
      </c>
      <c r="E25" s="47">
        <f>IF(19406.32485="","-",19406.32485/5072717.74218*100)</f>
        <v>0.38256267816036882</v>
      </c>
      <c r="F25" s="47">
        <f>IF(OR(4273352.38515="",14073.61939="",13060.23039=""),"-",(13060.23039-14073.61939)/4273352.38515*100)</f>
        <v>-2.3714145445190751E-2</v>
      </c>
      <c r="G25" s="47">
        <f>IF(OR(3832218.99595="",19406.32485="",13060.23039=""),"-",(19406.32485-13060.23039)/3832218.99595*100)</f>
        <v>0.16559842917919712</v>
      </c>
    </row>
    <row r="26" spans="1:7" s="7" customFormat="1" x14ac:dyDescent="0.25">
      <c r="A26" s="46" t="s">
        <v>48</v>
      </c>
      <c r="B26" s="33">
        <v>11695.88386</v>
      </c>
      <c r="C26" s="47">
        <f>IF(OR(9326.19951="",11695.88386=""),"-",11695.88386/9326.19951*100)</f>
        <v>125.40889616889612</v>
      </c>
      <c r="D26" s="47">
        <f>IF(9326.19951="","-",9326.19951/3832218.99595*100)</f>
        <v>0.24336290592620616</v>
      </c>
      <c r="E26" s="47">
        <f>IF(11695.88386="","-",11695.88386/5072717.74218*100)</f>
        <v>0.23056445192579739</v>
      </c>
      <c r="F26" s="47">
        <f>IF(OR(4273352.38515="",9293.08382="",9326.19951=""),"-",(9326.19951-9293.08382)/4273352.38515*100)</f>
        <v>7.7493468863177163E-4</v>
      </c>
      <c r="G26" s="47">
        <f>IF(OR(3832218.99595="",11695.88386="",9326.19951=""),"-",(11695.88386-9326.19951)/3832218.99595*100)</f>
        <v>6.1835828080398079E-2</v>
      </c>
    </row>
    <row r="27" spans="1:7" s="7" customFormat="1" x14ac:dyDescent="0.25">
      <c r="A27" s="46" t="s">
        <v>45</v>
      </c>
      <c r="B27" s="33">
        <v>11470.41768</v>
      </c>
      <c r="C27" s="47">
        <f>IF(OR(8168.16067="",11470.41768=""),"-",11470.41768/8168.16067*100)</f>
        <v>140.42840418319048</v>
      </c>
      <c r="D27" s="47">
        <f>IF(8168.16067="","-",8168.16067/3832218.99595*100)</f>
        <v>0.21314441264010092</v>
      </c>
      <c r="E27" s="47">
        <f>IF(11470.41768="","-",11470.41768/5072717.74218*100)</f>
        <v>0.22611976977592665</v>
      </c>
      <c r="F27" s="47">
        <f>IF(OR(4273352.38515="",7785.44723="",8168.16067=""),"-",(8168.16067-7785.44723)/4273352.38515*100)</f>
        <v>8.9558128023782598E-3</v>
      </c>
      <c r="G27" s="47">
        <f>IF(OR(3832218.99595="",11470.41768="",8168.16067=""),"-",(11470.41768-8168.16067)/3832218.99595*100)</f>
        <v>8.6170884636027345E-2</v>
      </c>
    </row>
    <row r="28" spans="1:7" s="7" customFormat="1" x14ac:dyDescent="0.25">
      <c r="A28" s="46" t="s">
        <v>49</v>
      </c>
      <c r="B28" s="33">
        <v>11044.53868</v>
      </c>
      <c r="C28" s="47">
        <f>IF(OR(8909.60569="",11044.53868=""),"-",11044.53868/8909.60569*100)</f>
        <v>123.96214899157899</v>
      </c>
      <c r="D28" s="47">
        <f>IF(8909.60569="","-",8909.60569/3832218.99595*100)</f>
        <v>0.23249208094359769</v>
      </c>
      <c r="E28" s="47">
        <f>IF(11044.53868="","-",11044.53868/5072717.74218*100)</f>
        <v>0.21772428984494629</v>
      </c>
      <c r="F28" s="47">
        <f>IF(OR(4273352.38515="",10328.56922="",8909.60569=""),"-",(8909.60569-10328.56922)/4273352.38515*100)</f>
        <v>-3.3204926767353204E-2</v>
      </c>
      <c r="G28" s="47">
        <f>IF(OR(3832218.99595="",11044.53868="",8909.60569=""),"-",(11044.53868-8909.60569)/3832218.99595*100)</f>
        <v>5.5710098829327301E-2</v>
      </c>
    </row>
    <row r="29" spans="1:7" s="7" customFormat="1" x14ac:dyDescent="0.25">
      <c r="A29" s="46" t="s">
        <v>43</v>
      </c>
      <c r="B29" s="33">
        <v>9758.9514299999992</v>
      </c>
      <c r="C29" s="47">
        <f>IF(OR(10123.11667="",9758.95143=""),"-",9758.95143/10123.11667*100)</f>
        <v>96.402637133688202</v>
      </c>
      <c r="D29" s="47">
        <f>IF(10123.11667="","-",10123.11667/3832218.99595*100)</f>
        <v>0.26415809432337772</v>
      </c>
      <c r="E29" s="47">
        <f>IF(9758.95143="","-",9758.95143/5072717.74218*100)</f>
        <v>0.19238112439912911</v>
      </c>
      <c r="F29" s="47">
        <f>IF(OR(4273352.38515="",12441.53053="",10123.11667=""),"-",(10123.11667-12441.53053)/4273352.38515*100)</f>
        <v>-5.4252812570677371E-2</v>
      </c>
      <c r="G29" s="47">
        <f>IF(OR(3832218.99595="",9758.95143="",10123.11667=""),"-",(9758.95143-10123.11667)/3832218.99595*100)</f>
        <v>-9.5027251935461063E-3</v>
      </c>
    </row>
    <row r="30" spans="1:7" s="7" customFormat="1" x14ac:dyDescent="0.25">
      <c r="A30" s="46" t="s">
        <v>357</v>
      </c>
      <c r="B30" s="33">
        <v>6195.1330200000002</v>
      </c>
      <c r="C30" s="47">
        <f>IF(OR(4266.94891="",6195.13302=""),"-",6195.13302/4266.94891*100)</f>
        <v>145.18882580199443</v>
      </c>
      <c r="D30" s="47">
        <f>IF(4266.94891="","-",4266.94891/3832218.99595*100)</f>
        <v>0.11134407805267485</v>
      </c>
      <c r="E30" s="47">
        <f>IF(6195.13302="","-",6195.13302/5072717.74218*100)</f>
        <v>0.1221265076210931</v>
      </c>
      <c r="F30" s="47">
        <f>IF(OR(4273352.38515="",4025.28187="",4266.94891=""),"-",(4266.94891-4025.28187)/4273352.38515*100)</f>
        <v>5.6552097327568608E-3</v>
      </c>
      <c r="G30" s="47">
        <f>IF(OR(3832218.99595="",6195.13302="",4266.94891=""),"-",(6195.13302-4266.94891)/3832218.99595*100)</f>
        <v>5.0315081472059944E-2</v>
      </c>
    </row>
    <row r="31" spans="1:7" s="7" customFormat="1" x14ac:dyDescent="0.25">
      <c r="A31" s="46" t="s">
        <v>53</v>
      </c>
      <c r="B31" s="33">
        <v>5653.9045800000004</v>
      </c>
      <c r="C31" s="47">
        <f>IF(OR(4971.87151="",5653.90458=""),"-",5653.90458/4971.87151*100)</f>
        <v>113.7178337901174</v>
      </c>
      <c r="D31" s="47">
        <f>IF(4971.87151="","-",4971.87151/3832218.99595*100)</f>
        <v>0.12973871052918473</v>
      </c>
      <c r="E31" s="47">
        <f>IF(5653.90458="","-",5653.90458/5072717.74218*100)</f>
        <v>0.11145710972616102</v>
      </c>
      <c r="F31" s="47">
        <f>IF(OR(4273352.38515="",5336.1601="",4971.87151=""),"-",(4971.87151-5336.1601)/4273352.38515*100)</f>
        <v>-8.5246559882567012E-3</v>
      </c>
      <c r="G31" s="47">
        <f>IF(OR(3832218.99595="",5653.90458="",4971.87151=""),"-",(5653.90458-4971.87151)/3832218.99595*100)</f>
        <v>1.779734067183511E-2</v>
      </c>
    </row>
    <row r="32" spans="1:7" s="7" customFormat="1" x14ac:dyDescent="0.25">
      <c r="A32" s="46" t="s">
        <v>46</v>
      </c>
      <c r="B32" s="33">
        <v>4305.6107099999999</v>
      </c>
      <c r="C32" s="47" t="s">
        <v>104</v>
      </c>
      <c r="D32" s="47">
        <f>IF(2726.95742="","-",2726.95742/3832218.99595*100)</f>
        <v>7.1158705253586182E-2</v>
      </c>
      <c r="E32" s="47">
        <f>IF(4305.61071="","-",4305.61071/5072717.74218*100)</f>
        <v>8.4877789950711185E-2</v>
      </c>
      <c r="F32" s="47">
        <f>IF(OR(4273352.38515="",3516.68574="",2726.95742=""),"-",(2726.95742-3516.68574)/4273352.38515*100)</f>
        <v>-1.848029951249338E-2</v>
      </c>
      <c r="G32" s="47">
        <f>IF(OR(3832218.99595="",4305.61071="",2726.95742=""),"-",(4305.61071-2726.95742)/3832218.99595*100)</f>
        <v>4.1194234767594602E-2</v>
      </c>
    </row>
    <row r="33" spans="1:7" s="7" customFormat="1" x14ac:dyDescent="0.25">
      <c r="A33" s="46" t="s">
        <v>54</v>
      </c>
      <c r="B33" s="33">
        <v>1967.41661</v>
      </c>
      <c r="C33" s="47" t="s">
        <v>208</v>
      </c>
      <c r="D33" s="47">
        <f>IF(904.17563="","-",904.17563/3832218.99595*100)</f>
        <v>2.35940490602327E-2</v>
      </c>
      <c r="E33" s="47">
        <f>IF(1967.41661="","-",1967.41661/5072717.74218*100)</f>
        <v>3.8784271272197829E-2</v>
      </c>
      <c r="F33" s="47">
        <f>IF(OR(4273352.38515="",1339.19158="",904.17563=""),"-",(904.17563-1339.19158)/4273352.38515*100)</f>
        <v>-1.0179735036869194E-2</v>
      </c>
      <c r="G33" s="47">
        <f>IF(OR(3832218.99595="",1967.41661="",904.17563=""),"-",(1967.41661-904.17563)/3832218.99595*100)</f>
        <v>2.7744786535520642E-2</v>
      </c>
    </row>
    <row r="34" spans="1:7" s="7" customFormat="1" x14ac:dyDescent="0.25">
      <c r="A34" s="46" t="s">
        <v>47</v>
      </c>
      <c r="B34" s="33">
        <v>799.43444</v>
      </c>
      <c r="C34" s="47">
        <f>IF(OR(547.77796="",799.43444=""),"-",799.43444/547.77796*100)</f>
        <v>145.94132995055148</v>
      </c>
      <c r="D34" s="47">
        <f>IF(547.77796="","-",547.77796/3832218.99595*100)</f>
        <v>1.429401504921581E-2</v>
      </c>
      <c r="E34" s="47">
        <f>IF(799.43444="","-",799.43444/5072717.74218*100)</f>
        <v>1.575948989537989E-2</v>
      </c>
      <c r="F34" s="47">
        <f>IF(OR(4273352.38515="",547.25374="",547.77796=""),"-",(547.77796-547.25374)/4273352.38515*100)</f>
        <v>1.2267183998719382E-5</v>
      </c>
      <c r="G34" s="47">
        <f>IF(OR(3832218.99595="",799.43444="",547.77796=""),"-",(799.43444-547.77796)/3832218.99595*100)</f>
        <v>6.5668606169417216E-3</v>
      </c>
    </row>
    <row r="35" spans="1:7" s="7" customFormat="1" x14ac:dyDescent="0.25">
      <c r="A35" s="46" t="s">
        <v>55</v>
      </c>
      <c r="B35" s="33">
        <v>76.543570000000003</v>
      </c>
      <c r="C35" s="47">
        <f>IF(OR(109.47054="",76.54357=""),"-",76.54357/109.47054*100)</f>
        <v>69.921615441012719</v>
      </c>
      <c r="D35" s="47">
        <f>IF(109.47054="","-",109.47054/3832218.99595*100)</f>
        <v>2.8565836168468355E-3</v>
      </c>
      <c r="E35" s="47">
        <f>IF(76.54357="","-",76.54357/5072717.74218*100)</f>
        <v>1.5089262578821391E-3</v>
      </c>
      <c r="F35" s="47">
        <f>IF(OR(4273352.38515="",76.96804="",109.47054=""),"-",(109.47054-76.96804)/4273352.38515*100)</f>
        <v>7.6058553263585159E-4</v>
      </c>
      <c r="G35" s="47">
        <f>IF(OR(3832218.99595="",76.54357="",109.47054=""),"-",(76.54357-109.47054)/3832218.99595*100)</f>
        <v>-8.5921420552421913E-4</v>
      </c>
    </row>
    <row r="36" spans="1:7" s="7" customFormat="1" ht="25.5" x14ac:dyDescent="0.25">
      <c r="A36" s="46" t="s">
        <v>358</v>
      </c>
      <c r="B36" s="33">
        <v>42.840890000000002</v>
      </c>
      <c r="C36" s="47" t="str">
        <f>IF(OR(""="",42.84089=""),"-",42.84089/""*100)</f>
        <v>-</v>
      </c>
      <c r="D36" s="47" t="str">
        <f>IF(""="","-",""/3832218.99595*100)</f>
        <v>-</v>
      </c>
      <c r="E36" s="47">
        <f>IF(42.84089="","-",42.84089/5072717.74218*100)</f>
        <v>8.4453526053253521E-4</v>
      </c>
      <c r="F36" s="47" t="str">
        <f>IF(OR(4273352.38515="",""="",""=""),"-",(""-"")/4273352.38515*100)</f>
        <v>-</v>
      </c>
      <c r="G36" s="47" t="str">
        <f>IF(OR(3832218.99595="",42.84089="",""=""),"-",(42.84089-"")/3832218.99595*100)</f>
        <v>-</v>
      </c>
    </row>
    <row r="37" spans="1:7" s="7" customFormat="1" x14ac:dyDescent="0.25">
      <c r="A37" s="44" t="s">
        <v>210</v>
      </c>
      <c r="B37" s="32">
        <v>1233611.47896</v>
      </c>
      <c r="C37" s="45">
        <f>IF(956601.41117="","-",1233611.47896/956601.41117*100)</f>
        <v>128.95773146008582</v>
      </c>
      <c r="D37" s="45">
        <f>IF(956601.41117="","-",956601.41117/3832218.99595*100)</f>
        <v>24.962075815107752</v>
      </c>
      <c r="E37" s="45">
        <f>IF(1233611.47896="","-",1233611.47896/5072717.74218*100)</f>
        <v>24.318551546884521</v>
      </c>
      <c r="F37" s="45">
        <f>IF(4273352.38515="","-",(956601.41117-1031734.67844)/4273352.38515*100)</f>
        <v>-1.758180943165135</v>
      </c>
      <c r="G37" s="45">
        <f>IF(3832218.99595="","-",(1233611.47896-956601.41117)/3832218.99595*100)</f>
        <v>7.2284508814019306</v>
      </c>
    </row>
    <row r="38" spans="1:7" s="7" customFormat="1" x14ac:dyDescent="0.25">
      <c r="A38" s="46" t="s">
        <v>359</v>
      </c>
      <c r="B38" s="33">
        <v>633371.63780999999</v>
      </c>
      <c r="C38" s="47">
        <f>IF(OR(426915.36943="",633371.63781=""),"-",633371.63781/426915.36943*100)</f>
        <v>148.35999899831481</v>
      </c>
      <c r="D38" s="47">
        <f>IF(426915.36943="","-",426915.36943/3832218.99595*100)</f>
        <v>11.140161088945504</v>
      </c>
      <c r="E38" s="47">
        <f>IF(633371.63781="","-",633371.63781/5072717.74218*100)</f>
        <v>12.485844275219</v>
      </c>
      <c r="F38" s="47">
        <f>IF(OR(4273352.38515="",492959.29789="",426915.36943=""),"-",(426915.36943-492959.29789)/4273352.38515*100)</f>
        <v>-1.545482855322303</v>
      </c>
      <c r="G38" s="47">
        <f>IF(OR(3832218.99595="",633371.63781="",426915.36943=""),"-",(633371.63781-426915.36943)/3832218.99595*100)</f>
        <v>5.3873817910247022</v>
      </c>
    </row>
    <row r="39" spans="1:7" s="7" customFormat="1" x14ac:dyDescent="0.25">
      <c r="A39" s="46" t="s">
        <v>12</v>
      </c>
      <c r="B39" s="33">
        <v>473961.65974999999</v>
      </c>
      <c r="C39" s="47">
        <f>IF(OR(381779.70404="",473961.65975=""),"-",473961.65975/381779.70404*100)</f>
        <v>124.14532641063127</v>
      </c>
      <c r="D39" s="47">
        <f>IF(381779.70404="","-",381779.70404/3832218.99595*100)</f>
        <v>9.9623665673458603</v>
      </c>
      <c r="E39" s="47">
        <f>IF(473961.65975="","-",473961.65975/5072717.74218*100)</f>
        <v>9.3433477642364338</v>
      </c>
      <c r="F39" s="47">
        <f>IF(OR(4273352.38515="",425148.55787="",381779.70404=""),"-",(381779.70404-425148.55787)/4273352.38515*100)</f>
        <v>-1.0148672499068372</v>
      </c>
      <c r="G39" s="47">
        <f>IF(OR(3832218.99595="",473961.65975="",381779.70404=""),"-",(473961.65975-381779.70404)/3832218.99595*100)</f>
        <v>2.4054459259092598</v>
      </c>
    </row>
    <row r="40" spans="1:7" s="7" customFormat="1" x14ac:dyDescent="0.25">
      <c r="A40" s="46" t="s">
        <v>11</v>
      </c>
      <c r="B40" s="33">
        <v>97036.679709999997</v>
      </c>
      <c r="C40" s="47">
        <f>IF(OR(81123.46862="",97036.67971=""),"-",97036.67971/81123.46862*100)</f>
        <v>119.61603881182761</v>
      </c>
      <c r="D40" s="47">
        <f>IF(81123.46862="","-",81123.46862/3832218.99595*100)</f>
        <v>2.1168797687640928</v>
      </c>
      <c r="E40" s="47">
        <f>IF(97036.67971="","-",97036.67971/5072717.74218*100)</f>
        <v>1.9129130505948178</v>
      </c>
      <c r="F40" s="47">
        <f>IF(OR(4273352.38515="",97128.74777="",81123.46862=""),"-",(81123.46862-97128.74777)/4273352.38515*100)</f>
        <v>-0.37453684385164965</v>
      </c>
      <c r="G40" s="47">
        <f>IF(OR(3832218.99595="",97036.67971="",81123.46862=""),"-",(97036.67971-81123.46862)/3832218.99595*100)</f>
        <v>0.41524795704049111</v>
      </c>
    </row>
    <row r="41" spans="1:7" s="7" customFormat="1" x14ac:dyDescent="0.25">
      <c r="A41" s="46" t="s">
        <v>13</v>
      </c>
      <c r="B41" s="33">
        <v>12101.331319999999</v>
      </c>
      <c r="C41" s="47">
        <f>IF(OR(55218.88261="",12101.33132=""),"-",12101.33132/55218.88261*100)</f>
        <v>21.915204995126935</v>
      </c>
      <c r="D41" s="47">
        <f>IF(55218.88261="","-",55218.88261/3832218.99595*100)</f>
        <v>1.4409114580444624</v>
      </c>
      <c r="E41" s="47">
        <f>IF(12101.33132="","-",12101.33132/5072717.74218*100)</f>
        <v>0.23855715880614822</v>
      </c>
      <c r="F41" s="47">
        <f>IF(OR(4273352.38515="",7254.91154="",55218.88261=""),"-",(55218.88261-7254.91154)/4273352.38515*100)</f>
        <v>1.1223968151251913</v>
      </c>
      <c r="G41" s="47">
        <f>IF(OR(3832218.99595="",12101.33132="",55218.88261=""),"-",(12101.33132-55218.88261)/3832218.99595*100)</f>
        <v>-1.125132758215746</v>
      </c>
    </row>
    <row r="42" spans="1:7" s="7" customFormat="1" x14ac:dyDescent="0.25">
      <c r="A42" s="46" t="s">
        <v>15</v>
      </c>
      <c r="B42" s="33">
        <v>8547.6420099999996</v>
      </c>
      <c r="C42" s="47" t="s">
        <v>104</v>
      </c>
      <c r="D42" s="47">
        <f>IF(5239.34058="","-",5239.34058/3832218.99595*100)</f>
        <v>0.13671819344189584</v>
      </c>
      <c r="E42" s="47">
        <f>IF(8547.64201="","-",8547.64201/5072717.74218*100)</f>
        <v>0.16850222000182985</v>
      </c>
      <c r="F42" s="47">
        <f>IF(OR(4273352.38515="",5732.56656="",5239.34058=""),"-",(5239.34058-5732.56656)/4273352.38515*100)</f>
        <v>-1.1541898152700255E-2</v>
      </c>
      <c r="G42" s="47">
        <f>IF(OR(3832218.99595="",8547.64201="",5239.34058=""),"-",(8547.64201-5239.34058)/3832218.99595*100)</f>
        <v>8.632861100830376E-2</v>
      </c>
    </row>
    <row r="43" spans="1:7" s="7" customFormat="1" x14ac:dyDescent="0.25">
      <c r="A43" s="46" t="s">
        <v>16</v>
      </c>
      <c r="B43" s="33">
        <v>6377.2106299999996</v>
      </c>
      <c r="C43" s="47" t="s">
        <v>310</v>
      </c>
      <c r="D43" s="47">
        <f>IF(1477.96466="","-",1477.96466/3832218.99595*100)</f>
        <v>3.8566811071130226E-2</v>
      </c>
      <c r="E43" s="47">
        <f>IF(6377.21063="","-",6377.21063/5072717.74218*100)</f>
        <v>0.12571585793100709</v>
      </c>
      <c r="F43" s="47">
        <f>IF(OR(4273352.38515="",1971.42881="",1477.96466=""),"-",(1477.96466-1971.42881)/4273352.38515*100)</f>
        <v>-1.1547471528788487E-2</v>
      </c>
      <c r="G43" s="47">
        <f>IF(OR(3832218.99595="",6377.21063="",1477.96466=""),"-",(6377.21063-1477.96466)/3832218.99595*100)</f>
        <v>0.12784358031672161</v>
      </c>
    </row>
    <row r="44" spans="1:7" s="7" customFormat="1" x14ac:dyDescent="0.25">
      <c r="A44" s="46" t="s">
        <v>14</v>
      </c>
      <c r="B44" s="33">
        <v>1102.4796899999999</v>
      </c>
      <c r="C44" s="47">
        <f>IF(OR(4071.35577="",1102.47969=""),"-",1102.47969/4071.35577*100)</f>
        <v>27.078932726137069</v>
      </c>
      <c r="D44" s="47">
        <f>IF(4071.35577="","-",4071.35577/3832218.99595*100)</f>
        <v>0.10624016462270885</v>
      </c>
      <c r="E44" s="47">
        <f>IF(1102.47969="","-",1102.47969/5072717.74218*100)</f>
        <v>2.1733511423921832E-2</v>
      </c>
      <c r="F44" s="47">
        <f>IF(OR(4273352.38515="",496.347="",4071.35577=""),"-",(4071.35577-496.347)/4273352.38515*100)</f>
        <v>8.3658178586517681E-2</v>
      </c>
      <c r="G44" s="47">
        <f>IF(OR(3832218.99595="",1102.47969="",4071.35577=""),"-",(1102.47969-4071.35577)/3832218.99595*100)</f>
        <v>-7.7471461916388235E-2</v>
      </c>
    </row>
    <row r="45" spans="1:7" s="7" customFormat="1" x14ac:dyDescent="0.25">
      <c r="A45" s="46" t="s">
        <v>17</v>
      </c>
      <c r="B45" s="33">
        <v>751.07653000000005</v>
      </c>
      <c r="C45" s="47">
        <f>IF(OR(646.54451="",751.07653=""),"-",751.07653/646.54451*100)</f>
        <v>116.16779949148437</v>
      </c>
      <c r="D45" s="47">
        <f>IF(646.54451="","-",646.54451/3832218.99595*100)</f>
        <v>1.6871282948163632E-2</v>
      </c>
      <c r="E45" s="47">
        <f>IF(751.07653="","-",751.07653/5072717.74218*100)</f>
        <v>1.4806195971732206E-2</v>
      </c>
      <c r="F45" s="47">
        <f>IF(OR(4273352.38515="",881.91173="",646.54451=""),"-",(646.54451-881.91173)/4273352.38515*100)</f>
        <v>-5.5077887051371349E-3</v>
      </c>
      <c r="G45" s="47">
        <f>IF(OR(3832218.99595="",751.07653="",646.54451=""),"-",(751.07653-646.54451)/3832218.99595*100)</f>
        <v>2.7277151987000893E-3</v>
      </c>
    </row>
    <row r="46" spans="1:7" s="7" customFormat="1" x14ac:dyDescent="0.25">
      <c r="A46" s="46" t="s">
        <v>405</v>
      </c>
      <c r="B46" s="33">
        <v>347.38256000000001</v>
      </c>
      <c r="C46" s="47" t="s">
        <v>306</v>
      </c>
      <c r="D46" s="47">
        <f>IF(128.08215="","-",128.08215/3832218.99595*100)</f>
        <v>3.3422450578988556E-3</v>
      </c>
      <c r="E46" s="47">
        <f>IF(347.38256="","-",347.38256/5072717.74218*100)</f>
        <v>6.8480561634937801E-3</v>
      </c>
      <c r="F46" s="47">
        <f>IF(OR(4273352.38515="",160.80703="",128.08215=""),"-",(128.08215-160.80703)/4273352.38515*100)</f>
        <v>-7.657894095913951E-4</v>
      </c>
      <c r="G46" s="47">
        <f>IF(OR(3832218.99595="",347.38256="",128.08215=""),"-",(347.38256-128.08215)/3832218.99595*100)</f>
        <v>5.722543785513381E-3</v>
      </c>
    </row>
    <row r="47" spans="1:7" s="7" customFormat="1" x14ac:dyDescent="0.25">
      <c r="A47" s="46" t="s">
        <v>18</v>
      </c>
      <c r="B47" s="33">
        <v>14.37895</v>
      </c>
      <c r="C47" s="47" t="s">
        <v>365</v>
      </c>
      <c r="D47" s="47">
        <f>IF(0.6988="","-",0.6988/3832218.99595*100)</f>
        <v>1.8234866032930585E-5</v>
      </c>
      <c r="E47" s="47">
        <f>IF(14.37895="","-",14.37895/5072717.74218*100)</f>
        <v>2.8345653613718799E-4</v>
      </c>
      <c r="F47" s="47">
        <f>IF(OR(4273352.38515="",0.10224="",0.6988=""),"-",(0.6988-0.10224)/4273352.38515*100)</f>
        <v>1.3960000164579452E-5</v>
      </c>
      <c r="G47" s="47">
        <f>IF(OR(3832218.99595="",14.37895="",0.6988=""),"-",(14.37895-0.6988)/3832218.99595*100)</f>
        <v>3.569772503726321E-4</v>
      </c>
    </row>
    <row r="48" spans="1:7" s="7" customFormat="1" x14ac:dyDescent="0.25">
      <c r="A48" s="44" t="s">
        <v>143</v>
      </c>
      <c r="B48" s="32">
        <v>1516077.8855399999</v>
      </c>
      <c r="C48" s="45">
        <f>IF(1123797.73193="","-",1516077.88554/1123797.73193*100)</f>
        <v>134.90665112273376</v>
      </c>
      <c r="D48" s="45">
        <f>IF(1123797.73193="","-",1123797.73193/3832218.99595*100)</f>
        <v>29.324987249362888</v>
      </c>
      <c r="E48" s="45">
        <f>IF(1516077.88554="","-",1516077.88554/5072717.74218*100)</f>
        <v>29.886896188481121</v>
      </c>
      <c r="F48" s="45">
        <f>IF(4273352.38515="","-",(1123797.73193-1149811.03581)/4273352.38515*100)</f>
        <v>-0.60873294630222541</v>
      </c>
      <c r="G48" s="45">
        <f>IF(3832218.99595="","-",(1516077.88554-1123797.73193)/3832218.99595*100)</f>
        <v>10.236370990921264</v>
      </c>
    </row>
    <row r="49" spans="1:7" s="7" customFormat="1" x14ac:dyDescent="0.25">
      <c r="A49" s="46" t="s">
        <v>59</v>
      </c>
      <c r="B49" s="33">
        <f>IF(597195.63785="","-",597195.63785)</f>
        <v>597195.63785000006</v>
      </c>
      <c r="C49" s="47">
        <f>IF(OR(447982.60931="",597195.63785=""),"-",597195.63785/447982.60931*100)</f>
        <v>133.30777254273858</v>
      </c>
      <c r="D49" s="47">
        <f>IF(447982.60931="","-",447982.60931/3832218.99595*100)</f>
        <v>11.689901067330469</v>
      </c>
      <c r="E49" s="47">
        <f>IF(597195.63785="","-",597195.63785/5072717.74218*100)</f>
        <v>11.772695982752538</v>
      </c>
      <c r="F49" s="47">
        <f>IF(OR(4273352.38515="",436811.81351="",447982.60931=""),"-",(447982.60931-436811.81351)/4273352.38515*100)</f>
        <v>0.2614059125762434</v>
      </c>
      <c r="G49" s="47">
        <f>IF(OR(3832218.99595="",597195.63785="",447982.60931=""),"-",(597195.63785-447982.60931)/3832218.99595*100)</f>
        <v>3.893645657977602</v>
      </c>
    </row>
    <row r="50" spans="1:7" s="7" customFormat="1" x14ac:dyDescent="0.25">
      <c r="A50" s="46" t="s">
        <v>56</v>
      </c>
      <c r="B50" s="33">
        <f>IF(377586.02538="","-",377586.02538)</f>
        <v>377586.02538000001</v>
      </c>
      <c r="C50" s="47">
        <f>IF(OR(262413.94316="",377586.02538=""),"-",377586.02538/262413.94316*100)</f>
        <v>143.8894674700181</v>
      </c>
      <c r="D50" s="47">
        <f>IF(262413.94316="","-",262413.94316/3832218.99595*100)</f>
        <v>6.8475716924666017</v>
      </c>
      <c r="E50" s="47">
        <f>IF(377586.02538="","-",377586.02538/5072717.74218*100)</f>
        <v>7.4434660978738476</v>
      </c>
      <c r="F50" s="47">
        <f>IF(OR(4273352.38515="",281399.22188="",262413.94316=""),"-",(262413.94316-281399.22188)/4273352.38515*100)</f>
        <v>-0.44427131228340289</v>
      </c>
      <c r="G50" s="47">
        <f>IF(OR(3832218.99595="",377586.02538="",262413.94316=""),"-",(377586.02538-262413.94316)/3832218.99595*100)</f>
        <v>3.0053627504512965</v>
      </c>
    </row>
    <row r="51" spans="1:7" s="7" customFormat="1" x14ac:dyDescent="0.25">
      <c r="A51" s="46" t="s">
        <v>19</v>
      </c>
      <c r="B51" s="33">
        <f>IF(78076.54947="","-",78076.54947)</f>
        <v>78076.549469999998</v>
      </c>
      <c r="C51" s="47" t="s">
        <v>104</v>
      </c>
      <c r="D51" s="47">
        <f>IF(48972.32437="","-",48972.32437/3832218.99595*100)</f>
        <v>1.277910380950446</v>
      </c>
      <c r="E51" s="47">
        <f>IF(78076.54947="","-",78076.54947/5072717.74218*100)</f>
        <v>1.5391463400533421</v>
      </c>
      <c r="F51" s="47">
        <f>IF(OR(4273352.38515="",56242.12467="",48972.32437=""),"-",(48972.32437-56242.12467)/4273352.38515*100)</f>
        <v>-0.17011937338148667</v>
      </c>
      <c r="G51" s="47">
        <f>IF(OR(3832218.99595="",78076.54947="",48972.32437=""),"-",(78076.54947-48972.32437)/3832218.99595*100)</f>
        <v>0.75946142772002811</v>
      </c>
    </row>
    <row r="52" spans="1:7" s="7" customFormat="1" x14ac:dyDescent="0.25">
      <c r="A52" s="46" t="s">
        <v>76</v>
      </c>
      <c r="B52" s="33">
        <f>IF(48755.31286="","-",48755.31286)</f>
        <v>48755.312859999998</v>
      </c>
      <c r="C52" s="47">
        <f>IF(OR(38765.00969="",48755.31286=""),"-",48755.31286/38765.00969*100)</f>
        <v>125.77144504771564</v>
      </c>
      <c r="D52" s="47">
        <f>IF(38765.00969="","-",38765.00969/3832218.99595*100)</f>
        <v>1.0115551781087664</v>
      </c>
      <c r="E52" s="47">
        <f>IF(48755.31286="","-",48755.31286/5072717.74218*100)</f>
        <v>0.96112804492542903</v>
      </c>
      <c r="F52" s="47">
        <f>IF(OR(4273352.38515="",36760.92603="",38765.00969=""),"-",(38765.00969-36760.92603)/4273352.38515*100)</f>
        <v>4.6897224459284806E-2</v>
      </c>
      <c r="G52" s="47">
        <f>IF(OR(3832218.99595="",48755.31286="",38765.00969=""),"-",(48755.31286-38765.00969)/3832218.99595*100)</f>
        <v>0.26069238685362295</v>
      </c>
    </row>
    <row r="53" spans="1:7" s="7" customFormat="1" ht="25.5" x14ac:dyDescent="0.25">
      <c r="A53" s="46" t="s">
        <v>360</v>
      </c>
      <c r="B53" s="33">
        <f>IF(46415.98912="","-",46415.98912)</f>
        <v>46415.989119999998</v>
      </c>
      <c r="C53" s="47">
        <f>IF(OR(34464.10085="",46415.98912=""),"-",46415.98912/34464.10085*100)</f>
        <v>134.67924006495588</v>
      </c>
      <c r="D53" s="47">
        <f>IF(34464.10085="","-",34464.10085/3832218.99595*100)</f>
        <v>0.89932493123233981</v>
      </c>
      <c r="E53" s="47">
        <f>IF(46415.98912="","-",46415.98912/5072717.74218*100)</f>
        <v>0.91501225731618829</v>
      </c>
      <c r="F53" s="47">
        <f>IF(OR(4273352.38515="",42983.48613="",34464.10085=""),"-",(34464.10085-42983.48613)/4273352.38515*100)</f>
        <v>-0.19936070120510208</v>
      </c>
      <c r="G53" s="47">
        <f>IF(OR(3832218.99595="",46415.98912="",34464.10085=""),"-",(46415.98912-34464.10085)/3832218.99595*100)</f>
        <v>0.31187905186606241</v>
      </c>
    </row>
    <row r="54" spans="1:7" s="7" customFormat="1" x14ac:dyDescent="0.25">
      <c r="A54" s="46" t="s">
        <v>36</v>
      </c>
      <c r="B54" s="33">
        <f>IF(39110.00681="","-",39110.00681)</f>
        <v>39110.006809999999</v>
      </c>
      <c r="C54" s="47">
        <f>IF(OR(29956.82716="",39110.00681=""),"-",39110.00681/29956.82716*100)</f>
        <v>130.55456975170529</v>
      </c>
      <c r="D54" s="47">
        <f>IF(29956.82716="","-",29956.82716/3832218.99595*100)</f>
        <v>0.781709688085656</v>
      </c>
      <c r="E54" s="47">
        <f>IF(39110.00681="","-",39110.00681/5072717.74218*100)</f>
        <v>0.77098724584649325</v>
      </c>
      <c r="F54" s="47">
        <f>IF(OR(4273352.38515="",28945.52967="",29956.82716=""),"-",(29956.82716-28945.52967)/4273352.38515*100)</f>
        <v>2.3665202371662194E-2</v>
      </c>
      <c r="G54" s="47">
        <f>IF(OR(3832218.99595="",39110.00681="",29956.82716=""),"-",(39110.00681-29956.82716)/3832218.99595*100)</f>
        <v>0.23884803190196971</v>
      </c>
    </row>
    <row r="55" spans="1:7" s="7" customFormat="1" x14ac:dyDescent="0.25">
      <c r="A55" s="46" t="s">
        <v>72</v>
      </c>
      <c r="B55" s="33">
        <f>IF(37101.54599="","-",37101.54599)</f>
        <v>37101.545989999999</v>
      </c>
      <c r="C55" s="47">
        <f>IF(OR(29997.54284="",37101.54599=""),"-",37101.54599/29997.54284*100)</f>
        <v>123.68195017802333</v>
      </c>
      <c r="D55" s="47">
        <f>IF(29997.54284="","-",29997.54284/3832218.99595*100)</f>
        <v>0.78277214511232973</v>
      </c>
      <c r="E55" s="47">
        <f>IF(37101.54599="","-",37101.54599/5072717.74218*100)</f>
        <v>0.73139385780324562</v>
      </c>
      <c r="F55" s="47">
        <f>IF(OR(4273352.38515="",36006.14687="",29997.54284=""),"-",(29997.54284-36006.14687)/4273352.38515*100)</f>
        <v>-0.14060633171465189</v>
      </c>
      <c r="G55" s="47">
        <f>IF(OR(3832218.99595="",37101.54599="",29997.54284=""),"-",(37101.54599-29997.54284)/3832218.99595*100)</f>
        <v>0.18537570941294632</v>
      </c>
    </row>
    <row r="56" spans="1:7" s="7" customFormat="1" x14ac:dyDescent="0.25">
      <c r="A56" s="46" t="s">
        <v>69</v>
      </c>
      <c r="B56" s="33">
        <f>IF(33655.43885="","-",33655.43885)</f>
        <v>33655.438849999999</v>
      </c>
      <c r="C56" s="47">
        <f>IF(OR(29280.03162="",33655.43885=""),"-",33655.43885/29280.03162*100)</f>
        <v>114.94331456599703</v>
      </c>
      <c r="D56" s="47">
        <f>IF(29280.03162="","-",29280.03162/3832218.99595*100)</f>
        <v>0.76404901836100669</v>
      </c>
      <c r="E56" s="47">
        <f>IF(33655.43885="","-",33655.43885/5072717.74218*100)</f>
        <v>0.66345971844939622</v>
      </c>
      <c r="F56" s="47">
        <f>IF(OR(4273352.38515="",26586.26154="",29280.03162=""),"-",(29280.03162-26586.26154)/4273352.38515*100)</f>
        <v>6.3036460305986378E-2</v>
      </c>
      <c r="G56" s="47">
        <f>IF(OR(3832218.99595="",33655.43885="",29280.03162=""),"-",(33655.43885-29280.03162)/3832218.99595*100)</f>
        <v>0.11417424825209765</v>
      </c>
    </row>
    <row r="57" spans="1:7" s="7" customFormat="1" x14ac:dyDescent="0.25">
      <c r="A57" s="46" t="s">
        <v>361</v>
      </c>
      <c r="B57" s="33">
        <f>IF(28022.12073="","-",28022.12073)</f>
        <v>28022.120729999999</v>
      </c>
      <c r="C57" s="47">
        <f>IF(OR(21769.03956="",28022.12073=""),"-",28022.12073/21769.03956*100)</f>
        <v>128.72465343620331</v>
      </c>
      <c r="D57" s="47">
        <f>IF(21769.03956="","-",21769.03956/3832218.99595*100)</f>
        <v>0.56805311969399852</v>
      </c>
      <c r="E57" s="47">
        <f>IF(28022.12073="","-",28022.12073/5072717.74218*100)</f>
        <v>0.55240843575809717</v>
      </c>
      <c r="F57" s="47">
        <f>IF(OR(4273352.38515="",25772.39267="",21769.03956=""),"-",(21769.03956-25772.39267)/4273352.38515*100)</f>
        <v>-9.3681792400545902E-2</v>
      </c>
      <c r="G57" s="47">
        <f>IF(OR(3832218.99595="",28022.12073="",21769.03956=""),"-",(28022.12073-21769.03956)/3832218.99595*100)</f>
        <v>0.16317128996564223</v>
      </c>
    </row>
    <row r="58" spans="1:7" s="7" customFormat="1" x14ac:dyDescent="0.25">
      <c r="A58" s="46" t="s">
        <v>66</v>
      </c>
      <c r="B58" s="33">
        <f>IF(22149.53961="","-",22149.53961)</f>
        <v>22149.53961</v>
      </c>
      <c r="C58" s="47">
        <f>IF(OR(25046.43007="",22149.53961=""),"-",22149.53961/25046.43007*100)</f>
        <v>88.433918718540966</v>
      </c>
      <c r="D58" s="47">
        <f>IF(25046.43007="","-",25046.43007/3832218.99595*100)</f>
        <v>0.65357512439841747</v>
      </c>
      <c r="E58" s="47">
        <f>IF(22149.53961="","-",22149.53961/5072717.74218*100)</f>
        <v>0.43664049008335398</v>
      </c>
      <c r="F58" s="47">
        <f>IF(OR(4273352.38515="",16402.02033="",25046.43007=""),"-",(25046.43007-16402.02033)/4273352.38515*100)</f>
        <v>0.20228637755312492</v>
      </c>
      <c r="G58" s="47">
        <f>IF(OR(3832218.99595="",22149.53961="",25046.43007=""),"-",(22149.53961-25046.43007)/3832218.99595*100)</f>
        <v>-7.5593030123318014E-2</v>
      </c>
    </row>
    <row r="59" spans="1:7" s="7" customFormat="1" x14ac:dyDescent="0.25">
      <c r="A59" s="46" t="s">
        <v>70</v>
      </c>
      <c r="B59" s="33">
        <f>IF(17116.14013="","-",17116.14013)</f>
        <v>17116.14013</v>
      </c>
      <c r="C59" s="47">
        <f>IF(OR(12401.91339="",17116.14013=""),"-",17116.14013/12401.91339*100)</f>
        <v>138.0120921002497</v>
      </c>
      <c r="D59" s="47">
        <f>IF(12401.91339="","-",12401.91339/3832218.99595*100)</f>
        <v>0.32362225131462219</v>
      </c>
      <c r="E59" s="47">
        <f>IF(17116.14013="","-",17116.14013/5072717.74218*100)</f>
        <v>0.33741558272951216</v>
      </c>
      <c r="F59" s="47">
        <f>IF(OR(4273352.38515="",16548.64743="",12401.91339=""),"-",(12401.91339-16548.64743)/4273352.38515*100)</f>
        <v>-9.7037025413817951E-2</v>
      </c>
      <c r="G59" s="47">
        <f>IF(OR(3832218.99595="",17116.14013="",12401.91339=""),"-",(17116.14013-12401.91339)/3832218.99595*100)</f>
        <v>0.12301558822661574</v>
      </c>
    </row>
    <row r="60" spans="1:7" s="7" customFormat="1" x14ac:dyDescent="0.25">
      <c r="A60" s="46" t="s">
        <v>79</v>
      </c>
      <c r="B60" s="33">
        <f>IF(16574.96148="","-",16574.96148)</f>
        <v>16574.961480000002</v>
      </c>
      <c r="C60" s="47">
        <f>IF(OR(14196.90596="",16574.96148=""),"-",16574.96148/14196.90596*100)</f>
        <v>116.75051963223683</v>
      </c>
      <c r="D60" s="47">
        <f>IF(14196.90596="","-",14196.90596/3832218.99595*100)</f>
        <v>0.37046176053622465</v>
      </c>
      <c r="E60" s="47">
        <f>IF(16574.96148="","-",16574.96148/5072717.74218*100)</f>
        <v>0.32674716635972167</v>
      </c>
      <c r="F60" s="47">
        <f>IF(OR(4273352.38515="",12156.42899="",14196.90596=""),"-",(14196.90596-12156.42899)/4273352.38515*100)</f>
        <v>4.7748858181944111E-2</v>
      </c>
      <c r="G60" s="47">
        <f>IF(OR(3832218.99595="",16574.96148="",14196.90596=""),"-",(16574.96148-14196.90596)/3832218.99595*100)</f>
        <v>6.2054269928550523E-2</v>
      </c>
    </row>
    <row r="61" spans="1:7" s="7" customFormat="1" x14ac:dyDescent="0.25">
      <c r="A61" s="46" t="s">
        <v>81</v>
      </c>
      <c r="B61" s="33">
        <f>IF(14899.30995="","-",14899.30995)</f>
        <v>14899.309950000001</v>
      </c>
      <c r="C61" s="47" t="s">
        <v>316</v>
      </c>
      <c r="D61" s="47">
        <f>IF(3569.10875="","-",3569.10875/3832218.99595*100)</f>
        <v>9.3134258605051992E-2</v>
      </c>
      <c r="E61" s="47">
        <f>IF(14899.30995="","-",14899.30995/5072717.74218*100)</f>
        <v>0.29371454725562995</v>
      </c>
      <c r="F61" s="47">
        <f>IF(OR(4273352.38515="",3070.98388="",3569.10875=""),"-",(3569.10875-3070.98388)/4273352.38515*100)</f>
        <v>1.1656536253153268E-2</v>
      </c>
      <c r="G61" s="47">
        <f>IF(OR(3832218.99595="",14899.30995="",3569.10875=""),"-",(14899.30995-3569.10875)/3832218.99595*100)</f>
        <v>0.2956564124329556</v>
      </c>
    </row>
    <row r="62" spans="1:7" s="7" customFormat="1" x14ac:dyDescent="0.25">
      <c r="A62" s="46" t="s">
        <v>61</v>
      </c>
      <c r="B62" s="33">
        <f>IF(11244.92299="","-",11244.92299)</f>
        <v>11244.922989999999</v>
      </c>
      <c r="C62" s="47">
        <f>IF(OR(8807.4339="",11244.92299=""),"-",11244.92299/8807.4339*100)</f>
        <v>127.67536058374505</v>
      </c>
      <c r="D62" s="47">
        <f>IF(8807.4339="","-",8807.4339/3832218.99595*100)</f>
        <v>0.22982595486604368</v>
      </c>
      <c r="E62" s="47">
        <f>IF(11244.92299="","-",11244.92299/5072717.74218*100)</f>
        <v>0.22167452559991035</v>
      </c>
      <c r="F62" s="47">
        <f>IF(OR(4273352.38515="",8909.05297="",8807.4339=""),"-",(8807.4339-8909.05297)/4273352.38515*100)</f>
        <v>-2.377970755539124E-3</v>
      </c>
      <c r="G62" s="47">
        <f>IF(OR(3832218.99595="",11244.92299="",8807.4339=""),"-",(11244.92299-8807.4339)/3832218.99595*100)</f>
        <v>6.3605161724212739E-2</v>
      </c>
    </row>
    <row r="63" spans="1:7" s="7" customFormat="1" x14ac:dyDescent="0.25">
      <c r="A63" s="46" t="s">
        <v>82</v>
      </c>
      <c r="B63" s="33">
        <f>IF(10509.65657="","-",10509.65657)</f>
        <v>10509.656569999999</v>
      </c>
      <c r="C63" s="47">
        <f>IF(OR(7054.57978="",10509.65657=""),"-",10509.65657/7054.57978*100)</f>
        <v>148.97636567659595</v>
      </c>
      <c r="D63" s="47">
        <f>IF(7054.57978="","-",7054.57978/3832218.99595*100)</f>
        <v>0.18408602920280612</v>
      </c>
      <c r="E63" s="47">
        <f>IF(10509.65657="","-",10509.65657/5072717.74218*100)</f>
        <v>0.20717999904886242</v>
      </c>
      <c r="F63" s="47">
        <f>IF(OR(4273352.38515="",7212.62771="",7054.57978=""),"-",(7054.57978-7212.62771)/4273352.38515*100)</f>
        <v>-3.6984530119542674E-3</v>
      </c>
      <c r="G63" s="47">
        <f>IF(OR(3832218.99595="",10509.65657="",7054.57978=""),"-",(10509.65657-7054.57978)/3832218.99595*100)</f>
        <v>9.0158646821891564E-2</v>
      </c>
    </row>
    <row r="64" spans="1:7" s="7" customFormat="1" x14ac:dyDescent="0.25">
      <c r="A64" s="46" t="s">
        <v>71</v>
      </c>
      <c r="B64" s="33">
        <f>IF(9471.95861="","-",9471.95861)</f>
        <v>9471.9586099999997</v>
      </c>
      <c r="C64" s="47">
        <f>IF(OR(7420.372="",9471.95861=""),"-",9471.95861/7420.372*100)</f>
        <v>127.64802910150594</v>
      </c>
      <c r="D64" s="47">
        <f>IF(7420.372="","-",7420.372/3832218.99595*100)</f>
        <v>0.19363120969448938</v>
      </c>
      <c r="E64" s="47">
        <f>IF(9471.95861="","-",9471.95861/5072717.74218*100)</f>
        <v>0.18672354921780895</v>
      </c>
      <c r="F64" s="47">
        <f>IF(OR(4273352.38515="",7537.18585="",7420.372=""),"-",(7420.372-7537.18585)/4273352.38515*100)</f>
        <v>-2.7335412451809592E-3</v>
      </c>
      <c r="G64" s="47">
        <f>IF(OR(3832218.99595="",9471.95861="",7420.372=""),"-",(9471.95861-7420.372)/3832218.99595*100)</f>
        <v>5.3535213205930444E-2</v>
      </c>
    </row>
    <row r="65" spans="1:7" s="7" customFormat="1" x14ac:dyDescent="0.25">
      <c r="A65" s="46" t="s">
        <v>78</v>
      </c>
      <c r="B65" s="33">
        <f>IF(9297.48504="","-",9297.48504)</f>
        <v>9297.4850399999996</v>
      </c>
      <c r="C65" s="47" t="s">
        <v>104</v>
      </c>
      <c r="D65" s="47">
        <f>IF(5989.66224="","-",5989.66224/3832218.99595*100)</f>
        <v>0.15629749360175002</v>
      </c>
      <c r="E65" s="47">
        <f>IF(9297.48504="","-",9297.48504/5072717.74218*100)</f>
        <v>0.18328409961963321</v>
      </c>
      <c r="F65" s="47">
        <f>IF(OR(4273352.38515="",6184.70243="",5989.66224=""),"-",(5989.66224-6184.70243)/4273352.38515*100)</f>
        <v>-4.5641026627658851E-3</v>
      </c>
      <c r="G65" s="47">
        <f>IF(OR(3832218.99595="",9297.48504="",5989.66224=""),"-",(9297.48504-5989.66224)/3832218.99595*100)</f>
        <v>8.6316121377609245E-2</v>
      </c>
    </row>
    <row r="66" spans="1:7" s="7" customFormat="1" x14ac:dyDescent="0.25">
      <c r="A66" s="46" t="s">
        <v>62</v>
      </c>
      <c r="B66" s="33">
        <f>IF(9284.84073="","-",9284.84073)</f>
        <v>9284.8407299999999</v>
      </c>
      <c r="C66" s="47">
        <f>IF(OR(7310.57808="",9284.84073=""),"-",9284.84073/7310.57808*100)</f>
        <v>127.0055613714203</v>
      </c>
      <c r="D66" s="47">
        <f>IF(7310.57808="","-",7310.57808/3832218.99595*100)</f>
        <v>0.19076618762461203</v>
      </c>
      <c r="E66" s="47">
        <f>IF(9284.84073="","-",9284.84073/5072717.74218*100)</f>
        <v>0.18303483855992825</v>
      </c>
      <c r="F66" s="47">
        <f>IF(OR(4273352.38515="",7989.67892="",7310.57808=""),"-",(7310.57808-7989.67892)/4273352.38515*100)</f>
        <v>-1.5891524470574705E-2</v>
      </c>
      <c r="G66" s="47">
        <f>IF(OR(3832218.99595="",9284.84073="",7310.57808=""),"-",(9284.84073-7310.57808)/3832218.99595*100)</f>
        <v>5.15174798748834E-2</v>
      </c>
    </row>
    <row r="67" spans="1:7" s="7" customFormat="1" x14ac:dyDescent="0.25">
      <c r="A67" s="46" t="s">
        <v>74</v>
      </c>
      <c r="B67" s="33">
        <f>IF(8648.59729="","-",8648.59729)</f>
        <v>8648.5972899999997</v>
      </c>
      <c r="C67" s="47">
        <f>IF(OR(6701.813="",8648.59729=""),"-",8648.59729/6701.813*100)</f>
        <v>129.04862147004101</v>
      </c>
      <c r="D67" s="47">
        <f>IF(6701.813="","-",6701.813/3832218.99595*100)</f>
        <v>0.17488074160382458</v>
      </c>
      <c r="E67" s="47">
        <f>IF(8648.59729="","-",8648.59729/5072717.74218*100)</f>
        <v>0.17049238159037142</v>
      </c>
      <c r="F67" s="47">
        <f>IF(OR(4273352.38515="",4831.92403="",6701.813=""),"-",(6701.813-4831.92403)/4273352.38515*100)</f>
        <v>4.3756957102295324E-2</v>
      </c>
      <c r="G67" s="47">
        <f>IF(OR(3832218.99595="",8648.59729="",6701.813=""),"-",(8648.59729-6701.813)/3832218.99595*100)</f>
        <v>5.080044465249553E-2</v>
      </c>
    </row>
    <row r="68" spans="1:7" s="7" customFormat="1" x14ac:dyDescent="0.25">
      <c r="A68" s="46" t="s">
        <v>83</v>
      </c>
      <c r="B68" s="33">
        <f>IF(7642.22652="","-",7642.22652)</f>
        <v>7642.2265200000002</v>
      </c>
      <c r="C68" s="47">
        <f>IF(OR(6969.36524="",7642.22652=""),"-",7642.22652/6969.36524*100)</f>
        <v>109.65455614434121</v>
      </c>
      <c r="D68" s="47">
        <f>IF(6969.36524="","-",6969.36524/3832218.99595*100)</f>
        <v>0.18186239479960375</v>
      </c>
      <c r="E68" s="47">
        <f>IF(7642.22652="","-",7642.22652/5072717.74218*100)</f>
        <v>0.15065349401277262</v>
      </c>
      <c r="F68" s="47">
        <f>IF(OR(4273352.38515="",7486.86179="",6969.36524=""),"-",(6969.36524-7486.86179)/4273352.38515*100)</f>
        <v>-1.2109849676762265E-2</v>
      </c>
      <c r="G68" s="47">
        <f>IF(OR(3832218.99595="",7642.22652="",6969.36524=""),"-",(7642.22652-6969.36524)/3832218.99595*100)</f>
        <v>1.7558007011371203E-2</v>
      </c>
    </row>
    <row r="69" spans="1:7" s="7" customFormat="1" x14ac:dyDescent="0.25">
      <c r="A69" s="46" t="s">
        <v>63</v>
      </c>
      <c r="B69" s="33">
        <f>IF(7400.03352="","-",7400.03352)</f>
        <v>7400.03352</v>
      </c>
      <c r="C69" s="47">
        <f>IF(OR(5423.0679="",7400.03352=""),"-",7400.03352/5423.0679*100)</f>
        <v>136.45474584598139</v>
      </c>
      <c r="D69" s="47">
        <f>IF(5423.0679="","-",5423.0679/3832218.99595*100)</f>
        <v>0.14151247373209244</v>
      </c>
      <c r="E69" s="47">
        <f>IF(7400.03352="","-",7400.03352/5072717.74218*100)</f>
        <v>0.14587907106417944</v>
      </c>
      <c r="F69" s="47">
        <f>IF(OR(4273352.38515="",6411.65153="",5423.0679=""),"-",(5423.0679-6411.65153)/4273352.38515*100)</f>
        <v>-2.313367915633055E-2</v>
      </c>
      <c r="G69" s="47">
        <f>IF(OR(3832218.99595="",7400.03352="",5423.0679=""),"-",(7400.03352-5423.0679)/3832218.99595*100)</f>
        <v>5.158801263939547E-2</v>
      </c>
    </row>
    <row r="70" spans="1:7" s="7" customFormat="1" x14ac:dyDescent="0.25">
      <c r="A70" s="46" t="s">
        <v>65</v>
      </c>
      <c r="B70" s="33">
        <f>IF(6242.61749="","-",6242.61749)</f>
        <v>6242.6174899999996</v>
      </c>
      <c r="C70" s="47">
        <f>IF(OR(4749.86039="",6242.61749=""),"-",6242.61749/4749.86039*100)</f>
        <v>131.42738896374172</v>
      </c>
      <c r="D70" s="47">
        <f>IF(4749.86039="","-",4749.86039/3832218.99595*100)</f>
        <v>0.12394543200740329</v>
      </c>
      <c r="E70" s="47">
        <f>IF(6242.61749="","-",6242.61749/5072717.74218*100)</f>
        <v>0.12306258316113672</v>
      </c>
      <c r="F70" s="47">
        <f>IF(OR(4273352.38515="",4352.18158="",4749.86039=""),"-",(4749.86039-4352.18158)/4273352.38515*100)</f>
        <v>9.3060149072176357E-3</v>
      </c>
      <c r="G70" s="47">
        <f>IF(OR(3832218.99595="",6242.61749="",4749.86039=""),"-",(6242.61749-4749.86039)/3832218.99595*100)</f>
        <v>3.8952813019756671E-2</v>
      </c>
    </row>
    <row r="71" spans="1:7" s="7" customFormat="1" x14ac:dyDescent="0.25">
      <c r="A71" s="46" t="s">
        <v>84</v>
      </c>
      <c r="B71" s="33">
        <f>IF(5866.28691="","-",5866.28691)</f>
        <v>5866.2869099999998</v>
      </c>
      <c r="C71" s="47">
        <f>IF(OR(4784.55536="",5866.28691=""),"-",5866.28691/4784.55536*100)</f>
        <v>122.60882085394032</v>
      </c>
      <c r="D71" s="47">
        <f>IF(4784.55536="","-",4784.55536/3832218.99595*100)</f>
        <v>0.12485078136339435</v>
      </c>
      <c r="E71" s="47">
        <f>IF(5866.28691="","-",5866.28691/5072717.74218*100)</f>
        <v>0.11564386603302244</v>
      </c>
      <c r="F71" s="47">
        <f>IF(OR(4273352.38515="",5304.50527="",4784.55536=""),"-",(4784.55536-5304.50527)/4273352.38515*100)</f>
        <v>-1.2167260341244908E-2</v>
      </c>
      <c r="G71" s="47">
        <f>IF(OR(3832218.99595="",5866.28691="",4784.55536=""),"-",(5866.28691-4784.55536)/3832218.99595*100)</f>
        <v>2.8227289493194536E-2</v>
      </c>
    </row>
    <row r="72" spans="1:7" s="7" customFormat="1" x14ac:dyDescent="0.25">
      <c r="A72" s="46" t="s">
        <v>68</v>
      </c>
      <c r="B72" s="33">
        <f>IF(5591.29292="","-",5591.29292)</f>
        <v>5591.2929199999999</v>
      </c>
      <c r="C72" s="47">
        <f>IF(OR(4151.02579="",5591.29292=""),"-",5591.29292/4151.02579*100)</f>
        <v>134.69665578733975</v>
      </c>
      <c r="D72" s="47">
        <f>IF(4151.02579="","-",4151.02579/3832218.99595*100)</f>
        <v>0.10831911731524017</v>
      </c>
      <c r="E72" s="47">
        <f>IF(5591.29292="","-",5591.29292/5072717.74218*100)</f>
        <v>0.11022282737137158</v>
      </c>
      <c r="F72" s="47">
        <f>IF(OR(4273352.38515="",4509.9408="",4151.02579=""),"-",(4151.02579-4509.9408)/4273352.38515*100)</f>
        <v>-8.3989097469995382E-3</v>
      </c>
      <c r="G72" s="47">
        <f>IF(OR(3832218.99595="",5591.29292="",4151.02579=""),"-",(5591.29292-4151.02579)/3832218.99595*100)</f>
        <v>3.7583111286753609E-2</v>
      </c>
    </row>
    <row r="73" spans="1:7" s="7" customFormat="1" x14ac:dyDescent="0.25">
      <c r="A73" s="46" t="s">
        <v>85</v>
      </c>
      <c r="B73" s="33">
        <f>IF(5076.34264="","-",5076.34264)</f>
        <v>5076.3426399999998</v>
      </c>
      <c r="C73" s="47">
        <f>IF(OR(3460.03001="",5076.34264=""),"-",5076.34264/3460.03001*100)</f>
        <v>146.71383269302916</v>
      </c>
      <c r="D73" s="47">
        <f>IF(3460.03001="","-",3460.03001/3832218.99595*100)</f>
        <v>9.0287898829807492E-2</v>
      </c>
      <c r="E73" s="47">
        <f>IF(5076.34264="","-",5076.34264/5072717.74218*100)</f>
        <v>0.10007145869343091</v>
      </c>
      <c r="F73" s="47">
        <f>IF(OR(4273352.38515="",6372.94861="",3460.03001=""),"-",(3460.03001-6372.94861)/4273352.38515*100)</f>
        <v>-6.8164717941877687E-2</v>
      </c>
      <c r="G73" s="47">
        <f>IF(OR(3832218.99595="",5076.34264="",3460.03001=""),"-",(5076.34264-3460.03001)/3832218.99595*100)</f>
        <v>4.2176938001407697E-2</v>
      </c>
    </row>
    <row r="74" spans="1:7" s="7" customFormat="1" x14ac:dyDescent="0.25">
      <c r="A74" s="46" t="s">
        <v>130</v>
      </c>
      <c r="B74" s="33">
        <f>IF(4186.82365="","-",4186.82365)</f>
        <v>4186.8236500000003</v>
      </c>
      <c r="C74" s="47">
        <f>IF(OR(3370.29853="",4186.82365=""),"-",4186.82365/3370.29853*100)</f>
        <v>124.22708590149729</v>
      </c>
      <c r="D74" s="47">
        <f>IF(3370.29853="","-",3370.29853/3832218.99595*100)</f>
        <v>8.7946396945525016E-2</v>
      </c>
      <c r="E74" s="47">
        <f>IF(4186.82365="","-",4186.82365/5072717.74218*100)</f>
        <v>8.2536105156931383E-2</v>
      </c>
      <c r="F74" s="47">
        <f>IF(OR(4273352.38515="",3631.2559="",3370.29853=""),"-",(3370.29853-3631.2559)/4273352.38515*100)</f>
        <v>-6.1066194987062861E-3</v>
      </c>
      <c r="G74" s="47">
        <f>IF(OR(3832218.99595="",4186.82365="",3370.29853=""),"-",(4186.82365-3370.29853)/3832218.99595*100)</f>
        <v>2.1306849135264129E-2</v>
      </c>
    </row>
    <row r="75" spans="1:7" s="7" customFormat="1" x14ac:dyDescent="0.25">
      <c r="A75" s="46" t="s">
        <v>39</v>
      </c>
      <c r="B75" s="33">
        <f>IF(3881.66005="","-",3881.66005)</f>
        <v>3881.66005</v>
      </c>
      <c r="C75" s="47">
        <f>IF(OR(3186.54201="",3881.66005=""),"-",3881.66005/3186.54201*100)</f>
        <v>121.81418094657413</v>
      </c>
      <c r="D75" s="47">
        <f>IF(3186.54201="","-",3186.54201/3832218.99595*100)</f>
        <v>8.3151354694698545E-2</v>
      </c>
      <c r="E75" s="47">
        <f>IF(3881.66005="","-",3881.66005/5072717.74218*100)</f>
        <v>7.6520323962118525E-2</v>
      </c>
      <c r="F75" s="47">
        <f>IF(OR(4273352.38515="",2909.8371="",3186.54201=""),"-",(3186.54201-2909.8371)/4273352.38515*100)</f>
        <v>6.4751250320838494E-3</v>
      </c>
      <c r="G75" s="47">
        <f>IF(OR(3832218.99595="",3881.66005="",3186.54201=""),"-",(3881.66005-3186.54201)/3832218.99595*100)</f>
        <v>1.8138786972629193E-2</v>
      </c>
    </row>
    <row r="76" spans="1:7" s="7" customFormat="1" x14ac:dyDescent="0.25">
      <c r="A76" s="46" t="s">
        <v>88</v>
      </c>
      <c r="B76" s="33">
        <f>IF(3540.4825="","-",3540.4825)</f>
        <v>3540.4825000000001</v>
      </c>
      <c r="C76" s="47" t="s">
        <v>307</v>
      </c>
      <c r="D76" s="47">
        <f>IF(1488.76284="","-",1488.76284/3832218.99595*100)</f>
        <v>3.8848584633951445E-2</v>
      </c>
      <c r="E76" s="47">
        <f>IF(3540.4825="","-",3540.4825/5072717.74218*100)</f>
        <v>6.9794589014102681E-2</v>
      </c>
      <c r="F76" s="47">
        <f>IF(OR(4273352.38515="",2013.67748="",1488.76284=""),"-",(1488.76284-2013.67748)/4273352.38515*100)</f>
        <v>-1.2283439152457698E-2</v>
      </c>
      <c r="G76" s="47">
        <f>IF(OR(3832218.99595="",3540.4825="",1488.76284=""),"-",(3540.4825-1488.76284)/3832218.99595*100)</f>
        <v>5.3538685084759417E-2</v>
      </c>
    </row>
    <row r="77" spans="1:7" s="7" customFormat="1" x14ac:dyDescent="0.25">
      <c r="A77" s="46" t="s">
        <v>75</v>
      </c>
      <c r="B77" s="33">
        <f>IF(3399.47859="","-",3399.47859)</f>
        <v>3399.4785900000002</v>
      </c>
      <c r="C77" s="47">
        <f>IF(OR(3957.92017="",3399.47859=""),"-",3399.47859/3957.92017*100)</f>
        <v>85.890529469673467</v>
      </c>
      <c r="D77" s="47">
        <f>IF(3957.92017="","-",3957.92017/3832218.99595*100)</f>
        <v>0.10328011458068667</v>
      </c>
      <c r="E77" s="47">
        <f>IF(3399.47859="","-",3399.47859/5072717.74218*100)</f>
        <v>6.7014936820416787E-2</v>
      </c>
      <c r="F77" s="47">
        <f>IF(OR(4273352.38515="",3693.95149="",3957.92017=""),"-",(3957.92017-3693.95149)/4273352.38515*100)</f>
        <v>6.1770866572412163E-3</v>
      </c>
      <c r="G77" s="47">
        <f>IF(OR(3832218.99595="",3399.47859="",3957.92017=""),"-",(3399.47859-3957.92017)/3832218.99595*100)</f>
        <v>-1.4572277330449459E-2</v>
      </c>
    </row>
    <row r="78" spans="1:7" s="7" customFormat="1" x14ac:dyDescent="0.25">
      <c r="A78" s="46" t="s">
        <v>73</v>
      </c>
      <c r="B78" s="33">
        <f>IF(3183.88093="","-",3183.88093)</f>
        <v>3183.8809299999998</v>
      </c>
      <c r="C78" s="47" t="s">
        <v>307</v>
      </c>
      <c r="D78" s="47">
        <f>IF(1354.01643="","-",1354.01643/3832218.99595*100)</f>
        <v>3.5332438762788965E-2</v>
      </c>
      <c r="E78" s="47">
        <f>IF(3183.88093="","-",3183.88093/5072717.74218*100)</f>
        <v>6.2764795752892164E-2</v>
      </c>
      <c r="F78" s="47">
        <f>IF(OR(4273352.38515="",1098.10668="",1354.01643=""),"-",(1354.01643-1098.10668)/4273352.38515*100)</f>
        <v>5.9885009925531108E-3</v>
      </c>
      <c r="G78" s="47">
        <f>IF(OR(3832218.99595="",3183.88093="",1354.01643=""),"-",(3183.88093-1354.01643)/3832218.99595*100)</f>
        <v>4.7749476267766891E-2</v>
      </c>
    </row>
    <row r="79" spans="1:7" s="7" customFormat="1" x14ac:dyDescent="0.25">
      <c r="A79" s="46" t="s">
        <v>58</v>
      </c>
      <c r="B79" s="33">
        <f>IF(2848.25468="","-",2848.25468)</f>
        <v>2848.25468</v>
      </c>
      <c r="C79" s="47">
        <f>IF(OR(3841.15621="",2848.25468=""),"-",2848.25468/3841.15621*100)</f>
        <v>74.150972370894536</v>
      </c>
      <c r="D79" s="47">
        <f>IF(3841.15621="","-",3841.15621/3832218.99595*100)</f>
        <v>0.10023321250845647</v>
      </c>
      <c r="E79" s="47">
        <f>IF(2848.25468="","-",2848.25468/5072717.74218*100)</f>
        <v>5.6148495239870429E-2</v>
      </c>
      <c r="F79" s="47">
        <f>IF(OR(4273352.38515="",2225.47644="",3841.15621=""),"-",(3841.15621-2225.47644)/4273352.38515*100)</f>
        <v>3.7808250394105701E-2</v>
      </c>
      <c r="G79" s="47">
        <f>IF(OR(3832218.99595="",2848.25468="",3841.15621=""),"-",(2848.25468-3841.15621)/3832218.99595*100)</f>
        <v>-2.5909310794850902E-2</v>
      </c>
    </row>
    <row r="80" spans="1:7" s="7" customFormat="1" x14ac:dyDescent="0.25">
      <c r="A80" s="46" t="s">
        <v>91</v>
      </c>
      <c r="B80" s="33">
        <f>IF(2746.72745="","-",2746.72745)</f>
        <v>2746.7274499999999</v>
      </c>
      <c r="C80" s="47" t="s">
        <v>209</v>
      </c>
      <c r="D80" s="47">
        <f>IF(1568.51316="","-",1568.51316/3832218.99595*100)</f>
        <v>4.092963271821496E-2</v>
      </c>
      <c r="E80" s="47">
        <f>IF(2746.72745="","-",2746.72745/5072717.74218*100)</f>
        <v>5.4147058630145545E-2</v>
      </c>
      <c r="F80" s="47">
        <f>IF(OR(4273352.38515="",1929.67627="",1568.51316=""),"-",(1568.51316-1929.67627)/4273352.38515*100)</f>
        <v>-8.4515171567654986E-3</v>
      </c>
      <c r="G80" s="47">
        <f>IF(OR(3832218.99595="",2746.72745="",1568.51316=""),"-",(2746.72745-1568.51316)/3832218.99595*100)</f>
        <v>3.0744962415905012E-2</v>
      </c>
    </row>
    <row r="81" spans="1:7" s="7" customFormat="1" x14ac:dyDescent="0.25">
      <c r="A81" s="46" t="s">
        <v>80</v>
      </c>
      <c r="B81" s="33">
        <f>IF(2594.46899="","-",2594.46899)</f>
        <v>2594.4689899999998</v>
      </c>
      <c r="C81" s="47">
        <f>IF(OR(3121.2809="",2594.46899=""),"-",2594.46899/3121.2809*100)</f>
        <v>83.121932088842115</v>
      </c>
      <c r="D81" s="47">
        <f>IF(3121.2809="","-",3121.2809/3832218.99595*100)</f>
        <v>8.1448395911054669E-2</v>
      </c>
      <c r="E81" s="47">
        <f>IF(2594.46899="","-",2594.46899/5072717.74218*100)</f>
        <v>5.114554213073616E-2</v>
      </c>
      <c r="F81" s="47">
        <f>IF(OR(4273352.38515="",3344.57664="",3121.2809=""),"-",(3121.2809-3344.57664)/4273352.38515*100)</f>
        <v>-5.225306033173345E-3</v>
      </c>
      <c r="G81" s="47">
        <f>IF(OR(3832218.99595="",2594.46899="",3121.2809=""),"-",(2594.46899-3121.2809)/3832218.99595*100)</f>
        <v>-1.3746915574416556E-2</v>
      </c>
    </row>
    <row r="82" spans="1:7" s="7" customFormat="1" x14ac:dyDescent="0.25">
      <c r="A82" s="46" t="s">
        <v>87</v>
      </c>
      <c r="B82" s="33">
        <f>IF(2458.60371="","-",2458.60371)</f>
        <v>2458.6037099999999</v>
      </c>
      <c r="C82" s="47">
        <f>IF(OR(1933.80391="",2458.60371=""),"-",2458.60371/1933.80391*100)</f>
        <v>127.13821175384838</v>
      </c>
      <c r="D82" s="47">
        <f>IF(1933.80391="","-",1933.80391/3832218.99595*100)</f>
        <v>5.0461727579861698E-2</v>
      </c>
      <c r="E82" s="47">
        <f>IF(2458.60371="","-",2458.60371/5072717.74218*100)</f>
        <v>4.8467189285075721E-2</v>
      </c>
      <c r="F82" s="47">
        <f>IF(OR(4273352.38515="",2018.21889="",1933.80391=""),"-",(1933.80391-2018.21889)/4273352.38515*100)</f>
        <v>-1.9753807407351673E-3</v>
      </c>
      <c r="G82" s="47">
        <f>IF(OR(3832218.99595="",2458.60371="",1933.80391=""),"-",(2458.60371-1933.80391)/3832218.99595*100)</f>
        <v>1.369441048527298E-2</v>
      </c>
    </row>
    <row r="83" spans="1:7" s="7" customFormat="1" x14ac:dyDescent="0.25">
      <c r="A83" s="46" t="s">
        <v>37</v>
      </c>
      <c r="B83" s="33">
        <f>IF(2413.23495="","-",2413.23495)</f>
        <v>2413.23495</v>
      </c>
      <c r="C83" s="47">
        <f>IF(OR(2733.53636="",2413.23495=""),"-",2413.23495/2733.53636*100)</f>
        <v>88.282526082806527</v>
      </c>
      <c r="D83" s="47">
        <f>IF(2733.53636="","-",2733.53636/3832218.99595*100)</f>
        <v>7.1330379680516184E-2</v>
      </c>
      <c r="E83" s="47">
        <f>IF(2413.23495="","-",2413.23495/5072717.74218*100)</f>
        <v>4.757282136819449E-2</v>
      </c>
      <c r="F83" s="47">
        <f>IF(OR(4273352.38515="",2190.54262="",2733.53636=""),"-",(2733.53636-2190.54262)/4273352.38515*100)</f>
        <v>1.2706505129015709E-2</v>
      </c>
      <c r="G83" s="47">
        <f>IF(OR(3832218.99595="",2413.23495="",2733.53636=""),"-",(2413.23495-2733.53636)/3832218.99595*100)</f>
        <v>-8.3581186340995605E-3</v>
      </c>
    </row>
    <row r="84" spans="1:7" s="7" customFormat="1" x14ac:dyDescent="0.25">
      <c r="A84" s="46" t="s">
        <v>89</v>
      </c>
      <c r="B84" s="33">
        <f>IF(2178.86643="","-",2178.86643)</f>
        <v>2178.86643</v>
      </c>
      <c r="C84" s="47" t="s">
        <v>304</v>
      </c>
      <c r="D84" s="47">
        <f>IF(752.33074="","-",752.33074/3832218.99595*100)</f>
        <v>1.9631726182535104E-2</v>
      </c>
      <c r="E84" s="47">
        <f>IF(2178.86643="","-",2178.86643/5072717.74218*100)</f>
        <v>4.295264473090183E-2</v>
      </c>
      <c r="F84" s="47">
        <f>IF(OR(4273352.38515="",960.80737="",752.33074=""),"-",(752.33074-960.80737)/4273352.38515*100)</f>
        <v>-4.8785265339797669E-3</v>
      </c>
      <c r="G84" s="47">
        <f>IF(OR(3832218.99595="",2178.86643="",752.33074=""),"-",(2178.86643-752.33074)/3832218.99595*100)</f>
        <v>3.7224795647315678E-2</v>
      </c>
    </row>
    <row r="85" spans="1:7" s="7" customFormat="1" x14ac:dyDescent="0.25">
      <c r="A85" s="46" t="s">
        <v>399</v>
      </c>
      <c r="B85" s="33">
        <f>IF(1776.28544="","-",1776.28544)</f>
        <v>1776.2854400000001</v>
      </c>
      <c r="C85" s="47">
        <f>IF(OR(1254.85047="",1776.28544=""),"-",1776.28544/1254.85047*100)</f>
        <v>141.5535541856234</v>
      </c>
      <c r="D85" s="47">
        <f>IF(1254.85047="","-",1254.85047/3832218.99595*100)</f>
        <v>3.2744748442773294E-2</v>
      </c>
      <c r="E85" s="47">
        <f>IF(1776.28544="","-",1776.28544/5072717.74218*100)</f>
        <v>3.5016445429834654E-2</v>
      </c>
      <c r="F85" s="47">
        <f>IF(OR(4273352.38515="",2171.16507="",1254.85047=""),"-",(1254.85047-2171.16507)/4273352.38515*100)</f>
        <v>-2.144252374749657E-2</v>
      </c>
      <c r="G85" s="47">
        <f>IF(OR(3832218.99595="",1776.28544="",1254.85047=""),"-",(1776.28544-1254.85047)/3832218.99595*100)</f>
        <v>1.3606606787113878E-2</v>
      </c>
    </row>
    <row r="86" spans="1:7" s="7" customFormat="1" x14ac:dyDescent="0.25">
      <c r="A86" s="46" t="s">
        <v>86</v>
      </c>
      <c r="B86" s="33">
        <f>IF(1726.61479="","-",1726.61479)</f>
        <v>1726.6147900000001</v>
      </c>
      <c r="C86" s="47">
        <f>IF(OR(3146.48369="",1726.61479=""),"-",1726.61479/3146.48369*100)</f>
        <v>54.874423645908045</v>
      </c>
      <c r="D86" s="47">
        <f>IF(3146.48369="","-",3146.48369/3832218.99595*100)</f>
        <v>8.2106051176232236E-2</v>
      </c>
      <c r="E86" s="47">
        <f>IF(1726.61479="","-",1726.61479/5072717.74218*100)</f>
        <v>3.4037273070470261E-2</v>
      </c>
      <c r="F86" s="47">
        <f>IF(OR(4273352.38515="",2828.03669="",3146.48369=""),"-",(3146.48369-2828.03669)/4273352.38515*100)</f>
        <v>7.4519246553738667E-3</v>
      </c>
      <c r="G86" s="47">
        <f>IF(OR(3832218.99595="",1726.61479="",3146.48369=""),"-",(1726.61479-3146.48369)/3832218.99595*100)</f>
        <v>-3.7050828814860486E-2</v>
      </c>
    </row>
    <row r="87" spans="1:7" s="7" customFormat="1" x14ac:dyDescent="0.25">
      <c r="A87" s="46" t="s">
        <v>362</v>
      </c>
      <c r="B87" s="33">
        <f>IF(1660.79035="","-",1660.79035)</f>
        <v>1660.79035</v>
      </c>
      <c r="C87" s="47">
        <f>IF(OR(1255.80301="",1660.79035=""),"-",1660.79035/1255.80301*100)</f>
        <v>132.249272917414</v>
      </c>
      <c r="D87" s="47">
        <f>IF(1255.80301="","-",1255.80301/3832218.99595*100)</f>
        <v>3.2769604537923568E-2</v>
      </c>
      <c r="E87" s="47">
        <f>IF(1660.79035="","-",1660.79035/5072717.74218*100)</f>
        <v>3.2739656223929298E-2</v>
      </c>
      <c r="F87" s="47">
        <f>IF(OR(4273352.38515="",1766.99925="",1255.80301=""),"-",(1255.80301-1766.99925)/4273352.38515*100)</f>
        <v>-1.1962417182735009E-2</v>
      </c>
      <c r="G87" s="47">
        <f>IF(OR(3832218.99595="",1660.79035="",1255.80301=""),"-",(1660.79035-1255.80301)/3832218.99595*100)</f>
        <v>1.0567959201392255E-2</v>
      </c>
    </row>
    <row r="88" spans="1:7" s="7" customFormat="1" x14ac:dyDescent="0.25">
      <c r="A88" s="46" t="s">
        <v>38</v>
      </c>
      <c r="B88" s="33">
        <f>IF(1556.24902="","-",1556.24902)</f>
        <v>1556.24902</v>
      </c>
      <c r="C88" s="47">
        <f>IF(OR(1766.51297="",1556.24902=""),"-",1556.24902/1766.51297*100)</f>
        <v>88.097231462727393</v>
      </c>
      <c r="D88" s="47">
        <f>IF(1766.51297="","-",1766.51297/3832218.99595*100)</f>
        <v>4.6096347099863086E-2</v>
      </c>
      <c r="E88" s="47">
        <f>IF(1556.24902="","-",1556.24902/5072717.74218*100)</f>
        <v>3.0678801760635751E-2</v>
      </c>
      <c r="F88" s="47">
        <f>IF(OR(4273352.38515="",2161.88203="",1766.51297=""),"-",(1766.51297-2161.88203)/4273352.38515*100)</f>
        <v>-9.2519648361767907E-3</v>
      </c>
      <c r="G88" s="47">
        <f>IF(OR(3832218.99595="",1556.24902="",1766.51297=""),"-",(1556.24902-1766.51297)/3832218.99595*100)</f>
        <v>-5.4867414994344806E-3</v>
      </c>
    </row>
    <row r="89" spans="1:7" x14ac:dyDescent="0.25">
      <c r="A89" s="46" t="s">
        <v>93</v>
      </c>
      <c r="B89" s="33">
        <f>IF(1536.05545="","-",1536.05545)</f>
        <v>1536.0554500000001</v>
      </c>
      <c r="C89" s="47" t="s">
        <v>208</v>
      </c>
      <c r="D89" s="47">
        <f>IF(686.75155="","-",686.75155/3832218.99595*100)</f>
        <v>1.7920467246933927E-2</v>
      </c>
      <c r="E89" s="47">
        <f>IF(1536.05545="","-",1536.05545/5072717.74218*100)</f>
        <v>3.0280719883694542E-2</v>
      </c>
      <c r="F89" s="47">
        <f>IF(OR(4273352.38515="",667.33789="",686.75155=""),"-",(686.75155-667.33789)/4273352.38515*100)</f>
        <v>4.5429579052415282E-4</v>
      </c>
      <c r="G89" s="47">
        <f>IF(OR(3832218.99595="",1536.05545="",686.75155=""),"-",(1536.05545-686.75155)/3832218.99595*100)</f>
        <v>2.2162196390591693E-2</v>
      </c>
    </row>
    <row r="90" spans="1:7" x14ac:dyDescent="0.25">
      <c r="A90" s="46" t="s">
        <v>97</v>
      </c>
      <c r="B90" s="33">
        <f>IF(1462.57443="","-",1462.57443)</f>
        <v>1462.5744299999999</v>
      </c>
      <c r="C90" s="47">
        <f>IF(OR(1016.59143="",1462.57443=""),"-",1462.57443/1016.59143*100)</f>
        <v>143.87042688329566</v>
      </c>
      <c r="D90" s="47">
        <f>IF(1016.59143="","-",1016.59143/3832218.99595*100)</f>
        <v>2.6527487888201671E-2</v>
      </c>
      <c r="E90" s="47">
        <f>IF(1462.57443="","-",1462.57443/5072717.74218*100)</f>
        <v>2.8832166588702381E-2</v>
      </c>
      <c r="F90" s="47">
        <f>IF(OR(4273352.38515="",885.15063="",1016.59143=""),"-",(1016.59143-885.15063)/4273352.38515*100)</f>
        <v>3.0758240405532626E-3</v>
      </c>
      <c r="G90" s="47">
        <f>IF(OR(3832218.99595="",1462.57443="",1016.59143=""),"-",(1462.57443-1016.59143)/3832218.99595*100)</f>
        <v>1.1637722177968633E-2</v>
      </c>
    </row>
    <row r="91" spans="1:7" x14ac:dyDescent="0.25">
      <c r="A91" s="46" t="s">
        <v>67</v>
      </c>
      <c r="B91" s="33">
        <f>IF(1200.70192="","-",1200.70192)</f>
        <v>1200.70192</v>
      </c>
      <c r="C91" s="47">
        <f>IF(OR(906.93358="",1200.70192=""),"-",1200.70192/906.93358*100)</f>
        <v>132.39138416288435</v>
      </c>
      <c r="D91" s="47">
        <f>IF(906.93358="","-",906.93358/3832218.99595*100)</f>
        <v>2.366601650267048E-2</v>
      </c>
      <c r="E91" s="47">
        <f>IF(1200.70192="","-",1200.70192/5072717.74218*100)</f>
        <v>2.3669795581490374E-2</v>
      </c>
      <c r="F91" s="47">
        <f>IF(OR(4273352.38515="",1297.58842="",906.93358=""),"-",(906.93358-1297.58842)/4273352.38515*100)</f>
        <v>-9.1416481673155421E-3</v>
      </c>
      <c r="G91" s="47">
        <f>IF(OR(3832218.99595="",1200.70192="",906.93358=""),"-",(1200.70192-906.93358)/3832218.99595*100)</f>
        <v>7.6657503214316008E-3</v>
      </c>
    </row>
    <row r="92" spans="1:7" x14ac:dyDescent="0.25">
      <c r="A92" s="46" t="s">
        <v>147</v>
      </c>
      <c r="B92" s="33">
        <f>IF(1107.56696="","-",1107.56696)</f>
        <v>1107.5669600000001</v>
      </c>
      <c r="C92" s="47">
        <f>IF(OR(826.13308="",1107.56696=""),"-",1107.56696/826.13308*100)</f>
        <v>134.06640973631031</v>
      </c>
      <c r="D92" s="47">
        <f>IF(826.13308="","-",826.13308/3832218.99595*100)</f>
        <v>2.1557564452164172E-2</v>
      </c>
      <c r="E92" s="47">
        <f>IF(1107.56696="","-",1107.56696/5072717.74218*100)</f>
        <v>2.183379829692679E-2</v>
      </c>
      <c r="F92" s="47">
        <f>IF(OR(4273352.38515="",841.75996="",826.13308=""),"-",(826.13308-841.75996)/4273352.38515*100)</f>
        <v>-3.656819890235077E-4</v>
      </c>
      <c r="G92" s="47">
        <f>IF(OR(3832218.99595="",1107.56696="",826.13308=""),"-",(1107.56696-826.13308)/3832218.99595*100)</f>
        <v>7.3438882354434241E-3</v>
      </c>
    </row>
    <row r="93" spans="1:7" x14ac:dyDescent="0.25">
      <c r="A93" s="46" t="s">
        <v>363</v>
      </c>
      <c r="B93" s="33">
        <f>IF(1089.99741="","-",1089.99741)</f>
        <v>1089.9974099999999</v>
      </c>
      <c r="C93" s="47" t="s">
        <v>220</v>
      </c>
      <c r="D93" s="47">
        <f>IF(478.35095="","-",478.35095/3832218.99595*100)</f>
        <v>1.2482349012557349E-2</v>
      </c>
      <c r="E93" s="47">
        <f>IF(1089.99741="","-",1089.99741/5072717.74218*100)</f>
        <v>2.1487444510002909E-2</v>
      </c>
      <c r="F93" s="47">
        <f>IF(OR(4273352.38515="",707.95516="",478.35095=""),"-",(478.35095-707.95516)/4273352.38515*100)</f>
        <v>-5.3729294779873522E-3</v>
      </c>
      <c r="G93" s="47">
        <f>IF(OR(3832218.99595="",1089.99741="",478.35095=""),"-",(1089.99741-478.35095)/3832218.99595*100)</f>
        <v>1.5960634312559008E-2</v>
      </c>
    </row>
    <row r="94" spans="1:7" x14ac:dyDescent="0.25">
      <c r="A94" s="46" t="s">
        <v>122</v>
      </c>
      <c r="B94" s="33">
        <f>IF(981.113="","-",981.113)</f>
        <v>981.11300000000006</v>
      </c>
      <c r="C94" s="47" t="s">
        <v>366</v>
      </c>
      <c r="D94" s="47">
        <f>IF(41.83019="","-",41.83019/3832218.99595*100)</f>
        <v>1.0915396548111516E-3</v>
      </c>
      <c r="E94" s="47">
        <f>IF(981.113="","-",981.113/5072717.74218*100)</f>
        <v>1.9340973613453345E-2</v>
      </c>
      <c r="F94" s="47">
        <f>IF(OR(4273352.38515="",1.184="",41.83019=""),"-",(41.83019-1.184)/4273352.38515*100)</f>
        <v>9.5115465181964552E-4</v>
      </c>
      <c r="G94" s="47">
        <f>IF(OR(3832218.99595="",981.113="",41.83019=""),"-",(981.113-41.83019)/3832218.99595*100)</f>
        <v>2.4510154847430726E-2</v>
      </c>
    </row>
    <row r="95" spans="1:7" x14ac:dyDescent="0.25">
      <c r="A95" s="46" t="s">
        <v>64</v>
      </c>
      <c r="B95" s="33">
        <f>IF(791.39128="","-",791.39128)</f>
        <v>791.39128000000005</v>
      </c>
      <c r="C95" s="47">
        <f>IF(OR(818.3428="",791.39128=""),"-",791.39128/818.3428*100)</f>
        <v>96.706573333326816</v>
      </c>
      <c r="D95" s="47">
        <f>IF(818.3428="","-",818.3428/3832218.99595*100)</f>
        <v>2.1354280662583436E-2</v>
      </c>
      <c r="E95" s="47">
        <f>IF(791.39128="","-",791.39128/5072717.74218*100)</f>
        <v>1.5600932679922769E-2</v>
      </c>
      <c r="F95" s="47">
        <f>IF(OR(4273352.38515="",442.76241="",818.3428=""),"-",(818.3428-442.76241)/4273352.38515*100)</f>
        <v>8.7888934997532777E-3</v>
      </c>
      <c r="G95" s="47">
        <f>IF(OR(3832218.99595="",791.39128="",818.3428=""),"-",(791.39128-818.3428)/3832218.99595*100)</f>
        <v>-7.032875738177569E-4</v>
      </c>
    </row>
    <row r="96" spans="1:7" x14ac:dyDescent="0.25">
      <c r="A96" s="46" t="s">
        <v>102</v>
      </c>
      <c r="B96" s="33">
        <f>IF(621.36981="","-",621.36981)</f>
        <v>621.36981000000003</v>
      </c>
      <c r="C96" s="47">
        <f>IF(OR(488.13331="",621.36981=""),"-",621.36981/488.13331*100)</f>
        <v>127.29510510151418</v>
      </c>
      <c r="D96" s="47">
        <f>IF(488.13331="","-",488.13331/3832218.99595*100)</f>
        <v>1.2737615217602997E-2</v>
      </c>
      <c r="E96" s="47">
        <f>IF(621.36981="","-",621.36981/5072717.74218*100)</f>
        <v>1.2249248658825759E-2</v>
      </c>
      <c r="F96" s="47">
        <f>IF(OR(4273352.38515="",281.91136="",488.13331=""),"-",(488.13331-281.91136)/4273352.38515*100)</f>
        <v>4.8257651467411419E-3</v>
      </c>
      <c r="G96" s="47">
        <f>IF(OR(3832218.99595="",621.36981="",488.13331=""),"-",(621.36981-488.13331)/3832218.99595*100)</f>
        <v>3.4767454610712023E-3</v>
      </c>
    </row>
    <row r="97" spans="1:7" x14ac:dyDescent="0.25">
      <c r="A97" s="46" t="s">
        <v>131</v>
      </c>
      <c r="B97" s="33">
        <f>IF(594.40929="","-",594.40929)</f>
        <v>594.40929000000006</v>
      </c>
      <c r="C97" s="47">
        <f>IF(OR(1030.81167="",594.40929=""),"-",594.40929/1030.81167*100)</f>
        <v>57.664198737680181</v>
      </c>
      <c r="D97" s="47">
        <f>IF(1030.81167="","-",1030.81167/3832218.99595*100)</f>
        <v>2.6898558539827491E-2</v>
      </c>
      <c r="E97" s="47">
        <f>IF(594.40929="","-",594.40929/5072717.74218*100)</f>
        <v>1.1717767875343144E-2</v>
      </c>
      <c r="F97" s="47">
        <f>IF(OR(4273352.38515="",246.69986="",1030.81167=""),"-",(1030.81167-246.69986)/4273352.38515*100)</f>
        <v>1.8348868507189042E-2</v>
      </c>
      <c r="G97" s="47">
        <f>IF(OR(3832218.99595="",594.40929="",1030.81167=""),"-",(594.40929-1030.81167)/3832218.99595*100)</f>
        <v>-1.1387720285850122E-2</v>
      </c>
    </row>
    <row r="98" spans="1:7" x14ac:dyDescent="0.25">
      <c r="A98" s="46" t="s">
        <v>101</v>
      </c>
      <c r="B98" s="33">
        <f>IF(591.65598="","-",591.65598)</f>
        <v>591.65598</v>
      </c>
      <c r="C98" s="47" t="s">
        <v>296</v>
      </c>
      <c r="D98" s="47">
        <f>IF(224.61982="","-",224.61982/3832218.99595*100)</f>
        <v>5.8613513538079308E-3</v>
      </c>
      <c r="E98" s="47">
        <f>IF(591.65598="","-",591.65598/5072717.74218*100)</f>
        <v>1.1663491052938733E-2</v>
      </c>
      <c r="F98" s="47">
        <f>IF(OR(4273352.38515="",924.08708="",224.61982=""),"-",(224.61982-924.08708)/4273352.38515*100)</f>
        <v>-1.6368115637518336E-2</v>
      </c>
      <c r="G98" s="47">
        <f>IF(OR(3832218.99595="",591.65598="",224.61982=""),"-",(591.65598-224.61982)/3832218.99595*100)</f>
        <v>9.5776405364070907E-3</v>
      </c>
    </row>
    <row r="99" spans="1:7" x14ac:dyDescent="0.25">
      <c r="A99" s="46" t="s">
        <v>218</v>
      </c>
      <c r="B99" s="33">
        <f>IF(580.39819="","-",580.39819)</f>
        <v>580.39819</v>
      </c>
      <c r="C99" s="47" t="str">
        <f>IF(OR(""="",580.39819=""),"-",580.39819/""*100)</f>
        <v>-</v>
      </c>
      <c r="D99" s="47" t="str">
        <f>IF(""="","-",""/3832218.99595*100)</f>
        <v>-</v>
      </c>
      <c r="E99" s="47">
        <f>IF(580.39819="","-",580.39819/5072717.74218*100)</f>
        <v>1.1441562876127499E-2</v>
      </c>
      <c r="F99" s="47" t="str">
        <f>IF(OR(4273352.38515="",""="",""=""),"-",(""-"")/4273352.38515*100)</f>
        <v>-</v>
      </c>
      <c r="G99" s="47" t="str">
        <f>IF(OR(3832218.99595="",580.39819="",""=""),"-",(580.39819-"")/3832218.99595*100)</f>
        <v>-</v>
      </c>
    </row>
    <row r="100" spans="1:7" x14ac:dyDescent="0.25">
      <c r="A100" s="46" t="s">
        <v>98</v>
      </c>
      <c r="B100" s="33">
        <f>IF(577.68736="","-",577.68736)</f>
        <v>577.68736000000001</v>
      </c>
      <c r="C100" s="47" t="s">
        <v>95</v>
      </c>
      <c r="D100" s="47">
        <f>IF(281.47634="","-",281.47634/3832218.99595*100)</f>
        <v>7.3449962097018031E-3</v>
      </c>
      <c r="E100" s="47">
        <f>IF(577.68736="","-",577.68736/5072717.74218*100)</f>
        <v>1.1388123474651261E-2</v>
      </c>
      <c r="F100" s="47">
        <f>IF(OR(4273352.38515="",608.21249="",281.47634=""),"-",(281.47634-608.21249)/4273352.38515*100)</f>
        <v>-7.6458976595381138E-3</v>
      </c>
      <c r="G100" s="47">
        <f>IF(OR(3832218.99595="",577.68736="",281.47634=""),"-",(577.68736-281.47634)/3832218.99595*100)</f>
        <v>7.7294909375754464E-3</v>
      </c>
    </row>
    <row r="101" spans="1:7" x14ac:dyDescent="0.25">
      <c r="A101" s="46" t="s">
        <v>92</v>
      </c>
      <c r="B101" s="33">
        <f>IF(441.2556="","-",441.2556)</f>
        <v>441.25560000000002</v>
      </c>
      <c r="C101" s="47">
        <f>IF(OR(474.9926="",441.2556=""),"-",441.2556/474.9926*100)</f>
        <v>92.897363032603039</v>
      </c>
      <c r="D101" s="47">
        <f>IF(474.9926="","-",474.9926/3832218.99595*100)</f>
        <v>1.2394714407031174E-2</v>
      </c>
      <c r="E101" s="47">
        <f>IF(441.2556="","-",441.2556/5072717.74218*100)</f>
        <v>8.6986034395513286E-3</v>
      </c>
      <c r="F101" s="47">
        <f>IF(OR(4273352.38515="",475.08717="",474.9926=""),"-",(474.9926-475.08717)/4273352.38515*100)</f>
        <v>-2.2130166547618649E-6</v>
      </c>
      <c r="G101" s="47">
        <f>IF(OR(3832218.99595="",441.2556="",474.9926=""),"-",(441.2556-474.9926)/3832218.99595*100)</f>
        <v>-8.8035156747707274E-4</v>
      </c>
    </row>
    <row r="102" spans="1:7" x14ac:dyDescent="0.25">
      <c r="A102" s="46" t="s">
        <v>124</v>
      </c>
      <c r="B102" s="33">
        <f>IF(435.81158="","-",435.81158)</f>
        <v>435.81157999999999</v>
      </c>
      <c r="C102" s="47" t="s">
        <v>220</v>
      </c>
      <c r="D102" s="47">
        <f>IF(193.26741="","-",193.26741/3832218.99595*100)</f>
        <v>5.043224570522995E-3</v>
      </c>
      <c r="E102" s="47">
        <f>IF(435.81158="","-",435.81158/5072717.74218*100)</f>
        <v>8.5912838472402362E-3</v>
      </c>
      <c r="F102" s="47">
        <f>IF(OR(4273352.38515="",162.73502="",193.26741=""),"-",(193.26741-162.73502)/4273352.38515*100)</f>
        <v>7.1448332007678075E-4</v>
      </c>
      <c r="G102" s="47">
        <f>IF(OR(3832218.99595="",435.81158="",193.26741=""),"-",(435.81158-193.26741)/3832218.99595*100)</f>
        <v>6.3290790598430754E-3</v>
      </c>
    </row>
    <row r="103" spans="1:7" x14ac:dyDescent="0.25">
      <c r="A103" s="46" t="s">
        <v>224</v>
      </c>
      <c r="B103" s="33">
        <f>IF(435.70562="","-",435.70562)</f>
        <v>435.70562000000001</v>
      </c>
      <c r="C103" s="47" t="s">
        <v>335</v>
      </c>
      <c r="D103" s="47">
        <f>IF(120.13952="","-",120.13952/3832218.99595*100)</f>
        <v>3.1349857648262517E-3</v>
      </c>
      <c r="E103" s="47">
        <f>IF(435.70562="","-",435.70562/5072717.74218*100)</f>
        <v>8.5891950261114975E-3</v>
      </c>
      <c r="F103" s="47">
        <f>IF(OR(4273352.38515="",148.25974="",120.13952=""),"-",(120.13952-148.25974)/4273352.38515*100)</f>
        <v>-6.5803653585223658E-4</v>
      </c>
      <c r="G103" s="47">
        <f>IF(OR(3832218.99595="",435.70562="",120.13952=""),"-",(435.70562-120.13952)/3832218.99595*100)</f>
        <v>8.2345528878568636E-3</v>
      </c>
    </row>
    <row r="104" spans="1:7" x14ac:dyDescent="0.25">
      <c r="A104" s="46" t="s">
        <v>94</v>
      </c>
      <c r="B104" s="33">
        <f>IF(362.04312="","-",362.04312)</f>
        <v>362.04311999999999</v>
      </c>
      <c r="C104" s="47">
        <f>IF(OR(498.96065="",362.04312=""),"-",362.04312/498.96065*100)</f>
        <v>72.559453335648811</v>
      </c>
      <c r="D104" s="47">
        <f>IF(498.96065="","-",498.96065/3832218.99595*100)</f>
        <v>1.3020149697272419E-2</v>
      </c>
      <c r="E104" s="47">
        <f>IF(362.04312="","-",362.04312/5072717.74218*100)</f>
        <v>7.137064161673856E-3</v>
      </c>
      <c r="F104" s="47">
        <f>IF(OR(4273352.38515="",316.07255="",498.96065=""),"-",(498.96065-316.07255)/4273352.38515*100)</f>
        <v>4.2797336497579844E-3</v>
      </c>
      <c r="G104" s="47">
        <f>IF(OR(3832218.99595="",362.04312="",498.96065=""),"-",(362.04312-498.96065)/3832218.99595*100)</f>
        <v>-3.5728002534484173E-3</v>
      </c>
    </row>
    <row r="105" spans="1:7" x14ac:dyDescent="0.25">
      <c r="A105" s="46" t="s">
        <v>343</v>
      </c>
      <c r="B105" s="33">
        <f>IF(311.5948="","-",311.5948)</f>
        <v>311.59480000000002</v>
      </c>
      <c r="C105" s="47" t="s">
        <v>367</v>
      </c>
      <c r="D105" s="47">
        <f>IF(0.05749="","-",0.05749/3832218.99595*100)</f>
        <v>1.5001752264355742E-6</v>
      </c>
      <c r="E105" s="47">
        <f>IF(311.5948="","-",311.5948/5072717.74218*100)</f>
        <v>6.1425613613205338E-3</v>
      </c>
      <c r="F105" s="47" t="str">
        <f>IF(OR(4273352.38515="",""="",0.05749=""),"-",(0.05749-"")/4273352.38515*100)</f>
        <v>-</v>
      </c>
      <c r="G105" s="47">
        <f>IF(OR(3832218.99595="",311.5948="",0.05749=""),"-",(311.5948-0.05749)/3832218.99595*100)</f>
        <v>8.1294234575122592E-3</v>
      </c>
    </row>
    <row r="106" spans="1:7" x14ac:dyDescent="0.25">
      <c r="A106" s="46" t="s">
        <v>107</v>
      </c>
      <c r="B106" s="33">
        <f>IF(271.15621="","-",271.15621)</f>
        <v>271.15620999999999</v>
      </c>
      <c r="C106" s="47">
        <f>IF(OR(226.17537="",271.15621=""),"-",271.15621/226.17537*100)</f>
        <v>119.8875943034823</v>
      </c>
      <c r="D106" s="47">
        <f>IF(226.17537="","-",226.17537/3832218.99595*100)</f>
        <v>5.9019427188015264E-3</v>
      </c>
      <c r="E106" s="47">
        <f>IF(271.15621="","-",271.15621/5072717.74218*100)</f>
        <v>5.3453833582207278E-3</v>
      </c>
      <c r="F106" s="47">
        <f>IF(OR(4273352.38515="",220.79027="",226.17537=""),"-",(226.17537-220.79027)/4273352.38515*100)</f>
        <v>1.2601581883846843E-4</v>
      </c>
      <c r="G106" s="47">
        <f>IF(OR(3832218.99595="",271.15621="",226.17537=""),"-",(271.15621-226.17537)/3832218.99595*100)</f>
        <v>1.1737544239391606E-3</v>
      </c>
    </row>
    <row r="107" spans="1:7" x14ac:dyDescent="0.25">
      <c r="A107" s="46" t="s">
        <v>90</v>
      </c>
      <c r="B107" s="33">
        <f>IF(262.58596="","-",262.58596)</f>
        <v>262.58596</v>
      </c>
      <c r="C107" s="47">
        <f>IF(OR(382.63365="",262.58596=""),"-",262.58596/382.63365*100)</f>
        <v>68.625945470295164</v>
      </c>
      <c r="D107" s="47">
        <f>IF(382.63365="","-",382.63365/3832218.99595*100)</f>
        <v>9.9846498961666426E-3</v>
      </c>
      <c r="E107" s="47">
        <f>IF(262.58596="","-",262.58596/5072717.74218*100)</f>
        <v>5.1764354601593447E-3</v>
      </c>
      <c r="F107" s="47">
        <f>IF(OR(4273352.38515="",456.59416="",382.63365=""),"-",(382.63365-456.59416)/4273352.38515*100)</f>
        <v>-1.7307374476538491E-3</v>
      </c>
      <c r="G107" s="47">
        <f>IF(OR(3832218.99595="",262.58596="",382.63365=""),"-",(262.58596-382.63365)/3832218.99595*100)</f>
        <v>-3.1325895030234405E-3</v>
      </c>
    </row>
    <row r="108" spans="1:7" x14ac:dyDescent="0.25">
      <c r="A108" s="46" t="s">
        <v>135</v>
      </c>
      <c r="B108" s="33">
        <f>IF(233.73916="","-",233.73916)</f>
        <v>233.73916</v>
      </c>
      <c r="C108" s="47" t="s">
        <v>103</v>
      </c>
      <c r="D108" s="47">
        <f>IF(137.85903="","-",137.85903/3832218.99595*100)</f>
        <v>3.5973682648536899E-3</v>
      </c>
      <c r="E108" s="47">
        <f>IF(233.73916="","-",233.73916/5072717.74218*100)</f>
        <v>4.6077698756318069E-3</v>
      </c>
      <c r="F108" s="47">
        <f>IF(OR(4273352.38515="",73.30782="",137.85903=""),"-",(137.85903-73.30782)/4273352.38515*100)</f>
        <v>1.5105520018502791E-3</v>
      </c>
      <c r="G108" s="47">
        <f>IF(OR(3832218.99595="",233.73916="",137.85903=""),"-",(233.73916-137.85903)/3832218.99595*100)</f>
        <v>2.501948090683985E-3</v>
      </c>
    </row>
    <row r="109" spans="1:7" x14ac:dyDescent="0.25">
      <c r="A109" s="46" t="s">
        <v>60</v>
      </c>
      <c r="B109" s="33">
        <f>IF(208.67651="","-",208.67651)</f>
        <v>208.67651000000001</v>
      </c>
      <c r="C109" s="47" t="s">
        <v>105</v>
      </c>
      <c r="D109" s="47">
        <f>IF(109.74236="","-",109.74236/3832218.99595*100)</f>
        <v>2.8636766352856898E-3</v>
      </c>
      <c r="E109" s="47">
        <f>IF(208.67651="","-",208.67651/5072717.74218*100)</f>
        <v>4.1137023703258779E-3</v>
      </c>
      <c r="F109" s="47">
        <f>IF(OR(4273352.38515="",306.11471="",109.74236=""),"-",(109.74236-306.11471)/4273352.38515*100)</f>
        <v>-4.595276314735908E-3</v>
      </c>
      <c r="G109" s="47">
        <f>IF(OR(3832218.99595="",208.67651="",109.74236=""),"-",(208.67651-109.74236)/3832218.99595*100)</f>
        <v>2.581641344207011E-3</v>
      </c>
    </row>
    <row r="110" spans="1:7" x14ac:dyDescent="0.25">
      <c r="A110" s="46" t="s">
        <v>340</v>
      </c>
      <c r="B110" s="33">
        <f>IF(173.22134="","-",173.22134)</f>
        <v>173.22134</v>
      </c>
      <c r="C110" s="47" t="s">
        <v>368</v>
      </c>
      <c r="D110" s="47">
        <f>IF(19.54358="","-",19.54358/3832218.99595*100)</f>
        <v>5.0998077147089513E-4</v>
      </c>
      <c r="E110" s="47">
        <f>IF(173.22134="","-",173.22134/5072717.74218*100)</f>
        <v>3.4147640141625178E-3</v>
      </c>
      <c r="F110" s="47">
        <f>IF(OR(4273352.38515="",39.74595="",19.54358=""),"-",(19.54358-39.74595)/4273352.38515*100)</f>
        <v>-4.7275226050170143E-4</v>
      </c>
      <c r="G110" s="47">
        <f>IF(OR(3832218.99595="",173.22134="",19.54358=""),"-",(173.22134-19.54358)/3832218.99595*100)</f>
        <v>4.0101507811117036E-3</v>
      </c>
    </row>
    <row r="111" spans="1:7" x14ac:dyDescent="0.25">
      <c r="A111" s="46" t="s">
        <v>134</v>
      </c>
      <c r="B111" s="33">
        <f>IF(171.08099="","-",171.08099)</f>
        <v>171.08099000000001</v>
      </c>
      <c r="C111" s="47">
        <f>IF(OR(205.27651="",171.08099=""),"-",171.08099/205.27651*100)</f>
        <v>83.341727701820346</v>
      </c>
      <c r="D111" s="47">
        <f>IF(205.27651="","-",205.27651/3832218.99595*100)</f>
        <v>5.3565965362872576E-3</v>
      </c>
      <c r="E111" s="47">
        <f>IF(171.08099="","-",171.08099/5072717.74218*100)</f>
        <v>3.3725706553205145E-3</v>
      </c>
      <c r="F111" s="47">
        <f>IF(OR(4273352.38515="",333.76677="",205.27651=""),"-",(205.27651-333.76677)/4273352.38515*100)</f>
        <v>-3.0067789505613127E-3</v>
      </c>
      <c r="G111" s="47">
        <f>IF(OR(3832218.99595="",171.08099="",205.27651=""),"-",(171.08099-205.27651)/3832218.99595*100)</f>
        <v>-8.9231643692959102E-4</v>
      </c>
    </row>
    <row r="112" spans="1:7" x14ac:dyDescent="0.25">
      <c r="A112" s="46" t="s">
        <v>140</v>
      </c>
      <c r="B112" s="33">
        <f>IF(134.54638="","-",134.54638)</f>
        <v>134.54638</v>
      </c>
      <c r="C112" s="47">
        <f>IF(OR(107.13201="",134.54638=""),"-",134.54638/107.13201*100)</f>
        <v>125.58933599770974</v>
      </c>
      <c r="D112" s="47">
        <f>IF(107.13201="","-",107.13201/3832218.99595*100)</f>
        <v>2.7955607472647101E-3</v>
      </c>
      <c r="E112" s="47">
        <f>IF(134.54638="","-",134.54638/5072717.74218*100)</f>
        <v>2.6523529760238288E-3</v>
      </c>
      <c r="F112" s="47">
        <f>IF(OR(4273352.38515="",103.9303="",107.13201=""),"-",(107.13201-103.9303)/4273352.38515*100)</f>
        <v>7.4922676892409079E-5</v>
      </c>
      <c r="G112" s="47">
        <f>IF(OR(3832218.99595="",134.54638="",107.13201=""),"-",(134.54638-107.13201)/3832218.99595*100)</f>
        <v>7.1536543263765208E-4</v>
      </c>
    </row>
    <row r="113" spans="1:7" x14ac:dyDescent="0.25">
      <c r="A113" s="46" t="s">
        <v>215</v>
      </c>
      <c r="B113" s="33">
        <f>IF(114.10548="","-",114.10548)</f>
        <v>114.10548</v>
      </c>
      <c r="C113" s="47" t="s">
        <v>336</v>
      </c>
      <c r="D113" s="47">
        <f>IF(23.27897="","-",23.27897/3832218.99595*100)</f>
        <v>6.0745406315771333E-4</v>
      </c>
      <c r="E113" s="47">
        <f>IF(114.10548="","-",114.10548/5072717.74218*100)</f>
        <v>2.2493954089186749E-3</v>
      </c>
      <c r="F113" s="47">
        <f>IF(OR(4273352.38515="",94.94833="",23.27897=""),"-",(23.27897-94.94833)/4273352.38515*100)</f>
        <v>-1.6771226320827812E-3</v>
      </c>
      <c r="G113" s="47">
        <f>IF(OR(3832218.99595="",114.10548="",23.27897=""),"-",(114.10548-23.27897)/3832218.99595*100)</f>
        <v>2.3700761907393102E-3</v>
      </c>
    </row>
    <row r="114" spans="1:7" x14ac:dyDescent="0.25">
      <c r="A114" s="46" t="s">
        <v>111</v>
      </c>
      <c r="B114" s="33">
        <f>IF(113.63933="","-",113.63933)</f>
        <v>113.63933</v>
      </c>
      <c r="C114" s="47">
        <f>IF(OR(477.70924="",113.63933=""),"-",113.63933/477.70924*100)</f>
        <v>23.788388518505524</v>
      </c>
      <c r="D114" s="47">
        <f>IF(477.70924="","-",477.70924/3832218.99595*100)</f>
        <v>1.246560388393401E-2</v>
      </c>
      <c r="E114" s="47">
        <f>IF(113.63933="","-",113.63933/5072717.74218*100)</f>
        <v>2.240206054736322E-3</v>
      </c>
      <c r="F114" s="47">
        <f>IF(OR(4273352.38515="",407.93866="",477.70924=""),"-",(477.70924-407.93866)/4273352.38515*100)</f>
        <v>1.6326896008495436E-3</v>
      </c>
      <c r="G114" s="47">
        <f>IF(OR(3832218.99595="",113.63933="",477.70924=""),"-",(113.63933-477.70924)/3832218.99595*100)</f>
        <v>-9.500237600845873E-3</v>
      </c>
    </row>
    <row r="115" spans="1:7" x14ac:dyDescent="0.25">
      <c r="A115" s="46" t="s">
        <v>225</v>
      </c>
      <c r="B115" s="33">
        <f>IF(111.76293="","-",111.76293)</f>
        <v>111.76293</v>
      </c>
      <c r="C115" s="47" t="s">
        <v>369</v>
      </c>
      <c r="D115" s="47">
        <f>IF(12.77496="","-",12.77496/3832218.99595*100)</f>
        <v>3.333567317917099E-4</v>
      </c>
      <c r="E115" s="47">
        <f>IF(111.76293="","-",111.76293/5072717.74218*100)</f>
        <v>2.2032160210824167E-3</v>
      </c>
      <c r="F115" s="47">
        <f>IF(OR(4273352.38515="",10.07024="",12.77496=""),"-",(12.77496-10.07024)/4273352.38515*100)</f>
        <v>6.3292697541138081E-5</v>
      </c>
      <c r="G115" s="47">
        <f>IF(OR(3832218.99595="",111.76293="",12.77496=""),"-",(111.76293-12.77496)/3832218.99595*100)</f>
        <v>2.583045752463869E-3</v>
      </c>
    </row>
    <row r="116" spans="1:7" x14ac:dyDescent="0.25">
      <c r="A116" s="46" t="s">
        <v>333</v>
      </c>
      <c r="B116" s="33">
        <f>IF(104.00191="","-",104.00191)</f>
        <v>104.00191</v>
      </c>
      <c r="C116" s="47">
        <f>IF(OR(338.16136="",104.00191=""),"-",104.00191/338.16136*100)</f>
        <v>30.755113476004471</v>
      </c>
      <c r="D116" s="47">
        <f>IF(338.16136="","-",338.16136/3832218.99595*100)</f>
        <v>8.8241658516222243E-3</v>
      </c>
      <c r="E116" s="47">
        <f>IF(104.00191="","-",104.00191/5072717.74218*100)</f>
        <v>2.0502207157164867E-3</v>
      </c>
      <c r="F116" s="47">
        <f>IF(OR(4273352.38515="",353.61115="",338.16136=""),"-",(338.16136-353.61115)/4273352.38515*100)</f>
        <v>-3.6153793573608366E-4</v>
      </c>
      <c r="G116" s="47">
        <f>IF(OR(3832218.99595="",104.00191="",338.16136=""),"-",(104.00191-338.16136)/3832218.99595*100)</f>
        <v>-6.1102836306449739E-3</v>
      </c>
    </row>
    <row r="117" spans="1:7" x14ac:dyDescent="0.25">
      <c r="A117" s="46" t="s">
        <v>132</v>
      </c>
      <c r="B117" s="33">
        <f>IF(97.65355="","-",97.65355)</f>
        <v>97.653549999999996</v>
      </c>
      <c r="C117" s="47">
        <f>IF(OR(83.26637="",97.65355=""),"-",97.65355/83.26637*100)</f>
        <v>117.27850031171047</v>
      </c>
      <c r="D117" s="47">
        <f>IF(83.26637="","-",83.26637/3832218.99595*100)</f>
        <v>2.1727977990818976E-3</v>
      </c>
      <c r="E117" s="47">
        <f>IF(97.65355="","-",97.65355/5072717.74218*100)</f>
        <v>1.9250735988719408E-3</v>
      </c>
      <c r="F117" s="47">
        <f>IF(OR(4273352.38515="",77.22873="",83.26637=""),"-",(83.26637-77.22873)/4273352.38515*100)</f>
        <v>1.4128579756214201E-4</v>
      </c>
      <c r="G117" s="47">
        <f>IF(OR(3832218.99595="",97.65355="",83.26637=""),"-",(97.65355-83.26637)/3832218.99595*100)</f>
        <v>3.7542687448720416E-4</v>
      </c>
    </row>
    <row r="118" spans="1:7" x14ac:dyDescent="0.25">
      <c r="A118" s="46" t="s">
        <v>317</v>
      </c>
      <c r="B118" s="33">
        <f>IF(94.71832="","-",94.71832)</f>
        <v>94.718320000000006</v>
      </c>
      <c r="C118" s="47" t="s">
        <v>322</v>
      </c>
      <c r="D118" s="47">
        <f>IF(16.35399="","-",16.35399/3832218.99595*100)</f>
        <v>4.2674988087276251E-4</v>
      </c>
      <c r="E118" s="47">
        <f>IF(94.71832="","-",94.71832/5072717.74218*100)</f>
        <v>1.8672105331706238E-3</v>
      </c>
      <c r="F118" s="47">
        <f>IF(OR(4273352.38515="",67.26733="",16.35399=""),"-",(16.35399-67.26733)/4273352.38515*100)</f>
        <v>-1.1914145011051524E-3</v>
      </c>
      <c r="G118" s="47">
        <f>IF(OR(3832218.99595="",94.71832="",16.35399=""),"-",(94.71832-16.35399)/3832218.99595*100)</f>
        <v>2.0448813098316592E-3</v>
      </c>
    </row>
    <row r="119" spans="1:7" x14ac:dyDescent="0.25">
      <c r="A119" s="81" t="s">
        <v>207</v>
      </c>
      <c r="B119" s="56">
        <f>IF(88.10953="","-",88.10953)</f>
        <v>88.109530000000007</v>
      </c>
      <c r="C119" s="57">
        <f>IF(OR(141.34557="",88.10953=""),"-",88.10953/141.34557*100)</f>
        <v>62.33625150048919</v>
      </c>
      <c r="D119" s="57">
        <f>IF(141.34557="","-",141.34557/3832218.99595*100)</f>
        <v>3.6883479297341332E-3</v>
      </c>
      <c r="E119" s="57">
        <f>IF(88.10953="","-",88.10953/5072717.74218*100)</f>
        <v>1.7369294819493534E-3</v>
      </c>
      <c r="F119" s="57">
        <f>IF(OR(4273352.38515="",68.84201="",141.34557=""),"-",(141.34557-68.84201)/4273352.38515*100)</f>
        <v>1.6966436058947906E-3</v>
      </c>
      <c r="G119" s="57">
        <f>IF(OR(3832218.99595="",88.10953="",141.34557=""),"-",(88.10953-141.34557)/3832218.99595*100)</f>
        <v>-1.3891700880419775E-3</v>
      </c>
    </row>
    <row r="120" spans="1:7" x14ac:dyDescent="0.25">
      <c r="A120" s="48" t="s">
        <v>400</v>
      </c>
      <c r="B120" s="49">
        <f>IF(85.11735="","-",85.11735)</f>
        <v>85.117350000000002</v>
      </c>
      <c r="C120" s="50">
        <f>IF(OR(58.94697="",85.11735=""),"-",85.11735/58.94697*100)</f>
        <v>144.39648042978291</v>
      </c>
      <c r="D120" s="50">
        <f>IF(58.94697="","-",58.94697/3832218.99595*100)</f>
        <v>1.5381941914670552E-3</v>
      </c>
      <c r="E120" s="50">
        <f>IF(85.11735="","-",85.11735/5072717.74218*100)</f>
        <v>1.6779437438878835E-3</v>
      </c>
      <c r="F120" s="50">
        <f>IF(OR(4273352.38515="",55.34846="",58.94697=""),"-",(58.94697-55.34846)/4273352.38515*100)</f>
        <v>8.4208126914712291E-5</v>
      </c>
      <c r="G120" s="50">
        <f>IF(OR(3832218.99595="",85.11735="",58.94697=""),"-",(85.11735-58.94697)/3832218.99595*100)</f>
        <v>6.8290408318672858E-4</v>
      </c>
    </row>
    <row r="121" spans="1:7" x14ac:dyDescent="0.25">
      <c r="A121" s="127" t="s">
        <v>302</v>
      </c>
      <c r="B121" s="128"/>
      <c r="C121" s="128"/>
      <c r="D121" s="128"/>
      <c r="E121" s="128"/>
      <c r="F121" s="7"/>
      <c r="G121" s="7"/>
    </row>
    <row r="122" spans="1:7" x14ac:dyDescent="0.25">
      <c r="A122" s="129" t="s">
        <v>410</v>
      </c>
      <c r="B122" s="129"/>
      <c r="C122" s="129"/>
      <c r="D122" s="129"/>
      <c r="E122" s="129"/>
      <c r="F122" s="7"/>
      <c r="G122" s="7"/>
    </row>
  </sheetData>
  <mergeCells count="10">
    <mergeCell ref="A122:E122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2"/>
  <sheetViews>
    <sheetView workbookViewId="0">
      <selection activeCell="F8" sqref="F8"/>
    </sheetView>
  </sheetViews>
  <sheetFormatPr defaultRowHeight="15.75" x14ac:dyDescent="0.25"/>
  <cols>
    <col min="1" max="1" width="44.25" customWidth="1"/>
    <col min="2" max="2" width="14.625" customWidth="1"/>
    <col min="3" max="3" width="14.125" customWidth="1"/>
    <col min="4" max="4" width="17" customWidth="1"/>
  </cols>
  <sheetData>
    <row r="1" spans="1:5" x14ac:dyDescent="0.25">
      <c r="A1" s="104" t="s">
        <v>411</v>
      </c>
      <c r="B1" s="104"/>
      <c r="C1" s="104"/>
      <c r="D1" s="104"/>
    </row>
    <row r="2" spans="1:5" x14ac:dyDescent="0.25">
      <c r="A2" s="4"/>
    </row>
    <row r="3" spans="1:5" ht="21.75" customHeight="1" x14ac:dyDescent="0.25">
      <c r="A3" s="105"/>
      <c r="B3" s="109" t="s">
        <v>353</v>
      </c>
      <c r="C3" s="110"/>
      <c r="D3" s="107" t="s">
        <v>354</v>
      </c>
      <c r="E3" s="1"/>
    </row>
    <row r="4" spans="1:5" ht="31.5" customHeight="1" x14ac:dyDescent="0.25">
      <c r="A4" s="106"/>
      <c r="B4" s="18">
        <v>2020</v>
      </c>
      <c r="C4" s="17">
        <v>2021</v>
      </c>
      <c r="D4" s="108"/>
      <c r="E4" s="1"/>
    </row>
    <row r="5" spans="1:5" ht="16.5" customHeight="1" x14ac:dyDescent="0.25">
      <c r="A5" s="65" t="s">
        <v>216</v>
      </c>
      <c r="B5" s="43">
        <f>IF(-2094743.40807="","-",-2094743.40807)</f>
        <v>-2094743.4080699999</v>
      </c>
      <c r="C5" s="43">
        <v>-2969368.4331499999</v>
      </c>
      <c r="D5" s="43">
        <f>IF(-2094743.40807="","-",-2969368.43315/-2094743.40807*100)</f>
        <v>141.75332509511696</v>
      </c>
    </row>
    <row r="6" spans="1:5" x14ac:dyDescent="0.25">
      <c r="A6" s="66" t="s">
        <v>133</v>
      </c>
      <c r="B6" s="76"/>
      <c r="C6" s="76"/>
      <c r="D6" s="77"/>
    </row>
    <row r="7" spans="1:5" x14ac:dyDescent="0.25">
      <c r="A7" s="44" t="s">
        <v>325</v>
      </c>
      <c r="B7" s="45">
        <f>IF(-610721.3574="","-",-610721.3574)</f>
        <v>-610721.35739999998</v>
      </c>
      <c r="C7" s="45">
        <f>IF(-1034546.86255="","-",-1034546.86255)</f>
        <v>-1034546.86255</v>
      </c>
      <c r="D7" s="45" t="s">
        <v>103</v>
      </c>
    </row>
    <row r="8" spans="1:5" x14ac:dyDescent="0.25">
      <c r="A8" s="46" t="s">
        <v>4</v>
      </c>
      <c r="B8" s="47">
        <f>IF(-155422.79358="","-",-155422.79358)</f>
        <v>-155422.79358</v>
      </c>
      <c r="C8" s="47">
        <f>IF(-216350.79641="","-",-216350.79641)</f>
        <v>-216350.79641000001</v>
      </c>
      <c r="D8" s="47">
        <f>IF(OR(-155422.79358="",-216350.79641="",-155422.79358=0),"-",-216350.79641/-155422.79358*100)</f>
        <v>139.20145908240855</v>
      </c>
    </row>
    <row r="9" spans="1:5" x14ac:dyDescent="0.25">
      <c r="A9" s="46" t="s">
        <v>3</v>
      </c>
      <c r="B9" s="47">
        <f>IF(-95736.1782="","-",-95736.1782)</f>
        <v>-95736.178199999995</v>
      </c>
      <c r="C9" s="47">
        <f>IF(-171427.67218="","-",-171427.67218)</f>
        <v>-171427.67217999999</v>
      </c>
      <c r="D9" s="47" t="s">
        <v>209</v>
      </c>
    </row>
    <row r="10" spans="1:5" x14ac:dyDescent="0.25">
      <c r="A10" s="46" t="s">
        <v>5</v>
      </c>
      <c r="B10" s="47">
        <f>IF(-79835.41844="","-",-79835.41844)</f>
        <v>-79835.418439999994</v>
      </c>
      <c r="C10" s="47">
        <f>IF(-115159.04709="","-",-115159.04709)</f>
        <v>-115159.04708999999</v>
      </c>
      <c r="D10" s="47">
        <f>IF(OR(-79835.41844="",-115159.04709="",-79835.41844=0),"-",-115159.04709/-79835.41844*100)</f>
        <v>144.24556085535812</v>
      </c>
    </row>
    <row r="11" spans="1:5" x14ac:dyDescent="0.25">
      <c r="A11" s="46" t="s">
        <v>356</v>
      </c>
      <c r="B11" s="47">
        <f>IF(-66592.50047="","-",-66592.50047)</f>
        <v>-66592.500469999999</v>
      </c>
      <c r="C11" s="47">
        <f>IF(-104673.6173="","-",-104673.6173)</f>
        <v>-104673.6173</v>
      </c>
      <c r="D11" s="47" t="s">
        <v>104</v>
      </c>
    </row>
    <row r="12" spans="1:5" x14ac:dyDescent="0.25">
      <c r="A12" s="46" t="s">
        <v>42</v>
      </c>
      <c r="B12" s="47">
        <f>IF(-57234.98481="","-",-57234.98481)</f>
        <v>-57234.984810000002</v>
      </c>
      <c r="C12" s="47">
        <f>IF(-62444.59992="","-",-62444.59992)</f>
        <v>-62444.599920000001</v>
      </c>
      <c r="D12" s="47">
        <f>IF(OR(-57234.98481="",-62444.59992="",-57234.98481=0),"-",-62444.59992/-57234.98481*100)</f>
        <v>109.10215164255584</v>
      </c>
    </row>
    <row r="13" spans="1:5" x14ac:dyDescent="0.25">
      <c r="A13" s="46" t="s">
        <v>8</v>
      </c>
      <c r="B13" s="47">
        <f>IF(-26587.51708="","-",-26587.51708)</f>
        <v>-26587.517080000001</v>
      </c>
      <c r="C13" s="47">
        <f>IF(-60009.60318="","-",-60009.60318)</f>
        <v>-60009.603179999998</v>
      </c>
      <c r="D13" s="47" t="s">
        <v>220</v>
      </c>
    </row>
    <row r="14" spans="1:5" x14ac:dyDescent="0.25">
      <c r="A14" s="46" t="s">
        <v>40</v>
      </c>
      <c r="B14" s="47">
        <f>IF(-31635.48045="","-",-31635.48045)</f>
        <v>-31635.480449999999</v>
      </c>
      <c r="C14" s="47">
        <f>IF(-48426.90292="","-",-48426.90292)</f>
        <v>-48426.90292</v>
      </c>
      <c r="D14" s="47" t="s">
        <v>221</v>
      </c>
    </row>
    <row r="15" spans="1:5" x14ac:dyDescent="0.25">
      <c r="A15" s="46" t="s">
        <v>2</v>
      </c>
      <c r="B15" s="47">
        <f>IF(29807.69014="","-",29807.69014)</f>
        <v>29807.690139999999</v>
      </c>
      <c r="C15" s="47">
        <f>IF(-44898.02662="","-",-44898.02662)</f>
        <v>-44898.026619999997</v>
      </c>
      <c r="D15" s="47" t="s">
        <v>22</v>
      </c>
    </row>
    <row r="16" spans="1:5" x14ac:dyDescent="0.25">
      <c r="A16" s="46" t="s">
        <v>10</v>
      </c>
      <c r="B16" s="47">
        <f>IF(-14624.37529="","-",-14624.37529)</f>
        <v>-14624.37529</v>
      </c>
      <c r="C16" s="47">
        <f>IF(-28587.79927="","-",-28587.79927)</f>
        <v>-28587.79927</v>
      </c>
      <c r="D16" s="47" t="s">
        <v>20</v>
      </c>
    </row>
    <row r="17" spans="1:4" x14ac:dyDescent="0.25">
      <c r="A17" s="46" t="s">
        <v>7</v>
      </c>
      <c r="B17" s="47">
        <f>IF(-7679.40248="","-",-7679.40248)</f>
        <v>-7679.4024799999997</v>
      </c>
      <c r="C17" s="47">
        <f>IF(-25038.5868699999="","-",-25038.5868699999)</f>
        <v>-25038.586869999901</v>
      </c>
      <c r="D17" s="47" t="s">
        <v>380</v>
      </c>
    </row>
    <row r="18" spans="1:4" x14ac:dyDescent="0.25">
      <c r="A18" s="46" t="s">
        <v>6</v>
      </c>
      <c r="B18" s="47">
        <f>IF(-16314.25792="","-",-16314.25792)</f>
        <v>-16314.25792</v>
      </c>
      <c r="C18" s="47">
        <f>IF(-23053.35895="","-",-23053.35895)</f>
        <v>-23053.358950000002</v>
      </c>
      <c r="D18" s="47">
        <f>IF(OR(-16314.25792="",-23053.35895="",-16314.25792=0),"-",-23053.35895/-16314.25792*100)</f>
        <v>141.30804516544018</v>
      </c>
    </row>
    <row r="19" spans="1:4" x14ac:dyDescent="0.25">
      <c r="A19" s="46" t="s">
        <v>52</v>
      </c>
      <c r="B19" s="47">
        <f>IF(-17652.03685="","-",-17652.03685)</f>
        <v>-17652.03685</v>
      </c>
      <c r="C19" s="47">
        <f>IF(-21926.95978="","-",-21926.95978)</f>
        <v>-21926.959780000001</v>
      </c>
      <c r="D19" s="47">
        <f>IF(OR(-17652.03685="",-21926.95978="",-17652.03685=0),"-",-21926.95978/-17652.03685*100)</f>
        <v>124.2177317344542</v>
      </c>
    </row>
    <row r="20" spans="1:4" x14ac:dyDescent="0.25">
      <c r="A20" s="46" t="s">
        <v>41</v>
      </c>
      <c r="B20" s="47">
        <f>IF(-20890.51687="","-",-20890.51687)</f>
        <v>-20890.516869999999</v>
      </c>
      <c r="C20" s="47">
        <f>IF(-21304.28511="","-",-21304.28511)</f>
        <v>-21304.285110000001</v>
      </c>
      <c r="D20" s="47">
        <f>IF(OR(-20890.51687="",-21304.28511="",-20890.51687=0),"-",-21304.28511/-20890.51687*100)</f>
        <v>101.98065104168963</v>
      </c>
    </row>
    <row r="21" spans="1:4" x14ac:dyDescent="0.25">
      <c r="A21" s="46" t="s">
        <v>50</v>
      </c>
      <c r="B21" s="47">
        <f>IF(-15113.93838="","-",-15113.93838)</f>
        <v>-15113.93838</v>
      </c>
      <c r="C21" s="47">
        <f>IF(-18659.99814="","-",-18659.99814)</f>
        <v>-18659.99814</v>
      </c>
      <c r="D21" s="47">
        <f>IF(OR(-15113.93838="",-18659.99814="",-15113.93838=0),"-",-18659.99814/-15113.93838*100)</f>
        <v>123.46218219794012</v>
      </c>
    </row>
    <row r="22" spans="1:4" x14ac:dyDescent="0.25">
      <c r="A22" s="46" t="s">
        <v>44</v>
      </c>
      <c r="B22" s="47">
        <f>IF(-14366.62458="","-",-14366.62458)</f>
        <v>-14366.62458</v>
      </c>
      <c r="C22" s="47">
        <f>IF(-18175.47096="","-",-18175.47096)</f>
        <v>-18175.470959999999</v>
      </c>
      <c r="D22" s="47">
        <f>IF(OR(-14366.62458="",-18175.47096="",-14366.62458=0),"-",-18175.47096/-14366.62458*100)</f>
        <v>126.51176940547575</v>
      </c>
    </row>
    <row r="23" spans="1:4" x14ac:dyDescent="0.25">
      <c r="A23" s="46" t="s">
        <v>48</v>
      </c>
      <c r="B23" s="47">
        <f>IF(-8719.98185="","-",-8719.98185)</f>
        <v>-8719.9818500000001</v>
      </c>
      <c r="C23" s="47">
        <f>IF(-10657.22013="","-",-10657.22013)</f>
        <v>-10657.22013</v>
      </c>
      <c r="D23" s="47">
        <f>IF(OR(-8719.98185="",-10657.22013="",-8719.98185=0),"-",-10657.22013/-8719.98185*100)</f>
        <v>122.21608156214224</v>
      </c>
    </row>
    <row r="24" spans="1:4" x14ac:dyDescent="0.25">
      <c r="A24" s="46" t="s">
        <v>49</v>
      </c>
      <c r="B24" s="47">
        <f>IF(-7913.42704="","-",-7913.42704)</f>
        <v>-7913.4270399999996</v>
      </c>
      <c r="C24" s="47">
        <f>IF(-9665.33947="","-",-9665.33947)</f>
        <v>-9665.3394700000008</v>
      </c>
      <c r="D24" s="47">
        <f>IF(OR(-7913.42704="",-9665.33947="",-7913.42704=0),"-",-9665.33947/-7913.42704*100)</f>
        <v>122.13847958848436</v>
      </c>
    </row>
    <row r="25" spans="1:4" x14ac:dyDescent="0.25">
      <c r="A25" s="46" t="s">
        <v>9</v>
      </c>
      <c r="B25" s="47">
        <f>IF(5646.78144="","-",5646.78144)</f>
        <v>5646.7814399999997</v>
      </c>
      <c r="C25" s="47">
        <f>IF(-9319.97181="","-",-9319.97181)</f>
        <v>-9319.9718099999991</v>
      </c>
      <c r="D25" s="47" t="s">
        <v>22</v>
      </c>
    </row>
    <row r="26" spans="1:4" x14ac:dyDescent="0.25">
      <c r="A26" s="46" t="s">
        <v>45</v>
      </c>
      <c r="B26" s="47">
        <f>IF(-2880.12183="","-",-2880.12183)</f>
        <v>-2880.12183</v>
      </c>
      <c r="C26" s="47">
        <f>IF(-6910.01004="","-",-6910.01004)</f>
        <v>-6910.0100400000001</v>
      </c>
      <c r="D26" s="47" t="s">
        <v>307</v>
      </c>
    </row>
    <row r="27" spans="1:4" x14ac:dyDescent="0.25">
      <c r="A27" s="46" t="s">
        <v>53</v>
      </c>
      <c r="B27" s="47">
        <f>IF(-4730.85101="","-",-4730.85101)</f>
        <v>-4730.8510100000003</v>
      </c>
      <c r="C27" s="47">
        <f>IF(-5088.92325="","-",-5088.92325)</f>
        <v>-5088.9232499999998</v>
      </c>
      <c r="D27" s="47">
        <f>IF(OR(-4730.85101="",-5088.92325="",-4730.85101=0),"-",-5088.92325/-4730.85101*100)</f>
        <v>107.56887585855297</v>
      </c>
    </row>
    <row r="28" spans="1:4" x14ac:dyDescent="0.25">
      <c r="A28" s="46" t="s">
        <v>43</v>
      </c>
      <c r="B28" s="47">
        <f>IF(-5142.17663="","-",-5142.17663)</f>
        <v>-5142.1766299999999</v>
      </c>
      <c r="C28" s="47">
        <f>IF(-4926.30582="","-",-4926.30582)</f>
        <v>-4926.3058199999996</v>
      </c>
      <c r="D28" s="47">
        <f>IF(OR(-5142.17663="",-4926.30582="",-5142.17663=0),"-",-4926.30582/-5142.17663*100)</f>
        <v>95.801956534503546</v>
      </c>
    </row>
    <row r="29" spans="1:4" x14ac:dyDescent="0.25">
      <c r="A29" s="46" t="s">
        <v>357</v>
      </c>
      <c r="B29" s="47">
        <f>IF(-2804.86073="","-",-2804.86073)</f>
        <v>-2804.8607299999999</v>
      </c>
      <c r="C29" s="47">
        <f>IF(-4903.28593="","-",-4903.28593)</f>
        <v>-4903.28593</v>
      </c>
      <c r="D29" s="47" t="s">
        <v>103</v>
      </c>
    </row>
    <row r="30" spans="1:4" x14ac:dyDescent="0.25">
      <c r="A30" s="46" t="s">
        <v>51</v>
      </c>
      <c r="B30" s="47">
        <f>IF(-3959.15461="","-",-3959.15461)</f>
        <v>-3959.15461</v>
      </c>
      <c r="C30" s="47">
        <f>IF(-3247.54268="","-",-3247.54268)</f>
        <v>-3247.54268</v>
      </c>
      <c r="D30" s="47">
        <f>IF(OR(-3959.15461="",-3247.54268="",-3959.15461=0),"-",-3247.54268/-3959.15461*100)</f>
        <v>82.02616467155346</v>
      </c>
    </row>
    <row r="31" spans="1:4" x14ac:dyDescent="0.25">
      <c r="A31" s="46" t="s">
        <v>54</v>
      </c>
      <c r="B31" s="47">
        <f>IF(-875.46904="","-",-875.46904)</f>
        <v>-875.46903999999995</v>
      </c>
      <c r="C31" s="47">
        <f>IF(-1957.63158="","-",-1957.63158)</f>
        <v>-1957.63158</v>
      </c>
      <c r="D31" s="47" t="s">
        <v>208</v>
      </c>
    </row>
    <row r="32" spans="1:4" x14ac:dyDescent="0.25">
      <c r="A32" s="46" t="s">
        <v>46</v>
      </c>
      <c r="B32" s="47">
        <f>IF(1127.41902="","-",1127.41902)</f>
        <v>1127.41902</v>
      </c>
      <c r="C32" s="47">
        <f>IF(-1178.95496="","-",-1178.95496)</f>
        <v>-1178.95496</v>
      </c>
      <c r="D32" s="47" t="s">
        <v>22</v>
      </c>
    </row>
    <row r="33" spans="1:4" x14ac:dyDescent="0.25">
      <c r="A33" s="46" t="s">
        <v>55</v>
      </c>
      <c r="B33" s="47">
        <f>IF(-107.1009="","-",-107.1009)</f>
        <v>-107.1009</v>
      </c>
      <c r="C33" s="47">
        <f>IF(-75.0495="","-",-75.0495)</f>
        <v>-75.049499999999995</v>
      </c>
      <c r="D33" s="47">
        <f>IF(OR(-107.1009="",-75.0495="",-107.1009=0),"-",-75.0495/-107.1009*100)</f>
        <v>70.073640837752066</v>
      </c>
    </row>
    <row r="34" spans="1:4" x14ac:dyDescent="0.25">
      <c r="A34" s="46" t="s">
        <v>358</v>
      </c>
      <c r="B34" s="126" t="s">
        <v>305</v>
      </c>
      <c r="C34" s="47">
        <f>IF(-42.84089="","-",-42.84089)</f>
        <v>-42.840890000000002</v>
      </c>
      <c r="D34" s="47" t="str">
        <f>IF(OR(0="",179.50963="",0=0),"-",179.50963/0*100)</f>
        <v>-</v>
      </c>
    </row>
    <row r="35" spans="1:4" x14ac:dyDescent="0.25">
      <c r="A35" s="46" t="s">
        <v>47</v>
      </c>
      <c r="B35" s="47">
        <f>IF(9515.92104="","-",9515.92104)</f>
        <v>9515.9210399999993</v>
      </c>
      <c r="C35" s="47">
        <f>IF(3562.93821="","-",3562.93821)</f>
        <v>3562.9382099999998</v>
      </c>
      <c r="D35" s="47">
        <f>IF(OR(9515.92104="",3562.93821="",9515.92104=0),"-",3562.93821/9515.92104*100)</f>
        <v>37.441863956449978</v>
      </c>
    </row>
    <row r="36" spans="1:4" x14ac:dyDescent="0.25">
      <c r="A36" s="73" t="s">
        <v>210</v>
      </c>
      <c r="B36" s="45">
        <f>IF(-681537.58779="","-",-681537.58779)</f>
        <v>-681537.58779000002</v>
      </c>
      <c r="C36" s="45">
        <f>IF(-910659.42986="","-",-910659.42986)</f>
        <v>-910659.42986000003</v>
      </c>
      <c r="D36" s="45">
        <f>IF(-681537.58779="","-",-910659.42986/-681537.58779*100)</f>
        <v>133.61837207144598</v>
      </c>
    </row>
    <row r="37" spans="1:4" x14ac:dyDescent="0.25">
      <c r="A37" s="46" t="s">
        <v>359</v>
      </c>
      <c r="B37" s="47">
        <f>IF(-263771.16852="","-",-263771.16852)</f>
        <v>-263771.16852000001</v>
      </c>
      <c r="C37" s="47">
        <f>IF(-439190.2235="","-",-439190.2235)</f>
        <v>-439190.22350000002</v>
      </c>
      <c r="D37" s="47" t="s">
        <v>103</v>
      </c>
    </row>
    <row r="38" spans="1:4" x14ac:dyDescent="0.25">
      <c r="A38" s="46" t="s">
        <v>12</v>
      </c>
      <c r="B38" s="47">
        <f>IF(-335750.34039="","-",-335750.34039)</f>
        <v>-335750.34039000003</v>
      </c>
      <c r="C38" s="47">
        <f>IF(-410421.73181="","-",-410421.73181)</f>
        <v>-410421.73181000003</v>
      </c>
      <c r="D38" s="47">
        <f>IF(OR(-335750.34039="",-410421.73181="",-335750.34039=0),"-",-410421.73181/-335750.34039*100)</f>
        <v>122.24015360141212</v>
      </c>
    </row>
    <row r="39" spans="1:4" x14ac:dyDescent="0.25">
      <c r="A39" s="46" t="s">
        <v>11</v>
      </c>
      <c r="B39" s="47">
        <f>IF(-32610.77227="","-",-32610.77227)</f>
        <v>-32610.772270000001</v>
      </c>
      <c r="C39" s="47">
        <f>IF(-51280.75696="","-",-51280.75696)</f>
        <v>-51280.756959999999</v>
      </c>
      <c r="D39" s="47" t="s">
        <v>104</v>
      </c>
    </row>
    <row r="40" spans="1:4" x14ac:dyDescent="0.25">
      <c r="A40" s="46" t="s">
        <v>16</v>
      </c>
      <c r="B40" s="47">
        <f>IF(-1151.37393="","-",-1151.37393)</f>
        <v>-1151.37393</v>
      </c>
      <c r="C40" s="47">
        <f>IF(-5852.9112="","-",-5852.9112)</f>
        <v>-5852.9111999999996</v>
      </c>
      <c r="D40" s="47" t="s">
        <v>385</v>
      </c>
    </row>
    <row r="41" spans="1:4" x14ac:dyDescent="0.25">
      <c r="A41" s="46" t="s">
        <v>15</v>
      </c>
      <c r="B41" s="47">
        <f>IF(-2355.60179="","-",-2355.60179)</f>
        <v>-2355.6017900000002</v>
      </c>
      <c r="C41" s="47">
        <f>IF(-3466.59532="","-",-3466.59532)</f>
        <v>-3466.5953199999999</v>
      </c>
      <c r="D41" s="47">
        <f>IF(OR(-2355.60179="",-3466.59532="",-2355.60179=0),"-",-3466.59532/-2355.60179*100)</f>
        <v>147.16389394490992</v>
      </c>
    </row>
    <row r="42" spans="1:4" x14ac:dyDescent="0.25">
      <c r="A42" s="46" t="s">
        <v>13</v>
      </c>
      <c r="B42" s="47">
        <f>IF(-44308.15095="","-",-44308.15095)</f>
        <v>-44308.150950000003</v>
      </c>
      <c r="C42" s="47">
        <f>IF(-2785.96852="","-",-2785.96852)</f>
        <v>-2785.9685199999999</v>
      </c>
      <c r="D42" s="47">
        <f>IF(OR(-44308.15095="",-2785.96852="",-44308.15095=0),"-",-2785.96852/-44308.15095*100)</f>
        <v>6.2877110876142295</v>
      </c>
    </row>
    <row r="43" spans="1:4" x14ac:dyDescent="0.25">
      <c r="A43" s="46" t="s">
        <v>17</v>
      </c>
      <c r="B43" s="47">
        <f>IF(371.32677="","-",371.32677)</f>
        <v>371.32677000000001</v>
      </c>
      <c r="C43" s="47">
        <f>IF(-85.33513="","-",-85.33513)</f>
        <v>-85.335130000000007</v>
      </c>
      <c r="D43" s="47" t="s">
        <v>22</v>
      </c>
    </row>
    <row r="44" spans="1:4" x14ac:dyDescent="0.25">
      <c r="A44" s="46" t="s">
        <v>18</v>
      </c>
      <c r="B44" s="47">
        <f>IF(180.37956="","-",180.37956)</f>
        <v>180.37956</v>
      </c>
      <c r="C44" s="47">
        <f>IF(205.72881="","-",205.72881)</f>
        <v>205.72881000000001</v>
      </c>
      <c r="D44" s="47">
        <f>IF(OR(180.37956="",205.72881="",180.37956=0),"-",205.72881/180.37956*100)</f>
        <v>114.05328297729523</v>
      </c>
    </row>
    <row r="45" spans="1:4" x14ac:dyDescent="0.25">
      <c r="A45" s="46" t="s">
        <v>405</v>
      </c>
      <c r="B45" s="47">
        <f>IF(284.9925="","-",284.9925)</f>
        <v>284.99250000000001</v>
      </c>
      <c r="C45" s="47">
        <f>IF(879.27704="","-",879.27704)</f>
        <v>879.27704000000006</v>
      </c>
      <c r="D45" s="47" t="s">
        <v>321</v>
      </c>
    </row>
    <row r="46" spans="1:4" x14ac:dyDescent="0.25">
      <c r="A46" s="46" t="s">
        <v>14</v>
      </c>
      <c r="B46" s="47">
        <f>IF(-2426.87877="","-",-2426.87877)</f>
        <v>-2426.8787699999998</v>
      </c>
      <c r="C46" s="47">
        <f>IF(1339.08673="","-",1339.08673)</f>
        <v>1339.08673</v>
      </c>
      <c r="D46" s="47" t="s">
        <v>22</v>
      </c>
    </row>
    <row r="47" spans="1:4" x14ac:dyDescent="0.25">
      <c r="A47" s="44" t="s">
        <v>143</v>
      </c>
      <c r="B47" s="45">
        <f>IF(-802484.46288="","-",-802484.46288)</f>
        <v>-802484.46288000001</v>
      </c>
      <c r="C47" s="45">
        <f>IF(-1024162.14074="","-",-1024162.14074)</f>
        <v>-1024162.1407399999</v>
      </c>
      <c r="D47" s="45">
        <f>IF(-802484.46288="","-",-1024162.14074/-802484.46288*100)</f>
        <v>127.62392147312498</v>
      </c>
    </row>
    <row r="48" spans="1:4" x14ac:dyDescent="0.25">
      <c r="A48" s="46" t="s">
        <v>59</v>
      </c>
      <c r="B48" s="47">
        <f>IF(-440213.57031="","-",-440213.57031)</f>
        <v>-440213.57030999998</v>
      </c>
      <c r="C48" s="47">
        <f>IF(-587717.70318="","-",-587717.70318)</f>
        <v>-587717.70317999995</v>
      </c>
      <c r="D48" s="47">
        <f>IF(OR(-440213.57031="",-587717.70318="",-440213.57031=0),"-",-587717.70318/-440213.57031*100)</f>
        <v>133.50740250150105</v>
      </c>
    </row>
    <row r="49" spans="1:5" x14ac:dyDescent="0.25">
      <c r="A49" s="46" t="s">
        <v>56</v>
      </c>
      <c r="B49" s="47">
        <f>IF(-146800.54921="","-",-146800.54921)</f>
        <v>-146800.54921</v>
      </c>
      <c r="C49" s="47">
        <f>IF(-173001.30532="","-",-173001.30532)</f>
        <v>-173001.30532000001</v>
      </c>
      <c r="D49" s="47">
        <f>IF(OR(-146800.54921="",-173001.30532="",-146800.54921=0),"-",-173001.30532/-146800.54921*100)</f>
        <v>117.84785973281306</v>
      </c>
    </row>
    <row r="50" spans="1:5" x14ac:dyDescent="0.25">
      <c r="A50" s="46" t="s">
        <v>19</v>
      </c>
      <c r="B50" s="47">
        <f>IF(-29347.98037="","-",-29347.98037)</f>
        <v>-29347.980370000001</v>
      </c>
      <c r="C50" s="47">
        <f>IF(-59485.8277="","-",-59485.8277)</f>
        <v>-59485.827700000002</v>
      </c>
      <c r="D50" s="47" t="s">
        <v>20</v>
      </c>
    </row>
    <row r="51" spans="1:5" x14ac:dyDescent="0.25">
      <c r="A51" s="46" t="s">
        <v>76</v>
      </c>
      <c r="B51" s="47">
        <v>-37187.427689999997</v>
      </c>
      <c r="C51" s="47">
        <f>IF(-46268.17556="","-",-46268.17556)</f>
        <v>-46268.175560000003</v>
      </c>
      <c r="D51" s="47">
        <f>IF(OR(-37187.42769="",-46268.17556="",-37187.42769=0),"-",-46268.17556/-37187.42769*100)</f>
        <v>124.41886528344604</v>
      </c>
    </row>
    <row r="52" spans="1:5" x14ac:dyDescent="0.25">
      <c r="A52" s="46" t="s">
        <v>36</v>
      </c>
      <c r="B52" s="47">
        <f>IF(-29436.90267="","-",-29436.90267)</f>
        <v>-29436.902669999999</v>
      </c>
      <c r="C52" s="47">
        <f>IF(-38378.19831="","-",-38378.19831)</f>
        <v>-38378.19831</v>
      </c>
      <c r="D52" s="47">
        <f>IF(OR(-29436.90267="",-38378.19831="",-29436.90267=0),"-",-38378.19831/-29436.90267*100)</f>
        <v>130.37444441840796</v>
      </c>
    </row>
    <row r="53" spans="1:5" x14ac:dyDescent="0.25">
      <c r="A53" s="46" t="s">
        <v>72</v>
      </c>
      <c r="B53" s="47">
        <v>-29279.62052</v>
      </c>
      <c r="C53" s="47">
        <f>IF(-36539.0381="","-",-36539.0381)</f>
        <v>-36539.038099999998</v>
      </c>
      <c r="D53" s="47">
        <f>IF(OR(-29279.62052="",-36539.0381="",-29279.62052=0),"-",-36539.0381/-29279.62052*100)</f>
        <v>124.79341416000018</v>
      </c>
    </row>
    <row r="54" spans="1:5" x14ac:dyDescent="0.25">
      <c r="A54" s="46" t="s">
        <v>69</v>
      </c>
      <c r="B54" s="47">
        <f>IF(-29232.32616="","-",-29232.32616)</f>
        <v>-29232.326160000001</v>
      </c>
      <c r="C54" s="47">
        <f>IF(-33462.24409="","-",-33462.24409)</f>
        <v>-33462.24409</v>
      </c>
      <c r="D54" s="47">
        <f>IF(OR(-29232.32616="",-33462.24409="",-29232.32616=0),"-",-33462.24409/-29232.32616*100)</f>
        <v>114.47000114478745</v>
      </c>
    </row>
    <row r="55" spans="1:5" x14ac:dyDescent="0.25">
      <c r="A55" s="46" t="s">
        <v>79</v>
      </c>
      <c r="B55" s="47">
        <v>-14179.65436</v>
      </c>
      <c r="C55" s="47">
        <f>IF(-16529.84225="","-",-16529.84225)</f>
        <v>-16529.842250000002</v>
      </c>
      <c r="D55" s="47">
        <f>IF(OR(-14179.65436="",-16529.84225="",-14179.65436=0),"-",-16529.84225/-14179.65436*100)</f>
        <v>116.57436655599835</v>
      </c>
    </row>
    <row r="56" spans="1:5" x14ac:dyDescent="0.25">
      <c r="A56" s="46" t="s">
        <v>70</v>
      </c>
      <c r="B56" s="47">
        <f>IF(-11495.69943="","-",-11495.69943)</f>
        <v>-11495.699430000001</v>
      </c>
      <c r="C56" s="47">
        <f>IF(-16153.11286="","-",-16153.11286)</f>
        <v>-16153.112859999999</v>
      </c>
      <c r="D56" s="47">
        <f>IF(OR(-11495.69943="",-16153.11286="",-11495.69943=0),"-",-16153.11286/-11495.69943*100)</f>
        <v>140.51439808738979</v>
      </c>
    </row>
    <row r="57" spans="1:5" x14ac:dyDescent="0.25">
      <c r="A57" s="46" t="s">
        <v>81</v>
      </c>
      <c r="B57" s="47">
        <f>IF(-3564.19875="","-",-3564.19875)</f>
        <v>-3564.19875</v>
      </c>
      <c r="C57" s="47">
        <f>IF(-14793.81037="","-",-14793.81037)</f>
        <v>-14793.810369999999</v>
      </c>
      <c r="D57" s="47" t="s">
        <v>316</v>
      </c>
    </row>
    <row r="58" spans="1:5" x14ac:dyDescent="0.25">
      <c r="A58" s="46" t="s">
        <v>66</v>
      </c>
      <c r="B58" s="47">
        <v>-18742.943070000001</v>
      </c>
      <c r="C58" s="47">
        <f>IF(-14349.13247="","-",-14349.13247)</f>
        <v>-14349.13247</v>
      </c>
      <c r="D58" s="47">
        <f>IF(OR(-18742.94307="",-14349.13247="",-18742.94307=0),"-",-14349.13247/-18742.94307*100)</f>
        <v>76.557520430007898</v>
      </c>
    </row>
    <row r="59" spans="1:5" x14ac:dyDescent="0.25">
      <c r="A59" s="46" t="s">
        <v>82</v>
      </c>
      <c r="B59" s="47">
        <v>-6674.0246900000002</v>
      </c>
      <c r="C59" s="47">
        <f>IF(-10494.51858="","-",-10494.51858)</f>
        <v>-10494.51858</v>
      </c>
      <c r="D59" s="47" t="s">
        <v>104</v>
      </c>
    </row>
    <row r="60" spans="1:5" x14ac:dyDescent="0.25">
      <c r="A60" s="46" t="s">
        <v>78</v>
      </c>
      <c r="B60" s="47">
        <v>-5807.8513400000002</v>
      </c>
      <c r="C60" s="47">
        <f>IF(-8846.29625="","-",-8846.29625)</f>
        <v>-8846.2962499999994</v>
      </c>
      <c r="D60" s="47" t="s">
        <v>221</v>
      </c>
    </row>
    <row r="61" spans="1:5" x14ac:dyDescent="0.25">
      <c r="A61" s="46" t="s">
        <v>74</v>
      </c>
      <c r="B61" s="47">
        <f>IF(-6485.98171="","-",-6485.98171)</f>
        <v>-6485.98171</v>
      </c>
      <c r="C61" s="47">
        <f>IF(-8497.4131="","-",-8497.4131)</f>
        <v>-8497.4130999999998</v>
      </c>
      <c r="D61" s="47">
        <f>IF(OR(-6485.98171="",-8497.4131="",-6485.98171=0),"-",-8497.4131/-6485.98171*100)</f>
        <v>131.0119806057856</v>
      </c>
      <c r="E61" s="1"/>
    </row>
    <row r="62" spans="1:5" x14ac:dyDescent="0.25">
      <c r="A62" s="46" t="s">
        <v>61</v>
      </c>
      <c r="B62" s="47">
        <f>IF(-6364.43364="","-",-6364.43364)</f>
        <v>-6364.4336400000002</v>
      </c>
      <c r="C62" s="47">
        <f>IF(-7647.72249="","-",-7647.72249)</f>
        <v>-7647.7224900000001</v>
      </c>
      <c r="D62" s="47">
        <f>IF(OR(-6364.43364="",-7647.72249="",-6364.43364=0),"-",-7647.72249/-6364.43364*100)</f>
        <v>120.16344144017188</v>
      </c>
    </row>
    <row r="63" spans="1:5" x14ac:dyDescent="0.25">
      <c r="A63" s="46" t="s">
        <v>83</v>
      </c>
      <c r="B63" s="47">
        <v>-6822.9844999999996</v>
      </c>
      <c r="C63" s="47">
        <f>IF(-7201.21144="","-",-7201.21144)</f>
        <v>-7201.21144</v>
      </c>
      <c r="D63" s="47">
        <f>IF(OR(-6822.9845="",-7201.21144="",-6822.9845=0),"-",-7201.21144/-6822.9845*100)</f>
        <v>105.54342370263336</v>
      </c>
    </row>
    <row r="64" spans="1:5" x14ac:dyDescent="0.25">
      <c r="A64" s="46" t="s">
        <v>71</v>
      </c>
      <c r="B64" s="47">
        <f>IF(-7107.99583="","-",-7107.99583)</f>
        <v>-7107.9958299999998</v>
      </c>
      <c r="C64" s="47">
        <f>IF(-6148.11585="","-",-6148.11585)</f>
        <v>-6148.1158500000001</v>
      </c>
      <c r="D64" s="47">
        <f>IF(OR(-7107.99583="",-6148.11585="",-7107.99583=0),"-",-6148.11585/-7107.99583*100)</f>
        <v>86.495771762432227</v>
      </c>
    </row>
    <row r="65" spans="1:5" x14ac:dyDescent="0.25">
      <c r="A65" s="46" t="s">
        <v>84</v>
      </c>
      <c r="B65" s="47">
        <v>-4763.0889500000003</v>
      </c>
      <c r="C65" s="47">
        <f>IF(-5426.01888="","-",-5426.01888)</f>
        <v>-5426.0188799999996</v>
      </c>
      <c r="D65" s="47">
        <f>IF(OR(-4763.08895="",-5426.01888="",-4763.08895=0),"-",-5426.01888/-4763.08895*100)</f>
        <v>113.91806739195998</v>
      </c>
    </row>
    <row r="66" spans="1:5" x14ac:dyDescent="0.25">
      <c r="A66" s="46" t="s">
        <v>85</v>
      </c>
      <c r="B66" s="47">
        <v>-2404.2527100000002</v>
      </c>
      <c r="C66" s="47">
        <f>IF(-4970.73061="","-",-4970.73061)</f>
        <v>-4970.7306099999996</v>
      </c>
      <c r="D66" s="47" t="s">
        <v>95</v>
      </c>
    </row>
    <row r="67" spans="1:5" x14ac:dyDescent="0.25">
      <c r="A67" s="46" t="s">
        <v>63</v>
      </c>
      <c r="B67" s="47">
        <v>-5209.5024800000001</v>
      </c>
      <c r="C67" s="47">
        <f>IF(-3618.74811="","-",-3618.74811)</f>
        <v>-3618.74811</v>
      </c>
      <c r="D67" s="47">
        <f>IF(OR(-5209.50248="",-3618.74811="",-5209.50248=0),"-",-3618.74811/-5209.50248*100)</f>
        <v>69.464370616827125</v>
      </c>
    </row>
    <row r="68" spans="1:5" x14ac:dyDescent="0.25">
      <c r="A68" s="46" t="s">
        <v>39</v>
      </c>
      <c r="B68" s="47">
        <f>IF(-1614.21387="","-",-1614.21387)</f>
        <v>-1614.21387</v>
      </c>
      <c r="C68" s="47">
        <f>IF(-3174.94821="","-",-3174.94821)</f>
        <v>-3174.94821</v>
      </c>
      <c r="D68" s="47" t="s">
        <v>20</v>
      </c>
      <c r="E68" s="1"/>
    </row>
    <row r="69" spans="1:5" x14ac:dyDescent="0.25">
      <c r="A69" s="46" t="s">
        <v>73</v>
      </c>
      <c r="B69" s="47">
        <f>IF(-1283.96406="","-",-1283.96406)</f>
        <v>-1283.96406</v>
      </c>
      <c r="C69" s="47">
        <f>IF(-3166.06442="","-",-3166.06442)</f>
        <v>-3166.0644200000002</v>
      </c>
      <c r="D69" s="47" t="s">
        <v>217</v>
      </c>
    </row>
    <row r="70" spans="1:5" x14ac:dyDescent="0.25">
      <c r="A70" s="46" t="s">
        <v>88</v>
      </c>
      <c r="B70" s="47">
        <f>IF(-1448.57544="","-",-1448.57544)</f>
        <v>-1448.5754400000001</v>
      </c>
      <c r="C70" s="47">
        <f>IF(-2532.32399="","-",-2532.32399)</f>
        <v>-2532.3239899999999</v>
      </c>
      <c r="D70" s="47" t="s">
        <v>103</v>
      </c>
    </row>
    <row r="71" spans="1:5" x14ac:dyDescent="0.25">
      <c r="A71" s="46" t="s">
        <v>80</v>
      </c>
      <c r="B71" s="47">
        <v>-3100.77774</v>
      </c>
      <c r="C71" s="47">
        <f>IF(-2489.12624="","-",-2489.12624)</f>
        <v>-2489.1262400000001</v>
      </c>
      <c r="D71" s="47">
        <f>IF(OR(-3100.77774="",-2489.12624="",-3100.77774=0),"-",-2489.12624/-3100.77774*100)</f>
        <v>80.274255322795241</v>
      </c>
    </row>
    <row r="72" spans="1:5" x14ac:dyDescent="0.25">
      <c r="A72" s="46" t="s">
        <v>89</v>
      </c>
      <c r="B72" s="47">
        <f>IF(-743.21579="","-",-743.21579)</f>
        <v>-743.21578999999997</v>
      </c>
      <c r="C72" s="47">
        <f>IF(-2178.86643="","-",-2178.86643)</f>
        <v>-2178.86643</v>
      </c>
      <c r="D72" s="47" t="s">
        <v>304</v>
      </c>
    </row>
    <row r="73" spans="1:5" x14ac:dyDescent="0.25">
      <c r="A73" s="46" t="s">
        <v>130</v>
      </c>
      <c r="B73" s="47">
        <v>-2174.73767</v>
      </c>
      <c r="C73" s="47">
        <f>IF(-2025.20802="","-",-2025.20802)</f>
        <v>-2025.20802</v>
      </c>
      <c r="D73" s="47">
        <f>IF(OR(-2174.73767="",-2025.20802="",-2174.73767=0),"-",-2025.20802/-2174.73767*100)</f>
        <v>93.124244268045445</v>
      </c>
    </row>
    <row r="74" spans="1:5" x14ac:dyDescent="0.25">
      <c r="A74" s="46" t="s">
        <v>87</v>
      </c>
      <c r="B74" s="47">
        <f>IF(-810.86915="","-",-810.86915)</f>
        <v>-810.86914999999999</v>
      </c>
      <c r="C74" s="47">
        <f>IF(-1960.66716="","-",-1960.66716)</f>
        <v>-1960.66716</v>
      </c>
      <c r="D74" s="47" t="s">
        <v>307</v>
      </c>
    </row>
    <row r="75" spans="1:5" x14ac:dyDescent="0.25">
      <c r="A75" s="46" t="s">
        <v>399</v>
      </c>
      <c r="B75" s="47">
        <f>IF(-1254.85047="","-",-1254.85047)</f>
        <v>-1254.8504700000001</v>
      </c>
      <c r="C75" s="47">
        <f>IF(-1776.28544="","-",-1776.28544)</f>
        <v>-1776.2854400000001</v>
      </c>
      <c r="D75" s="47">
        <f>IF(OR(-1254.85047="",-1776.28544="",-1254.85047=0),"-",-1776.28544/-1254.85047*100)</f>
        <v>141.5535541856234</v>
      </c>
    </row>
    <row r="76" spans="1:5" x14ac:dyDescent="0.25">
      <c r="A76" s="46" t="s">
        <v>86</v>
      </c>
      <c r="B76" s="47">
        <f>IF(-2856.40805="","-",-2856.40805)</f>
        <v>-2856.40805</v>
      </c>
      <c r="C76" s="47">
        <f>IF(-1475.99486="","-",-1475.99486)</f>
        <v>-1475.99486</v>
      </c>
      <c r="D76" s="47">
        <f>IF(OR(-2856.40805="",-1475.99486="",-2856.40805=0),"-",-1475.99486/-2856.40805*100)</f>
        <v>51.673109519488989</v>
      </c>
      <c r="E76" s="10"/>
    </row>
    <row r="77" spans="1:5" x14ac:dyDescent="0.25">
      <c r="A77" s="46" t="s">
        <v>97</v>
      </c>
      <c r="B77" s="47">
        <v>-1016.5914299999999</v>
      </c>
      <c r="C77" s="47">
        <f>IF(-1433.9647="","-",-1433.9647)</f>
        <v>-1433.9647</v>
      </c>
      <c r="D77" s="47">
        <f>IF(OR(-1016.59143="",-1433.9647="",-1016.59143=0),"-",-1433.9647/-1016.59143*100)</f>
        <v>141.05614681406473</v>
      </c>
    </row>
    <row r="78" spans="1:5" x14ac:dyDescent="0.25">
      <c r="A78" s="46" t="s">
        <v>360</v>
      </c>
      <c r="B78" s="47">
        <v>-4152.1909999999998</v>
      </c>
      <c r="C78" s="47">
        <f>IF(-1187.99752="","-",-1187.99752)</f>
        <v>-1187.9975199999999</v>
      </c>
      <c r="D78" s="47">
        <f>IF(OR(-4152.191="",-1187.99752="",-4152.191=0),"-",-1187.99752/-4152.191*100)</f>
        <v>28.611340855948097</v>
      </c>
    </row>
    <row r="79" spans="1:5" x14ac:dyDescent="0.25">
      <c r="A79" s="46" t="s">
        <v>147</v>
      </c>
      <c r="B79" s="47">
        <f>IF(-818.45708="","-",-818.45708)</f>
        <v>-818.45708000000002</v>
      </c>
      <c r="C79" s="47">
        <f>IF(-1107.56696="","-",-1107.56696)</f>
        <v>-1107.5669600000001</v>
      </c>
      <c r="D79" s="47">
        <f>IF(OR(-818.45708="",-1107.56696="",-818.45708=0),"-",-1107.56696/-818.45708*100)</f>
        <v>135.32376798548802</v>
      </c>
    </row>
    <row r="80" spans="1:5" x14ac:dyDescent="0.25">
      <c r="A80" s="46" t="s">
        <v>363</v>
      </c>
      <c r="B80" s="47">
        <f>IF(-293.93419="","-",-293.93419)</f>
        <v>-293.93419</v>
      </c>
      <c r="C80" s="47">
        <f>IF(-1089.99741="","-",-1089.99741)</f>
        <v>-1089.9974099999999</v>
      </c>
      <c r="D80" s="47" t="s">
        <v>392</v>
      </c>
    </row>
    <row r="81" spans="1:5" x14ac:dyDescent="0.25">
      <c r="A81" s="46" t="s">
        <v>65</v>
      </c>
      <c r="B81" s="47">
        <f>IF(-113.97979="","-",-113.97979)</f>
        <v>-113.97978999999999</v>
      </c>
      <c r="C81" s="47">
        <f>IF(-1050.86456="","-",-1050.86456)</f>
        <v>-1050.86456</v>
      </c>
      <c r="D81" s="47" t="s">
        <v>393</v>
      </c>
    </row>
    <row r="82" spans="1:5" x14ac:dyDescent="0.25">
      <c r="A82" s="46" t="s">
        <v>38</v>
      </c>
      <c r="B82" s="47">
        <f>IF(-892.66833="","-",-892.66833)</f>
        <v>-892.66832999999997</v>
      </c>
      <c r="C82" s="47">
        <f>IF(-906.15947="","-",-906.15947)</f>
        <v>-906.15947000000006</v>
      </c>
      <c r="D82" s="47">
        <f>IF(OR(-892.66833="",-906.15947="",-892.66833=0),"-",-906.15947/-892.66833*100)</f>
        <v>101.51132728098464</v>
      </c>
    </row>
    <row r="83" spans="1:5" x14ac:dyDescent="0.25">
      <c r="A83" s="46" t="s">
        <v>93</v>
      </c>
      <c r="B83" s="47">
        <f>IF(-22.66894="","-",-22.66894)</f>
        <v>-22.668939999999999</v>
      </c>
      <c r="C83" s="47">
        <f>IF(-875.99141="","-",-875.99141)</f>
        <v>-875.99140999999997</v>
      </c>
      <c r="D83" s="47" t="s">
        <v>394</v>
      </c>
    </row>
    <row r="84" spans="1:5" x14ac:dyDescent="0.25">
      <c r="A84" s="46" t="s">
        <v>91</v>
      </c>
      <c r="B84" s="47">
        <f>IF(-1287.0384="","-",-1287.0384)</f>
        <v>-1287.0383999999999</v>
      </c>
      <c r="C84" s="47">
        <f>IF(-741.61945="","-",-741.61945)</f>
        <v>-741.61945000000003</v>
      </c>
      <c r="D84" s="47">
        <f>IF(OR(-1287.0384="",-741.61945="",-1287.0384=0),"-",-741.61945/-1287.0384*100)</f>
        <v>57.622169626018938</v>
      </c>
    </row>
    <row r="85" spans="1:5" x14ac:dyDescent="0.25">
      <c r="A85" s="46" t="s">
        <v>362</v>
      </c>
      <c r="B85" s="47">
        <v>-267.14008000000001</v>
      </c>
      <c r="C85" s="47">
        <f>IF(-696.64209="","-",-696.64209)</f>
        <v>-696.64209000000005</v>
      </c>
      <c r="D85" s="47" t="s">
        <v>296</v>
      </c>
    </row>
    <row r="86" spans="1:5" x14ac:dyDescent="0.25">
      <c r="A86" s="46" t="s">
        <v>64</v>
      </c>
      <c r="B86" s="47">
        <v>-386.12383</v>
      </c>
      <c r="C86" s="47">
        <f>IF(-510.04447="","-",-510.04447)</f>
        <v>-510.04446999999999</v>
      </c>
      <c r="D86" s="47">
        <f>IF(OR(-386.12383="",-510.04447="",-386.12383=0),"-",-510.04447/-386.12383*100)</f>
        <v>132.09349705248704</v>
      </c>
    </row>
    <row r="87" spans="1:5" x14ac:dyDescent="0.25">
      <c r="A87" s="46" t="s">
        <v>98</v>
      </c>
      <c r="B87" s="47">
        <v>-152.05973</v>
      </c>
      <c r="C87" s="47">
        <f>IF(-475.16496="","-",-475.16496)</f>
        <v>-475.16496000000001</v>
      </c>
      <c r="D87" s="47" t="s">
        <v>321</v>
      </c>
    </row>
    <row r="88" spans="1:5" x14ac:dyDescent="0.25">
      <c r="A88" s="46" t="s">
        <v>92</v>
      </c>
      <c r="B88" s="47">
        <f>IF(-448.92806="","-",-448.92806)</f>
        <v>-448.92806000000002</v>
      </c>
      <c r="C88" s="47">
        <f>IF(-440.52306="","-",-440.52306)</f>
        <v>-440.52305999999999</v>
      </c>
      <c r="D88" s="47">
        <f>IF(OR(-448.92806="",-440.52306="",-448.92806=0),"-",-440.52306/-448.92806*100)</f>
        <v>98.12776238580409</v>
      </c>
    </row>
    <row r="89" spans="1:5" x14ac:dyDescent="0.25">
      <c r="A89" s="46" t="s">
        <v>124</v>
      </c>
      <c r="B89" s="47">
        <f>IF(1945.68692="","-",1945.68692)</f>
        <v>1945.6869200000001</v>
      </c>
      <c r="C89" s="47">
        <f>IF(-435.81158="","-",-435.81158)</f>
        <v>-435.81157999999999</v>
      </c>
      <c r="D89" s="47" t="s">
        <v>22</v>
      </c>
    </row>
    <row r="90" spans="1:5" x14ac:dyDescent="0.25">
      <c r="A90" s="46" t="s">
        <v>224</v>
      </c>
      <c r="B90" s="47">
        <v>-97.229619999999997</v>
      </c>
      <c r="C90" s="47">
        <f>IF(-427.69562="","-",-427.69562)</f>
        <v>-427.69562000000002</v>
      </c>
      <c r="D90" s="47" t="s">
        <v>348</v>
      </c>
    </row>
    <row r="91" spans="1:5" x14ac:dyDescent="0.25">
      <c r="A91" s="46" t="s">
        <v>67</v>
      </c>
      <c r="B91" s="47">
        <f>IF(2236.30654="","-",2236.30654)</f>
        <v>2236.30654</v>
      </c>
      <c r="C91" s="47">
        <f>IF(-327.95241="","-",-327.95241)</f>
        <v>-327.95240999999999</v>
      </c>
      <c r="D91" s="47" t="s">
        <v>22</v>
      </c>
    </row>
    <row r="92" spans="1:5" x14ac:dyDescent="0.25">
      <c r="A92" s="46" t="s">
        <v>94</v>
      </c>
      <c r="B92" s="47">
        <f>IF(-382.83638="","-",-382.83638)</f>
        <v>-382.83638000000002</v>
      </c>
      <c r="C92" s="47">
        <f>IF(-312.24937="","-",-312.24937)</f>
        <v>-312.24937</v>
      </c>
      <c r="D92" s="47">
        <f>IF(OR(-382.83638="",-312.24937="",-382.83638=0),"-",-312.24937/-382.83638*100)</f>
        <v>81.56209449060195</v>
      </c>
    </row>
    <row r="93" spans="1:5" x14ac:dyDescent="0.25">
      <c r="A93" s="46" t="s">
        <v>343</v>
      </c>
      <c r="B93" s="47">
        <f>IF(22.99251="","-",22.99251)</f>
        <v>22.992509999999999</v>
      </c>
      <c r="C93" s="47">
        <f>IF(-311.5948="","-",-311.5948)</f>
        <v>-311.59480000000002</v>
      </c>
      <c r="D93" s="47" t="s">
        <v>22</v>
      </c>
    </row>
    <row r="94" spans="1:5" x14ac:dyDescent="0.25">
      <c r="A94" s="46" t="s">
        <v>102</v>
      </c>
      <c r="B94" s="47">
        <f>IF(-92.73657="","-",-92.73657)</f>
        <v>-92.73657</v>
      </c>
      <c r="C94" s="47">
        <f>IF(-231.51472="","-",-231.51472)</f>
        <v>-231.51472000000001</v>
      </c>
      <c r="D94" s="47" t="s">
        <v>217</v>
      </c>
    </row>
    <row r="95" spans="1:5" x14ac:dyDescent="0.25">
      <c r="A95" s="46" t="s">
        <v>101</v>
      </c>
      <c r="B95" s="47">
        <f>IF(-70.28629="","-",-70.28629)</f>
        <v>-70.286289999999994</v>
      </c>
      <c r="C95" s="47">
        <f>IF(-213.97729="","-",-213.97729)</f>
        <v>-213.97729000000001</v>
      </c>
      <c r="D95" s="47" t="s">
        <v>319</v>
      </c>
    </row>
    <row r="96" spans="1:5" x14ac:dyDescent="0.25">
      <c r="A96" s="46" t="s">
        <v>340</v>
      </c>
      <c r="B96" s="47">
        <f>IF(-19.54358="","-",-19.54358)</f>
        <v>-19.543579999999999</v>
      </c>
      <c r="C96" s="47">
        <f>IF(-173.22134="","-",-173.22134)</f>
        <v>-173.22134</v>
      </c>
      <c r="D96" s="47" t="s">
        <v>368</v>
      </c>
      <c r="E96" s="10"/>
    </row>
    <row r="97" spans="1:5" x14ac:dyDescent="0.25">
      <c r="A97" s="46" t="s">
        <v>134</v>
      </c>
      <c r="B97" s="47">
        <v>-201.60839999999999</v>
      </c>
      <c r="C97" s="47">
        <f>IF(-169.80686="","-",-169.80686)</f>
        <v>-169.80686</v>
      </c>
      <c r="D97" s="47">
        <f>IF(OR(-201.6084="",-169.80686="",-201.6084=0),"-",-169.80686/-201.6084*100)</f>
        <v>84.226083833808516</v>
      </c>
    </row>
    <row r="98" spans="1:5" x14ac:dyDescent="0.25">
      <c r="A98" s="46" t="s">
        <v>140</v>
      </c>
      <c r="B98" s="47">
        <v>-107.13200999999999</v>
      </c>
      <c r="C98" s="47">
        <f>IF(-134.54638="","-",-134.54638)</f>
        <v>-134.54638</v>
      </c>
      <c r="D98" s="47">
        <f>IF(OR(-107.13201="",-134.54638="",-107.13201=0),"-",-134.54638/-107.13201*100)</f>
        <v>125.58933599770974</v>
      </c>
      <c r="E98" s="9"/>
    </row>
    <row r="99" spans="1:5" x14ac:dyDescent="0.25">
      <c r="A99" s="46" t="s">
        <v>131</v>
      </c>
      <c r="B99" s="47">
        <f>IF(-854.74797="","-",-854.74797)</f>
        <v>-854.74797000000001</v>
      </c>
      <c r="C99" s="47">
        <f>IF(-128.64656="","-",-128.64656)</f>
        <v>-128.64655999999999</v>
      </c>
      <c r="D99" s="47">
        <f>IF(OR(-854.74797="",-128.64656="",-854.74797=0),"-",-128.64656/-854.74797*100)</f>
        <v>15.050817845171366</v>
      </c>
    </row>
    <row r="100" spans="1:5" x14ac:dyDescent="0.25">
      <c r="A100" s="46" t="s">
        <v>68</v>
      </c>
      <c r="B100" s="47">
        <f>IF(-526.52889="","-",-526.52889)</f>
        <v>-526.52889000000005</v>
      </c>
      <c r="C100" s="47">
        <f>IF(-125.19062="","-",-125.19062)</f>
        <v>-125.19062</v>
      </c>
      <c r="D100" s="47">
        <f>IF(OR(-526.52889="",-125.19062="",-526.52889=0),"-",-125.19062/-526.52889*100)</f>
        <v>23.776590872345103</v>
      </c>
      <c r="E100" s="9"/>
    </row>
    <row r="101" spans="1:5" x14ac:dyDescent="0.25">
      <c r="A101" s="46" t="s">
        <v>215</v>
      </c>
      <c r="B101" s="47">
        <f>IF(-23.27897="","-",-23.27897)</f>
        <v>-23.278970000000001</v>
      </c>
      <c r="C101" s="47">
        <f>IF(-114.10548="","-",-114.10548)</f>
        <v>-114.10548</v>
      </c>
      <c r="D101" s="47" t="s">
        <v>336</v>
      </c>
      <c r="E101" s="1"/>
    </row>
    <row r="102" spans="1:5" x14ac:dyDescent="0.25">
      <c r="A102" s="46" t="s">
        <v>111</v>
      </c>
      <c r="B102" s="47">
        <f>IF(-477.70924="","-",-477.70924)</f>
        <v>-477.70924000000002</v>
      </c>
      <c r="C102" s="47">
        <f>IF(-113.63933="","-",-113.63933)</f>
        <v>-113.63933</v>
      </c>
      <c r="D102" s="47">
        <f>IF(OR(-477.70924="",-113.63933="",-477.70924=0),"-",-113.63933/-477.70924*100)</f>
        <v>23.788388518505524</v>
      </c>
    </row>
    <row r="103" spans="1:5" x14ac:dyDescent="0.25">
      <c r="A103" s="46" t="s">
        <v>225</v>
      </c>
      <c r="B103" s="47">
        <v>-12.77496</v>
      </c>
      <c r="C103" s="47">
        <f>IF(-111.76293="","-",-111.76293)</f>
        <v>-111.76293</v>
      </c>
      <c r="D103" s="47" t="s">
        <v>369</v>
      </c>
    </row>
    <row r="104" spans="1:5" x14ac:dyDescent="0.25">
      <c r="A104" s="46" t="s">
        <v>107</v>
      </c>
      <c r="B104" s="47">
        <v>-91.1571</v>
      </c>
      <c r="C104" s="47">
        <f>IF(-108.04996="","-",-108.04996)</f>
        <v>-108.04996</v>
      </c>
      <c r="D104" s="47">
        <f>IF(OR(-91.1571="",-108.04996="",-91.1571=0),"-",-108.04996/-91.1571*100)</f>
        <v>118.53158996940448</v>
      </c>
    </row>
    <row r="105" spans="1:5" x14ac:dyDescent="0.25">
      <c r="A105" s="46" t="s">
        <v>333</v>
      </c>
      <c r="B105" s="47">
        <v>-338.16136</v>
      </c>
      <c r="C105" s="47">
        <f>IF(-104.00191="","-",-104.00191)</f>
        <v>-104.00191</v>
      </c>
      <c r="D105" s="47">
        <f>IF(OR(-338.16136="",-104.00191="",-338.16136=0),"-",-104.00191/-338.16136*100)</f>
        <v>30.755113476004471</v>
      </c>
      <c r="E105" s="10"/>
    </row>
    <row r="106" spans="1:5" x14ac:dyDescent="0.25">
      <c r="A106" s="46" t="s">
        <v>132</v>
      </c>
      <c r="B106" s="47">
        <v>-44.966250000000002</v>
      </c>
      <c r="C106" s="47">
        <f>IF(-97.65355="","-",-97.65355)</f>
        <v>-97.653549999999996</v>
      </c>
      <c r="D106" s="47" t="s">
        <v>208</v>
      </c>
      <c r="E106" s="8"/>
    </row>
    <row r="107" spans="1:5" x14ac:dyDescent="0.25">
      <c r="A107" s="46" t="s">
        <v>317</v>
      </c>
      <c r="B107" s="47">
        <f>IF(40.47326="","-",40.47326)</f>
        <v>40.473260000000003</v>
      </c>
      <c r="C107" s="47">
        <f>IF(-94.71832="","-",-94.71832)</f>
        <v>-94.718320000000006</v>
      </c>
      <c r="D107" s="47" t="s">
        <v>22</v>
      </c>
    </row>
    <row r="108" spans="1:5" x14ac:dyDescent="0.25">
      <c r="A108" s="46" t="s">
        <v>207</v>
      </c>
      <c r="B108" s="47">
        <f>IF(-141.34557="","-",-141.34557)</f>
        <v>-141.34557000000001</v>
      </c>
      <c r="C108" s="47">
        <f>IF(-88.10953="","-",-88.10953)</f>
        <v>-88.109530000000007</v>
      </c>
      <c r="D108" s="47">
        <f>IF(OR(-141.34557="",-88.10953="",-141.34557=0),"-",-88.10953/-141.34557*100)</f>
        <v>62.33625150048919</v>
      </c>
    </row>
    <row r="109" spans="1:5" x14ac:dyDescent="0.25">
      <c r="A109" s="46" t="s">
        <v>400</v>
      </c>
      <c r="B109" s="47">
        <f>IF(-56.04697="","-",-56.04697)</f>
        <v>-56.046970000000002</v>
      </c>
      <c r="C109" s="47">
        <f>IF(-79.30735="","-",-79.30735)</f>
        <v>-79.30735</v>
      </c>
      <c r="D109" s="47">
        <f>IF(OR(-56.04697="",-79.30735="",-56.04697=0),"-",-79.30735/-56.04697*100)</f>
        <v>141.5015834040627</v>
      </c>
    </row>
    <row r="110" spans="1:5" x14ac:dyDescent="0.25">
      <c r="A110" s="46" t="s">
        <v>334</v>
      </c>
      <c r="B110" s="47">
        <f>IF(-0.39817="","-",-0.39817)</f>
        <v>-0.39817000000000002</v>
      </c>
      <c r="C110" s="47">
        <f>IF(-78.06904="","-",-78.06904)</f>
        <v>-78.069040000000001</v>
      </c>
      <c r="D110" s="47" t="s">
        <v>370</v>
      </c>
    </row>
    <row r="111" spans="1:5" x14ac:dyDescent="0.25">
      <c r="A111" s="46" t="s">
        <v>318</v>
      </c>
      <c r="B111" s="47">
        <f>IF(-79.51139="","-",-79.51139)</f>
        <v>-79.511390000000006</v>
      </c>
      <c r="C111" s="47">
        <f>IF(-71.85939="","-",-71.85939)</f>
        <v>-71.859390000000005</v>
      </c>
      <c r="D111" s="47">
        <f>IF(OR(-79.51139="",-71.85939="",-79.51139=0),"-",-71.85939/-79.51139*100)</f>
        <v>90.376221570268115</v>
      </c>
    </row>
    <row r="112" spans="1:5" x14ac:dyDescent="0.25">
      <c r="A112" s="46" t="s">
        <v>326</v>
      </c>
      <c r="B112" s="47">
        <f>IF(-28.94562="","-",-28.94562)</f>
        <v>-28.945620000000002</v>
      </c>
      <c r="C112" s="47">
        <f>IF(-70.02609="","-",-70.02609)</f>
        <v>-70.026089999999996</v>
      </c>
      <c r="D112" s="47" t="s">
        <v>307</v>
      </c>
    </row>
    <row r="113" spans="1:4" x14ac:dyDescent="0.25">
      <c r="A113" s="46" t="s">
        <v>339</v>
      </c>
      <c r="B113" s="47">
        <v>-54.810070000000003</v>
      </c>
      <c r="C113" s="47">
        <f>IF(-53.65025="","-",-53.65025)</f>
        <v>-53.65025</v>
      </c>
      <c r="D113" s="47">
        <f>IF(OR(-54.81007="",-53.65025="",-54.81007=0),"-",-53.65025/-54.81007*100)</f>
        <v>97.883928993340092</v>
      </c>
    </row>
    <row r="114" spans="1:4" x14ac:dyDescent="0.25">
      <c r="A114" s="46" t="s">
        <v>338</v>
      </c>
      <c r="B114" s="47">
        <f>IF(-16.46925="","-",-16.46925)</f>
        <v>-16.469249999999999</v>
      </c>
      <c r="C114" s="47">
        <f>IF(-50.34093="","-",-50.34093)</f>
        <v>-50.34093</v>
      </c>
      <c r="D114" s="47" t="s">
        <v>321</v>
      </c>
    </row>
    <row r="115" spans="1:4" x14ac:dyDescent="0.25">
      <c r="A115" s="46" t="s">
        <v>364</v>
      </c>
      <c r="B115" s="47">
        <v>-6.1569599999999998</v>
      </c>
      <c r="C115" s="47">
        <f>IF(-48.1611="","-",-48.1611)</f>
        <v>-48.161099999999998</v>
      </c>
      <c r="D115" s="47" t="s">
        <v>371</v>
      </c>
    </row>
    <row r="116" spans="1:4" x14ac:dyDescent="0.25">
      <c r="A116" s="46" t="s">
        <v>342</v>
      </c>
      <c r="B116" s="47">
        <v>6.6188000000000002</v>
      </c>
      <c r="C116" s="47">
        <f>IF(-37.5422="","-",-37.5422)</f>
        <v>-37.542200000000001</v>
      </c>
      <c r="D116" s="47" t="s">
        <v>22</v>
      </c>
    </row>
    <row r="117" spans="1:4" x14ac:dyDescent="0.25">
      <c r="A117" s="46" t="s">
        <v>341</v>
      </c>
      <c r="B117" s="47">
        <v>-17.561499999999999</v>
      </c>
      <c r="C117" s="47">
        <f>IF(-32.68497="","-",-32.68497)</f>
        <v>-32.68497</v>
      </c>
      <c r="D117" s="47" t="s">
        <v>105</v>
      </c>
    </row>
    <row r="118" spans="1:4" x14ac:dyDescent="0.25">
      <c r="A118" s="46" t="s">
        <v>391</v>
      </c>
      <c r="B118" s="47" t="s">
        <v>305</v>
      </c>
      <c r="C118" s="47">
        <f>IF(39.34469="","-",39.34469)</f>
        <v>39.34469</v>
      </c>
      <c r="D118" s="47" t="str">
        <f>IF(OR(0="",39.34469="",0=0),"-",39.34469/0*100)</f>
        <v>-</v>
      </c>
    </row>
    <row r="119" spans="1:4" x14ac:dyDescent="0.25">
      <c r="A119" s="46" t="s">
        <v>401</v>
      </c>
      <c r="B119" s="47">
        <v>19.263000000000002</v>
      </c>
      <c r="C119" s="47">
        <f>IF(42.336="","-",42.336)</f>
        <v>42.335999999999999</v>
      </c>
      <c r="D119" s="47" t="s">
        <v>208</v>
      </c>
    </row>
    <row r="120" spans="1:4" x14ac:dyDescent="0.25">
      <c r="A120" s="46" t="s">
        <v>327</v>
      </c>
      <c r="B120" s="47">
        <f>IF(24.012="","-",24.012)</f>
        <v>24.012</v>
      </c>
      <c r="C120" s="47">
        <f>IF(46.52162="","-",46.52162)</f>
        <v>46.521619999999999</v>
      </c>
      <c r="D120" s="47" t="s">
        <v>105</v>
      </c>
    </row>
    <row r="121" spans="1:4" x14ac:dyDescent="0.25">
      <c r="A121" s="46" t="s">
        <v>303</v>
      </c>
      <c r="B121" s="47">
        <f>IF(96.60747="","-",96.60747)</f>
        <v>96.607470000000006</v>
      </c>
      <c r="C121" s="47">
        <f>IF(54.6117="","-",54.6117)</f>
        <v>54.611699999999999</v>
      </c>
      <c r="D121" s="47">
        <f>IF(OR(96.60747="",54.6117="",96.60747=0),"-",54.6117/96.60747*100)</f>
        <v>56.529479552668128</v>
      </c>
    </row>
    <row r="122" spans="1:4" x14ac:dyDescent="0.25">
      <c r="A122" s="46" t="s">
        <v>404</v>
      </c>
      <c r="B122" s="47">
        <v>71.077740000000006</v>
      </c>
      <c r="C122" s="47">
        <f>IF(60.06516="","-",60.06516)</f>
        <v>60.065159999999999</v>
      </c>
      <c r="D122" s="47">
        <f>IF(OR(71.07774="",60.06516="",71.07774=0),"-",60.06516/71.07774*100)</f>
        <v>84.506288466684495</v>
      </c>
    </row>
    <row r="123" spans="1:4" x14ac:dyDescent="0.25">
      <c r="A123" s="46" t="s">
        <v>373</v>
      </c>
      <c r="B123" s="47" t="s">
        <v>305</v>
      </c>
      <c r="C123" s="47">
        <f>IF(66.47008="","-",66.47008)</f>
        <v>66.470079999999996</v>
      </c>
      <c r="D123" s="47" t="str">
        <f>IF(OR(0="",66.47008="",0=0),"-",66.47008/0*100)</f>
        <v>-</v>
      </c>
    </row>
    <row r="124" spans="1:4" x14ac:dyDescent="0.25">
      <c r="A124" s="46" t="s">
        <v>328</v>
      </c>
      <c r="B124" s="47">
        <f>IF(27.49258="","-",27.49258)</f>
        <v>27.49258</v>
      </c>
      <c r="C124" s="47">
        <f>IF(75.18943="","-",75.18943)</f>
        <v>75.189430000000002</v>
      </c>
      <c r="D124" s="47" t="s">
        <v>306</v>
      </c>
    </row>
    <row r="125" spans="1:4" x14ac:dyDescent="0.25">
      <c r="A125" s="46" t="s">
        <v>222</v>
      </c>
      <c r="B125" s="47">
        <v>315.07060000000001</v>
      </c>
      <c r="C125" s="47">
        <f>IF(104.56599="","-",104.56599)</f>
        <v>104.56599</v>
      </c>
      <c r="D125" s="47">
        <f>IF(OR(315.0706="",104.56599="",315.0706=0),"-",104.56599/315.0706*100)</f>
        <v>33.188114029046183</v>
      </c>
    </row>
    <row r="126" spans="1:4" x14ac:dyDescent="0.25">
      <c r="A126" s="46" t="s">
        <v>135</v>
      </c>
      <c r="B126" s="47">
        <f>IF(-115.9547="","-",-115.9547)</f>
        <v>-115.9547</v>
      </c>
      <c r="C126" s="47">
        <f>IF(118.66085="","-",118.66085)</f>
        <v>118.66085</v>
      </c>
      <c r="D126" s="47" t="s">
        <v>22</v>
      </c>
    </row>
    <row r="127" spans="1:4" x14ac:dyDescent="0.25">
      <c r="A127" s="46" t="s">
        <v>331</v>
      </c>
      <c r="B127" s="47">
        <v>-4.7480000000000001E-2</v>
      </c>
      <c r="C127" s="47">
        <f>IF(127.69588="","-",127.69588)</f>
        <v>127.69588</v>
      </c>
      <c r="D127" s="47" t="s">
        <v>22</v>
      </c>
    </row>
    <row r="128" spans="1:4" x14ac:dyDescent="0.25">
      <c r="A128" s="46" t="s">
        <v>329</v>
      </c>
      <c r="B128" s="47">
        <v>-82.768159999999995</v>
      </c>
      <c r="C128" s="47">
        <f>IF(158.54994="","-",158.54994)</f>
        <v>158.54993999999999</v>
      </c>
      <c r="D128" s="47" t="s">
        <v>22</v>
      </c>
    </row>
    <row r="129" spans="1:4" x14ac:dyDescent="0.25">
      <c r="A129" s="46" t="s">
        <v>219</v>
      </c>
      <c r="B129" s="47">
        <v>-5.3311500000000001</v>
      </c>
      <c r="C129" s="47">
        <f>IF(161.74339="","-",161.74339)</f>
        <v>161.74339000000001</v>
      </c>
      <c r="D129" s="47" t="s">
        <v>22</v>
      </c>
    </row>
    <row r="130" spans="1:4" x14ac:dyDescent="0.25">
      <c r="A130" s="46" t="s">
        <v>402</v>
      </c>
      <c r="B130" s="47">
        <v>-2.6864300000000001</v>
      </c>
      <c r="C130" s="47">
        <f>IF(182.70085="","-",182.70085)</f>
        <v>182.70085</v>
      </c>
      <c r="D130" s="47" t="s">
        <v>22</v>
      </c>
    </row>
    <row r="131" spans="1:4" x14ac:dyDescent="0.25">
      <c r="A131" s="46" t="s">
        <v>403</v>
      </c>
      <c r="B131" s="47">
        <f>IF(50.18097="","-",50.18097)</f>
        <v>50.180970000000002</v>
      </c>
      <c r="C131" s="47">
        <f>IF(211.45377="","-",211.45377)</f>
        <v>211.45376999999999</v>
      </c>
      <c r="D131" s="47" t="s">
        <v>316</v>
      </c>
    </row>
    <row r="132" spans="1:4" x14ac:dyDescent="0.25">
      <c r="A132" s="46" t="s">
        <v>126</v>
      </c>
      <c r="B132" s="47">
        <v>269.31880999999998</v>
      </c>
      <c r="C132" s="47">
        <f>IF(263.79346="","-",263.79346)</f>
        <v>263.79345999999998</v>
      </c>
      <c r="D132" s="47">
        <f>IF(OR(269.31881="",263.79346="",269.31881=0),"-",263.79346/269.31881*100)</f>
        <v>97.948398034285091</v>
      </c>
    </row>
    <row r="133" spans="1:4" x14ac:dyDescent="0.25">
      <c r="A133" s="46" t="s">
        <v>62</v>
      </c>
      <c r="B133" s="47">
        <v>-3791.8177999999998</v>
      </c>
      <c r="C133" s="47">
        <f>IF(322.61998="","-",322.61998)</f>
        <v>322.61998</v>
      </c>
      <c r="D133" s="47" t="s">
        <v>22</v>
      </c>
    </row>
    <row r="134" spans="1:4" x14ac:dyDescent="0.25">
      <c r="A134" s="46" t="s">
        <v>146</v>
      </c>
      <c r="B134" s="47">
        <f>IF(200.6088="","-",200.6088)</f>
        <v>200.6088</v>
      </c>
      <c r="C134" s="47">
        <f>IF(332.148="","-",332.148)</f>
        <v>332.14800000000002</v>
      </c>
      <c r="D134" s="47" t="s">
        <v>103</v>
      </c>
    </row>
    <row r="135" spans="1:4" x14ac:dyDescent="0.25">
      <c r="A135" s="46" t="s">
        <v>125</v>
      </c>
      <c r="B135" s="47">
        <f>IF(999.83793="","-",999.83793)</f>
        <v>999.83793000000003</v>
      </c>
      <c r="C135" s="47">
        <f>IF(411.86703="","-",411.86703)</f>
        <v>411.86703</v>
      </c>
      <c r="D135" s="47">
        <f>IF(OR(999.83793="",411.86703="",999.83793=0),"-",411.86703/999.83793*100)</f>
        <v>41.193379210968722</v>
      </c>
    </row>
    <row r="136" spans="1:4" x14ac:dyDescent="0.25">
      <c r="A136" s="46" t="s">
        <v>96</v>
      </c>
      <c r="B136" s="47">
        <v>329.29836999999998</v>
      </c>
      <c r="C136" s="47">
        <f>IF(419.24466="","-",419.24466)</f>
        <v>419.24466000000001</v>
      </c>
      <c r="D136" s="47">
        <f>IF(OR(329.29837="",419.24466="",329.29837=0),"-",419.24466/329.29837*100)</f>
        <v>127.31452633670797</v>
      </c>
    </row>
    <row r="137" spans="1:4" x14ac:dyDescent="0.25">
      <c r="A137" s="46" t="s">
        <v>223</v>
      </c>
      <c r="B137" s="47">
        <f>IF(90.1454="","-",90.1454)</f>
        <v>90.145399999999995</v>
      </c>
      <c r="C137" s="47">
        <f>IF(452.22794="","-",452.22794)</f>
        <v>452.22793999999999</v>
      </c>
      <c r="D137" s="47" t="s">
        <v>346</v>
      </c>
    </row>
    <row r="138" spans="1:4" x14ac:dyDescent="0.25">
      <c r="A138" s="46" t="s">
        <v>141</v>
      </c>
      <c r="B138" s="47">
        <f>IF(301.22435="","-",301.22435)</f>
        <v>301.22435000000002</v>
      </c>
      <c r="C138" s="47">
        <f>IF(454.35481="","-",454.35481)</f>
        <v>454.35480999999999</v>
      </c>
      <c r="D138" s="47" t="s">
        <v>221</v>
      </c>
    </row>
    <row r="139" spans="1:4" x14ac:dyDescent="0.25">
      <c r="A139" s="46" t="s">
        <v>330</v>
      </c>
      <c r="B139" s="47">
        <v>29.40671</v>
      </c>
      <c r="C139" s="47">
        <f>IF(635.28076="","-",635.28076)</f>
        <v>635.28075999999999</v>
      </c>
      <c r="D139" s="47" t="s">
        <v>395</v>
      </c>
    </row>
    <row r="140" spans="1:4" x14ac:dyDescent="0.25">
      <c r="A140" s="46" t="s">
        <v>129</v>
      </c>
      <c r="B140" s="47">
        <v>381.57834000000003</v>
      </c>
      <c r="C140" s="47">
        <f>IF(768.45403="","-",768.45403)</f>
        <v>768.45402999999999</v>
      </c>
      <c r="D140" s="47" t="s">
        <v>20</v>
      </c>
    </row>
    <row r="141" spans="1:4" x14ac:dyDescent="0.25">
      <c r="A141" s="46" t="s">
        <v>148</v>
      </c>
      <c r="B141" s="47">
        <f>IF(228.3107="","-",228.3107)</f>
        <v>228.3107</v>
      </c>
      <c r="C141" s="47">
        <f>IF(816.59034="","-",816.59034)</f>
        <v>816.59033999999997</v>
      </c>
      <c r="D141" s="47" t="s">
        <v>335</v>
      </c>
    </row>
    <row r="142" spans="1:4" x14ac:dyDescent="0.25">
      <c r="A142" s="46" t="s">
        <v>109</v>
      </c>
      <c r="B142" s="47">
        <v>519.12850000000003</v>
      </c>
      <c r="C142" s="47">
        <f>IF(879.54265="","-",879.54265)</f>
        <v>879.54264999999998</v>
      </c>
      <c r="D142" s="47" t="s">
        <v>103</v>
      </c>
    </row>
    <row r="143" spans="1:4" x14ac:dyDescent="0.25">
      <c r="A143" s="46" t="s">
        <v>37</v>
      </c>
      <c r="B143" s="47">
        <f>IF(425.28034="","-",425.28034)</f>
        <v>425.28034000000002</v>
      </c>
      <c r="C143" s="47">
        <f>IF(1003.55892="","-",1003.55892)</f>
        <v>1003.5589199999999</v>
      </c>
      <c r="D143" s="47" t="s">
        <v>307</v>
      </c>
    </row>
    <row r="144" spans="1:4" x14ac:dyDescent="0.25">
      <c r="A144" s="46" t="s">
        <v>218</v>
      </c>
      <c r="B144" s="47">
        <f>IF(15.83932="","-",15.83932)</f>
        <v>15.839320000000001</v>
      </c>
      <c r="C144" s="47">
        <f>IF(1505.10566="","-",1505.10566)</f>
        <v>1505.1056599999999</v>
      </c>
      <c r="D144" s="47" t="s">
        <v>345</v>
      </c>
    </row>
    <row r="145" spans="1:4" x14ac:dyDescent="0.25">
      <c r="A145" s="46" t="s">
        <v>77</v>
      </c>
      <c r="B145" s="47">
        <v>899.79148999999995</v>
      </c>
      <c r="C145" s="47">
        <f>IF(1876.65072="","-",1876.65072)</f>
        <v>1876.6507200000001</v>
      </c>
      <c r="D145" s="47" t="s">
        <v>95</v>
      </c>
    </row>
    <row r="146" spans="1:4" x14ac:dyDescent="0.25">
      <c r="A146" s="46" t="s">
        <v>122</v>
      </c>
      <c r="B146" s="47">
        <f>IF(3735.41446="","-",3735.41446)</f>
        <v>3735.41446</v>
      </c>
      <c r="C146" s="47">
        <f>IF(2971.85802="","-",2971.85802)</f>
        <v>2971.8580200000001</v>
      </c>
      <c r="D146" s="47">
        <f>IF(OR(3735.41446="",2971.85802="",3735.41446=0),"-",2971.85802/3735.41446*100)</f>
        <v>79.55899008861256</v>
      </c>
    </row>
    <row r="147" spans="1:4" x14ac:dyDescent="0.25">
      <c r="A147" s="46" t="s">
        <v>57</v>
      </c>
      <c r="B147" s="47">
        <f>IF(5091.43487="","-",5091.43487)</f>
        <v>5091.43487</v>
      </c>
      <c r="C147" s="47">
        <f>IF(4235.98151="","-",4235.98151)</f>
        <v>4235.9815099999996</v>
      </c>
      <c r="D147" s="47">
        <f>IF(OR(5091.43487="",4235.98151="",5091.43487=0),"-",4235.98151/5091.43487*100)</f>
        <v>83.198187115374012</v>
      </c>
    </row>
    <row r="148" spans="1:4" x14ac:dyDescent="0.25">
      <c r="A148" s="46" t="s">
        <v>75</v>
      </c>
      <c r="B148" s="47">
        <f>IF(-3471.62017="","-",-3471.62017)</f>
        <v>-3471.6201700000001</v>
      </c>
      <c r="C148" s="47">
        <f>IF(9389.98147="","-",9389.98147)</f>
        <v>9389.9814700000006</v>
      </c>
      <c r="D148" s="47" t="s">
        <v>22</v>
      </c>
    </row>
    <row r="149" spans="1:4" x14ac:dyDescent="0.25">
      <c r="A149" s="46" t="s">
        <v>58</v>
      </c>
      <c r="B149" s="47">
        <f>IF(14285.18828="","-",14285.18828)</f>
        <v>14285.18828</v>
      </c>
      <c r="C149" s="47">
        <f>IF(11856.22123="","-",11856.22123)</f>
        <v>11856.221229999999</v>
      </c>
      <c r="D149" s="47">
        <f>IF(OR(14285.18828="",11856.22123="",14285.18828=0),"-",11856.22123/14285.18828*100)</f>
        <v>82.996604578179202</v>
      </c>
    </row>
    <row r="150" spans="1:4" x14ac:dyDescent="0.25">
      <c r="A150" s="81" t="s">
        <v>60</v>
      </c>
      <c r="B150" s="57">
        <f>IF(9836.71529="","-",9836.71529)</f>
        <v>9836.7152900000001</v>
      </c>
      <c r="C150" s="57">
        <f>IF(20280.97514="","-",20280.97514)</f>
        <v>20280.975139999999</v>
      </c>
      <c r="D150" s="57" t="s">
        <v>95</v>
      </c>
    </row>
    <row r="151" spans="1:4" x14ac:dyDescent="0.25">
      <c r="A151" s="48" t="s">
        <v>361</v>
      </c>
      <c r="B151" s="50">
        <v>22623.679059999999</v>
      </c>
      <c r="C151" s="50">
        <f>IF(33870.58296="","-",33870.58296)</f>
        <v>33870.58296</v>
      </c>
      <c r="D151" s="50">
        <f>IF(OR(22623.67906="",33870.58296="",22623.67906=0),"-",33870.58296/22623.67906*100)</f>
        <v>149.71297493291084</v>
      </c>
    </row>
    <row r="152" spans="1:4" x14ac:dyDescent="0.25">
      <c r="A152" s="130" t="s">
        <v>302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I8" sqref="I8"/>
    </sheetView>
  </sheetViews>
  <sheetFormatPr defaultRowHeight="15.75" x14ac:dyDescent="0.25"/>
  <cols>
    <col min="1" max="1" width="30.37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91" t="s">
        <v>315</v>
      </c>
      <c r="B1" s="91"/>
      <c r="C1" s="91"/>
      <c r="D1" s="91"/>
      <c r="E1" s="91"/>
    </row>
    <row r="2" spans="1:6" x14ac:dyDescent="0.25">
      <c r="A2" s="7"/>
      <c r="B2" s="7"/>
      <c r="C2" s="7"/>
      <c r="D2" s="7"/>
      <c r="E2" s="7"/>
    </row>
    <row r="3" spans="1:6" ht="18.75" customHeight="1" x14ac:dyDescent="0.25">
      <c r="A3" s="92"/>
      <c r="B3" s="95" t="s">
        <v>349</v>
      </c>
      <c r="C3" s="96"/>
      <c r="D3" s="95" t="s">
        <v>108</v>
      </c>
      <c r="E3" s="111"/>
      <c r="F3" s="1"/>
    </row>
    <row r="4" spans="1:6" ht="18.75" customHeight="1" x14ac:dyDescent="0.25">
      <c r="A4" s="93"/>
      <c r="B4" s="99" t="s">
        <v>121</v>
      </c>
      <c r="C4" s="101" t="s">
        <v>350</v>
      </c>
      <c r="D4" s="103" t="s">
        <v>351</v>
      </c>
      <c r="E4" s="95"/>
      <c r="F4" s="1"/>
    </row>
    <row r="5" spans="1:6" ht="23.25" customHeight="1" x14ac:dyDescent="0.25">
      <c r="A5" s="94"/>
      <c r="B5" s="100"/>
      <c r="C5" s="102"/>
      <c r="D5" s="20">
        <v>2020</v>
      </c>
      <c r="E5" s="19">
        <v>2021</v>
      </c>
      <c r="F5" s="1"/>
    </row>
    <row r="6" spans="1:6" ht="15.75" customHeight="1" x14ac:dyDescent="0.25">
      <c r="A6" s="65" t="s">
        <v>136</v>
      </c>
      <c r="B6" s="58">
        <v>2103349.3090300001</v>
      </c>
      <c r="C6" s="43">
        <v>121.06048818426754</v>
      </c>
      <c r="D6" s="59">
        <v>100</v>
      </c>
      <c r="E6" s="59">
        <v>100</v>
      </c>
    </row>
    <row r="7" spans="1:6" ht="15.75" customHeight="1" x14ac:dyDescent="0.25">
      <c r="A7" s="66" t="s">
        <v>127</v>
      </c>
      <c r="B7" s="28"/>
      <c r="C7" s="60"/>
      <c r="D7" s="28"/>
      <c r="E7" s="28"/>
    </row>
    <row r="8" spans="1:6" x14ac:dyDescent="0.25">
      <c r="A8" s="67" t="s">
        <v>112</v>
      </c>
      <c r="B8" s="47">
        <v>147024.62802999999</v>
      </c>
      <c r="C8" s="61">
        <v>115.62217664567416</v>
      </c>
      <c r="D8" s="47">
        <f>IF(127159.54006="","-",127159.54006/1737475.58788*100)</f>
        <v>7.3186375076011929</v>
      </c>
      <c r="E8" s="47">
        <f>IF(147024.62803="","-",147024.62803/2103396.42877*100)</f>
        <v>6.9898677215105547</v>
      </c>
    </row>
    <row r="9" spans="1:6" x14ac:dyDescent="0.25">
      <c r="A9" s="67" t="s">
        <v>113</v>
      </c>
      <c r="B9" s="47">
        <v>77831.031610000005</v>
      </c>
      <c r="C9" s="61">
        <v>144.79479919557474</v>
      </c>
      <c r="D9" s="47">
        <f>IF(53752.64308="","-",53752.64308/1737475.58788*100)</f>
        <v>3.0937207667813555</v>
      </c>
      <c r="E9" s="47">
        <f>IF(77831.03161="","-",77831.03161/2103396.42877*100)</f>
        <v>3.7002550040228575</v>
      </c>
    </row>
    <row r="10" spans="1:6" x14ac:dyDescent="0.25">
      <c r="A10" s="67" t="s">
        <v>114</v>
      </c>
      <c r="B10" s="47">
        <v>1852836.79061</v>
      </c>
      <c r="C10" s="61">
        <v>120.6042247231095</v>
      </c>
      <c r="D10" s="47">
        <f>IF(1536334.16624="","-",1536334.16624/1737475.58788*100)</f>
        <v>88.423352647767274</v>
      </c>
      <c r="E10" s="88">
        <f>IF(1852836.79061="","-",1852836.79061/2103349.30903*100)</f>
        <v>88.089828097286954</v>
      </c>
    </row>
    <row r="11" spans="1:6" x14ac:dyDescent="0.25">
      <c r="A11" s="67" t="s">
        <v>115</v>
      </c>
      <c r="B11" s="47">
        <v>24611.67049</v>
      </c>
      <c r="C11" s="61">
        <v>127.11772511697066</v>
      </c>
      <c r="D11" s="47">
        <f>IF(19361.32075="","-",19361.32075/1737475.58788*100)</f>
        <v>1.1143362752868331</v>
      </c>
      <c r="E11" s="47">
        <f>IF(24611.67049="","-",24611.67049/2103396.42877*100)</f>
        <v>1.1700918644419365</v>
      </c>
    </row>
    <row r="12" spans="1:6" x14ac:dyDescent="0.25">
      <c r="A12" s="67" t="s">
        <v>116</v>
      </c>
      <c r="B12" s="47">
        <v>944.76522</v>
      </c>
      <c r="C12" s="61">
        <v>116.53981106040034</v>
      </c>
      <c r="D12" s="47">
        <f>IF(810.68024="","-",810.68024/1737475.58788*100)</f>
        <v>4.665851109822846E-2</v>
      </c>
      <c r="E12" s="47">
        <f>IF(944.76522="","-",944.76522/2103396.42877*100)</f>
        <v>4.4916174957683505E-2</v>
      </c>
    </row>
    <row r="13" spans="1:6" x14ac:dyDescent="0.25">
      <c r="A13" s="67" t="s">
        <v>117</v>
      </c>
      <c r="B13" s="47">
        <v>4.4146299999999998</v>
      </c>
      <c r="C13" s="61">
        <v>79.376835125080675</v>
      </c>
      <c r="D13" s="47">
        <f>IF(5.56161="","-",5.56161/1737475.58788*100)</f>
        <v>3.2009715928072748E-4</v>
      </c>
      <c r="E13" s="47">
        <f>IF(4.41463="","-",4.41463/2103396.42877*100)</f>
        <v>2.0988102573614887E-4</v>
      </c>
    </row>
    <row r="14" spans="1:6" x14ac:dyDescent="0.25">
      <c r="A14" s="67" t="s">
        <v>118</v>
      </c>
      <c r="B14" s="47">
        <v>96.008439999999993</v>
      </c>
      <c r="C14" s="61" t="s">
        <v>105</v>
      </c>
      <c r="D14" s="47">
        <f>IF(51.6759="","-",51.6759/1737475.58788*100)</f>
        <v>2.9741943058349913E-3</v>
      </c>
      <c r="E14" s="47">
        <f>IF(96.00844="","-",96.00844/2103396.42877*100)</f>
        <v>4.564448179468608E-3</v>
      </c>
    </row>
    <row r="15" spans="1:6" x14ac:dyDescent="0.25">
      <c r="A15" s="44" t="s">
        <v>212</v>
      </c>
      <c r="B15" s="45">
        <v>1288481.51513</v>
      </c>
      <c r="C15" s="62">
        <v>112.91588940548716</v>
      </c>
      <c r="D15" s="45">
        <f>IF(1141098.49545="","-",1141098.49545/1737475.58788*100)</f>
        <v>65.67565630331093</v>
      </c>
      <c r="E15" s="45">
        <f>IF(1288481.51513="","-",1288481.51513/2103396.42877*100)</f>
        <v>61.257188493158345</v>
      </c>
    </row>
    <row r="16" spans="1:6" x14ac:dyDescent="0.25">
      <c r="A16" s="66" t="s">
        <v>127</v>
      </c>
      <c r="B16" s="27"/>
      <c r="C16" s="62"/>
      <c r="D16" s="27"/>
      <c r="E16" s="27"/>
    </row>
    <row r="17" spans="1:11" x14ac:dyDescent="0.25">
      <c r="A17" s="67" t="s">
        <v>112</v>
      </c>
      <c r="B17" s="47">
        <v>48571.71574</v>
      </c>
      <c r="C17" s="63">
        <v>84.526502614866729</v>
      </c>
      <c r="D17" s="47">
        <f>IF(57463.29759="","-",57463.29759/1737475.58788*100)</f>
        <v>3.3072866169080672</v>
      </c>
      <c r="E17" s="47">
        <f>IF(48571.71574="","-",48571.71574/2103396.42877*100)</f>
        <v>2.3092040604254143</v>
      </c>
      <c r="K17" s="22"/>
    </row>
    <row r="18" spans="1:11" x14ac:dyDescent="0.25">
      <c r="A18" s="67" t="s">
        <v>113</v>
      </c>
      <c r="B18" s="47">
        <v>12495.968940000001</v>
      </c>
      <c r="C18" s="63">
        <v>102.31231189375993</v>
      </c>
      <c r="D18" s="47">
        <f>IF(12213.55349="","-",12213.55349/1737475.58788*100)</f>
        <v>0.70294820688113968</v>
      </c>
      <c r="E18" s="47">
        <f>IF(12495.96894="","-",12495.96894/2103396.42877*100)</f>
        <v>0.59408529790588493</v>
      </c>
    </row>
    <row r="19" spans="1:11" x14ac:dyDescent="0.25">
      <c r="A19" s="67" t="s">
        <v>114</v>
      </c>
      <c r="B19" s="47">
        <v>1223001.5088500001</v>
      </c>
      <c r="C19" s="63">
        <v>114.57934820463645</v>
      </c>
      <c r="D19" s="47">
        <f>IF(1067383.89423="","-",1067383.89423/1737475.58788*100)</f>
        <v>61.433029717118515</v>
      </c>
      <c r="E19" s="47">
        <f>IF(1223001.50885="","-",1223001.50885/2103396.42877*100)</f>
        <v>58.144127855402552</v>
      </c>
    </row>
    <row r="20" spans="1:11" x14ac:dyDescent="0.25">
      <c r="A20" s="67" t="s">
        <v>115</v>
      </c>
      <c r="B20" s="47">
        <v>3540.4555999999998</v>
      </c>
      <c r="C20" s="63">
        <v>97.946108122273387</v>
      </c>
      <c r="D20" s="47">
        <f>IF(3614.69758="","-",3614.69758/1737475.58788*100)</f>
        <v>0.20804307152369911</v>
      </c>
      <c r="E20" s="47">
        <f>IF(3540.4556="","-",3540.4556/2103396.42877*100)</f>
        <v>0.16832089051659874</v>
      </c>
    </row>
    <row r="21" spans="1:11" x14ac:dyDescent="0.25">
      <c r="A21" s="67" t="s">
        <v>116</v>
      </c>
      <c r="B21" s="47">
        <v>819.13341000000003</v>
      </c>
      <c r="C21" s="63" t="s">
        <v>95</v>
      </c>
      <c r="D21" s="47">
        <f>IF(386.81099="","-",386.81099/1737475.58788*100)</f>
        <v>2.2262815817284183E-2</v>
      </c>
      <c r="E21" s="47">
        <f>IF(819.13341="","-",819.13341/2103396.42877*100)</f>
        <v>3.8943367916574975E-2</v>
      </c>
    </row>
    <row r="22" spans="1:11" x14ac:dyDescent="0.25">
      <c r="A22" s="52" t="s">
        <v>118</v>
      </c>
      <c r="B22" s="47">
        <v>52.732590000000002</v>
      </c>
      <c r="C22" s="63">
        <v>145.5030507784293</v>
      </c>
      <c r="D22" s="47">
        <f>IF(36.24157="","-",36.24157/1737475.58788*100)</f>
        <v>2.0858750622344312E-3</v>
      </c>
      <c r="E22" s="47">
        <f>IF(52.73259="","-",52.73259/2103396.42877*100)</f>
        <v>2.507020991322894E-3</v>
      </c>
    </row>
    <row r="23" spans="1:11" x14ac:dyDescent="0.25">
      <c r="A23" s="44" t="s">
        <v>213</v>
      </c>
      <c r="B23" s="45">
        <v>322952.0491</v>
      </c>
      <c r="C23" s="62">
        <v>117.40985969421449</v>
      </c>
      <c r="D23" s="45">
        <f>IF(275063.82338="","-",275063.82338/1737475.58788*100)</f>
        <v>15.831233848621848</v>
      </c>
      <c r="E23" s="45">
        <f>IF(322952.0491="","-",322952.0491/2103396.42877*100)</f>
        <v>15.35383652281145</v>
      </c>
    </row>
    <row r="24" spans="1:11" x14ac:dyDescent="0.25">
      <c r="A24" s="66" t="s">
        <v>127</v>
      </c>
      <c r="B24" s="27"/>
      <c r="C24" s="62"/>
      <c r="D24" s="27"/>
      <c r="E24" s="27"/>
    </row>
    <row r="25" spans="1:11" x14ac:dyDescent="0.25">
      <c r="A25" s="67" t="s">
        <v>112</v>
      </c>
      <c r="B25" s="47">
        <v>10277.59619</v>
      </c>
      <c r="C25" s="63" t="s">
        <v>397</v>
      </c>
      <c r="D25" s="47">
        <f>IF(1668.99619="","-",1668.99619/1737475.58788*100)</f>
        <v>9.6058684314318576E-2</v>
      </c>
      <c r="E25" s="47">
        <f>IF(10277.59619="","-",10277.59619/2103396.42877*100)</f>
        <v>0.48861907576832836</v>
      </c>
    </row>
    <row r="26" spans="1:11" x14ac:dyDescent="0.25">
      <c r="A26" s="67" t="s">
        <v>113</v>
      </c>
      <c r="B26" s="47">
        <v>10237.87463</v>
      </c>
      <c r="C26" s="63" t="s">
        <v>209</v>
      </c>
      <c r="D26" s="47">
        <f>IF(5561.68392="","-",5561.68392/1737475.58788*100)</f>
        <v>0.32010141372899231</v>
      </c>
      <c r="E26" s="47">
        <f>IF(10237.87463="","-",10237.87463/2103396.42877*100)</f>
        <v>0.48673062718789473</v>
      </c>
      <c r="F26" s="1"/>
      <c r="G26" s="1"/>
    </row>
    <row r="27" spans="1:11" x14ac:dyDescent="0.25">
      <c r="A27" s="67" t="s">
        <v>114</v>
      </c>
      <c r="B27" s="47">
        <v>295356.36443999998</v>
      </c>
      <c r="C27" s="63">
        <v>113.03940627750228</v>
      </c>
      <c r="D27" s="47">
        <f>IF(261286.19582="","-",261286.19582/1737475.58788*100)</f>
        <v>15.0382657254374</v>
      </c>
      <c r="E27" s="47">
        <f>IF(295356.36444="","-",295356.36444/2103396.42877*100)</f>
        <v>14.041878192819556</v>
      </c>
      <c r="F27" s="10"/>
      <c r="G27" s="10"/>
    </row>
    <row r="28" spans="1:11" x14ac:dyDescent="0.25">
      <c r="A28" s="67" t="s">
        <v>115</v>
      </c>
      <c r="B28" s="47">
        <v>7008.1365500000002</v>
      </c>
      <c r="C28" s="63">
        <v>109.00920012256327</v>
      </c>
      <c r="D28" s="47">
        <f>IF(6428.94044="","-",6428.94044/1737475.58788*100)</f>
        <v>0.37001615935475346</v>
      </c>
      <c r="E28" s="47">
        <f>IF(7008.13655="","-",7008.13655/2103396.42877*100)</f>
        <v>0.33318191730971691</v>
      </c>
    </row>
    <row r="29" spans="1:11" x14ac:dyDescent="0.25">
      <c r="A29" s="67" t="s">
        <v>116</v>
      </c>
      <c r="B29" s="47">
        <v>30.004190000000001</v>
      </c>
      <c r="C29" s="63">
        <v>30.928624949709349</v>
      </c>
      <c r="D29" s="47">
        <f>IF(97.01107="","-",97.01107/1737475.58788*100)</f>
        <v>5.5834493835029437E-3</v>
      </c>
      <c r="E29" s="47">
        <f>IF(30.00419="","-",30.00419/2103396.42877*100)</f>
        <v>1.426463865280284E-3</v>
      </c>
    </row>
    <row r="30" spans="1:11" x14ac:dyDescent="0.25">
      <c r="A30" s="67" t="s">
        <v>117</v>
      </c>
      <c r="B30" s="47">
        <v>4.4146299999999998</v>
      </c>
      <c r="C30" s="63">
        <v>79.376835125080675</v>
      </c>
      <c r="D30" s="47">
        <f>IF(5.56161="","-",5.56161/1737475.58788*100)</f>
        <v>3.2009715928072748E-4</v>
      </c>
      <c r="E30" s="47">
        <f>IF(4.41463="","-",4.41463/2103396.42877*100)</f>
        <v>2.0988102573614887E-4</v>
      </c>
    </row>
    <row r="31" spans="1:11" x14ac:dyDescent="0.25">
      <c r="A31" s="67" t="s">
        <v>118</v>
      </c>
      <c r="B31" s="47">
        <v>37.658470000000001</v>
      </c>
      <c r="C31" s="63" t="s">
        <v>307</v>
      </c>
      <c r="D31" s="47">
        <f>IF(15.43433="","-",15.43433/1737475.58788*100)</f>
        <v>8.8831924360056002E-4</v>
      </c>
      <c r="E31" s="47">
        <f>IF(37.65847="","-",37.65847/2103396.42877*100)</f>
        <v>1.7903648349361081E-3</v>
      </c>
    </row>
    <row r="32" spans="1:11" x14ac:dyDescent="0.25">
      <c r="A32" s="44" t="s">
        <v>323</v>
      </c>
      <c r="B32" s="45">
        <v>491915.74479999999</v>
      </c>
      <c r="C32" s="62" t="s">
        <v>221</v>
      </c>
      <c r="D32" s="45">
        <f>IF(321313.26905="","-",321313.26905/1737475.58788*100)</f>
        <v>18.493109848067213</v>
      </c>
      <c r="E32" s="89">
        <f>IF(491915.7448="","-",491915.7448/2103349.30903*100)</f>
        <v>23.387258725316357</v>
      </c>
    </row>
    <row r="33" spans="1:5" x14ac:dyDescent="0.25">
      <c r="A33" s="66" t="s">
        <v>127</v>
      </c>
      <c r="B33" s="27"/>
      <c r="C33" s="62"/>
      <c r="D33" s="27"/>
      <c r="E33" s="27"/>
    </row>
    <row r="34" spans="1:5" x14ac:dyDescent="0.25">
      <c r="A34" s="67" t="s">
        <v>112</v>
      </c>
      <c r="B34" s="47">
        <v>88175.316099999996</v>
      </c>
      <c r="C34" s="63">
        <v>129.61764722486424</v>
      </c>
      <c r="D34" s="47">
        <f>IF(68027.24628="","-",68027.24628/1737475.58788*100)</f>
        <v>3.9152922063788074</v>
      </c>
      <c r="E34" s="47">
        <f>IF(88175.3161="","-",88175.3161/2103396.42877*100)</f>
        <v>4.1920445853168129</v>
      </c>
    </row>
    <row r="35" spans="1:5" x14ac:dyDescent="0.25">
      <c r="A35" s="67" t="s">
        <v>113</v>
      </c>
      <c r="B35" s="47">
        <v>55097.188040000001</v>
      </c>
      <c r="C35" s="63" t="s">
        <v>221</v>
      </c>
      <c r="D35" s="47">
        <f>IF(35977.40567="","-",35977.40567/1737475.58788*100)</f>
        <v>2.0706711461712235</v>
      </c>
      <c r="E35" s="47">
        <f>IF(55097.18804="","-",55097.18804/2103396.42877*100)</f>
        <v>2.6194390789290778</v>
      </c>
    </row>
    <row r="36" spans="1:5" x14ac:dyDescent="0.25">
      <c r="A36" s="67" t="s">
        <v>114</v>
      </c>
      <c r="B36" s="47">
        <v>334478.91732000001</v>
      </c>
      <c r="C36" s="63" t="s">
        <v>104</v>
      </c>
      <c r="D36" s="47">
        <f>IF(207664.07619="","-",207664.07619/1737475.58788*100)</f>
        <v>11.952057205211361</v>
      </c>
      <c r="E36" s="88">
        <f>IF(334478.91732="","-",334478.91732/2103349.30903*100)</f>
        <v>15.902204920696287</v>
      </c>
    </row>
    <row r="37" spans="1:5" x14ac:dyDescent="0.25">
      <c r="A37" s="67" t="s">
        <v>115</v>
      </c>
      <c r="B37" s="47">
        <v>14063.07834</v>
      </c>
      <c r="C37" s="63" t="s">
        <v>221</v>
      </c>
      <c r="D37" s="47">
        <f>IF(9317.68273="","-",9317.68273/1737475.58788*100)</f>
        <v>0.53627704440838064</v>
      </c>
      <c r="E37" s="47">
        <f>IF(14063.07834="","-",14063.07834/2103396.42877*100)</f>
        <v>0.66858905661562074</v>
      </c>
    </row>
    <row r="38" spans="1:5" x14ac:dyDescent="0.25">
      <c r="A38" s="52" t="s">
        <v>116</v>
      </c>
      <c r="B38" s="57">
        <v>95.627619999999993</v>
      </c>
      <c r="C38" s="64">
        <v>29.256609089605774</v>
      </c>
      <c r="D38" s="57">
        <f>IF(326.85818="","-",326.85818/1737475.58788*100)</f>
        <v>1.8812245897441335E-2</v>
      </c>
      <c r="E38" s="57">
        <f>IF(95.62762="","-",95.62762/2103396.42877*100)</f>
        <v>4.5463431758282491E-3</v>
      </c>
    </row>
    <row r="39" spans="1:5" x14ac:dyDescent="0.25">
      <c r="A39" s="68" t="s">
        <v>118</v>
      </c>
      <c r="B39" s="50">
        <v>5.6173799999999998</v>
      </c>
      <c r="C39" s="85" t="s">
        <v>305</v>
      </c>
      <c r="D39" s="50" t="s">
        <v>305</v>
      </c>
      <c r="E39" s="50">
        <f>IF(5.61738="","-",5.61738/2103396.42877*100)</f>
        <v>2.6706235320960711E-4</v>
      </c>
    </row>
    <row r="40" spans="1:5" x14ac:dyDescent="0.25">
      <c r="A40" s="131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1"/>
  <sheetViews>
    <sheetView workbookViewId="0">
      <selection activeCell="H9" sqref="H9"/>
    </sheetView>
  </sheetViews>
  <sheetFormatPr defaultRowHeight="15.75" x14ac:dyDescent="0.25"/>
  <cols>
    <col min="1" max="1" width="31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91" t="s">
        <v>314</v>
      </c>
      <c r="B1" s="91"/>
      <c r="C1" s="91"/>
      <c r="D1" s="91"/>
      <c r="E1" s="91"/>
    </row>
    <row r="2" spans="1:6" x14ac:dyDescent="0.25">
      <c r="A2" s="7"/>
      <c r="B2" s="7"/>
      <c r="C2" s="7"/>
      <c r="D2" s="7"/>
      <c r="E2" s="7"/>
    </row>
    <row r="3" spans="1:6" ht="17.25" customHeight="1" x14ac:dyDescent="0.25">
      <c r="A3" s="92"/>
      <c r="B3" s="95" t="s">
        <v>349</v>
      </c>
      <c r="C3" s="96"/>
      <c r="D3" s="95" t="s">
        <v>108</v>
      </c>
      <c r="E3" s="111"/>
      <c r="F3" s="1"/>
    </row>
    <row r="4" spans="1:6" ht="20.25" customHeight="1" x14ac:dyDescent="0.25">
      <c r="A4" s="93"/>
      <c r="B4" s="99" t="s">
        <v>121</v>
      </c>
      <c r="C4" s="101" t="s">
        <v>350</v>
      </c>
      <c r="D4" s="103" t="s">
        <v>351</v>
      </c>
      <c r="E4" s="95"/>
      <c r="F4" s="1"/>
    </row>
    <row r="5" spans="1:6" ht="20.25" customHeight="1" x14ac:dyDescent="0.25">
      <c r="A5" s="94"/>
      <c r="B5" s="100"/>
      <c r="C5" s="102"/>
      <c r="D5" s="26">
        <v>2020</v>
      </c>
      <c r="E5" s="25">
        <v>2021</v>
      </c>
      <c r="F5" s="1"/>
    </row>
    <row r="6" spans="1:6" ht="15.75" customHeight="1" x14ac:dyDescent="0.25">
      <c r="A6" s="65" t="s">
        <v>128</v>
      </c>
      <c r="B6" s="58">
        <v>5072717.7421800001</v>
      </c>
      <c r="C6" s="69">
        <v>132.37024678237321</v>
      </c>
      <c r="D6" s="59">
        <v>100</v>
      </c>
      <c r="E6" s="59">
        <v>100</v>
      </c>
    </row>
    <row r="7" spans="1:6" ht="15.75" customHeight="1" x14ac:dyDescent="0.25">
      <c r="A7" s="66" t="s">
        <v>127</v>
      </c>
      <c r="B7" s="28"/>
      <c r="C7" s="60"/>
      <c r="D7" s="28"/>
      <c r="E7" s="28"/>
    </row>
    <row r="8" spans="1:6" x14ac:dyDescent="0.25">
      <c r="A8" s="67" t="s">
        <v>112</v>
      </c>
      <c r="B8" s="47">
        <v>160052.76071</v>
      </c>
      <c r="C8" s="61" t="s">
        <v>296</v>
      </c>
      <c r="D8" s="47">
        <f>IF(60654.15227="","-",60654.15227/3832218.99595*100)</f>
        <v>1.5827423311168036</v>
      </c>
      <c r="E8" s="47">
        <f>IF(160052.76071="","-",160052.76071/5072717.74218*100)</f>
        <v>3.15516787735202</v>
      </c>
    </row>
    <row r="9" spans="1:6" x14ac:dyDescent="0.25">
      <c r="A9" s="67" t="s">
        <v>113</v>
      </c>
      <c r="B9" s="47">
        <v>247158.87291000001</v>
      </c>
      <c r="C9" s="61">
        <v>126.44830780143654</v>
      </c>
      <c r="D9" s="47">
        <f>IF(195462.3808="","-",195462.3808/3832218.99595*100)</f>
        <v>5.100501328514115</v>
      </c>
      <c r="E9" s="47">
        <f>IF(247158.87291="","-",247158.87291/5072717.74218*100)</f>
        <v>4.8723166845033941</v>
      </c>
    </row>
    <row r="10" spans="1:6" x14ac:dyDescent="0.25">
      <c r="A10" s="67" t="s">
        <v>114</v>
      </c>
      <c r="B10" s="47">
        <v>4337596.7322000004</v>
      </c>
      <c r="C10" s="61">
        <v>130.04010367477503</v>
      </c>
      <c r="D10" s="47">
        <f>IF(3335583.8773="","-",3335583.8773/3832218.99595*100)</f>
        <v>87.04053397848979</v>
      </c>
      <c r="E10" s="47">
        <f>IF(4337596.7322="","-",4337596.7322/5072717.74218*100)</f>
        <v>85.508339960108216</v>
      </c>
    </row>
    <row r="11" spans="1:6" x14ac:dyDescent="0.25">
      <c r="A11" s="67" t="s">
        <v>115</v>
      </c>
      <c r="B11" s="47">
        <v>122291.07431</v>
      </c>
      <c r="C11" s="61">
        <v>140.69518930212649</v>
      </c>
      <c r="D11" s="47">
        <f>IF(86919.1583="","-",86919.1583/3832218.99595*100)</f>
        <v>2.2681156372289442</v>
      </c>
      <c r="E11" s="47">
        <f>IF(122291.07431="","-",122291.07431/5072717.74218*100)</f>
        <v>2.4107604744719233</v>
      </c>
    </row>
    <row r="12" spans="1:6" x14ac:dyDescent="0.25">
      <c r="A12" s="67" t="s">
        <v>116</v>
      </c>
      <c r="B12" s="47">
        <v>9011.4847499999996</v>
      </c>
      <c r="C12" s="61">
        <v>91.135283251639905</v>
      </c>
      <c r="D12" s="47">
        <f>IF(9888.03066="","-",9888.03066/3832218.99595*100)</f>
        <v>0.2580236325337868</v>
      </c>
      <c r="E12" s="47">
        <f>IF(9011.48475="","-",9011.48475/5072717.74218*100)</f>
        <v>0.17764609047865759</v>
      </c>
    </row>
    <row r="13" spans="1:6" x14ac:dyDescent="0.25">
      <c r="A13" s="67" t="s">
        <v>117</v>
      </c>
      <c r="B13" s="47">
        <v>166358.80900000001</v>
      </c>
      <c r="C13" s="61">
        <v>133.80339114305301</v>
      </c>
      <c r="D13" s="47">
        <f>IF(124330.78682="","-",124330.78682/3832218.99595*100)</f>
        <v>3.2443549533937488</v>
      </c>
      <c r="E13" s="47">
        <f>IF(166358.809="","-",166358.809/5072717.74218*100)</f>
        <v>3.2794808908194315</v>
      </c>
    </row>
    <row r="14" spans="1:6" x14ac:dyDescent="0.25">
      <c r="A14" s="67" t="s">
        <v>118</v>
      </c>
      <c r="B14" s="47">
        <v>30248.008300000001</v>
      </c>
      <c r="C14" s="61" t="s">
        <v>104</v>
      </c>
      <c r="D14" s="47">
        <f>IF(19380.6098="","-",19380.6098/3832218.99595*100)</f>
        <v>0.50572813872281275</v>
      </c>
      <c r="E14" s="47">
        <f>IF(30248.0083="","-",30248.0083/5072717.74218*100)</f>
        <v>0.59628802226636257</v>
      </c>
    </row>
    <row r="15" spans="1:6" x14ac:dyDescent="0.25">
      <c r="A15" s="44" t="s">
        <v>212</v>
      </c>
      <c r="B15" s="45">
        <v>2323028.3776799999</v>
      </c>
      <c r="C15" s="62">
        <v>132.60657903269635</v>
      </c>
      <c r="D15" s="45">
        <f>IF(1751819.85285="","-",1751819.85285/3832218.99595*100)</f>
        <v>45.712936935529356</v>
      </c>
      <c r="E15" s="45">
        <f>IF(2323028.37768="","-",2323028.37768/5072717.74218*100)</f>
        <v>45.794552264634355</v>
      </c>
    </row>
    <row r="16" spans="1:6" x14ac:dyDescent="0.25">
      <c r="A16" s="66" t="s">
        <v>127</v>
      </c>
      <c r="B16" s="28"/>
      <c r="C16" s="62"/>
      <c r="D16" s="28"/>
      <c r="E16" s="28"/>
    </row>
    <row r="17" spans="1:7" x14ac:dyDescent="0.25">
      <c r="A17" s="67" t="s">
        <v>112</v>
      </c>
      <c r="B17" s="47">
        <v>47437.633540000003</v>
      </c>
      <c r="C17" s="63" t="s">
        <v>307</v>
      </c>
      <c r="D17" s="47">
        <f>IF(19644.42434="","-",19644.42434/3832218.99595*100)</f>
        <v>0.51261225834851298</v>
      </c>
      <c r="E17" s="47">
        <f>IF(47437.63354="","-",47437.63354/5072717.74218*100)</f>
        <v>0.93515223891825849</v>
      </c>
    </row>
    <row r="18" spans="1:7" x14ac:dyDescent="0.25">
      <c r="A18" s="67" t="s">
        <v>113</v>
      </c>
      <c r="B18" s="47">
        <v>85051.611959999995</v>
      </c>
      <c r="C18" s="63" t="s">
        <v>344</v>
      </c>
      <c r="D18" s="47">
        <f>IF(16476.21906="","-",16476.21906/3832218.99595*100)</f>
        <v>0.42993939222712857</v>
      </c>
      <c r="E18" s="47">
        <f>IF(85051.61196="","-",85051.61196/5072717.74218*100)</f>
        <v>1.6766478302703489</v>
      </c>
    </row>
    <row r="19" spans="1:7" x14ac:dyDescent="0.25">
      <c r="A19" s="67" t="s">
        <v>114</v>
      </c>
      <c r="B19" s="47">
        <v>2133375.79158</v>
      </c>
      <c r="C19" s="63">
        <v>127.37155398205364</v>
      </c>
      <c r="D19" s="47">
        <f>IF(1674923.26574="","-",1674923.26574/3832218.99595*100)</f>
        <v>43.70635570436103</v>
      </c>
      <c r="E19" s="47">
        <f>IF(2133375.79158="","-",2133375.79158/5072717.74218*100)</f>
        <v>42.055874188323791</v>
      </c>
    </row>
    <row r="20" spans="1:7" x14ac:dyDescent="0.25">
      <c r="A20" s="67" t="s">
        <v>115</v>
      </c>
      <c r="B20" s="47">
        <v>28782.680540000001</v>
      </c>
      <c r="C20" s="63">
        <v>137.20245673309114</v>
      </c>
      <c r="D20" s="47">
        <f>IF(20978.25449="","-",20978.25449/3832218.99595*100)</f>
        <v>0.5474179453776109</v>
      </c>
      <c r="E20" s="47">
        <f>IF(28782.68054="","-",28782.68054/5072717.74218*100)</f>
        <v>0.56740157846098971</v>
      </c>
    </row>
    <row r="21" spans="1:7" x14ac:dyDescent="0.25">
      <c r="A21" s="67" t="s">
        <v>116</v>
      </c>
      <c r="B21" s="47">
        <v>4587.3808399999998</v>
      </c>
      <c r="C21" s="63" t="s">
        <v>104</v>
      </c>
      <c r="D21" s="47">
        <f>IF(2951.9968="","-",2951.9968/3832218.99595*100)</f>
        <v>7.7031004833485656E-2</v>
      </c>
      <c r="E21" s="47">
        <f>IF(4587.38084="","-",4587.38084/5072717.74218*100)</f>
        <v>9.0432408684118379E-2</v>
      </c>
    </row>
    <row r="22" spans="1:7" x14ac:dyDescent="0.25">
      <c r="A22" s="67" t="s">
        <v>118</v>
      </c>
      <c r="B22" s="47">
        <v>23793.27922</v>
      </c>
      <c r="C22" s="63">
        <v>141.90333128668428</v>
      </c>
      <c r="D22" s="47">
        <f>IF(16767.245="","-",16767.245/3832218.99595*100)</f>
        <v>0.43753358087625233</v>
      </c>
      <c r="E22" s="47">
        <f>IF(23793.27922="","-",23793.27922/5072717.74218*100)</f>
        <v>0.46904401997685052</v>
      </c>
    </row>
    <row r="23" spans="1:7" x14ac:dyDescent="0.25">
      <c r="A23" s="44" t="s">
        <v>213</v>
      </c>
      <c r="B23" s="45">
        <v>1233611.47896</v>
      </c>
      <c r="C23" s="70">
        <v>128.95773146008582</v>
      </c>
      <c r="D23" s="45">
        <f>IF(956601.41117="","-",956601.41117/3832218.99595*100)</f>
        <v>24.962075815107752</v>
      </c>
      <c r="E23" s="45">
        <f>IF(1233611.47896="","-",1233611.47896/5072717.74218*100)</f>
        <v>24.318551546884521</v>
      </c>
    </row>
    <row r="24" spans="1:7" x14ac:dyDescent="0.25">
      <c r="A24" s="67" t="s">
        <v>127</v>
      </c>
      <c r="B24" s="28"/>
      <c r="C24" s="71"/>
      <c r="D24" s="28"/>
      <c r="E24" s="126"/>
    </row>
    <row r="25" spans="1:7" x14ac:dyDescent="0.25">
      <c r="A25" s="67" t="s">
        <v>112</v>
      </c>
      <c r="B25" s="47">
        <v>90988.510320000001</v>
      </c>
      <c r="C25" s="61" t="s">
        <v>321</v>
      </c>
      <c r="D25" s="47">
        <f>IF(29175.4604="","-",29175.4604/3832218.99595*100)</f>
        <v>0.76132028025625553</v>
      </c>
      <c r="E25" s="47">
        <f>IF(90988.51032="","-",90988.51032/5072717.74218*100)</f>
        <v>1.7936836809078538</v>
      </c>
    </row>
    <row r="26" spans="1:7" x14ac:dyDescent="0.25">
      <c r="A26" s="67" t="s">
        <v>113</v>
      </c>
      <c r="B26" s="47">
        <v>162056.70021000001</v>
      </c>
      <c r="C26" s="61">
        <v>90.650529258606966</v>
      </c>
      <c r="D26" s="47">
        <f>IF(178770.82631="","-",178770.82631/3832218.99595*100)</f>
        <v>4.6649428568390849</v>
      </c>
      <c r="E26" s="47">
        <f>IF(162056.70021="","-",162056.70021/5072717.74218*100)</f>
        <v>3.1946721352636533</v>
      </c>
      <c r="F26" s="1"/>
      <c r="G26" s="1"/>
    </row>
    <row r="27" spans="1:7" x14ac:dyDescent="0.25">
      <c r="A27" s="67" t="s">
        <v>114</v>
      </c>
      <c r="B27" s="47">
        <v>792243.23551000003</v>
      </c>
      <c r="C27" s="61">
        <v>129.26831509823552</v>
      </c>
      <c r="D27" s="47">
        <f>IF(612867.30233="","-",612867.30233/3832218.99595*100)</f>
        <v>15.992491634160153</v>
      </c>
      <c r="E27" s="47">
        <f>IF(792243.23551="","-",792243.23551/5072717.74218*100)</f>
        <v>15.617727533358353</v>
      </c>
      <c r="F27" s="1"/>
      <c r="G27" s="1"/>
    </row>
    <row r="28" spans="1:7" x14ac:dyDescent="0.25">
      <c r="A28" s="67" t="s">
        <v>115</v>
      </c>
      <c r="B28" s="47">
        <v>19893.008389999999</v>
      </c>
      <c r="C28" s="61" t="s">
        <v>209</v>
      </c>
      <c r="D28" s="47">
        <f>IF(10810.69339="","-",10810.69339/3832218.99595*100)</f>
        <v>0.28210009400363217</v>
      </c>
      <c r="E28" s="47">
        <f>IF(19893.00839="","-",19893.00839/5072717.74218*100)</f>
        <v>0.39215681614981751</v>
      </c>
      <c r="F28" s="10"/>
      <c r="G28" s="10"/>
    </row>
    <row r="29" spans="1:7" x14ac:dyDescent="0.25">
      <c r="A29" s="67" t="s">
        <v>116</v>
      </c>
      <c r="B29" s="47">
        <v>232.92738</v>
      </c>
      <c r="C29" s="61">
        <v>67.606266866383081</v>
      </c>
      <c r="D29" s="47">
        <f>IF(344.53519="","-",344.53519/3832218.99595*100)</f>
        <v>8.9904880270181512E-3</v>
      </c>
      <c r="E29" s="47">
        <f>IF(232.92738="","-",232.92738/5072717.74218*100)</f>
        <v>4.5917670140247051E-3</v>
      </c>
    </row>
    <row r="30" spans="1:7" x14ac:dyDescent="0.25">
      <c r="A30" s="67" t="s">
        <v>117</v>
      </c>
      <c r="B30" s="47">
        <v>166358.80900000001</v>
      </c>
      <c r="C30" s="61">
        <v>133.88786867380301</v>
      </c>
      <c r="D30" s="47">
        <f>IF(124252.3394="","-",124252.3394/3832218.99595*100)</f>
        <v>3.2423079038884119</v>
      </c>
      <c r="E30" s="47">
        <f>IF(166358.809="","-",166358.809/5072717.74218*100)</f>
        <v>3.2794808908194315</v>
      </c>
    </row>
    <row r="31" spans="1:7" x14ac:dyDescent="0.25">
      <c r="A31" s="67" t="s">
        <v>118</v>
      </c>
      <c r="B31" s="47">
        <v>1838.2881500000001</v>
      </c>
      <c r="C31" s="61" t="s">
        <v>211</v>
      </c>
      <c r="D31" s="47">
        <f>IF(380.25415="","-",380.25415/3832218.99595*100)</f>
        <v>9.9225579331938905E-3</v>
      </c>
      <c r="E31" s="47">
        <f>IF(1838.28815="","-",1838.28815/5072717.74218*100)</f>
        <v>3.6238723371389392E-2</v>
      </c>
    </row>
    <row r="32" spans="1:7" x14ac:dyDescent="0.25">
      <c r="A32" s="44" t="s">
        <v>214</v>
      </c>
      <c r="B32" s="45">
        <v>1516077.8855399999</v>
      </c>
      <c r="C32" s="62">
        <v>134.90665112273376</v>
      </c>
      <c r="D32" s="45">
        <f>IF(1123797.73193="","-",1123797.73193/3832218.99595*100)</f>
        <v>29.324987249362888</v>
      </c>
      <c r="E32" s="45">
        <f>IF(1516077.88554="","-",1516077.88554/5072717.74218*100)</f>
        <v>29.886896188481121</v>
      </c>
    </row>
    <row r="33" spans="1:5" x14ac:dyDescent="0.25">
      <c r="A33" s="67" t="s">
        <v>127</v>
      </c>
      <c r="B33" s="28"/>
      <c r="C33" s="62"/>
      <c r="D33" s="29"/>
      <c r="E33" s="29"/>
    </row>
    <row r="34" spans="1:5" x14ac:dyDescent="0.25">
      <c r="A34" s="67" t="s">
        <v>112</v>
      </c>
      <c r="B34" s="57">
        <v>21626.616849999999</v>
      </c>
      <c r="C34" s="63" t="s">
        <v>209</v>
      </c>
      <c r="D34" s="47">
        <f>IF(11834.26753="","-",11834.26753/3832218.99595*100)</f>
        <v>0.30880979251203539</v>
      </c>
      <c r="E34" s="57">
        <f>IF(21626.61685="","-",21626.61685/5072717.74218*100)</f>
        <v>0.4263319575259073</v>
      </c>
    </row>
    <row r="35" spans="1:5" x14ac:dyDescent="0.25">
      <c r="A35" s="67" t="s">
        <v>113</v>
      </c>
      <c r="B35" s="57">
        <v>50.560740000000003</v>
      </c>
      <c r="C35" s="63">
        <v>23.479991193274603</v>
      </c>
      <c r="D35" s="47">
        <f>IF(215.33543="","-",215.33543/3832218.99595*100)</f>
        <v>5.6190794479014042E-3</v>
      </c>
      <c r="E35" s="57">
        <f>IF(50.56074="","-",50.56074/5072717.74218*100)</f>
        <v>9.9671896939157369E-4</v>
      </c>
    </row>
    <row r="36" spans="1:5" x14ac:dyDescent="0.25">
      <c r="A36" s="67" t="s">
        <v>114</v>
      </c>
      <c r="B36" s="57">
        <v>1411977.70511</v>
      </c>
      <c r="C36" s="63">
        <v>134.75727442348636</v>
      </c>
      <c r="D36" s="47">
        <f>IF(1047793.30923="","-",1047793.30923/3832218.99595*100)</f>
        <v>27.341686639968604</v>
      </c>
      <c r="E36" s="57">
        <f>IF(1411977.70511="","-",1411977.70511/5072717.74218*100)</f>
        <v>27.83473823842607</v>
      </c>
    </row>
    <row r="37" spans="1:5" x14ac:dyDescent="0.25">
      <c r="A37" s="67" t="s">
        <v>115</v>
      </c>
      <c r="B37" s="57">
        <v>73615.385380000007</v>
      </c>
      <c r="C37" s="63">
        <v>133.53002794506656</v>
      </c>
      <c r="D37" s="47">
        <f>IF(55130.21042="","-",55130.21042/3832218.99595*100)</f>
        <v>1.4385975978477015</v>
      </c>
      <c r="E37" s="57">
        <f>IF(73615.38538="","-",73615.38538/5072717.74218*100)</f>
        <v>1.451202079861116</v>
      </c>
    </row>
    <row r="38" spans="1:5" x14ac:dyDescent="0.25">
      <c r="A38" s="67" t="s">
        <v>116</v>
      </c>
      <c r="B38" s="57">
        <v>4191.1765299999997</v>
      </c>
      <c r="C38" s="64">
        <v>63.584576737842227</v>
      </c>
      <c r="D38" s="47">
        <f>IF(6591.49867="","-",6591.49867/3832218.99595*100)</f>
        <v>0.17200213967328296</v>
      </c>
      <c r="E38" s="57">
        <f>IF(4191.17653="","-",4191.17653/5072717.74218*100)</f>
        <v>8.2621914780514519E-2</v>
      </c>
    </row>
    <row r="39" spans="1:5" x14ac:dyDescent="0.25">
      <c r="A39" s="68" t="s">
        <v>118</v>
      </c>
      <c r="B39" s="50">
        <v>4616.4409299999998</v>
      </c>
      <c r="C39" s="72" t="s">
        <v>95</v>
      </c>
      <c r="D39" s="50">
        <f>IF(2233.11065="","-",2233.11065/3832218.99595*100)</f>
        <v>5.8271999913366547E-2</v>
      </c>
      <c r="E39" s="50">
        <f>IF(4616.44093="","-",4616.44093/5072717.74218*100)</f>
        <v>9.1005278918122587E-2</v>
      </c>
    </row>
    <row r="40" spans="1:5" x14ac:dyDescent="0.25">
      <c r="A40" s="131" t="s">
        <v>21</v>
      </c>
      <c r="B40" s="57"/>
      <c r="C40" s="64"/>
      <c r="D40" s="83"/>
      <c r="E40" s="83"/>
    </row>
    <row r="41" spans="1:5" x14ac:dyDescent="0.25">
      <c r="B41" s="1"/>
      <c r="C41" s="1"/>
      <c r="D41" s="1"/>
      <c r="E41" s="1"/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1"/>
  <sheetViews>
    <sheetView zoomScaleNormal="100" workbookViewId="0">
      <selection activeCell="L7" sqref="L7"/>
    </sheetView>
  </sheetViews>
  <sheetFormatPr defaultRowHeight="15.75" x14ac:dyDescent="0.25"/>
  <cols>
    <col min="1" max="1" width="5.625" customWidth="1"/>
    <col min="2" max="2" width="26.125" customWidth="1"/>
    <col min="3" max="3" width="11.625" customWidth="1"/>
    <col min="4" max="4" width="10.125" customWidth="1"/>
    <col min="5" max="5" width="7.75" customWidth="1"/>
    <col min="6" max="8" width="8.625" customWidth="1"/>
    <col min="10" max="10" width="9.125" customWidth="1"/>
  </cols>
  <sheetData>
    <row r="1" spans="1:11" x14ac:dyDescent="0.25">
      <c r="B1" s="104" t="s">
        <v>137</v>
      </c>
      <c r="C1" s="104"/>
      <c r="D1" s="104"/>
      <c r="E1" s="104"/>
      <c r="F1" s="104"/>
      <c r="G1" s="104"/>
      <c r="H1" s="104"/>
    </row>
    <row r="2" spans="1:11" x14ac:dyDescent="0.25">
      <c r="B2" s="104" t="s">
        <v>301</v>
      </c>
      <c r="C2" s="104"/>
      <c r="D2" s="104"/>
      <c r="E2" s="104"/>
      <c r="F2" s="104"/>
      <c r="G2" s="104"/>
      <c r="H2" s="104"/>
    </row>
    <row r="3" spans="1:11" x14ac:dyDescent="0.25">
      <c r="B3" s="6"/>
    </row>
    <row r="4" spans="1:11" ht="57" customHeight="1" x14ac:dyDescent="0.25">
      <c r="A4" s="112" t="s">
        <v>226</v>
      </c>
      <c r="B4" s="115"/>
      <c r="C4" s="118" t="s">
        <v>349</v>
      </c>
      <c r="D4" s="110"/>
      <c r="E4" s="118" t="s">
        <v>0</v>
      </c>
      <c r="F4" s="110"/>
      <c r="G4" s="107" t="s">
        <v>106</v>
      </c>
      <c r="H4" s="119"/>
    </row>
    <row r="5" spans="1:11" ht="19.5" customHeight="1" x14ac:dyDescent="0.25">
      <c r="A5" s="113"/>
      <c r="B5" s="116"/>
      <c r="C5" s="120" t="s">
        <v>110</v>
      </c>
      <c r="D5" s="105" t="s">
        <v>350</v>
      </c>
      <c r="E5" s="122" t="s">
        <v>351</v>
      </c>
      <c r="F5" s="122"/>
      <c r="G5" s="122" t="s">
        <v>396</v>
      </c>
      <c r="H5" s="118"/>
    </row>
    <row r="6" spans="1:11" ht="28.5" customHeight="1" x14ac:dyDescent="0.25">
      <c r="A6" s="114"/>
      <c r="B6" s="117"/>
      <c r="C6" s="121"/>
      <c r="D6" s="106"/>
      <c r="E6" s="21">
        <v>2020</v>
      </c>
      <c r="F6" s="21">
        <v>2021</v>
      </c>
      <c r="G6" s="21">
        <v>2020</v>
      </c>
      <c r="H6" s="17">
        <v>2021</v>
      </c>
    </row>
    <row r="7" spans="1:11" ht="16.5" customHeight="1" x14ac:dyDescent="0.25">
      <c r="A7" s="39"/>
      <c r="B7" s="53" t="s">
        <v>100</v>
      </c>
      <c r="C7" s="42">
        <v>2103349.3090300001</v>
      </c>
      <c r="D7" s="43">
        <f>IF(1737475.58788="","-",2103396.42877/1737475.58788*100)</f>
        <v>121.06048818426754</v>
      </c>
      <c r="E7" s="43">
        <v>100</v>
      </c>
      <c r="F7" s="43">
        <v>100</v>
      </c>
      <c r="G7" s="43">
        <f>IF(2025977.54466="","-",(1737475.58788-2025977.54466)/2025977.54466*100)</f>
        <v>-14.240135955130556</v>
      </c>
      <c r="H7" s="43">
        <f>IF(1737475.58788="","-",(2103396.42877-1737475.58788)/1737475.58788*100)</f>
        <v>21.060488184267527</v>
      </c>
    </row>
    <row r="8" spans="1:11" x14ac:dyDescent="0.25">
      <c r="A8" s="34" t="s">
        <v>227</v>
      </c>
      <c r="B8" s="35" t="s">
        <v>186</v>
      </c>
      <c r="C8" s="32">
        <v>485478.34548999998</v>
      </c>
      <c r="D8" s="45">
        <f>IF(406516.94671="","-",485478.34549/406516.94671*100)</f>
        <v>119.42388857808903</v>
      </c>
      <c r="E8" s="45">
        <f>IF(406516.94671="","-",406516.94671/1737475.58788*100)</f>
        <v>23.39698753442724</v>
      </c>
      <c r="F8" s="45">
        <f>IF(485478.34549="","-",485478.34549/2103396.42877*100)</f>
        <v>23.080686971304427</v>
      </c>
      <c r="G8" s="45">
        <f>IF(2025977.54466="","-",(406516.94671-448961.52869)/2025977.54466*100)</f>
        <v>-2.0950173950285849</v>
      </c>
      <c r="H8" s="45">
        <f>IF(1737475.58788="","-",(485478.34549-406516.94671)/1737475.58788*100)</f>
        <v>4.5446047893165282</v>
      </c>
    </row>
    <row r="9" spans="1:11" ht="13.5" customHeight="1" x14ac:dyDescent="0.25">
      <c r="A9" s="36" t="s">
        <v>228</v>
      </c>
      <c r="B9" s="37" t="s">
        <v>23</v>
      </c>
      <c r="C9" s="33">
        <v>6461.9565400000001</v>
      </c>
      <c r="D9" s="47">
        <f>IF(OR(8481.50957="",6461.95654=""),"-",6461.95654/8481.50957*100)</f>
        <v>76.188754922315084</v>
      </c>
      <c r="E9" s="47">
        <f>IF(8481.50957="","-",8481.50957/1737475.58788*100)</f>
        <v>0.48815129427797072</v>
      </c>
      <c r="F9" s="47">
        <f>IF(6461.95654="","-",6461.95654/2103396.42877*100)</f>
        <v>0.30721534236790293</v>
      </c>
      <c r="G9" s="47">
        <f>IF(OR(2025977.54466="",8327.06212="",8481.50957=""),"-",(8481.50957-8327.06212)/2025977.54466*100)</f>
        <v>7.6233544842136481E-3</v>
      </c>
      <c r="H9" s="47">
        <f>IF(OR(1737475.58788="",6461.95654="",8481.50957=""),"-",(6461.95654-8481.50957)/1737475.58788*100)</f>
        <v>-0.1162349010304185</v>
      </c>
      <c r="I9" s="34"/>
      <c r="J9" s="35"/>
      <c r="K9" s="32"/>
    </row>
    <row r="10" spans="1:11" x14ac:dyDescent="0.25">
      <c r="A10" s="36" t="s">
        <v>229</v>
      </c>
      <c r="B10" s="37" t="s">
        <v>187</v>
      </c>
      <c r="C10" s="33">
        <v>5374.8732300000001</v>
      </c>
      <c r="D10" s="47" t="s">
        <v>104</v>
      </c>
      <c r="E10" s="47">
        <f>IF(3420.88801="","-",3420.88801/1737475.58788*100)</f>
        <v>0.19688840717319284</v>
      </c>
      <c r="F10" s="47">
        <f>IF(5374.87323="","-",5374.87323/2103396.42877*100)</f>
        <v>0.25553305865138587</v>
      </c>
      <c r="G10" s="47">
        <f>IF(OR(2025977.54466="",5065.78506="",3420.88801=""),"-",(3420.88801-5065.78506)/2025977.54466*100)</f>
        <v>-8.1190290303836871E-2</v>
      </c>
      <c r="H10" s="47">
        <f>IF(OR(1737475.58788="",5374.87323="",3420.88801=""),"-",(5374.87323-3420.88801)/1737475.58788*100)</f>
        <v>0.11246116110236556</v>
      </c>
      <c r="I10" s="36"/>
      <c r="J10" s="37"/>
      <c r="K10" s="33"/>
    </row>
    <row r="11" spans="1:11" s="7" customFormat="1" x14ac:dyDescent="0.25">
      <c r="A11" s="36" t="s">
        <v>230</v>
      </c>
      <c r="B11" s="37" t="s">
        <v>188</v>
      </c>
      <c r="C11" s="33">
        <v>9442.5299699999996</v>
      </c>
      <c r="D11" s="47">
        <f>IF(OR(8451.68583="",9442.52997=""),"-",9442.52997/8451.68583*100)</f>
        <v>111.72362721390934</v>
      </c>
      <c r="E11" s="47">
        <f>IF(8451.68583="","-",8451.68583/1737475.58788*100)</f>
        <v>0.48643479591632233</v>
      </c>
      <c r="F11" s="47">
        <f>IF(9442.52997="","-",9442.52997/2103396.42877*100)</f>
        <v>0.44891822772189893</v>
      </c>
      <c r="G11" s="47">
        <f>IF(OR(2025977.54466="",12810.73981="",8451.68583=""),"-",(8451.68583-12810.73981)/2025977.54466*100)</f>
        <v>-0.21515805994441742</v>
      </c>
      <c r="H11" s="47">
        <f>IF(OR(1737475.58788="",9442.52997="",8451.68583=""),"-",(9442.52997-8451.68583)/1737475.58788*100)</f>
        <v>5.702780211197031E-2</v>
      </c>
      <c r="I11" s="36"/>
      <c r="J11" s="37"/>
      <c r="K11" s="33"/>
    </row>
    <row r="12" spans="1:11" s="7" customFormat="1" x14ac:dyDescent="0.25">
      <c r="A12" s="36" t="s">
        <v>231</v>
      </c>
      <c r="B12" s="37" t="s">
        <v>189</v>
      </c>
      <c r="C12" s="33">
        <v>39.540379999999999</v>
      </c>
      <c r="D12" s="47" t="s">
        <v>386</v>
      </c>
      <c r="E12" s="47">
        <f>IF(3.17497="","-",3.17497/1737475.58788*100)</f>
        <v>1.8273465377858773E-4</v>
      </c>
      <c r="F12" s="47">
        <f>IF(39.54038="","-",39.54038/2103396.42877*100)</f>
        <v>1.8798348927083596E-3</v>
      </c>
      <c r="G12" s="47">
        <f>IF(OR(2025977.54466="",20.93109="",3.17497=""),"-",(3.17497-20.93109)/2025977.54466*100)</f>
        <v>-8.7642234963565904E-4</v>
      </c>
      <c r="H12" s="47">
        <f>IF(OR(1737475.58788="",39.54038="",3.17497=""),"-",(39.54038-3.17497)/1737475.58788*100)</f>
        <v>2.0930026443923538E-3</v>
      </c>
      <c r="I12" s="36"/>
      <c r="J12" s="37"/>
      <c r="K12" s="33"/>
    </row>
    <row r="13" spans="1:11" s="7" customFormat="1" ht="15.75" customHeight="1" x14ac:dyDescent="0.25">
      <c r="A13" s="36" t="s">
        <v>232</v>
      </c>
      <c r="B13" s="37" t="s">
        <v>190</v>
      </c>
      <c r="C13" s="33">
        <v>218302.09651999999</v>
      </c>
      <c r="D13" s="47" t="s">
        <v>209</v>
      </c>
      <c r="E13" s="47">
        <f>IF(124148.27171="","-",124148.27171/1737475.58788*100)</f>
        <v>7.1453246638982062</v>
      </c>
      <c r="F13" s="47">
        <f>IF(218302.09652="","-",218302.09652/2103396.42877*100)</f>
        <v>10.378552208898451</v>
      </c>
      <c r="G13" s="47">
        <f>IF(OR(2025977.54466="",191135.1314="",124148.27171=""),"-",(124148.27171-191135.1314)/2025977.54466*100)</f>
        <v>-3.3063969473186718</v>
      </c>
      <c r="H13" s="47">
        <f>IF(OR(1737475.58788="",218302.09652="",124148.27171=""),"-",(218302.09652-124148.27171)/1737475.58788*100)</f>
        <v>5.4190013066533389</v>
      </c>
      <c r="I13" s="36"/>
      <c r="J13" s="37"/>
      <c r="K13" s="33"/>
    </row>
    <row r="14" spans="1:11" s="7" customFormat="1" ht="15.75" customHeight="1" x14ac:dyDescent="0.25">
      <c r="A14" s="36" t="s">
        <v>233</v>
      </c>
      <c r="B14" s="37" t="s">
        <v>191</v>
      </c>
      <c r="C14" s="33">
        <v>205126.40765000001</v>
      </c>
      <c r="D14" s="47">
        <f>IF(OR(222115.01888="",205126.40765=""),"-",205126.40765/222115.01888*100)</f>
        <v>92.351435163788608</v>
      </c>
      <c r="E14" s="47">
        <f>IF(222115.01888="","-",222115.01888/1737475.58788*100)</f>
        <v>12.783777822801879</v>
      </c>
      <c r="F14" s="47">
        <f>IF(205126.40765="","-",205126.40765/2103396.42877*100)</f>
        <v>9.7521515604146689</v>
      </c>
      <c r="G14" s="47">
        <f>IF(OR(2025977.54466="",194335.13174="",222115.01888=""),"-",(222115.01888-194335.13174)/2025977.54466*100)</f>
        <v>1.3711843555828753</v>
      </c>
      <c r="H14" s="47">
        <f>IF(OR(1737475.58788="",205126.40765="",222115.01888=""),"-",(205126.40765-222115.01888)/1737475.58788*100)</f>
        <v>-0.97777553529421501</v>
      </c>
      <c r="I14" s="36"/>
      <c r="J14" s="37"/>
      <c r="K14" s="33"/>
    </row>
    <row r="15" spans="1:11" s="7" customFormat="1" ht="25.5" x14ac:dyDescent="0.25">
      <c r="A15" s="36" t="s">
        <v>234</v>
      </c>
      <c r="B15" s="37" t="s">
        <v>149</v>
      </c>
      <c r="C15" s="33">
        <v>15656.53537</v>
      </c>
      <c r="D15" s="47">
        <f>IF(OR(13775.93873="",15656.53537=""),"-",15656.53537/13775.93873*100)</f>
        <v>113.6513139094079</v>
      </c>
      <c r="E15" s="47">
        <f>IF(13775.93873="","-",13775.93873/1737475.58788*100)</f>
        <v>0.79287092296985096</v>
      </c>
      <c r="F15" s="47">
        <f>IF(15656.53537="","-",15656.53537/2103396.42877*100)</f>
        <v>0.74434543844668632</v>
      </c>
      <c r="G15" s="47">
        <f>IF(OR(2025977.54466="",13657.18056="",13775.93873=""),"-",(13775.93873-13657.18056)/2025977.54466*100)</f>
        <v>5.8617712872987039E-3</v>
      </c>
      <c r="H15" s="47">
        <f>IF(OR(1737475.58788="",15656.53537="",13775.93873=""),"-",(15656.53537-13775.93873)/1737475.58788*100)</f>
        <v>0.10823729859103404</v>
      </c>
      <c r="I15" s="36"/>
      <c r="J15" s="37"/>
      <c r="K15" s="33"/>
    </row>
    <row r="16" spans="1:11" s="7" customFormat="1" ht="25.5" x14ac:dyDescent="0.25">
      <c r="A16" s="36" t="s">
        <v>235</v>
      </c>
      <c r="B16" s="37" t="s">
        <v>192</v>
      </c>
      <c r="C16" s="33">
        <v>7342.9713899999997</v>
      </c>
      <c r="D16" s="47">
        <f>IF(OR(5600.06562="",7342.97139=""),"-",7342.97139/5600.06562*100)</f>
        <v>131.12295262711581</v>
      </c>
      <c r="E16" s="47">
        <f>IF(5600.06562="","-",5600.06562/1737475.58788*100)</f>
        <v>0.32231046347148867</v>
      </c>
      <c r="F16" s="47">
        <f>IF(7342.97139="","-",7342.97139/2103396.42877*100)</f>
        <v>0.34910068732473493</v>
      </c>
      <c r="G16" s="47">
        <f>IF(OR(2025977.54466="",7203.43899="",5600.06562=""),"-",(5600.06562-7203.43899)/2025977.54466*100)</f>
        <v>-7.9140727607081046E-2</v>
      </c>
      <c r="H16" s="47">
        <f>IF(OR(1737475.58788="",7342.97139="",5600.06562=""),"-",(7342.97139-5600.06562)/1737475.58788*100)</f>
        <v>0.10031253285846882</v>
      </c>
      <c r="I16" s="36"/>
      <c r="J16" s="37"/>
      <c r="K16" s="33"/>
    </row>
    <row r="17" spans="1:11" s="7" customFormat="1" ht="25.5" x14ac:dyDescent="0.25">
      <c r="A17" s="36" t="s">
        <v>236</v>
      </c>
      <c r="B17" s="37" t="s">
        <v>150</v>
      </c>
      <c r="C17" s="33">
        <v>13583.900439999999</v>
      </c>
      <c r="D17" s="47">
        <f>IF(OR(18054.91401="",13583.90044=""),"-",13583.90044/18054.91401*100)</f>
        <v>75.236583416992957</v>
      </c>
      <c r="E17" s="47">
        <f>IF(18054.91401="","-",18054.91401/1737475.58788*100)</f>
        <v>1.0391463417353624</v>
      </c>
      <c r="F17" s="47">
        <f>IF(13583.90044="","-",13583.90044/2103396.42877*100)</f>
        <v>0.64580790640323738</v>
      </c>
      <c r="G17" s="47">
        <f>IF(OR(2025977.54466="",14307.55801="",18054.91401=""),"-",(18054.91401-14307.55801)/2025977.54466*100)</f>
        <v>0.18496532747251559</v>
      </c>
      <c r="H17" s="47">
        <f>IF(OR(1737475.58788="",13583.90044="",18054.91401=""),"-",(13583.90044-18054.91401)/1737475.58788*100)</f>
        <v>-0.25732813751100569</v>
      </c>
      <c r="I17" s="36"/>
      <c r="J17" s="37"/>
      <c r="K17" s="33"/>
    </row>
    <row r="18" spans="1:11" s="7" customFormat="1" ht="25.5" x14ac:dyDescent="0.25">
      <c r="A18" s="36" t="s">
        <v>237</v>
      </c>
      <c r="B18" s="37" t="s">
        <v>193</v>
      </c>
      <c r="C18" s="33">
        <v>4147.5339999999997</v>
      </c>
      <c r="D18" s="47" t="s">
        <v>103</v>
      </c>
      <c r="E18" s="47">
        <f>IF(2465.47938="","-",2465.47938/1737475.58788*100)</f>
        <v>0.14190008752918837</v>
      </c>
      <c r="F18" s="47">
        <f>IF(4147.534="","-",4147.534/2103396.42877*100)</f>
        <v>0.19718270618274975</v>
      </c>
      <c r="G18" s="47">
        <f>IF(OR(2025977.54466="",2098.56991="",2465.47938=""),"-",(2465.47938-2098.56991)/2025977.54466*100)</f>
        <v>1.8110243668153531E-2</v>
      </c>
      <c r="H18" s="47">
        <f>IF(OR(1737475.58788="",4147.534="",2465.47938=""),"-",(4147.534-2465.47938)/1737475.58788*100)</f>
        <v>9.6810259190598297E-2</v>
      </c>
      <c r="I18" s="36"/>
      <c r="J18" s="37"/>
      <c r="K18" s="33"/>
    </row>
    <row r="19" spans="1:11" s="7" customFormat="1" x14ac:dyDescent="0.25">
      <c r="A19" s="34" t="s">
        <v>238</v>
      </c>
      <c r="B19" s="35" t="s">
        <v>194</v>
      </c>
      <c r="C19" s="32">
        <v>149522.88688000001</v>
      </c>
      <c r="D19" s="45">
        <f>IF(131432.00523="","-",149522.88688/131432.00523*100)</f>
        <v>113.76444163530928</v>
      </c>
      <c r="E19" s="45">
        <f>IF(131432.00523="","-",131432.00523/1737475.58788*100)</f>
        <v>7.5645382385123598</v>
      </c>
      <c r="F19" s="45">
        <f>IF(149522.88688="","-",149522.88688/2103396.42877*100)</f>
        <v>7.1086403321239962</v>
      </c>
      <c r="G19" s="45">
        <f>IF(2025977.54466="","-",(131432.00523-158645.35913)/2025977.54466*100)</f>
        <v>-1.3432209044827761</v>
      </c>
      <c r="H19" s="45">
        <f>IF(1737475.58788="","-",(149522.88688-131432.00523)/1737475.58788*100)</f>
        <v>1.0412164508206865</v>
      </c>
      <c r="I19" s="36"/>
      <c r="J19" s="37"/>
      <c r="K19" s="33"/>
    </row>
    <row r="20" spans="1:11" s="7" customFormat="1" x14ac:dyDescent="0.25">
      <c r="A20" s="36" t="s">
        <v>239</v>
      </c>
      <c r="B20" s="37" t="s">
        <v>195</v>
      </c>
      <c r="C20" s="33">
        <v>140256.9584</v>
      </c>
      <c r="D20" s="47">
        <f>IF(OR(125253.82983="",140256.9584=""),"-",140256.9584/125253.82983*100)</f>
        <v>111.97817950186666</v>
      </c>
      <c r="E20" s="47">
        <f>IF(125253.82983="","-",125253.82983/1737475.58788*100)</f>
        <v>7.2089548022271686</v>
      </c>
      <c r="F20" s="47">
        <f>IF(140256.9584="","-",140256.9584/2103396.42877*100)</f>
        <v>6.668118119893256</v>
      </c>
      <c r="G20" s="47">
        <f>IF(OR(2025977.54466="",140126.14121="",125253.82983=""),"-",(125253.82983-140126.14121)/2025977.54466*100)</f>
        <v>-0.73408076112195375</v>
      </c>
      <c r="H20" s="47">
        <f>IF(OR(1737475.58788="",140256.9584="",125253.82983=""),"-",(140256.9584-125253.82983)/1737475.58788*100)</f>
        <v>0.86350154641920662</v>
      </c>
      <c r="I20" s="34"/>
      <c r="J20" s="35"/>
      <c r="K20" s="32"/>
    </row>
    <row r="21" spans="1:11" s="7" customFormat="1" x14ac:dyDescent="0.25">
      <c r="A21" s="36" t="s">
        <v>240</v>
      </c>
      <c r="B21" s="37" t="s">
        <v>196</v>
      </c>
      <c r="C21" s="33">
        <v>9265.9284800000005</v>
      </c>
      <c r="D21" s="47" t="s">
        <v>221</v>
      </c>
      <c r="E21" s="47">
        <f>IF(6178.1754="","-",6178.1754/1737475.58788*100)</f>
        <v>0.3555834362851894</v>
      </c>
      <c r="F21" s="47">
        <f>IF(9265.92848="","-",9265.92848/2103396.42877*100)</f>
        <v>0.44052221223074067</v>
      </c>
      <c r="G21" s="47">
        <f>IF(OR(2025977.54466="",18519.21792="",6178.1754=""),"-",(6178.1754-18519.21792)/2025977.54466*100)</f>
        <v>-0.60914014336082267</v>
      </c>
      <c r="H21" s="47">
        <f>IF(OR(1737475.58788="",9265.92848="",6178.1754=""),"-",(9265.92848-6178.1754)/1737475.58788*100)</f>
        <v>0.17771490440148033</v>
      </c>
      <c r="I21" s="36"/>
      <c r="J21" s="37"/>
      <c r="K21" s="33"/>
    </row>
    <row r="22" spans="1:11" s="7" customFormat="1" ht="25.5" x14ac:dyDescent="0.25">
      <c r="A22" s="34" t="s">
        <v>241</v>
      </c>
      <c r="B22" s="35" t="s">
        <v>24</v>
      </c>
      <c r="C22" s="32">
        <v>216511.25880000001</v>
      </c>
      <c r="D22" s="45">
        <f>IF(152372.54949="","-",216511.2588/152372.54949*100)</f>
        <v>142.09334917915075</v>
      </c>
      <c r="E22" s="45">
        <f>IF(152372.54949="","-",152372.54949/1737475.58788*100)</f>
        <v>8.7697663525689631</v>
      </c>
      <c r="F22" s="45">
        <f>IF(216511.2588="","-",216511.2588/2103396.42877*100)</f>
        <v>10.293411923619598</v>
      </c>
      <c r="G22" s="45">
        <f>IF(2025977.54466="","-",(152372.54949-213543.51162)/2025977.54466*100)</f>
        <v>-3.0193307073532112</v>
      </c>
      <c r="H22" s="45">
        <f>IF(1737475.58788="","-",(216511.2588-152372.54949)/1737475.58788*100)</f>
        <v>3.6914883729825263</v>
      </c>
      <c r="I22" s="36"/>
      <c r="J22" s="37"/>
      <c r="K22" s="33"/>
    </row>
    <row r="23" spans="1:11" s="7" customFormat="1" ht="15" customHeight="1" x14ac:dyDescent="0.25">
      <c r="A23" s="36" t="s">
        <v>242</v>
      </c>
      <c r="B23" s="37" t="s">
        <v>203</v>
      </c>
      <c r="C23" s="33">
        <v>917.82816000000003</v>
      </c>
      <c r="D23" s="47">
        <f>IF(OR(956.5476="",917.82816=""),"-",917.82816/956.5476*100)</f>
        <v>95.952167984112862</v>
      </c>
      <c r="E23" s="47">
        <f>IF(956.5476="","-",956.5476/1737475.58788*100)</f>
        <v>5.5053872795251313E-2</v>
      </c>
      <c r="F23" s="47">
        <f>IF(917.82816="","-",917.82816/2103396.42877*100)</f>
        <v>4.363552906366381E-2</v>
      </c>
      <c r="G23" s="47">
        <f>IF(OR(2025977.54466="",1189.68379="",956.5476=""),"-",(956.5476-1189.68379)/2025977.54466*100)</f>
        <v>-1.1507343238551297E-2</v>
      </c>
      <c r="H23" s="47">
        <f>IF(OR(1737475.58788="",917.82816="",956.5476=""),"-",(917.82816-956.5476)/1737475.58788*100)</f>
        <v>-2.2284882889919574E-3</v>
      </c>
      <c r="I23" s="34"/>
      <c r="J23" s="35"/>
      <c r="K23" s="32"/>
    </row>
    <row r="24" spans="1:11" s="7" customFormat="1" ht="15" customHeight="1" x14ac:dyDescent="0.25">
      <c r="A24" s="36" t="s">
        <v>243</v>
      </c>
      <c r="B24" s="37" t="s">
        <v>197</v>
      </c>
      <c r="C24" s="33">
        <v>137417.60206999999</v>
      </c>
      <c r="D24" s="47">
        <f>IF(OR(122879.42121="",137417.60207=""),"-",137417.60207/122879.42121*100)</f>
        <v>111.83125759939441</v>
      </c>
      <c r="E24" s="47">
        <f>IF(122879.42121="","-",122879.42121/1737475.58788*100)</f>
        <v>7.0722962709325126</v>
      </c>
      <c r="F24" s="47">
        <f>IF(137417.60207="","-",137417.60207/2103396.42877*100)</f>
        <v>6.5331289998603577</v>
      </c>
      <c r="G24" s="47">
        <f>IF(OR(2025977.54466="",186954.06949="",122879.42121=""),"-",(122879.42121-186954.06949)/2025977.54466*100)</f>
        <v>-3.1626534286564869</v>
      </c>
      <c r="H24" s="47">
        <f>IF(OR(1737475.58788="",137417.60207="",122879.42121=""),"-",(137417.60207-122879.42121)/1737475.58788*100)</f>
        <v>0.83674159000639048</v>
      </c>
      <c r="I24" s="36"/>
      <c r="J24" s="37"/>
      <c r="K24" s="33"/>
    </row>
    <row r="25" spans="1:11" s="7" customFormat="1" ht="25.5" x14ac:dyDescent="0.25">
      <c r="A25" s="36" t="s">
        <v>297</v>
      </c>
      <c r="B25" s="37" t="s">
        <v>198</v>
      </c>
      <c r="C25" s="33">
        <v>0.68271000000000004</v>
      </c>
      <c r="D25" s="47" t="s">
        <v>387</v>
      </c>
      <c r="E25" s="47">
        <f>IF(0.14712="","-",0.14712/1737475.58788*100)</f>
        <v>8.4674570984626086E-6</v>
      </c>
      <c r="F25" s="47">
        <f>IF(0.68271="","-",0.68271/2103396.42877*100)</f>
        <v>3.2457504950658656E-5</v>
      </c>
      <c r="G25" s="47">
        <f>IF(OR(2025977.54466="",0.58557="",0.14712=""),"-",(0.14712-0.58557)/2025977.54466*100)</f>
        <v>-2.1641404721175269E-5</v>
      </c>
      <c r="H25" s="47">
        <f>IF(OR(1737475.58788="",0.68271="",0.14712=""),"-",(0.68271-0.14712)/1737475.58788*100)</f>
        <v>3.0825756847237548E-5</v>
      </c>
      <c r="I25" s="36"/>
      <c r="J25" s="37"/>
      <c r="K25" s="33"/>
    </row>
    <row r="26" spans="1:11" s="7" customFormat="1" x14ac:dyDescent="0.25">
      <c r="A26" s="36" t="s">
        <v>244</v>
      </c>
      <c r="B26" s="37" t="s">
        <v>199</v>
      </c>
      <c r="C26" s="33">
        <v>1747.32545</v>
      </c>
      <c r="D26" s="47">
        <f>IF(OR(1187.94875="",1747.32545=""),"-",1747.32545/1187.94875*100)</f>
        <v>147.08761215498564</v>
      </c>
      <c r="E26" s="47">
        <f>IF(1187.94875="","-",1187.94875/1737475.58788*100)</f>
        <v>6.8372111716947279E-2</v>
      </c>
      <c r="F26" s="47">
        <f>IF(1747.32545="","-",1747.32545/2103396.42877*100)</f>
        <v>8.3071618174315368E-2</v>
      </c>
      <c r="G26" s="47">
        <f>IF(OR(2025977.54466="",660.93957="",1187.94875=""),"-",(1187.94875-660.93957)/2025977.54466*100)</f>
        <v>2.6012587424232424E-2</v>
      </c>
      <c r="H26" s="47">
        <f>IF(OR(1737475.58788="",1747.32545="",1187.94875=""),"-",(1747.32545-1187.94875)/1737475.58788*100)</f>
        <v>3.2194794787449632E-2</v>
      </c>
      <c r="I26" s="36"/>
      <c r="J26" s="37"/>
      <c r="K26" s="33"/>
    </row>
    <row r="27" spans="1:11" s="7" customFormat="1" ht="14.25" customHeight="1" x14ac:dyDescent="0.25">
      <c r="A27" s="36" t="s">
        <v>245</v>
      </c>
      <c r="B27" s="37" t="s">
        <v>151</v>
      </c>
      <c r="C27" s="33">
        <v>3618.1361999999999</v>
      </c>
      <c r="D27" s="47" t="s">
        <v>296</v>
      </c>
      <c r="E27" s="47">
        <f>IF(1397.43991="","-",1397.43991/1737475.58788*100)</f>
        <v>8.0429326302368473E-2</v>
      </c>
      <c r="F27" s="47">
        <f>IF(3618.1362="","-",3618.1362/2103396.42877*100)</f>
        <v>0.17201399367763365</v>
      </c>
      <c r="G27" s="47">
        <f>IF(OR(2025977.54466="",2045.16042="",1397.43991=""),"-",(1397.43991-2045.16042)/2025977.54466*100)</f>
        <v>-3.1970764518453758E-2</v>
      </c>
      <c r="H27" s="47">
        <f>IF(OR(1737475.58788="",3618.1362="",1397.43991=""),"-",(3618.1362-1397.43991)/1737475.58788*100)</f>
        <v>0.1278116541890299</v>
      </c>
      <c r="I27" s="36"/>
      <c r="J27" s="37"/>
      <c r="K27" s="33"/>
    </row>
    <row r="28" spans="1:11" s="7" customFormat="1" ht="38.25" x14ac:dyDescent="0.25">
      <c r="A28" s="36" t="s">
        <v>246</v>
      </c>
      <c r="B28" s="37" t="s">
        <v>152</v>
      </c>
      <c r="C28" s="33">
        <v>188.96967000000001</v>
      </c>
      <c r="D28" s="47">
        <f>IF(OR(144.40905="",188.96967=""),"-",188.96967/144.40905*100)</f>
        <v>130.85722120601167</v>
      </c>
      <c r="E28" s="47">
        <f>IF(144.40905="","-",144.40905/1737475.58788*100)</f>
        <v>8.3114290069653471E-3</v>
      </c>
      <c r="F28" s="47">
        <f>IF(188.96967="","-",188.96967/2103396.42877*100)</f>
        <v>8.9840254274132971E-3</v>
      </c>
      <c r="G28" s="47">
        <f>IF(OR(2025977.54466="",261.67072="",144.40905=""),"-",(144.40905-261.67072)/2025977.54466*100)</f>
        <v>-5.7879057104593375E-3</v>
      </c>
      <c r="H28" s="47">
        <f>IF(OR(1737475.58788="",188.96967="",144.40905=""),"-",(188.96967-144.40905)/1737475.58788*100)</f>
        <v>2.564676034059916E-3</v>
      </c>
      <c r="I28" s="36"/>
      <c r="J28" s="37"/>
      <c r="K28" s="33"/>
    </row>
    <row r="29" spans="1:11" s="7" customFormat="1" ht="38.25" x14ac:dyDescent="0.25">
      <c r="A29" s="36" t="s">
        <v>247</v>
      </c>
      <c r="B29" s="37" t="s">
        <v>153</v>
      </c>
      <c r="C29" s="33">
        <v>6012.5359900000003</v>
      </c>
      <c r="D29" s="47">
        <f>IF(OR(6526.07934="",6012.53599=""),"-",6012.53599/6526.07934*100)</f>
        <v>92.130905506275994</v>
      </c>
      <c r="E29" s="47">
        <f>IF(6526.07934="","-",6526.07934/1737475.58788*100)</f>
        <v>0.37560696596392862</v>
      </c>
      <c r="F29" s="47">
        <f>IF(6012.53599="","-",6012.53599/2103396.42877*100)</f>
        <v>0.28584892071514745</v>
      </c>
      <c r="G29" s="47">
        <f>IF(OR(2025977.54466="",7286.39701="",6526.07934=""),"-",(6526.07934-7286.39701)/2025977.54466*100)</f>
        <v>-3.752843519929517E-2</v>
      </c>
      <c r="H29" s="47">
        <f>IF(OR(1737475.58788="",6012.53599="",6526.07934=""),"-",(6012.53599-6526.07934)/1737475.58788*100)</f>
        <v>-2.9556867076711305E-2</v>
      </c>
      <c r="I29" s="36"/>
      <c r="J29" s="37"/>
      <c r="K29" s="33"/>
    </row>
    <row r="30" spans="1:11" s="7" customFormat="1" ht="25.5" x14ac:dyDescent="0.25">
      <c r="A30" s="36" t="s">
        <v>248</v>
      </c>
      <c r="B30" s="37" t="s">
        <v>154</v>
      </c>
      <c r="C30" s="33">
        <v>63941.049200000001</v>
      </c>
      <c r="D30" s="47" t="s">
        <v>388</v>
      </c>
      <c r="E30" s="47">
        <f>IF(16248.21408="","-",16248.21408/1737475.58788*100)</f>
        <v>0.93516215095864674</v>
      </c>
      <c r="F30" s="47">
        <f>IF(63941.0492="","-",63941.0492/2103396.42877*100)</f>
        <v>3.0398953010199179</v>
      </c>
      <c r="G30" s="47">
        <f>IF(OR(2025977.54466="",12563.16576="",16248.21408=""),"-",(16248.21408-12563.16576)/2025977.54466*100)</f>
        <v>0.18188988963440983</v>
      </c>
      <c r="H30" s="47">
        <f>IF(OR(1737475.58788="",63941.0492="",16248.21408=""),"-",(63941.0492-16248.21408)/1737475.58788*100)</f>
        <v>2.7449499407466749</v>
      </c>
      <c r="I30" s="36"/>
      <c r="J30" s="37"/>
      <c r="K30" s="33"/>
    </row>
    <row r="31" spans="1:11" s="7" customFormat="1" ht="25.5" x14ac:dyDescent="0.25">
      <c r="A31" s="36" t="s">
        <v>249</v>
      </c>
      <c r="B31" s="37" t="s">
        <v>155</v>
      </c>
      <c r="C31" s="33">
        <v>2667.1293500000002</v>
      </c>
      <c r="D31" s="47">
        <f>IF(OR(3032.34243="",2667.12935=""),"-",2667.12935/3032.34243*100)</f>
        <v>87.956073945118391</v>
      </c>
      <c r="E31" s="47">
        <f>IF(3032.34243="","-",3032.34243/1737475.58788*100)</f>
        <v>0.17452575743524237</v>
      </c>
      <c r="F31" s="47">
        <f>IF(2667.12935="","-",2667.12935/2103396.42877*100)</f>
        <v>0.12680107817619779</v>
      </c>
      <c r="G31" s="47">
        <f>IF(OR(2025977.54466="",2581.83929="",3032.34243=""),"-",(3032.34243-2581.83929)/2025977.54466*100)</f>
        <v>2.2236334316114239E-2</v>
      </c>
      <c r="H31" s="47">
        <f>IF(OR(1737475.58788="",2667.12935="",3032.34243=""),"-",(2667.12935-3032.34243)/1737475.58788*100)</f>
        <v>-2.1019753172222624E-2</v>
      </c>
      <c r="I31" s="36"/>
      <c r="J31" s="37"/>
      <c r="K31" s="33"/>
    </row>
    <row r="32" spans="1:11" s="7" customFormat="1" ht="25.5" x14ac:dyDescent="0.25">
      <c r="A32" s="34" t="s">
        <v>250</v>
      </c>
      <c r="B32" s="35" t="s">
        <v>156</v>
      </c>
      <c r="C32" s="32">
        <v>14343.23821</v>
      </c>
      <c r="D32" s="45" t="s">
        <v>104</v>
      </c>
      <c r="E32" s="45">
        <f>IF(8787.42708="","-",8787.42708/1737475.58788*100)</f>
        <v>0.50575830482441919</v>
      </c>
      <c r="F32" s="45">
        <f>IF(14343.23821="","-",14343.23821/2103396.42877*100)</f>
        <v>0.6819084607074033</v>
      </c>
      <c r="G32" s="45">
        <f>IF(2025977.54466="","-",(8787.42708-8428.68014)/2025977.54466*100)</f>
        <v>1.7707350258919285E-2</v>
      </c>
      <c r="H32" s="45">
        <f>IF(1737475.58788="","-",(14343.23821-8787.42708)/1737475.58788*100)</f>
        <v>0.3197634066777873</v>
      </c>
      <c r="I32" s="36"/>
      <c r="J32" s="37"/>
      <c r="K32" s="33"/>
    </row>
    <row r="33" spans="1:11" s="7" customFormat="1" x14ac:dyDescent="0.25">
      <c r="A33" s="36" t="s">
        <v>251</v>
      </c>
      <c r="B33" s="37" t="s">
        <v>200</v>
      </c>
      <c r="C33" s="33">
        <v>379.90658000000002</v>
      </c>
      <c r="D33" s="47" t="s">
        <v>337</v>
      </c>
      <c r="E33" s="47">
        <f>IF(56.85568="","-",56.85568/1737475.58788*100)</f>
        <v>3.2723153290097782E-3</v>
      </c>
      <c r="F33" s="47">
        <f>IF(379.90658="","-",379.90658/2103396.42877*100)</f>
        <v>1.8061577684723818E-2</v>
      </c>
      <c r="G33" s="47">
        <f>IF(OR(2025977.54466="",3.98403="",56.85568=""),"-",(56.85568-3.98403)/2025977.54466*100)</f>
        <v>2.6096858841973465E-3</v>
      </c>
      <c r="H33" s="47">
        <f>IF(OR(1737475.58788="",379.90658="",56.85568=""),"-",(379.90658-56.85568)/1737475.58788*100)</f>
        <v>1.8593118789897597E-2</v>
      </c>
      <c r="I33" s="34"/>
      <c r="J33" s="35"/>
      <c r="K33" s="32"/>
    </row>
    <row r="34" spans="1:11" s="7" customFormat="1" ht="25.5" x14ac:dyDescent="0.25">
      <c r="A34" s="36" t="s">
        <v>252</v>
      </c>
      <c r="B34" s="37" t="s">
        <v>157</v>
      </c>
      <c r="C34" s="33">
        <v>13958.916999999999</v>
      </c>
      <c r="D34" s="47" t="s">
        <v>103</v>
      </c>
      <c r="E34" s="47">
        <f>IF(8199.63215="","-",8199.63215/1737475.58788*100)</f>
        <v>0.47192790547376101</v>
      </c>
      <c r="F34" s="47">
        <f>IF(13958.917="","-",13958.917/2103396.42877*100)</f>
        <v>0.66363700199694331</v>
      </c>
      <c r="G34" s="47">
        <f>IF(OR(2025977.54466="",8419.05824="",8199.63215=""),"-",(8199.63215-8419.05824)/2025977.54466*100)</f>
        <v>-1.0830627939502901E-2</v>
      </c>
      <c r="H34" s="47">
        <f>IF(OR(1737475.58788="",13958.917="",8199.63215=""),"-",(13958.917-8199.63215)/1737475.58788*100)</f>
        <v>0.33147428891517577</v>
      </c>
      <c r="I34" s="36"/>
      <c r="J34" s="37"/>
      <c r="K34" s="33"/>
    </row>
    <row r="35" spans="1:11" s="7" customFormat="1" x14ac:dyDescent="0.25">
      <c r="A35" s="36" t="s">
        <v>308</v>
      </c>
      <c r="B35" s="37" t="s">
        <v>309</v>
      </c>
      <c r="C35" s="33">
        <v>4.4146299999999998</v>
      </c>
      <c r="D35" s="47">
        <f>IF(OR(5.56161="",4.41463=""),"-",4.41463/5.56161*100)</f>
        <v>79.376835125080675</v>
      </c>
      <c r="E35" s="47">
        <f>IF(5.56161="","-",5.56161/1737475.58788*100)</f>
        <v>3.2009715928072748E-4</v>
      </c>
      <c r="F35" s="47">
        <f>IF(4.41463="","-",4.41463/2103396.42877*100)</f>
        <v>2.0988102573614887E-4</v>
      </c>
      <c r="G35" s="47">
        <f>IF(OR(2025977.54466="",5.63787="",5.56161=""),"-",(5.56161-5.63787)/2025977.54466*100)</f>
        <v>-3.7641088471589361E-6</v>
      </c>
      <c r="H35" s="47">
        <f>IF(OR(1737475.58788="",4.41463="",5.56161=""),"-",(4.41463-5.56161)/1737475.58788*100)</f>
        <v>-6.6014164918397523E-5</v>
      </c>
      <c r="I35" s="36"/>
      <c r="J35" s="37"/>
      <c r="K35" s="33"/>
    </row>
    <row r="36" spans="1:11" s="7" customFormat="1" ht="25.5" x14ac:dyDescent="0.25">
      <c r="A36" s="34" t="s">
        <v>253</v>
      </c>
      <c r="B36" s="35" t="s">
        <v>158</v>
      </c>
      <c r="C36" s="32">
        <v>46964.600169999998</v>
      </c>
      <c r="D36" s="45">
        <f>IF(70117.02573="","-",46964.60017/70117.02573*100)</f>
        <v>66.980308535685523</v>
      </c>
      <c r="E36" s="45">
        <f>IF(70117.02573="","-",70117.02573/1737475.58788*100)</f>
        <v>4.0355689725433237</v>
      </c>
      <c r="F36" s="45">
        <f>IF(46964.60017="","-",46964.60017/2103396.42877*100)</f>
        <v>2.2327983221623811</v>
      </c>
      <c r="G36" s="45">
        <f>IF(2025977.54466="","-",(70117.02573-39837.63036)/2025977.54466*100)</f>
        <v>1.4945573039449205</v>
      </c>
      <c r="H36" s="45">
        <f>IF(1737475.58788="","-",(46964.60017-70117.02573)/1737475.58788*100)</f>
        <v>-1.3325324235634115</v>
      </c>
      <c r="I36" s="36"/>
      <c r="J36" s="37"/>
      <c r="K36" s="33"/>
    </row>
    <row r="37" spans="1:11" s="7" customFormat="1" x14ac:dyDescent="0.25">
      <c r="A37" s="36" t="s">
        <v>254</v>
      </c>
      <c r="B37" s="37" t="s">
        <v>204</v>
      </c>
      <c r="C37" s="33">
        <v>8.4868199999999998</v>
      </c>
      <c r="D37" s="47" t="s">
        <v>217</v>
      </c>
      <c r="E37" s="47">
        <f>IF(3.3692="","-",3.3692/1737475.58788*100)</f>
        <v>1.9391351587914779E-4</v>
      </c>
      <c r="F37" s="47">
        <f>IF(8.48682="","-",8.48682/2103396.42877*100)</f>
        <v>4.0348171575829977E-4</v>
      </c>
      <c r="G37" s="47" t="str">
        <f>IF(OR(2025977.54466="",""="",3.3692=""),"-",(3.3692-"")/2025977.54466*100)</f>
        <v>-</v>
      </c>
      <c r="H37" s="47">
        <f>IF(OR(1737475.58788="",8.48682="",3.3692=""),"-",(8.48682-3.3692)/1737475.58788*100)</f>
        <v>2.945434189521086E-4</v>
      </c>
      <c r="I37" s="34"/>
      <c r="J37" s="35"/>
      <c r="K37" s="32"/>
    </row>
    <row r="38" spans="1:11" s="7" customFormat="1" ht="25.5" x14ac:dyDescent="0.25">
      <c r="A38" s="36" t="s">
        <v>255</v>
      </c>
      <c r="B38" s="37" t="s">
        <v>159</v>
      </c>
      <c r="C38" s="33">
        <v>46952.551019999999</v>
      </c>
      <c r="D38" s="47">
        <f>IF(OR(70088.70819="",46952.55102=""),"-",46952.55102/70088.70819*100)</f>
        <v>66.99017892114469</v>
      </c>
      <c r="E38" s="47">
        <f>IF(70088.70819="","-",70088.70819/1737475.58788*100)</f>
        <v>4.0339391631694532</v>
      </c>
      <c r="F38" s="47">
        <f>IF(46952.55102="","-",46952.55102/2103396.42877*100)</f>
        <v>2.2322254795999807</v>
      </c>
      <c r="G38" s="47">
        <f>IF(OR(2025977.54466="",39820.63982="",70088.70819=""),"-",(70088.70819-39820.63982)/2025977.54466*100)</f>
        <v>1.4939982158133742</v>
      </c>
      <c r="H38" s="47">
        <f>IF(OR(1737475.58788="",46952.55102="",70088.70819=""),"-",(46952.55102-70088.70819)/1737475.58788*100)</f>
        <v>-1.3315961001921093</v>
      </c>
      <c r="I38" s="36"/>
      <c r="J38" s="37"/>
      <c r="K38" s="33"/>
    </row>
    <row r="39" spans="1:11" s="7" customFormat="1" ht="63.75" x14ac:dyDescent="0.25">
      <c r="A39" s="36" t="s">
        <v>256</v>
      </c>
      <c r="B39" s="37" t="s">
        <v>202</v>
      </c>
      <c r="C39" s="33">
        <v>3.5623300000000002</v>
      </c>
      <c r="D39" s="47">
        <f>IF(OR(24.94834="",3.56233=""),"-",3.56233/24.94834*100)</f>
        <v>14.278825765561956</v>
      </c>
      <c r="E39" s="47">
        <f>IF(24.94834="","-",24.94834/1737475.58788*100)</f>
        <v>1.435895857992514E-3</v>
      </c>
      <c r="F39" s="47">
        <f>IF(3.56233="","-",3.56233/2103396.42877*100)</f>
        <v>1.6936084664188284E-4</v>
      </c>
      <c r="G39" s="47">
        <f>IF(OR(2025977.54466="",16.99054="",24.94834=""),"-",(24.94834-16.99054)/2025977.54466*100)</f>
        <v>3.9278816396434854E-4</v>
      </c>
      <c r="H39" s="47">
        <f>IF(OR(1737475.58788="",3.56233="",24.94834=""),"-",(3.56233-24.94834)/1737475.58788*100)</f>
        <v>-1.230866790254842E-3</v>
      </c>
      <c r="I39" s="36"/>
      <c r="J39" s="37"/>
      <c r="K39" s="33"/>
    </row>
    <row r="40" spans="1:11" s="7" customFormat="1" ht="25.5" x14ac:dyDescent="0.25">
      <c r="A40" s="34" t="s">
        <v>257</v>
      </c>
      <c r="B40" s="35" t="s">
        <v>160</v>
      </c>
      <c r="C40" s="32">
        <v>106248.40992999999</v>
      </c>
      <c r="D40" s="45">
        <f>IF(91285.74188="","-",106248.40993/91285.74188*100)</f>
        <v>116.39102420799649</v>
      </c>
      <c r="E40" s="45">
        <f>IF(91285.74188="","-",91285.74188/1737475.58788*100)</f>
        <v>5.2539294662196268</v>
      </c>
      <c r="F40" s="45">
        <f>IF(106248.40993="","-",106248.40993/2103396.42877*100)</f>
        <v>5.0512784217348274</v>
      </c>
      <c r="G40" s="45">
        <f>IF(2025977.54466="","-",(91285.74188-93043.41309)/2025977.54466*100)</f>
        <v>-8.6756697507966371E-2</v>
      </c>
      <c r="H40" s="45">
        <f>IF(1737475.58788="","-",(106248.40993-91285.74188)/1737475.58788*100)</f>
        <v>0.86117285067911986</v>
      </c>
      <c r="I40" s="36"/>
      <c r="J40" s="37"/>
      <c r="K40" s="33"/>
    </row>
    <row r="41" spans="1:11" s="7" customFormat="1" x14ac:dyDescent="0.25">
      <c r="A41" s="36" t="s">
        <v>258</v>
      </c>
      <c r="B41" s="37" t="s">
        <v>25</v>
      </c>
      <c r="C41" s="33">
        <v>24904.11865</v>
      </c>
      <c r="D41" s="47">
        <f>IF(OR(36850.92737="",24904.11865=""),"-",24904.11865/36850.92737*100)</f>
        <v>67.580710791756673</v>
      </c>
      <c r="E41" s="47">
        <f>IF(36850.92737="","-",36850.92737/1737475.58788*100)</f>
        <v>2.1209464827626192</v>
      </c>
      <c r="F41" s="47">
        <f>IF(24904.11865="","-",24904.11865/2103396.42877*100)</f>
        <v>1.1839954803271746</v>
      </c>
      <c r="G41" s="47">
        <f>IF(OR(2025977.54466="",15697.93081="",36850.92737=""),"-",(36850.92737-15697.93081)/2025977.54466*100)</f>
        <v>1.0440884014610292</v>
      </c>
      <c r="H41" s="47">
        <f>IF(OR(1737475.58788="",24904.11865="",36850.92737=""),"-",(24904.11865-36850.92737)/1737475.58788*100)</f>
        <v>-0.68759577419887818</v>
      </c>
      <c r="I41" s="34"/>
      <c r="J41" s="35"/>
      <c r="K41" s="32"/>
    </row>
    <row r="42" spans="1:11" s="7" customFormat="1" x14ac:dyDescent="0.25">
      <c r="A42" s="36" t="s">
        <v>259</v>
      </c>
      <c r="B42" s="37" t="s">
        <v>26</v>
      </c>
      <c r="C42" s="33">
        <v>851.96460999999999</v>
      </c>
      <c r="D42" s="47">
        <f>IF(OR(1220.67711="",851.96461=""),"-",851.96461/1220.67711*100)</f>
        <v>69.794428274320637</v>
      </c>
      <c r="E42" s="47">
        <f>IF(1220.67711="","-",1220.67711/1737475.58788*100)</f>
        <v>7.0255784801524765E-2</v>
      </c>
      <c r="F42" s="47">
        <f>IF(851.96461="","-",851.96461/2103396.42877*100)</f>
        <v>4.0504233930747993E-2</v>
      </c>
      <c r="G42" s="47">
        <f>IF(OR(2025977.54466="",1034.86894="",1220.67711=""),"-",(1220.67711-1034.86894)/2025977.54466*100)</f>
        <v>9.1712847701469671E-3</v>
      </c>
      <c r="H42" s="47">
        <f>IF(OR(1737475.58788="",851.96461="",1220.67711=""),"-",(851.96461-1220.67711)/1737475.58788*100)</f>
        <v>-2.1221161469663508E-2</v>
      </c>
      <c r="I42" s="36"/>
      <c r="J42" s="37"/>
      <c r="K42" s="33"/>
    </row>
    <row r="43" spans="1:11" s="7" customFormat="1" x14ac:dyDescent="0.25">
      <c r="A43" s="36" t="s">
        <v>260</v>
      </c>
      <c r="B43" s="37" t="s">
        <v>161</v>
      </c>
      <c r="C43" s="33">
        <v>2035.7109</v>
      </c>
      <c r="D43" s="47" t="s">
        <v>324</v>
      </c>
      <c r="E43" s="47">
        <f>IF(596.41372="","-",596.41372/1737475.58788*100)</f>
        <v>3.4326451787890774E-2</v>
      </c>
      <c r="F43" s="47">
        <f>IF(2035.7109="","-",2035.7109/2103396.42877*100)</f>
        <v>9.6782084069165206E-2</v>
      </c>
      <c r="G43" s="47">
        <f>IF(OR(2025977.54466="",662.68057="",596.41372=""),"-",(596.41372-662.68057)/2025977.54466*100)</f>
        <v>-3.2708580692152192E-3</v>
      </c>
      <c r="H43" s="47">
        <f>IF(OR(1737475.58788="",2035.7109="",596.41372=""),"-",(2035.7109-596.41372)/1737475.58788*100)</f>
        <v>8.2838411661148831E-2</v>
      </c>
      <c r="I43" s="36"/>
      <c r="J43" s="37"/>
      <c r="K43" s="33"/>
    </row>
    <row r="44" spans="1:11" s="7" customFormat="1" x14ac:dyDescent="0.25">
      <c r="A44" s="36" t="s">
        <v>261</v>
      </c>
      <c r="B44" s="37" t="s">
        <v>162</v>
      </c>
      <c r="C44" s="33">
        <v>59860.852220000001</v>
      </c>
      <c r="D44" s="47" t="s">
        <v>221</v>
      </c>
      <c r="E44" s="47">
        <f>IF(38677.48211="","-",38677.48211/1737475.58788*100)</f>
        <v>2.2260734124726755</v>
      </c>
      <c r="F44" s="47">
        <f>IF(59860.85222="","-",59860.85222/2103396.42877*100)</f>
        <v>2.8459139419098824</v>
      </c>
      <c r="G44" s="47">
        <f>IF(OR(2025977.54466="",58725.97431="",38677.48211=""),"-",(38677.48211-58725.97431)/2025977.54466*100)</f>
        <v>-0.98957129376103448</v>
      </c>
      <c r="H44" s="47">
        <f>IF(OR(1737475.58788="",59860.85222="",38677.48211=""),"-",(59860.85222-38677.48211)/1737475.58788*100)</f>
        <v>1.2192038989075595</v>
      </c>
      <c r="I44" s="36"/>
      <c r="J44" s="37"/>
      <c r="K44" s="33"/>
    </row>
    <row r="45" spans="1:11" s="7" customFormat="1" ht="40.5" customHeight="1" x14ac:dyDescent="0.25">
      <c r="A45" s="36" t="s">
        <v>262</v>
      </c>
      <c r="B45" s="37" t="s">
        <v>163</v>
      </c>
      <c r="C45" s="33">
        <v>9349.5049299999991</v>
      </c>
      <c r="D45" s="47">
        <f>IF(OR(8913.30984="",9349.50493=""),"-",9349.50493/8913.30984*100)</f>
        <v>104.89374988449856</v>
      </c>
      <c r="E45" s="47">
        <f>IF(8913.30984="","-",8913.30984/1737475.58788*100)</f>
        <v>0.51300345755508847</v>
      </c>
      <c r="F45" s="47">
        <f>IF(9349.50493="","-",9349.50493/2103396.42877*100)</f>
        <v>0.44449561680901467</v>
      </c>
      <c r="G45" s="47">
        <f>IF(OR(2025977.54466="",11749.5945="",8913.30984=""),"-",(8913.30984-11749.5945)/2025977.54466*100)</f>
        <v>-0.13999585866466183</v>
      </c>
      <c r="H45" s="47">
        <f>IF(OR(1737475.58788="",9349.50493="",8913.30984=""),"-",(9349.50493-8913.30984)/1737475.58788*100)</f>
        <v>2.5105106111575789E-2</v>
      </c>
      <c r="I45" s="36"/>
      <c r="J45" s="37"/>
      <c r="K45" s="33"/>
    </row>
    <row r="46" spans="1:11" s="7" customFormat="1" x14ac:dyDescent="0.25">
      <c r="A46" s="36" t="s">
        <v>263</v>
      </c>
      <c r="B46" s="37" t="s">
        <v>164</v>
      </c>
      <c r="C46" s="33">
        <v>151.81791999999999</v>
      </c>
      <c r="D46" s="47" t="s">
        <v>389</v>
      </c>
      <c r="E46" s="47">
        <f>IF(2.26425="","-",2.26425/1737475.58788*100)</f>
        <v>1.3031837775417319E-4</v>
      </c>
      <c r="F46" s="47">
        <f>IF(151.81792="","-",151.81792/2103396.42877*100)</f>
        <v>7.2177511534893268E-3</v>
      </c>
      <c r="G46" s="47">
        <f>IF(OR(2025977.54466="",44.34774="",2.26425=""),"-",(2.26425-44.34774)/2025977.54466*100)</f>
        <v>-2.0771942962014649E-3</v>
      </c>
      <c r="H46" s="47">
        <f>IF(OR(1737475.58788="",151.81792="",2.26425=""),"-",(151.81792-2.26425)/1737475.58788*100)</f>
        <v>8.6075264045856054E-3</v>
      </c>
      <c r="I46" s="36"/>
      <c r="J46" s="37"/>
      <c r="K46" s="33"/>
    </row>
    <row r="47" spans="1:11" x14ac:dyDescent="0.25">
      <c r="A47" s="36" t="s">
        <v>264</v>
      </c>
      <c r="B47" s="37" t="s">
        <v>27</v>
      </c>
      <c r="C47" s="33">
        <v>1970.0738200000001</v>
      </c>
      <c r="D47" s="47">
        <f>IF(OR(1507.04652="",1970.07382=""),"-",1970.07382/1507.04652*100)</f>
        <v>130.72415442092657</v>
      </c>
      <c r="E47" s="47">
        <f>IF(1507.04652="","-",1507.04652/1737475.58788*100)</f>
        <v>8.6737709036754845E-2</v>
      </c>
      <c r="F47" s="47">
        <f>IF(1970.07382="","-",1970.07382/2103396.42877*100)</f>
        <v>9.3661555808195268E-2</v>
      </c>
      <c r="G47" s="47">
        <f>IF(OR(2025977.54466="",1604.469="",1507.04652=""),"-",(1507.04652-1604.469)/2025977.54466*100)</f>
        <v>-4.8086653406787597E-3</v>
      </c>
      <c r="H47" s="47">
        <f>IF(OR(1737475.58788="",1970.07382="",1507.04652=""),"-",(1970.07382-1507.04652)/1737475.58788*100)</f>
        <v>2.6649427665626533E-2</v>
      </c>
      <c r="I47" s="36"/>
      <c r="J47" s="37"/>
      <c r="K47" s="33"/>
    </row>
    <row r="48" spans="1:11" x14ac:dyDescent="0.25">
      <c r="A48" s="36" t="s">
        <v>265</v>
      </c>
      <c r="B48" s="37" t="s">
        <v>28</v>
      </c>
      <c r="C48" s="33">
        <v>2841.9138400000002</v>
      </c>
      <c r="D48" s="47" t="s">
        <v>103</v>
      </c>
      <c r="E48" s="47">
        <f>IF(1710.16462="","-",1710.16462/1737475.58788*100)</f>
        <v>9.8428123648440807E-2</v>
      </c>
      <c r="F48" s="47">
        <f>IF(2841.91384="","-",2841.91384/2103396.42877*100)</f>
        <v>0.13511070957089444</v>
      </c>
      <c r="G48" s="47">
        <f>IF(OR(2025977.54466="",1906.78238="",1710.16462=""),"-",(1710.16462-1906.78238)/2025977.54466*100)</f>
        <v>-9.7048341191262582E-3</v>
      </c>
      <c r="H48" s="47">
        <f>IF(OR(1737475.58788="",2841.91384="",1710.16462=""),"-",(2841.91384-1710.16462)/1737475.58788*100)</f>
        <v>6.5137560947311865E-2</v>
      </c>
      <c r="I48" s="36"/>
      <c r="J48" s="37"/>
      <c r="K48" s="33"/>
    </row>
    <row r="49" spans="1:11" x14ac:dyDescent="0.25">
      <c r="A49" s="36" t="s">
        <v>266</v>
      </c>
      <c r="B49" s="37" t="s">
        <v>165</v>
      </c>
      <c r="C49" s="33">
        <v>4282.4530400000003</v>
      </c>
      <c r="D49" s="47" t="s">
        <v>307</v>
      </c>
      <c r="E49" s="47">
        <f>IF(1807.45634="","-",1807.45634/1737475.58788*100)</f>
        <v>0.10402772577687769</v>
      </c>
      <c r="F49" s="47">
        <f>IF(4282.45304="","-",4282.45304/2103396.42877*100)</f>
        <v>0.20359704815626428</v>
      </c>
      <c r="G49" s="47">
        <f>IF(OR(2025977.54466="",1616.76484="",1807.45634=""),"-",(1807.45634-1616.76484)/2025977.54466*100)</f>
        <v>9.4123205117755543E-3</v>
      </c>
      <c r="H49" s="47">
        <f>IF(OR(1737475.58788="",4282.45304="",1807.45634=""),"-",(4282.45304-1807.45634)/1737475.58788*100)</f>
        <v>0.14244785464985413</v>
      </c>
      <c r="I49" s="36"/>
      <c r="J49" s="37"/>
      <c r="K49" s="33"/>
    </row>
    <row r="50" spans="1:11" ht="25.5" x14ac:dyDescent="0.25">
      <c r="A50" s="34" t="s">
        <v>267</v>
      </c>
      <c r="B50" s="35" t="s">
        <v>347</v>
      </c>
      <c r="C50" s="32">
        <v>178779.8443</v>
      </c>
      <c r="D50" s="45">
        <f>IF(124267.48416="","-",178779.8443/124267.48416*100)</f>
        <v>143.86695402138571</v>
      </c>
      <c r="E50" s="45">
        <f>IF(124267.48416="","-",124267.48416/1737475.58788*100)</f>
        <v>7.1521859085011004</v>
      </c>
      <c r="F50" s="45">
        <f>IF(178779.8443="","-",178779.8443/2103349.30903*100)</f>
        <v>8.4997695595529841</v>
      </c>
      <c r="G50" s="45">
        <f>IF(2025977.54466="","-",(124267.48416-132235.49516)/2025977.54466*100)</f>
        <v>-0.39329216757618007</v>
      </c>
      <c r="H50" s="45">
        <f>IF(1737475.58788="","-",(178779.8443-124267.48416)/1737475.58788*100)</f>
        <v>3.1374461040062065</v>
      </c>
      <c r="I50" s="36"/>
      <c r="J50" s="37"/>
      <c r="K50" s="33"/>
    </row>
    <row r="51" spans="1:11" x14ac:dyDescent="0.25">
      <c r="A51" s="36" t="s">
        <v>268</v>
      </c>
      <c r="B51" s="37" t="s">
        <v>166</v>
      </c>
      <c r="C51" s="33">
        <v>867.10787000000005</v>
      </c>
      <c r="D51" s="47" t="s">
        <v>104</v>
      </c>
      <c r="E51" s="47">
        <f>IF(528.16446="","-",528.16446/1737475.58788*100)</f>
        <v>3.0398381633922444E-2</v>
      </c>
      <c r="F51" s="47">
        <f>IF(867.10787="","-",867.10787/2103396.42877*100)</f>
        <v>4.1224177151762936E-2</v>
      </c>
      <c r="G51" s="47">
        <f>IF(OR(2025977.54466="",438.98971="",528.16446=""),"-",(528.16446-438.98971)/2025977.54466*100)</f>
        <v>4.4015665541330216E-3</v>
      </c>
      <c r="H51" s="47">
        <f>IF(OR(1737475.58788="",867.10787="",528.16446=""),"-",(867.10787-528.16446)/1737475.58788*100)</f>
        <v>1.9507808475949042E-2</v>
      </c>
      <c r="I51" s="34"/>
      <c r="J51" s="35"/>
      <c r="K51" s="32"/>
    </row>
    <row r="52" spans="1:11" x14ac:dyDescent="0.25">
      <c r="A52" s="36" t="s">
        <v>269</v>
      </c>
      <c r="B52" s="37" t="s">
        <v>29</v>
      </c>
      <c r="C52" s="33">
        <v>1029.9047800000001</v>
      </c>
      <c r="D52" s="47">
        <f>IF(OR(1022.37328="",1029.90478=""),"-",1029.90478/1022.37328*100)</f>
        <v>100.73666831355375</v>
      </c>
      <c r="E52" s="47">
        <f>IF(1022.37328="","-",1022.37328/1737475.58788*100)</f>
        <v>5.8842454370680398E-2</v>
      </c>
      <c r="F52" s="47">
        <f>IF(1029.90478="","-",1029.90478/2103396.42877*100)</f>
        <v>4.8963893154570767E-2</v>
      </c>
      <c r="G52" s="47">
        <f>IF(OR(2025977.54466="",1502.90355="",1022.37328=""),"-",(1022.37328-1502.90355)/2025977.54466*100)</f>
        <v>-2.3718440081755335E-2</v>
      </c>
      <c r="H52" s="47">
        <f>IF(OR(1737475.58788="",1029.90478="",1022.37328=""),"-",(1029.90478-1022.37328)/1737475.58788*100)</f>
        <v>4.3347371626612001E-4</v>
      </c>
      <c r="I52" s="36"/>
      <c r="J52" s="37"/>
      <c r="K52" s="33"/>
    </row>
    <row r="53" spans="1:11" x14ac:dyDescent="0.25">
      <c r="A53" s="36" t="s">
        <v>270</v>
      </c>
      <c r="B53" s="37" t="s">
        <v>167</v>
      </c>
      <c r="C53" s="33">
        <v>18965.517459999999</v>
      </c>
      <c r="D53" s="47">
        <f>IF(OR(14002.28409="",18965.51746=""),"-",18965.51746/14002.28409*100)</f>
        <v>135.44588395792218</v>
      </c>
      <c r="E53" s="47">
        <f>IF(14002.28409="","-",14002.28409/1737475.58788*100)</f>
        <v>0.80589817708374489</v>
      </c>
      <c r="F53" s="47">
        <f>IF(18965.51746="","-",18965.51746/2103396.42877*100)</f>
        <v>0.90166157936715885</v>
      </c>
      <c r="G53" s="47">
        <f>IF(OR(2025977.54466="",15476.482="",14002.28409=""),"-",(14002.28409-15476.482)/2025977.54466*100)</f>
        <v>-7.2764770462813849E-2</v>
      </c>
      <c r="H53" s="47">
        <f>IF(OR(1737475.58788="",18965.51746="",14002.28409=""),"-",(18965.51746-14002.28409)/1737475.58788*100)</f>
        <v>0.28565773266811445</v>
      </c>
      <c r="I53" s="36"/>
      <c r="J53" s="37"/>
      <c r="K53" s="33"/>
    </row>
    <row r="54" spans="1:11" ht="25.5" x14ac:dyDescent="0.25">
      <c r="A54" s="36" t="s">
        <v>271</v>
      </c>
      <c r="B54" s="37" t="s">
        <v>168</v>
      </c>
      <c r="C54" s="33">
        <v>8029.5493299999998</v>
      </c>
      <c r="D54" s="47">
        <f>IF(OR(6966.63226="",8029.54933=""),"-",8029.54933/6966.63226*100)</f>
        <v>115.25725817484155</v>
      </c>
      <c r="E54" s="47">
        <f>IF(6966.63226="","-",6966.63226/1737475.58788*100)</f>
        <v>0.40096288595918711</v>
      </c>
      <c r="F54" s="47">
        <f>IF(8029.54933="","-",8029.54933/2103396.42877*100)</f>
        <v>0.38174208248016406</v>
      </c>
      <c r="G54" s="47">
        <f>IF(OR(2025977.54466="",8240.19053="",6966.63226=""),"-",(6966.63226-8240.19053)/2025977.54466*100)</f>
        <v>-6.2861420816671912E-2</v>
      </c>
      <c r="H54" s="47">
        <f>IF(OR(1737475.58788="",8029.54933="",6966.63226=""),"-",(8029.54933-6966.63226)/1737475.58788*100)</f>
        <v>6.1175942696088725E-2</v>
      </c>
      <c r="I54" s="36"/>
      <c r="J54" s="37"/>
      <c r="K54" s="33"/>
    </row>
    <row r="55" spans="1:11" ht="26.25" customHeight="1" x14ac:dyDescent="0.25">
      <c r="A55" s="36" t="s">
        <v>272</v>
      </c>
      <c r="B55" s="37" t="s">
        <v>169</v>
      </c>
      <c r="C55" s="33">
        <v>59422.822460000003</v>
      </c>
      <c r="D55" s="47">
        <f>IF(OR(42924.88125="",59422.82246=""),"-",59422.82246/42924.88125*100)</f>
        <v>138.43444810927696</v>
      </c>
      <c r="E55" s="47">
        <f>IF(42924.88125="","-",42924.88125/1737475.58788*100)</f>
        <v>2.4705314739054991</v>
      </c>
      <c r="F55" s="47">
        <f>IF(59422.82246="","-",59422.82246/2103396.42877*100)</f>
        <v>2.8250890629660614</v>
      </c>
      <c r="G55" s="47">
        <f>IF(OR(2025977.54466="",47444.22473="",42924.88125=""),"-",(42924.88125-47444.22473)/2025977.54466*100)</f>
        <v>-0.2230697715239702</v>
      </c>
      <c r="H55" s="47">
        <f>IF(OR(1737475.58788="",59422.82246="",42924.88125=""),"-",(59422.82246-42924.88125)/1737475.58788*100)</f>
        <v>0.94953513736156425</v>
      </c>
      <c r="I55" s="36"/>
      <c r="J55" s="37"/>
      <c r="K55" s="33"/>
    </row>
    <row r="56" spans="1:11" ht="14.25" customHeight="1" x14ac:dyDescent="0.25">
      <c r="A56" s="36" t="s">
        <v>273</v>
      </c>
      <c r="B56" s="37" t="s">
        <v>30</v>
      </c>
      <c r="C56" s="33">
        <v>48677.444609999999</v>
      </c>
      <c r="D56" s="47">
        <f>IF(OR(36930.68036="",48677.44461=""),"-",48677.44461/36930.68036*100)</f>
        <v>131.80760315134364</v>
      </c>
      <c r="E56" s="47">
        <f>IF(36930.68036="","-",36930.68036/1737475.58788*100)</f>
        <v>2.1255366473989645</v>
      </c>
      <c r="F56" s="47">
        <f>IF(48677.44461="","-",48677.44461/2103396.42877*100)</f>
        <v>2.3142306387990317</v>
      </c>
      <c r="G56" s="47">
        <f>IF(OR(2025977.54466="",37133.88082="",36930.68036=""),"-",(36930.68036-37133.88082)/2025977.54466*100)</f>
        <v>-1.002974887533125E-2</v>
      </c>
      <c r="H56" s="47">
        <f>IF(OR(1737475.58788="",48677.44461="",36930.68036=""),"-",(48677.44461-36930.68036)/1737475.58788*100)</f>
        <v>0.67608226164103657</v>
      </c>
      <c r="I56" s="36"/>
      <c r="J56" s="37"/>
      <c r="K56" s="33"/>
    </row>
    <row r="57" spans="1:11" ht="15.75" customHeight="1" x14ac:dyDescent="0.25">
      <c r="A57" s="36" t="s">
        <v>274</v>
      </c>
      <c r="B57" s="37" t="s">
        <v>170</v>
      </c>
      <c r="C57" s="33">
        <v>8756.3505700000005</v>
      </c>
      <c r="D57" s="47" t="s">
        <v>390</v>
      </c>
      <c r="E57" s="47">
        <f>IF(1020.31833="","-",1020.31833/1737475.58788*100)</f>
        <v>5.8724182205342673E-2</v>
      </c>
      <c r="F57" s="47">
        <f>IF(8756.35057="","-",8756.35057/2103396.42877*100)</f>
        <v>0.41629578001710493</v>
      </c>
      <c r="G57" s="47">
        <f>IF(OR(2025977.54466="",2842.73447="",1020.31833=""),"-",(1020.31833-2842.73447)/2025977.54466*100)</f>
        <v>-8.9952435297393094E-2</v>
      </c>
      <c r="H57" s="47">
        <f>IF(OR(1737475.58788="",8756.35057="",1020.31833=""),"-",(8756.35057-1020.31833)/1737475.58788*100)</f>
        <v>0.44524552137386891</v>
      </c>
      <c r="I57" s="36"/>
      <c r="J57" s="37"/>
      <c r="K57" s="33"/>
    </row>
    <row r="58" spans="1:11" x14ac:dyDescent="0.25">
      <c r="A58" s="36" t="s">
        <v>275</v>
      </c>
      <c r="B58" s="37" t="s">
        <v>31</v>
      </c>
      <c r="C58" s="33">
        <v>1422.8786700000001</v>
      </c>
      <c r="D58" s="47">
        <f>IF(OR(1537.90151="",1422.87867=""),"-",1422.87867/1537.90151*100)</f>
        <v>92.520792830224877</v>
      </c>
      <c r="E58" s="47">
        <f>IF(1537.90151="","-",1537.90151/1737475.58788*100)</f>
        <v>8.8513560750311748E-2</v>
      </c>
      <c r="F58" s="47">
        <f>IF(1422.87867="","-",1422.87867/2103396.42877*100)</f>
        <v>6.7646718922692792E-2</v>
      </c>
      <c r="G58" s="47">
        <f>IF(OR(2025977.54466="",1160.47145="",1537.90151=""),"-",(1537.90151-1160.47145)/2025977.54466*100)</f>
        <v>1.8629528298317852E-2</v>
      </c>
      <c r="H58" s="47">
        <f>IF(OR(1737475.58788="",1422.87867="",1537.90151=""),"-",(1422.87867-1537.90151)/1737475.58788*100)</f>
        <v>-6.6201125818605745E-3</v>
      </c>
      <c r="I58" s="36"/>
      <c r="J58" s="37"/>
      <c r="K58" s="33"/>
    </row>
    <row r="59" spans="1:11" x14ac:dyDescent="0.25">
      <c r="A59" s="36" t="s">
        <v>276</v>
      </c>
      <c r="B59" s="37" t="s">
        <v>32</v>
      </c>
      <c r="C59" s="33">
        <v>31608.268550000001</v>
      </c>
      <c r="D59" s="47" t="s">
        <v>104</v>
      </c>
      <c r="E59" s="47">
        <f>IF(19334.24862="","-",19334.24862/1737475.58788*100)</f>
        <v>1.1127781451934466</v>
      </c>
      <c r="F59" s="47">
        <f>IF(31608.26855="","-",31608.26855/2103349.30903*100)</f>
        <v>1.5027588814801647</v>
      </c>
      <c r="G59" s="47">
        <f>IF(OR(2025977.54466="",17995.6179="",19334.24862=""),"-",(19334.24862-17995.6179)/2025977.54466*100)</f>
        <v>6.6073324629303667E-2</v>
      </c>
      <c r="H59" s="47">
        <f>IF(OR(1737475.58788="",31608.26855="",19334.24862=""),"-",(31608.26855-19334.24862)/1737475.58788*100)</f>
        <v>0.70642833865517973</v>
      </c>
      <c r="I59" s="36"/>
      <c r="J59" s="37"/>
      <c r="K59" s="33"/>
    </row>
    <row r="60" spans="1:11" ht="25.5" x14ac:dyDescent="0.25">
      <c r="A60" s="34" t="s">
        <v>277</v>
      </c>
      <c r="B60" s="35" t="s">
        <v>171</v>
      </c>
      <c r="C60" s="32">
        <v>473645.60898999998</v>
      </c>
      <c r="D60" s="45">
        <f>IF(384665.97278="","-",473645.60899/384665.97278*100)</f>
        <v>123.13166292483314</v>
      </c>
      <c r="E60" s="45">
        <f>IF(384665.97278="","-",384665.97278/1737475.58788*100)</f>
        <v>22.139359854221286</v>
      </c>
      <c r="F60" s="45">
        <f>IF(473645.60899="","-",473645.60899/2103396.42877*100)</f>
        <v>22.518133173163797</v>
      </c>
      <c r="G60" s="45">
        <f>IF(2025977.54466="","-",(384665.97278-494103.76861)/2025977.54466*100)</f>
        <v>-5.4017279766230528</v>
      </c>
      <c r="H60" s="45">
        <f>IF(1737475.58788="","-",(473645.60899-384665.97278)/1737475.58788*100)</f>
        <v>5.1212020951942963</v>
      </c>
      <c r="I60" s="36"/>
      <c r="J60" s="37"/>
      <c r="K60" s="33"/>
    </row>
    <row r="61" spans="1:11" ht="25.5" x14ac:dyDescent="0.25">
      <c r="A61" s="36" t="s">
        <v>278</v>
      </c>
      <c r="B61" s="37" t="s">
        <v>172</v>
      </c>
      <c r="C61" s="33">
        <v>1702.22272</v>
      </c>
      <c r="D61" s="47">
        <f>IF(OR(1364.3841="",1702.22272=""),"-",1702.22272/1364.3841*100)</f>
        <v>124.76125454701503</v>
      </c>
      <c r="E61" s="47">
        <f>IF(1364.3841="","-",1364.3841/1737475.58788*100)</f>
        <v>7.8526806909832228E-2</v>
      </c>
      <c r="F61" s="47">
        <f>IF(1702.22272="","-",1702.22272/2103396.42877*100)</f>
        <v>8.0927337173212099E-2</v>
      </c>
      <c r="G61" s="47">
        <f>IF(OR(2025977.54466="",3588.37368="",1364.3841=""),"-",(1364.3841-3588.37368)/2025977.54466*100)</f>
        <v>-0.1097736540003572</v>
      </c>
      <c r="H61" s="47">
        <f>IF(OR(1737475.58788="",1702.22272="",1364.3841=""),"-",(1702.22272-1364.3841)/1737475.58788*100)</f>
        <v>1.9444222546586541E-2</v>
      </c>
      <c r="I61" s="34"/>
      <c r="J61" s="35"/>
      <c r="K61" s="32"/>
    </row>
    <row r="62" spans="1:11" ht="25.5" x14ac:dyDescent="0.25">
      <c r="A62" s="36" t="s">
        <v>279</v>
      </c>
      <c r="B62" s="37" t="s">
        <v>173</v>
      </c>
      <c r="C62" s="33">
        <v>10379.81459</v>
      </c>
      <c r="D62" s="47">
        <f>IF(OR(9832.14419="",10379.81459=""),"-",10379.81459/9832.14419*100)</f>
        <v>105.57020309524161</v>
      </c>
      <c r="E62" s="47">
        <f>IF(9832.14419="","-",9832.14419/1737475.58788*100)</f>
        <v>0.56588675309083336</v>
      </c>
      <c r="F62" s="47">
        <f>IF(10379.81459="","-",10379.81459/2103396.42877*100)</f>
        <v>0.49347875883148606</v>
      </c>
      <c r="G62" s="47">
        <f>IF(OR(2025977.54466="",10477.33276="",9832.14419=""),"-",(9832.14419-10477.33276)/2025977.54466*100)</f>
        <v>-3.1845790773968034E-2</v>
      </c>
      <c r="H62" s="47">
        <f>IF(OR(1737475.58788="",10379.81459="",9832.14419=""),"-",(10379.81459-9832.14419)/1737475.58788*100)</f>
        <v>3.1521041436227901E-2</v>
      </c>
      <c r="I62" s="36"/>
      <c r="J62" s="37"/>
      <c r="K62" s="33"/>
    </row>
    <row r="63" spans="1:11" ht="25.5" x14ac:dyDescent="0.25">
      <c r="A63" s="36" t="s">
        <v>280</v>
      </c>
      <c r="B63" s="37" t="s">
        <v>174</v>
      </c>
      <c r="C63" s="33">
        <v>3398.86148</v>
      </c>
      <c r="D63" s="47">
        <f>IF(OR(2276.08505="",3398.86148=""),"-",3398.86148/2276.08505*100)</f>
        <v>149.32928275241736</v>
      </c>
      <c r="E63" s="47">
        <f>IF(2276.08505="","-",2276.08505/1737475.58788*100)</f>
        <v>0.13099954128145136</v>
      </c>
      <c r="F63" s="47">
        <f>IF(3398.86148="","-",3398.86148/2103396.42877*100)</f>
        <v>0.16158920085204989</v>
      </c>
      <c r="G63" s="47">
        <f>IF(OR(2025977.54466="",1881.61451="",2276.08505=""),"-",(2276.08505-1881.61451)/2025977.54466*100)</f>
        <v>1.9470627452892138E-2</v>
      </c>
      <c r="H63" s="47">
        <f>IF(OR(1737475.58788="",3398.86148="",2276.08505=""),"-",(3398.86148-2276.08505)/1737475.58788*100)</f>
        <v>6.4621134123096821E-2</v>
      </c>
      <c r="I63" s="36"/>
      <c r="J63" s="37"/>
      <c r="K63" s="33"/>
    </row>
    <row r="64" spans="1:11" ht="38.25" x14ac:dyDescent="0.25">
      <c r="A64" s="36" t="s">
        <v>281</v>
      </c>
      <c r="B64" s="37" t="s">
        <v>175</v>
      </c>
      <c r="C64" s="33">
        <v>18810.625380000001</v>
      </c>
      <c r="D64" s="47">
        <f>IF(OR(15406.79804="",18810.62538=""),"-",18810.62538/15406.79804*100)</f>
        <v>122.09302238636992</v>
      </c>
      <c r="E64" s="47">
        <f>IF(15406.79804="","-",15406.79804/1737475.58788*100)</f>
        <v>0.88673464809935976</v>
      </c>
      <c r="F64" s="47">
        <f>IF(18810.62538="","-",18810.62538/2103396.42877*100)</f>
        <v>0.89429767602105614</v>
      </c>
      <c r="G64" s="47">
        <f>IF(OR(2025977.54466="",17856.77746="",15406.79804=""),"-",(15406.79804-17856.77746)/2025977.54466*100)</f>
        <v>-0.12092826134512549</v>
      </c>
      <c r="H64" s="47">
        <f>IF(OR(1737475.58788="",18810.62538="",15406.79804=""),"-",(18810.62538-15406.79804)/1737475.58788*100)</f>
        <v>0.19590648431229005</v>
      </c>
      <c r="I64" s="36"/>
      <c r="J64" s="37"/>
      <c r="K64" s="33"/>
    </row>
    <row r="65" spans="1:11" ht="26.25" customHeight="1" x14ac:dyDescent="0.25">
      <c r="A65" s="36" t="s">
        <v>282</v>
      </c>
      <c r="B65" s="37" t="s">
        <v>176</v>
      </c>
      <c r="C65" s="33">
        <v>1470.60484</v>
      </c>
      <c r="D65" s="47">
        <f>IF(OR(1404.82446="",1470.60484=""),"-",1470.60484/1404.82446*100)</f>
        <v>104.68246260461609</v>
      </c>
      <c r="E65" s="47">
        <f>IF(1404.82446="","-",1404.82446/1737475.58788*100)</f>
        <v>8.085434234584625E-2</v>
      </c>
      <c r="F65" s="47">
        <f>IF(1470.60484="","-",1470.60484/2103396.42877*100)</f>
        <v>6.9915723916102845E-2</v>
      </c>
      <c r="G65" s="47">
        <f>IF(OR(2025977.54466="",840.0443="",1404.82446=""),"-",(1404.82446-840.0443)/2025977.54466*100)</f>
        <v>2.7876921019614836E-2</v>
      </c>
      <c r="H65" s="47">
        <f>IF(OR(1737475.58788="",1470.60484="",1404.82446=""),"-",(1470.60484-1404.82446)/1737475.58788*100)</f>
        <v>3.7859743445525225E-3</v>
      </c>
      <c r="I65" s="36"/>
      <c r="J65" s="37"/>
      <c r="K65" s="33"/>
    </row>
    <row r="66" spans="1:11" ht="39.75" customHeight="1" x14ac:dyDescent="0.25">
      <c r="A66" s="36" t="s">
        <v>283</v>
      </c>
      <c r="B66" s="37" t="s">
        <v>177</v>
      </c>
      <c r="C66" s="33">
        <v>2054.3240999999998</v>
      </c>
      <c r="D66" s="47">
        <f>IF(OR(1824.12796="",2054.3241=""),"-",2054.3241/1824.12796*100)</f>
        <v>112.61951710887649</v>
      </c>
      <c r="E66" s="47">
        <f>IF(1824.12796="","-",1824.12796/1737475.58788*100)</f>
        <v>0.10498725695626779</v>
      </c>
      <c r="F66" s="47">
        <f>IF(2054.3241="","-",2054.3241/2103396.42877*100)</f>
        <v>9.7666995717079513E-2</v>
      </c>
      <c r="G66" s="47">
        <f>IF(OR(2025977.54466="",2497.37914="",1824.12796=""),"-",(1824.12796-2497.37914)/2025977.54466*100)</f>
        <v>-3.3230930015711757E-2</v>
      </c>
      <c r="H66" s="47">
        <f>IF(OR(1737475.58788="",2054.3241="",1824.12796=""),"-",(2054.3241-1824.12796)/1737475.58788*100)</f>
        <v>1.3248884853736341E-2</v>
      </c>
      <c r="I66" s="36"/>
      <c r="J66" s="37"/>
      <c r="K66" s="33"/>
    </row>
    <row r="67" spans="1:11" ht="51" x14ac:dyDescent="0.25">
      <c r="A67" s="36" t="s">
        <v>284</v>
      </c>
      <c r="B67" s="37" t="s">
        <v>178</v>
      </c>
      <c r="C67" s="33">
        <v>392673.60512000002</v>
      </c>
      <c r="D67" s="47">
        <f>IF(OR(333787.80428="",392673.60512=""),"-",392673.60512/333787.80428*100)</f>
        <v>117.6416873489492</v>
      </c>
      <c r="E67" s="47">
        <f>IF(333787.80428="","-",333787.80428/1737475.58788*100)</f>
        <v>19.211078797790467</v>
      </c>
      <c r="F67" s="47">
        <f>IF(392673.60512="","-",392673.60512/2103396.42877*100)</f>
        <v>18.668549577676291</v>
      </c>
      <c r="G67" s="47">
        <f>IF(OR(2025977.54466="",436274.51042="",333787.80428=""),"-",(333787.80428-436274.51042)/2025977.54466*100)</f>
        <v>-5.0586299147357714</v>
      </c>
      <c r="H67" s="47">
        <f>IF(OR(1737475.58788="",392673.60512="",333787.80428=""),"-",(392673.60512-333787.80428)/1737475.58788*100)</f>
        <v>3.3891584578664613</v>
      </c>
      <c r="I67" s="36"/>
      <c r="J67" s="37"/>
      <c r="K67" s="33"/>
    </row>
    <row r="68" spans="1:11" ht="25.5" x14ac:dyDescent="0.25">
      <c r="A68" s="36" t="s">
        <v>285</v>
      </c>
      <c r="B68" s="37" t="s">
        <v>179</v>
      </c>
      <c r="C68" s="33">
        <v>42290.301639999998</v>
      </c>
      <c r="D68" s="47" t="s">
        <v>220</v>
      </c>
      <c r="E68" s="47">
        <f>IF(18351.16782="","-",18351.16782/1737475.58788*100)</f>
        <v>1.056197160294573</v>
      </c>
      <c r="F68" s="47">
        <f>IF(42290.30164="","-",42290.30164/2103396.42877*100)</f>
        <v>2.0105720948062098</v>
      </c>
      <c r="G68" s="47">
        <f>IF(OR(2025977.54466="",17753.3533="",18351.16782=""),"-",(18351.16782-17753.3533)/2025977.54466*100)</f>
        <v>2.9507460315920005E-2</v>
      </c>
      <c r="H68" s="47">
        <f>IF(OR(1737475.58788="",42290.30164="",18351.16782=""),"-",(42290.30164-18351.16782)/1737475.58788*100)</f>
        <v>1.3778112329744785</v>
      </c>
      <c r="I68" s="36"/>
      <c r="J68" s="37"/>
      <c r="K68" s="33"/>
    </row>
    <row r="69" spans="1:11" x14ac:dyDescent="0.25">
      <c r="A69" s="36" t="s">
        <v>286</v>
      </c>
      <c r="B69" s="37" t="s">
        <v>33</v>
      </c>
      <c r="C69" s="33">
        <v>865.24911999999995</v>
      </c>
      <c r="D69" s="47" t="s">
        <v>95</v>
      </c>
      <c r="E69" s="47">
        <f>IF(418.63688="","-",418.63688/1737475.58788*100)</f>
        <v>2.4094547452652524E-2</v>
      </c>
      <c r="F69" s="47">
        <f>IF(865.24912="","-",865.24912/2103396.42877*100)</f>
        <v>4.1135808170311025E-2</v>
      </c>
      <c r="G69" s="47">
        <f>IF(OR(2025977.54466="",2934.38304="",418.63688=""),"-",(418.63688-2934.38304)/2025977.54466*100)</f>
        <v>-0.12417443454054637</v>
      </c>
      <c r="H69" s="47">
        <f>IF(OR(1737475.58788="",865.24912="",418.63688=""),"-",(865.24912-418.63688)/1737475.58788*100)</f>
        <v>2.5704662736869804E-2</v>
      </c>
      <c r="I69" s="36"/>
      <c r="J69" s="37"/>
      <c r="K69" s="33"/>
    </row>
    <row r="70" spans="1:11" x14ac:dyDescent="0.25">
      <c r="A70" s="34" t="s">
        <v>287</v>
      </c>
      <c r="B70" s="35" t="s">
        <v>34</v>
      </c>
      <c r="C70" s="32">
        <v>431421.34151</v>
      </c>
      <c r="D70" s="45">
        <f>IF(367622.03902="","-",431421.34151/367622.03902*100)</f>
        <v>117.35459132430552</v>
      </c>
      <c r="E70" s="45">
        <f>IF(367622.03902="","-",367622.03902/1737475.58788*100)</f>
        <v>21.158400243686767</v>
      </c>
      <c r="F70" s="45">
        <f>IF(431421.34151="","-",431421.34151/2103396.42877*100)</f>
        <v>20.510700484657647</v>
      </c>
      <c r="G70" s="45">
        <f>IF(2025977.54466="","-",(367622.03902-436498.75943)/2025977.54466*100)</f>
        <v>-3.3996783721291868</v>
      </c>
      <c r="H70" s="45">
        <f>IF(1737475.58788="","-",(431421.34151-367622.03902)/1737475.58788*100)</f>
        <v>3.6719538930527014</v>
      </c>
      <c r="I70" s="36"/>
      <c r="J70" s="37"/>
      <c r="K70" s="33"/>
    </row>
    <row r="71" spans="1:11" ht="38.25" x14ac:dyDescent="0.25">
      <c r="A71" s="36" t="s">
        <v>288</v>
      </c>
      <c r="B71" s="37" t="s">
        <v>205</v>
      </c>
      <c r="C71" s="33">
        <v>11302.574420000001</v>
      </c>
      <c r="D71" s="47">
        <f>IF(OR(7846.84922="",11302.57442=""),"-",11302.57442/7846.84922*100)</f>
        <v>144.03965340881115</v>
      </c>
      <c r="E71" s="47">
        <f>IF(7846.84922="","-",7846.84922/1737475.58788*100)</f>
        <v>0.45162356666975795</v>
      </c>
      <c r="F71" s="47">
        <f>IF(11302.57442="","-",11302.57442/2103396.42877*100)</f>
        <v>0.5373487501169425</v>
      </c>
      <c r="G71" s="47">
        <f>IF(OR(2025977.54466="",6566.46409="",7846.84922=""),"-",(7846.84922-6566.46409)/2025977.54466*100)</f>
        <v>6.3198387039125559E-2</v>
      </c>
      <c r="H71" s="47">
        <f>IF(OR(1737475.58788="",11302.57442="",7846.84922=""),"-",(11302.57442-7846.84922)/1737475.58788*100)</f>
        <v>0.19889345347387249</v>
      </c>
      <c r="I71" s="34"/>
      <c r="J71" s="35"/>
      <c r="K71" s="32"/>
    </row>
    <row r="72" spans="1:11" x14ac:dyDescent="0.25">
      <c r="A72" s="36" t="s">
        <v>289</v>
      </c>
      <c r="B72" s="37" t="s">
        <v>180</v>
      </c>
      <c r="C72" s="33">
        <v>116028.31892999999</v>
      </c>
      <c r="D72" s="47">
        <f>IF(OR(93185.63482="",116028.31893=""),"-",116028.31893/93185.63482*100)</f>
        <v>124.51309598751305</v>
      </c>
      <c r="E72" s="47">
        <f>IF(93185.63482="","-",93185.63482/1737475.58788*100)</f>
        <v>5.3632773588319296</v>
      </c>
      <c r="F72" s="47">
        <f>IF(116028.31893="","-",116028.31893/2103396.42877*100)</f>
        <v>5.5162363757482318</v>
      </c>
      <c r="G72" s="47">
        <f>IF(OR(2025977.54466="",109437.1801="",93185.63482=""),"-",(93185.63482-109437.1801)/2025977.54466*100)</f>
        <v>-0.80215821359102635</v>
      </c>
      <c r="H72" s="47">
        <f>IF(OR(1737475.58788="",116028.31893="",93185.63482=""),"-",(116028.31893-93185.63482)/1737475.58788*100)</f>
        <v>1.3147053270470257</v>
      </c>
      <c r="I72" s="36"/>
      <c r="J72" s="37"/>
      <c r="K72" s="33"/>
    </row>
    <row r="73" spans="1:11" x14ac:dyDescent="0.25">
      <c r="A73" s="36" t="s">
        <v>290</v>
      </c>
      <c r="B73" s="37" t="s">
        <v>181</v>
      </c>
      <c r="C73" s="33">
        <v>10625.23884</v>
      </c>
      <c r="D73" s="47">
        <f>IF(OR(9197.81145="",10625.23884=""),"-",10625.23884/9197.81145*100)</f>
        <v>115.5192069087261</v>
      </c>
      <c r="E73" s="47">
        <f>IF(9197.81145="","-",9197.81145/1737475.58788*100)</f>
        <v>0.52937788099934169</v>
      </c>
      <c r="F73" s="47">
        <f>IF(10625.23884="","-",10625.23884/2103396.42877*100)</f>
        <v>0.50514675667740416</v>
      </c>
      <c r="G73" s="47">
        <f>IF(OR(2025977.54466="",10210.6116="",9197.81145=""),"-",(9197.81145-10210.6116)/2025977.54466*100)</f>
        <v>-4.999068981141986E-2</v>
      </c>
      <c r="H73" s="47">
        <f>IF(OR(1737475.58788="",10625.23884="",9197.81145=""),"-",(10625.23884-9197.81145)/1737475.58788*100)</f>
        <v>8.2155248681317697E-2</v>
      </c>
      <c r="I73" s="36"/>
      <c r="J73" s="37"/>
      <c r="K73" s="33"/>
    </row>
    <row r="74" spans="1:11" x14ac:dyDescent="0.25">
      <c r="A74" s="36" t="s">
        <v>291</v>
      </c>
      <c r="B74" s="37" t="s">
        <v>182</v>
      </c>
      <c r="C74" s="33">
        <v>201941.97479000001</v>
      </c>
      <c r="D74" s="47">
        <f>IF(OR(176155.86571="",201941.97479=""),"-",201941.97479/176155.86571*100)</f>
        <v>114.63823471110004</v>
      </c>
      <c r="E74" s="47">
        <f>IF(176155.86571="","-",176155.86571/1737475.58788*100)</f>
        <v>10.138609540116677</v>
      </c>
      <c r="F74" s="47">
        <f>IF(201941.97479="","-",201941.97479/2103396.42877*100)</f>
        <v>9.6007567583486537</v>
      </c>
      <c r="G74" s="47">
        <f>IF(OR(2025977.54466="",211314.59311="",176155.86571=""),"-",(176155.86571-211314.59311)/2025977.54466*100)</f>
        <v>-1.7353957102175248</v>
      </c>
      <c r="H74" s="47">
        <f>IF(OR(1737475.58788="",201941.97479="",176155.86571=""),"-",(201941.97479-176155.86571)/1737475.58788*100)</f>
        <v>1.4841134609242597</v>
      </c>
      <c r="I74" s="36"/>
      <c r="J74" s="37"/>
      <c r="K74" s="33"/>
    </row>
    <row r="75" spans="1:11" x14ac:dyDescent="0.25">
      <c r="A75" s="36" t="s">
        <v>292</v>
      </c>
      <c r="B75" s="37" t="s">
        <v>183</v>
      </c>
      <c r="C75" s="33">
        <v>27415.233380000001</v>
      </c>
      <c r="D75" s="47">
        <f>IF(OR(24664.60626="",27415.23338=""),"-",27415.23338/24664.60626*100)</f>
        <v>111.15212256382479</v>
      </c>
      <c r="E75" s="47">
        <f>IF(24664.60626="","-",24664.60626/1737475.58788*100)</f>
        <v>1.4195656291260352</v>
      </c>
      <c r="F75" s="47">
        <f>IF(27415.23338="","-",27415.23338/2103396.42877*100)</f>
        <v>1.3033792871860854</v>
      </c>
      <c r="G75" s="47">
        <f>IF(OR(2025977.54466="",26757.01293="",24664.60626=""),"-",(24664.60626-26757.01293)/2025977.54466*100)</f>
        <v>-0.1032788677996502</v>
      </c>
      <c r="H75" s="47">
        <f>IF(OR(1737475.58788="",27415.23338="",24664.60626=""),"-",(27415.23338-24664.60626)/1737475.58788*100)</f>
        <v>0.15831169883406587</v>
      </c>
      <c r="I75" s="36"/>
      <c r="J75" s="37"/>
      <c r="K75" s="33"/>
    </row>
    <row r="76" spans="1:11" ht="25.5" x14ac:dyDescent="0.25">
      <c r="A76" s="36" t="s">
        <v>293</v>
      </c>
      <c r="B76" s="37" t="s">
        <v>206</v>
      </c>
      <c r="C76" s="33">
        <v>16503.226549999999</v>
      </c>
      <c r="D76" s="47">
        <f>IF(OR(15184.3266="",16503.22655=""),"-",16503.22655/15184.3266*100)</f>
        <v>108.68592980606726</v>
      </c>
      <c r="E76" s="47">
        <f>IF(15184.3266="","-",15184.3266/1737475.58788*100)</f>
        <v>0.87393035654258155</v>
      </c>
      <c r="F76" s="47">
        <f>IF(16503.22655="","-",16503.22655/2103396.42877*100)</f>
        <v>0.78459896214859348</v>
      </c>
      <c r="G76" s="47">
        <f>IF(OR(2025977.54466="",20202.42999="",15184.3266=""),"-",(15184.3266-20202.42999)/2025977.54466*100)</f>
        <v>-0.24768800637630659</v>
      </c>
      <c r="H76" s="47">
        <f>IF(OR(1737475.58788="",16503.22655="",15184.3266=""),"-",(16503.22655-15184.3266)/1737475.58788*100)</f>
        <v>7.5908977323201954E-2</v>
      </c>
      <c r="I76" s="36"/>
      <c r="J76" s="37"/>
      <c r="K76" s="33"/>
    </row>
    <row r="77" spans="1:11" ht="25.5" x14ac:dyDescent="0.25">
      <c r="A77" s="36" t="s">
        <v>294</v>
      </c>
      <c r="B77" s="37" t="s">
        <v>184</v>
      </c>
      <c r="C77" s="33">
        <v>2783.4395100000002</v>
      </c>
      <c r="D77" s="47">
        <f>IF(OR(2132.35067="",2783.43951=""),"-",2783.43951/2132.35067*100)</f>
        <v>130.53385398378214</v>
      </c>
      <c r="E77" s="47">
        <f>IF(2132.35067="","-",2132.35067/1737475.58788*100)</f>
        <v>0.12272694274811718</v>
      </c>
      <c r="F77" s="47">
        <f>IF(2783.43951="","-",2783.43951/2103396.42877*100)</f>
        <v>0.13233071388390955</v>
      </c>
      <c r="G77" s="47">
        <f>IF(OR(2025977.54466="",3082.90534="",2132.35067=""),"-",(2132.35067-3082.90534)/2025977.54466*100)</f>
        <v>-4.6918322096187022E-2</v>
      </c>
      <c r="H77" s="47">
        <f>IF(OR(1737475.58788="",2783.43951="",2132.35067=""),"-",(2783.43951-2132.35067)/1737475.58788*100)</f>
        <v>3.7473265497470015E-2</v>
      </c>
      <c r="I77" s="36"/>
      <c r="J77" s="37"/>
      <c r="K77" s="33"/>
    </row>
    <row r="78" spans="1:11" ht="15.75" customHeight="1" x14ac:dyDescent="0.25">
      <c r="A78" s="36" t="s">
        <v>295</v>
      </c>
      <c r="B78" s="37" t="s">
        <v>35</v>
      </c>
      <c r="C78" s="33">
        <v>44821.33509</v>
      </c>
      <c r="D78" s="47">
        <f>IF(OR(39254.59429="",44821.33509=""),"-",44821.33509/39254.59429*100)</f>
        <v>114.18111918027927</v>
      </c>
      <c r="E78" s="47">
        <f>IF(39254.59429="","-",39254.59429/1737475.58788*100)</f>
        <v>2.2592889686523265</v>
      </c>
      <c r="F78" s="47">
        <f>IF(44821.33509="","-",44821.33509/2103396.42877*100)</f>
        <v>2.1309028805478243</v>
      </c>
      <c r="G78" s="47">
        <f>IF(OR(2025977.54466="",48927.56227="",39254.59429=""),"-",(39254.59429-48927.56227)/2025977.54466*100)</f>
        <v>-0.47744694927619846</v>
      </c>
      <c r="H78" s="47">
        <f>IF(OR(1737475.58788="",44821.33509="",39254.59429=""),"-",(44821.33509-39254.59429)/1737475.58788*100)</f>
        <v>0.32039246127148868</v>
      </c>
      <c r="I78" s="36"/>
      <c r="J78" s="37"/>
      <c r="K78" s="33"/>
    </row>
    <row r="79" spans="1:11" ht="25.5" x14ac:dyDescent="0.25">
      <c r="A79" s="40" t="s">
        <v>299</v>
      </c>
      <c r="B79" s="54" t="s">
        <v>185</v>
      </c>
      <c r="C79" s="55">
        <v>433.77474999999998</v>
      </c>
      <c r="D79" s="90">
        <f>IF(408.3958="","-",433.77475/408.3958*100)</f>
        <v>106.21430239977983</v>
      </c>
      <c r="E79" s="90">
        <f>IF(408.3958="","-",408.3958/1737475.58788*100)</f>
        <v>2.3505124494917862E-2</v>
      </c>
      <c r="F79" s="90">
        <f>IF(433.77475="","-",433.77475/2103396.42877*100)</f>
        <v>2.0622586596938254E-2</v>
      </c>
      <c r="G79" s="90">
        <f>IF(2025977.54466="","-",(408.3958-679.39843)/2025977.54466*100)</f>
        <v>-1.3376388633442612E-2</v>
      </c>
      <c r="H79" s="90">
        <f>IF(1737475.58788="","-",(433.77475-408.3958)/1737475.58788*100)</f>
        <v>1.460679515558914E-3</v>
      </c>
      <c r="I79" s="36"/>
      <c r="J79" s="37"/>
      <c r="K79" s="33"/>
    </row>
    <row r="80" spans="1:11" x14ac:dyDescent="0.25">
      <c r="A80" s="127" t="s">
        <v>302</v>
      </c>
      <c r="B80" s="128"/>
      <c r="C80" s="132"/>
      <c r="D80" s="133"/>
      <c r="E80" s="133"/>
      <c r="F80" s="82"/>
      <c r="G80" s="82"/>
      <c r="H80" s="82"/>
      <c r="I80" s="1"/>
      <c r="J80" s="1"/>
      <c r="K80" s="1"/>
    </row>
    <row r="81" spans="1:5" x14ac:dyDescent="0.25">
      <c r="A81" s="129" t="s">
        <v>410</v>
      </c>
      <c r="B81" s="129"/>
      <c r="C81" s="129"/>
      <c r="D81" s="129"/>
      <c r="E81" s="129"/>
    </row>
  </sheetData>
  <mergeCells count="12">
    <mergeCell ref="A81:E81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82"/>
  <sheetViews>
    <sheetView zoomScaleNormal="100" workbookViewId="0">
      <selection activeCell="B90" sqref="B90"/>
    </sheetView>
  </sheetViews>
  <sheetFormatPr defaultRowHeight="15.75" x14ac:dyDescent="0.25"/>
  <cols>
    <col min="1" max="1" width="5.25" customWidth="1"/>
    <col min="2" max="2" width="26.75" customWidth="1"/>
    <col min="3" max="3" width="11.25" customWidth="1"/>
    <col min="4" max="4" width="9" customWidth="1"/>
    <col min="5" max="5" width="8.5" customWidth="1"/>
    <col min="6" max="6" width="8.625" customWidth="1"/>
    <col min="7" max="7" width="8.375" customWidth="1"/>
    <col min="8" max="8" width="8.75" customWidth="1"/>
  </cols>
  <sheetData>
    <row r="1" spans="1:8" x14ac:dyDescent="0.25">
      <c r="B1" s="104" t="s">
        <v>138</v>
      </c>
      <c r="C1" s="104"/>
      <c r="D1" s="104"/>
      <c r="E1" s="104"/>
      <c r="F1" s="104"/>
      <c r="G1" s="104"/>
      <c r="H1" s="104"/>
    </row>
    <row r="2" spans="1:8" x14ac:dyDescent="0.25">
      <c r="B2" s="104" t="s">
        <v>301</v>
      </c>
      <c r="C2" s="104"/>
      <c r="D2" s="104"/>
      <c r="E2" s="104"/>
      <c r="F2" s="104"/>
      <c r="G2" s="104"/>
      <c r="H2" s="104"/>
    </row>
    <row r="3" spans="1:8" x14ac:dyDescent="0.25">
      <c r="B3" s="5"/>
    </row>
    <row r="4" spans="1:8" ht="57" customHeight="1" x14ac:dyDescent="0.25">
      <c r="A4" s="112" t="s">
        <v>226</v>
      </c>
      <c r="B4" s="115"/>
      <c r="C4" s="118" t="s">
        <v>349</v>
      </c>
      <c r="D4" s="110"/>
      <c r="E4" s="118" t="s">
        <v>0</v>
      </c>
      <c r="F4" s="110"/>
      <c r="G4" s="107" t="s">
        <v>119</v>
      </c>
      <c r="H4" s="119"/>
    </row>
    <row r="5" spans="1:8" ht="22.5" customHeight="1" x14ac:dyDescent="0.25">
      <c r="A5" s="113"/>
      <c r="B5" s="116"/>
      <c r="C5" s="120" t="s">
        <v>110</v>
      </c>
      <c r="D5" s="105" t="s">
        <v>350</v>
      </c>
      <c r="E5" s="122" t="s">
        <v>351</v>
      </c>
      <c r="F5" s="122"/>
      <c r="G5" s="122" t="s">
        <v>396</v>
      </c>
      <c r="H5" s="118"/>
    </row>
    <row r="6" spans="1:8" ht="31.5" customHeight="1" x14ac:dyDescent="0.25">
      <c r="A6" s="114"/>
      <c r="B6" s="117"/>
      <c r="C6" s="121"/>
      <c r="D6" s="106"/>
      <c r="E6" s="21">
        <v>2020</v>
      </c>
      <c r="F6" s="21">
        <v>2021</v>
      </c>
      <c r="G6" s="21">
        <v>2020</v>
      </c>
      <c r="H6" s="17">
        <v>2021</v>
      </c>
    </row>
    <row r="7" spans="1:8" x14ac:dyDescent="0.25">
      <c r="A7" s="84"/>
      <c r="B7" s="53" t="s">
        <v>123</v>
      </c>
      <c r="C7" s="42">
        <v>5072717.7421800001</v>
      </c>
      <c r="D7" s="43">
        <f>IF(3832218.99595="","-",5072717.74218/3832218.99595*100)</f>
        <v>132.37024678237321</v>
      </c>
      <c r="E7" s="43">
        <v>100</v>
      </c>
      <c r="F7" s="43">
        <v>100</v>
      </c>
      <c r="G7" s="43">
        <f>IF(4273352.38515="","-",(3832218.99595-4273352.38515)/4273352.38515*100)</f>
        <v>-10.322888202081097</v>
      </c>
      <c r="H7" s="43">
        <f>IF(3832218.99595="","-",(5072717.74218-3832218.99595)/3832218.99595*100)</f>
        <v>32.370246782373222</v>
      </c>
    </row>
    <row r="8" spans="1:8" ht="12" customHeight="1" x14ac:dyDescent="0.25">
      <c r="A8" s="34" t="s">
        <v>227</v>
      </c>
      <c r="B8" s="35" t="s">
        <v>186</v>
      </c>
      <c r="C8" s="32">
        <v>547595.89668999997</v>
      </c>
      <c r="D8" s="45">
        <f>IF(464874.66133="","-",547595.89669/464874.66133*100)</f>
        <v>117.79430935713633</v>
      </c>
      <c r="E8" s="45">
        <f>IF(464874.66133="","-",464874.66133/3832218.99595*100)</f>
        <v>12.130691430246889</v>
      </c>
      <c r="F8" s="45">
        <f>IF(547595.89669="","-",547595.89669/5072717.74218*100)</f>
        <v>10.794921470530522</v>
      </c>
      <c r="G8" s="45">
        <f>IF(4273352.38515="","-",(464874.66133-428889.19035)/4273352.38515*100)</f>
        <v>0.84208995038767065</v>
      </c>
      <c r="H8" s="45">
        <f>IF(3832218.99595="","-",(547595.89669-464874.66133)/3832218.99595*100)</f>
        <v>2.1585727602577562</v>
      </c>
    </row>
    <row r="9" spans="1:8" x14ac:dyDescent="0.25">
      <c r="A9" s="36" t="s">
        <v>228</v>
      </c>
      <c r="B9" s="37" t="s">
        <v>23</v>
      </c>
      <c r="C9" s="33">
        <v>4015.1958399999999</v>
      </c>
      <c r="D9" s="47">
        <f>IF(OR(4787.75834="",4015.19584=""),"-",4015.19584/4787.75834*100)</f>
        <v>83.863795013513567</v>
      </c>
      <c r="E9" s="47">
        <f>IF(4787.75834="","-",4787.75834/3832218.99595*100)</f>
        <v>0.12493436165991147</v>
      </c>
      <c r="F9" s="47">
        <f>IF(4015.19584="","-",4015.19584/5072717.74218*100)</f>
        <v>7.9152754875623538E-2</v>
      </c>
      <c r="G9" s="47">
        <f>IF(OR(4273352.38515="",4285.48252="",4787.75834=""),"-",(4787.75834-4285.48252)/4273352.38515*100)</f>
        <v>1.1753671935537564E-2</v>
      </c>
      <c r="H9" s="47">
        <f>IF(OR(3832218.99595="",4015.19584="",4787.75834=""),"-",(4015.19584-4787.75834)/3832218.99595*100)</f>
        <v>-2.0159664696001636E-2</v>
      </c>
    </row>
    <row r="10" spans="1:8" ht="14.25" customHeight="1" x14ac:dyDescent="0.25">
      <c r="A10" s="36" t="s">
        <v>229</v>
      </c>
      <c r="B10" s="37" t="s">
        <v>187</v>
      </c>
      <c r="C10" s="33">
        <v>46341.484909999999</v>
      </c>
      <c r="D10" s="47" t="s">
        <v>104</v>
      </c>
      <c r="E10" s="47">
        <f>IF(29607.75488="","-",29607.75488/3832218.99595*100)</f>
        <v>0.77260080677253395</v>
      </c>
      <c r="F10" s="47">
        <f>IF(46341.48491="","-",46341.48491/5072717.74218*100)</f>
        <v>0.91354353357111384</v>
      </c>
      <c r="G10" s="47">
        <f>IF(OR(4273352.38515="",34855.56474="",29607.75488=""),"-",(29607.75488-34855.56474)/4273352.38515*100)</f>
        <v>-0.12280311537696408</v>
      </c>
      <c r="H10" s="47">
        <f>IF(OR(3832218.99595="",46341.48491="",29607.75488=""),"-",(46341.48491-29607.75488)/3832218.99595*100)</f>
        <v>0.43665902307996202</v>
      </c>
    </row>
    <row r="11" spans="1:8" s="7" customFormat="1" x14ac:dyDescent="0.25">
      <c r="A11" s="36" t="s">
        <v>230</v>
      </c>
      <c r="B11" s="37" t="s">
        <v>188</v>
      </c>
      <c r="C11" s="33">
        <v>67672.403030000001</v>
      </c>
      <c r="D11" s="47">
        <f>IF(OR(59377.29755="",67672.40303=""),"-",67672.40303/59377.29755*100)</f>
        <v>113.9701633827557</v>
      </c>
      <c r="E11" s="47">
        <f>IF(59377.29755="","-",59377.29755/3832218.99595*100)</f>
        <v>1.5494233918456031</v>
      </c>
      <c r="F11" s="47">
        <f>IF(67672.40303="","-",67672.40303/5072717.74218*100)</f>
        <v>1.33404629371154</v>
      </c>
      <c r="G11" s="47">
        <f>IF(OR(4273352.38515="",47199.80793="",59377.29755=""),"-",(59377.29755-47199.80793)/4273352.38515*100)</f>
        <v>0.2849633852409893</v>
      </c>
      <c r="H11" s="47">
        <f>IF(OR(3832218.99595="",67672.40303="",59377.29755=""),"-",(67672.40303-59377.29755)/3832218.99595*100)</f>
        <v>0.21645697933146582</v>
      </c>
    </row>
    <row r="12" spans="1:8" s="7" customFormat="1" x14ac:dyDescent="0.25">
      <c r="A12" s="36" t="s">
        <v>231</v>
      </c>
      <c r="B12" s="37" t="s">
        <v>189</v>
      </c>
      <c r="C12" s="33">
        <v>51043.464610000003</v>
      </c>
      <c r="D12" s="47">
        <f>IF(OR(40228.01371="",51043.46461=""),"-",51043.46461/40228.01371*100)</f>
        <v>126.88537141795659</v>
      </c>
      <c r="E12" s="47">
        <f>IF(40228.01371="","-",40228.01371/3832218.99595*100)</f>
        <v>1.0497315981292856</v>
      </c>
      <c r="F12" s="47">
        <f>IF(51043.46461="","-",51043.46461/5072717.74218*100)</f>
        <v>1.0062350638114566</v>
      </c>
      <c r="G12" s="47">
        <f>IF(OR(4273352.38515="",39857.11822="",40228.01371=""),"-",(40228.01371-39857.11822)/4273352.38515*100)</f>
        <v>8.6792629432778153E-3</v>
      </c>
      <c r="H12" s="47">
        <f>IF(OR(3832218.99595="",51043.46461="",40228.01371=""),"-",(51043.46461-40228.01371)/3832218.99595*100)</f>
        <v>0.28222423904871008</v>
      </c>
    </row>
    <row r="13" spans="1:8" s="7" customFormat="1" ht="15" customHeight="1" x14ac:dyDescent="0.25">
      <c r="A13" s="36" t="s">
        <v>232</v>
      </c>
      <c r="B13" s="37" t="s">
        <v>190</v>
      </c>
      <c r="C13" s="33">
        <v>76514.584629999998</v>
      </c>
      <c r="D13" s="47">
        <f>IF(OR(71379.62822="",76514.58463=""),"-",76514.58463/71379.62822*100)</f>
        <v>107.19386824791729</v>
      </c>
      <c r="E13" s="47">
        <f>IF(71379.62822="","-",71379.62822/3832218.99595*100)</f>
        <v>1.8626187150430615</v>
      </c>
      <c r="F13" s="47">
        <f>IF(76514.58463="","-",76514.58463/5072717.74218*100)</f>
        <v>1.5083548606258124</v>
      </c>
      <c r="G13" s="47">
        <f>IF(OR(4273352.38515="",60548.08084="",71379.62822=""),"-",(71379.62822-60548.08084)/4273352.38515*100)</f>
        <v>0.25346721739213168</v>
      </c>
      <c r="H13" s="47">
        <f>IF(OR(3832218.99595="",76514.58463="",71379.62822=""),"-",(76514.58463-71379.62822)/3832218.99595*100)</f>
        <v>0.13399433632124808</v>
      </c>
    </row>
    <row r="14" spans="1:8" s="7" customFormat="1" ht="14.25" customHeight="1" x14ac:dyDescent="0.25">
      <c r="A14" s="36" t="s">
        <v>233</v>
      </c>
      <c r="B14" s="37" t="s">
        <v>191</v>
      </c>
      <c r="C14" s="33">
        <v>126957.95494</v>
      </c>
      <c r="D14" s="47">
        <f>IF(OR(122409.52319="",126957.95494=""),"-",126957.95494/122409.52319*100)</f>
        <v>103.71574991182678</v>
      </c>
      <c r="E14" s="47">
        <f>IF(122409.52319="","-",122409.52319/3832218.99595*100)</f>
        <v>3.1942204586785343</v>
      </c>
      <c r="F14" s="47">
        <f>IF(126957.95494="","-",126957.95494/5072717.74218*100)</f>
        <v>2.5027600862617643</v>
      </c>
      <c r="G14" s="47">
        <f>IF(OR(4273352.38515="",114853.24104="",122409.52319=""),"-",(122409.52319-114853.24104)/4273352.38515*100)</f>
        <v>0.17682328694114416</v>
      </c>
      <c r="H14" s="47">
        <f>IF(OR(3832218.99595="",126957.95494="",122409.52319=""),"-",(126957.95494-122409.52319)/3832218.99595*100)</f>
        <v>0.11868924387690014</v>
      </c>
    </row>
    <row r="15" spans="1:8" s="7" customFormat="1" ht="25.5" x14ac:dyDescent="0.25">
      <c r="A15" s="36" t="s">
        <v>234</v>
      </c>
      <c r="B15" s="37" t="s">
        <v>149</v>
      </c>
      <c r="C15" s="33">
        <v>13050.519759999999</v>
      </c>
      <c r="D15" s="47">
        <f>IF(OR(11461.71196="",13050.51976=""),"-",13050.51976/11461.71196*100)</f>
        <v>113.8618716431258</v>
      </c>
      <c r="E15" s="47">
        <f>IF(11461.71196="","-",11461.71196/3832218.99595*100)</f>
        <v>0.2990881254989099</v>
      </c>
      <c r="F15" s="47">
        <f>IF(13050.51976="","-",13050.51976/5072717.74218*100)</f>
        <v>0.25726879403291103</v>
      </c>
      <c r="G15" s="47">
        <f>IF(OR(4273352.38515="",10861.62408="",11461.71196=""),"-",(11461.71196-10861.62408)/4273352.38515*100)</f>
        <v>1.4042555490750548E-2</v>
      </c>
      <c r="H15" s="47">
        <f>IF(OR(3832218.99595="",13050.51976="",11461.71196=""),"-",(13050.51976-11461.71196)/3832218.99595*100)</f>
        <v>4.1459212056489905E-2</v>
      </c>
    </row>
    <row r="16" spans="1:8" s="7" customFormat="1" ht="25.5" x14ac:dyDescent="0.25">
      <c r="A16" s="36" t="s">
        <v>235</v>
      </c>
      <c r="B16" s="37" t="s">
        <v>192</v>
      </c>
      <c r="C16" s="33">
        <v>46440.08829</v>
      </c>
      <c r="D16" s="47">
        <f>IF(OR(38420.75604="",46440.08829=""),"-",46440.08829/38420.75604*100)</f>
        <v>120.87239574788961</v>
      </c>
      <c r="E16" s="47">
        <f>IF(38420.75604="","-",38420.75604/3832218.99595*100)</f>
        <v>1.0025720367391364</v>
      </c>
      <c r="F16" s="47">
        <f>IF(46440.08829="","-",46440.08829/5072717.74218*100)</f>
        <v>0.91548733145247652</v>
      </c>
      <c r="G16" s="47">
        <f>IF(OR(4273352.38515="",37086.04367="",38420.75604=""),"-",(38420.75604-37086.04367)/4273352.38515*100)</f>
        <v>3.1233379550868721E-2</v>
      </c>
      <c r="H16" s="47">
        <f>IF(OR(3832218.99595="",46440.08829="",38420.75604=""),"-",(46440.08829-38420.75604)/3832218.99595*100)</f>
        <v>0.20926080316586976</v>
      </c>
    </row>
    <row r="17" spans="1:8" s="7" customFormat="1" ht="25.5" x14ac:dyDescent="0.25">
      <c r="A17" s="36" t="s">
        <v>236</v>
      </c>
      <c r="B17" s="37" t="s">
        <v>150</v>
      </c>
      <c r="C17" s="33">
        <v>37090.731070000002</v>
      </c>
      <c r="D17" s="47">
        <f>IF(OR(28837.66655="",37090.73107=""),"-",37090.73107/28837.66655*100)</f>
        <v>128.61904414384736</v>
      </c>
      <c r="E17" s="47">
        <f>IF(28837.66655="","-",28837.66655/3832218.99595*100)</f>
        <v>0.75250570440980757</v>
      </c>
      <c r="F17" s="47">
        <f>IF(37090.73107="","-",37090.73107/5072717.74218*100)</f>
        <v>0.73118066005502336</v>
      </c>
      <c r="G17" s="47">
        <f>IF(OR(4273352.38515="",23879.71368="",28837.66655=""),"-",(28837.66655-23879.71368)/4273352.38515*100)</f>
        <v>0.1160202207341712</v>
      </c>
      <c r="H17" s="47">
        <f>IF(OR(3832218.99595="",37090.73107="",28837.66655=""),"-",(37090.73107-28837.66655)/3832218.99595*100)</f>
        <v>0.21535993973001225</v>
      </c>
    </row>
    <row r="18" spans="1:8" s="7" customFormat="1" ht="15" customHeight="1" x14ac:dyDescent="0.25">
      <c r="A18" s="36" t="s">
        <v>237</v>
      </c>
      <c r="B18" s="37" t="s">
        <v>193</v>
      </c>
      <c r="C18" s="33">
        <v>78469.46961</v>
      </c>
      <c r="D18" s="47">
        <f>IF(OR(58364.55089="",78469.46961=""),"-",78469.46961/58364.55089*100)</f>
        <v>134.44714028193562</v>
      </c>
      <c r="E18" s="47">
        <f>IF(58364.55089="","-",58364.55089/3832218.99595*100)</f>
        <v>1.5229962314701051</v>
      </c>
      <c r="F18" s="47">
        <f>IF(78469.46961="","-",78469.46961/5072717.74218*100)</f>
        <v>1.5468920921328013</v>
      </c>
      <c r="G18" s="47">
        <f>IF(OR(4273352.38515="",55462.51363="",58364.55089=""),"-",(58364.55089-55462.51363)/4273352.38515*100)</f>
        <v>6.7910085535764497E-2</v>
      </c>
      <c r="H18" s="47">
        <f>IF(OR(3832218.99595="",78469.46961="",58364.55089=""),"-",(78469.46961-58364.55089)/3832218.99595*100)</f>
        <v>0.52462864834309997</v>
      </c>
    </row>
    <row r="19" spans="1:8" s="7" customFormat="1" x14ac:dyDescent="0.25">
      <c r="A19" s="34" t="s">
        <v>238</v>
      </c>
      <c r="B19" s="35" t="s">
        <v>194</v>
      </c>
      <c r="C19" s="32">
        <v>96900.355649999998</v>
      </c>
      <c r="D19" s="45">
        <f>IF(76395.06427="","-",96900.35565/76395.06427*100)</f>
        <v>126.84112066131519</v>
      </c>
      <c r="E19" s="45">
        <f>IF(76395.06427="","-",76395.06427/3832218.99595*100)</f>
        <v>1.993494222296182</v>
      </c>
      <c r="F19" s="45">
        <f>IF(96900.35565="","-",96900.35565/5072717.74218*100)</f>
        <v>1.9102256536819862</v>
      </c>
      <c r="G19" s="45">
        <f>IF(4273352.38515="","-",(76395.06427-92744.95009)/4273352.38515*100)</f>
        <v>-0.38260092654226763</v>
      </c>
      <c r="H19" s="45">
        <f>IF(3832218.99595="","-",(96900.35565-76395.06427)/3832218.99595*100)</f>
        <v>0.53507618958286529</v>
      </c>
    </row>
    <row r="20" spans="1:8" s="7" customFormat="1" x14ac:dyDescent="0.25">
      <c r="A20" s="36" t="s">
        <v>239</v>
      </c>
      <c r="B20" s="37" t="s">
        <v>195</v>
      </c>
      <c r="C20" s="33">
        <v>60083.307919999999</v>
      </c>
      <c r="D20" s="47" t="s">
        <v>221</v>
      </c>
      <c r="E20" s="47">
        <f>IF(39547.33715="","-",39547.33715/3832218.99595*100)</f>
        <v>1.0319696549647808</v>
      </c>
      <c r="F20" s="47">
        <f>IF(60083.30792="","-",60083.30792/5072717.74218*100)</f>
        <v>1.1844401950536914</v>
      </c>
      <c r="G20" s="47">
        <f>IF(OR(4273352.38515="",47791.17052="",39547.33715=""),"-",(39547.33715-47791.17052)/4273352.38515*100)</f>
        <v>-0.19291255733197932</v>
      </c>
      <c r="H20" s="47">
        <f>IF(OR(3832218.99595="",60083.30792="",39547.33715=""),"-",(60083.30792-39547.33715)/3832218.99595*100)</f>
        <v>0.5358767542174131</v>
      </c>
    </row>
    <row r="21" spans="1:8" s="7" customFormat="1" x14ac:dyDescent="0.25">
      <c r="A21" s="36" t="s">
        <v>240</v>
      </c>
      <c r="B21" s="37" t="s">
        <v>196</v>
      </c>
      <c r="C21" s="33">
        <v>36817.047729999998</v>
      </c>
      <c r="D21" s="47">
        <f>IF(OR(36847.72712="",36817.04773=""),"-",36817.04773/36847.72712*100)</f>
        <v>99.916740074903146</v>
      </c>
      <c r="E21" s="47">
        <f>IF(36847.72712="","-",36847.72712/3832218.99595*100)</f>
        <v>0.96152456733140124</v>
      </c>
      <c r="F21" s="47">
        <f>IF(36817.04773="","-",36817.04773/5072717.74218*100)</f>
        <v>0.72578545862829491</v>
      </c>
      <c r="G21" s="47">
        <f>IF(OR(4273352.38515="",44953.77957="",36847.72712=""),"-",(36847.72712-44953.77957)/4273352.38515*100)</f>
        <v>-0.18968836921028834</v>
      </c>
      <c r="H21" s="47">
        <f>IF(OR(3832218.99595="",36817.04773="",36847.72712=""),"-",(36817.04773-36847.72712)/3832218.99595*100)</f>
        <v>-8.0056463454796444E-4</v>
      </c>
    </row>
    <row r="22" spans="1:8" s="7" customFormat="1" ht="25.5" x14ac:dyDescent="0.25">
      <c r="A22" s="34" t="s">
        <v>241</v>
      </c>
      <c r="B22" s="35" t="s">
        <v>24</v>
      </c>
      <c r="C22" s="32">
        <v>145934.49212000001</v>
      </c>
      <c r="D22" s="45">
        <f>IF(104856.1958="","-",145934.49212/104856.1958*100)</f>
        <v>139.17584078517561</v>
      </c>
      <c r="E22" s="45">
        <f>IF(104856.1958="","-",104856.1958/3832218.99595*100)</f>
        <v>2.7361744177672276</v>
      </c>
      <c r="F22" s="45">
        <f>IF(145934.49212="","-",145934.49212/5072717.74218*100)</f>
        <v>2.8768502317119791</v>
      </c>
      <c r="G22" s="45">
        <f>IF(4273352.38515="","-",(104856.1958-112677.29919)/4273352.38515*100)</f>
        <v>-0.18302032421146736</v>
      </c>
      <c r="H22" s="45">
        <f>IF(3832218.99595="","-",(145934.49212-104856.1958)/3832218.99595*100)</f>
        <v>1.071919333509195</v>
      </c>
    </row>
    <row r="23" spans="1:8" s="7" customFormat="1" ht="15.75" customHeight="1" x14ac:dyDescent="0.25">
      <c r="A23" s="36" t="s">
        <v>242</v>
      </c>
      <c r="B23" s="37" t="s">
        <v>203</v>
      </c>
      <c r="C23" s="33">
        <v>14.63442</v>
      </c>
      <c r="D23" s="47" t="str">
        <f>IF(OR(""="",14.63442=""),"-",14.63442/""*100)</f>
        <v>-</v>
      </c>
      <c r="E23" s="47" t="str">
        <f>IF(""="","-",""/3832218.99595*100)</f>
        <v>-</v>
      </c>
      <c r="F23" s="47">
        <f>IF(14.63442="","-",14.63442/5072717.74218*100)</f>
        <v>2.8849269255243164E-4</v>
      </c>
      <c r="G23" s="47" t="str">
        <f>IF(OR(4273352.38515="",18.14="",""=""),"-",(""-18.14)/4273352.38515*100)</f>
        <v>-</v>
      </c>
      <c r="H23" s="47" t="str">
        <f>IF(OR(3832218.99595="",14.63442="",""=""),"-",(14.63442-"")/3832218.99595*100)</f>
        <v>-</v>
      </c>
    </row>
    <row r="24" spans="1:8" s="7" customFormat="1" x14ac:dyDescent="0.25">
      <c r="A24" s="36" t="s">
        <v>243</v>
      </c>
      <c r="B24" s="37" t="s">
        <v>197</v>
      </c>
      <c r="C24" s="33">
        <v>43293.26442</v>
      </c>
      <c r="D24" s="47">
        <f>IF(OR(29934.96436="",43293.26442=""),"-",43293.26442/29934.96436*100)</f>
        <v>144.62440609366402</v>
      </c>
      <c r="E24" s="47">
        <f>IF(29934.96436="","-",29934.96436/3832218.99595*100)</f>
        <v>0.78113918833021123</v>
      </c>
      <c r="F24" s="47">
        <f>IF(43293.26442="","-",43293.26442/5072717.74218*100)</f>
        <v>0.85345305259177939</v>
      </c>
      <c r="G24" s="47">
        <f>IF(OR(4273352.38515="",29067.36713="",29934.96436=""),"-",(29934.96436-29067.36713)/4273352.38515*100)</f>
        <v>2.0302496770800454E-2</v>
      </c>
      <c r="H24" s="47">
        <f>IF(OR(3832218.99595="",43293.26442="",29934.96436=""),"-",(43293.26442-29934.96436)/3832218.99595*100)</f>
        <v>0.34857872355722458</v>
      </c>
    </row>
    <row r="25" spans="1:8" s="7" customFormat="1" ht="25.5" x14ac:dyDescent="0.25">
      <c r="A25" s="36" t="s">
        <v>297</v>
      </c>
      <c r="B25" s="37" t="s">
        <v>198</v>
      </c>
      <c r="C25" s="33">
        <v>1906.3419699999999</v>
      </c>
      <c r="D25" s="47" t="s">
        <v>105</v>
      </c>
      <c r="E25" s="47">
        <f>IF(1009.92479="","-",1009.92479/3832218.99595*100)</f>
        <v>2.6353524969927808E-2</v>
      </c>
      <c r="F25" s="47">
        <f>IF(1906.34197="","-",1906.34197/5072717.74218*100)</f>
        <v>3.7580288651754348E-2</v>
      </c>
      <c r="G25" s="47">
        <f>IF(OR(4273352.38515="",1201.43299="",1009.92479=""),"-",(1009.92479-1201.43299)/4273352.38515*100)</f>
        <v>-4.4814511591764698E-3</v>
      </c>
      <c r="H25" s="47">
        <f>IF(OR(3832218.99595="",1906.34197="",1009.92479=""),"-",(1906.34197-1009.92479)/3832218.99595*100)</f>
        <v>2.339159585992762E-2</v>
      </c>
    </row>
    <row r="26" spans="1:8" s="7" customFormat="1" x14ac:dyDescent="0.25">
      <c r="A26" s="36" t="s">
        <v>244</v>
      </c>
      <c r="B26" s="37" t="s">
        <v>199</v>
      </c>
      <c r="C26" s="33">
        <v>40774.44859</v>
      </c>
      <c r="D26" s="47">
        <f>IF(OR(28769.73312="",40774.44859=""),"-",40774.44859/28769.73312*100)</f>
        <v>141.72689200809657</v>
      </c>
      <c r="E26" s="47">
        <f>IF(28769.73312="","-",28769.73312/3832218.99595*100)</f>
        <v>0.75073301265936754</v>
      </c>
      <c r="F26" s="47">
        <f>IF(40774.44859="","-",40774.44859/5072717.74218*100)</f>
        <v>0.80379888380064257</v>
      </c>
      <c r="G26" s="47">
        <f>IF(OR(4273352.38515="",29178.10084="",28769.73312=""),"-",(28769.73312-29178.10084)/4273352.38515*100)</f>
        <v>-9.5561442912848876E-3</v>
      </c>
      <c r="H26" s="47">
        <f>IF(OR(3832218.99595="",40774.44859="",28769.73312=""),"-",(40774.44859-28769.73312)/3832218.99595*100)</f>
        <v>0.31325755346150441</v>
      </c>
    </row>
    <row r="27" spans="1:8" s="7" customFormat="1" ht="14.25" customHeight="1" x14ac:dyDescent="0.25">
      <c r="A27" s="36" t="s">
        <v>245</v>
      </c>
      <c r="B27" s="37" t="s">
        <v>151</v>
      </c>
      <c r="C27" s="33">
        <v>450.47007000000002</v>
      </c>
      <c r="D27" s="47">
        <f>IF(OR(340.09257="",450.47007=""),"-",450.47007/340.09257*100)</f>
        <v>132.45513420066777</v>
      </c>
      <c r="E27" s="47">
        <f>IF(340.09257="","-",340.09257/3832218.99595*100)</f>
        <v>8.8745598923083389E-3</v>
      </c>
      <c r="F27" s="47">
        <f>IF(450.47007="","-",450.47007/5072717.74218*100)</f>
        <v>8.8802510388920342E-3</v>
      </c>
      <c r="G27" s="47">
        <f>IF(OR(4273352.38515="",351.17866="",340.09257=""),"-",(340.09257-351.17866)/4273352.38515*100)</f>
        <v>-2.5942372640562895E-4</v>
      </c>
      <c r="H27" s="47">
        <f>IF(OR(3832218.99595="",450.47007="",340.09257=""),"-",(450.47007-340.09257)/3832218.99595*100)</f>
        <v>2.880250322767309E-3</v>
      </c>
    </row>
    <row r="28" spans="1:8" s="7" customFormat="1" ht="38.25" x14ac:dyDescent="0.25">
      <c r="A28" s="36" t="s">
        <v>246</v>
      </c>
      <c r="B28" s="37" t="s">
        <v>152</v>
      </c>
      <c r="C28" s="33">
        <v>7468.2935200000002</v>
      </c>
      <c r="D28" s="47">
        <f>IF(OR(5484.63696="",7468.29352=""),"-",7468.29352/5484.63696*100)</f>
        <v>136.16750888831848</v>
      </c>
      <c r="E28" s="47">
        <f>IF(5484.63696="","-",5484.63696/3832218.99595*100)</f>
        <v>0.14311909016150495</v>
      </c>
      <c r="F28" s="47">
        <f>IF(7468.29352="","-",7468.29352/5072717.74218*100)</f>
        <v>0.14722470083246739</v>
      </c>
      <c r="G28" s="47">
        <f>IF(OR(4273352.38515="",5683.45638="",5484.63696=""),"-",(5484.63696-5683.45638)/4273352.38515*100)</f>
        <v>-4.6525397879871068E-3</v>
      </c>
      <c r="H28" s="47">
        <f>IF(OR(3832218.99595="",7468.29352="",5484.63696=""),"-",(7468.29352-5484.63696)/3832218.99595*100)</f>
        <v>5.1762609655042834E-2</v>
      </c>
    </row>
    <row r="29" spans="1:8" s="7" customFormat="1" ht="38.25" x14ac:dyDescent="0.25">
      <c r="A29" s="36" t="s">
        <v>247</v>
      </c>
      <c r="B29" s="37" t="s">
        <v>153</v>
      </c>
      <c r="C29" s="33">
        <v>14528.109930000001</v>
      </c>
      <c r="D29" s="47">
        <f>IF(OR(12323.75402="",14528.10993=""),"-",14528.10993/12323.75402*100)</f>
        <v>117.88704891725841</v>
      </c>
      <c r="E29" s="47">
        <f>IF(12323.75402="","-",12323.75402/3832218.99595*100)</f>
        <v>0.3215827183421433</v>
      </c>
      <c r="F29" s="47">
        <f>IF(14528.10993="","-",14528.10993/5072717.74218*100)</f>
        <v>0.28639697038922074</v>
      </c>
      <c r="G29" s="47">
        <f>IF(OR(4273352.38515="",19718.1611="",12323.75402=""),"-",(12323.75402-19718.1611)/4273352.38515*100)</f>
        <v>-0.17303527567012117</v>
      </c>
      <c r="H29" s="47">
        <f>IF(OR(3832218.99595="",14528.10993="",12323.75402=""),"-",(14528.10993-12323.75402)/3832218.99595*100)</f>
        <v>5.7521658139308519E-2</v>
      </c>
    </row>
    <row r="30" spans="1:8" s="7" customFormat="1" ht="25.5" x14ac:dyDescent="0.25">
      <c r="A30" s="36" t="s">
        <v>248</v>
      </c>
      <c r="B30" s="37" t="s">
        <v>154</v>
      </c>
      <c r="C30" s="33">
        <v>973.58339000000001</v>
      </c>
      <c r="D30" s="47">
        <f>IF(OR(1177.58555="",973.58339=""),"-",973.58339/1177.58555*100)</f>
        <v>82.676234435791102</v>
      </c>
      <c r="E30" s="47">
        <f>IF(1177.58555="","-",1177.58555/3832218.99595*100)</f>
        <v>3.0728555733492958E-2</v>
      </c>
      <c r="F30" s="47">
        <f>IF(973.58339="","-",973.58339/5072717.74218*100)</f>
        <v>1.9192540162536277E-2</v>
      </c>
      <c r="G30" s="47">
        <f>IF(OR(4273352.38515="",1128.02837="",1177.58555=""),"-",(1177.58555-1128.02837)/4273352.38515*100)</f>
        <v>1.1596792291740877E-3</v>
      </c>
      <c r="H30" s="47">
        <f>IF(OR(3832218.99595="",973.58339="",1177.58555=""),"-",(973.58339-1177.58555)/3832218.99595*100)</f>
        <v>-5.3233429565375939E-3</v>
      </c>
    </row>
    <row r="31" spans="1:8" s="7" customFormat="1" ht="25.5" x14ac:dyDescent="0.25">
      <c r="A31" s="36" t="s">
        <v>249</v>
      </c>
      <c r="B31" s="37" t="s">
        <v>155</v>
      </c>
      <c r="C31" s="33">
        <v>36525.345809999999</v>
      </c>
      <c r="D31" s="47">
        <f>IF(OR(25815.50443="",36525.34581=""),"-",36525.34581/25815.50443*100)</f>
        <v>141.48608216833514</v>
      </c>
      <c r="E31" s="47">
        <f>IF(25815.50443="","-",25815.50443/3832218.99595*100)</f>
        <v>0.67364376767827139</v>
      </c>
      <c r="F31" s="47">
        <f>IF(36525.34581="","-",36525.34581/5072717.74218*100)</f>
        <v>0.72003505155213376</v>
      </c>
      <c r="G31" s="47">
        <f>IF(OR(4273352.38515="",26331.43372="",25815.50443=""),"-",(25815.50443-26331.43372)/4273352.38515*100)</f>
        <v>-1.2073174489257342E-2</v>
      </c>
      <c r="H31" s="47">
        <f>IF(OR(3832218.99595="",36525.34581="",25815.50443=""),"-",(36525.34581-25815.50443)/3832218.99595*100)</f>
        <v>0.27946840698087633</v>
      </c>
    </row>
    <row r="32" spans="1:8" s="7" customFormat="1" ht="25.5" x14ac:dyDescent="0.25">
      <c r="A32" s="34" t="s">
        <v>250</v>
      </c>
      <c r="B32" s="35" t="s">
        <v>156</v>
      </c>
      <c r="C32" s="32">
        <v>650470.48766999994</v>
      </c>
      <c r="D32" s="45" t="s">
        <v>221</v>
      </c>
      <c r="E32" s="45">
        <f>IF(426790.42437="","-",426790.42437/3832218.99595*100)</f>
        <v>11.136900704814744</v>
      </c>
      <c r="F32" s="45">
        <f>IF(650470.48767="","-",650470.48767/5072717.74218*100)</f>
        <v>12.822919009691644</v>
      </c>
      <c r="G32" s="45">
        <f>IF(4273352.38515="","-",(426790.42437-665455.14806)/4273352.38515*100)</f>
        <v>-5.5849530340480582</v>
      </c>
      <c r="H32" s="45">
        <f>IF(3832218.99595="","-",(650470.48767-426790.42437)/3832218.99595*100)</f>
        <v>5.8368288330179325</v>
      </c>
    </row>
    <row r="33" spans="1:8" s="7" customFormat="1" x14ac:dyDescent="0.25">
      <c r="A33" s="36" t="s">
        <v>251</v>
      </c>
      <c r="B33" s="37" t="s">
        <v>200</v>
      </c>
      <c r="C33" s="33">
        <v>11896.846659999999</v>
      </c>
      <c r="D33" s="47">
        <f>IF(OR(11436.68369="",11896.84666=""),"-",11896.84666/11436.68369*100)</f>
        <v>104.02356996549933</v>
      </c>
      <c r="E33" s="47">
        <f>IF(11436.68369="","-",11436.68369/3832218.99595*100)</f>
        <v>0.29843502425322299</v>
      </c>
      <c r="F33" s="47">
        <f>IF(11896.84666="","-",11896.84666/5072717.74218*100)</f>
        <v>0.23452609162691812</v>
      </c>
      <c r="G33" s="47">
        <f>IF(OR(4273352.38515="",14219.10669="",11436.68369=""),"-",(11436.68369-14219.10669)/4273352.38515*100)</f>
        <v>-6.5111012367456186E-2</v>
      </c>
      <c r="H33" s="47">
        <f>IF(OR(3832218.99595="",11896.84666="",11436.68369=""),"-",(11896.84666-11436.68369)/3832218.99595*100)</f>
        <v>1.2007742002383292E-2</v>
      </c>
    </row>
    <row r="34" spans="1:8" s="7" customFormat="1" ht="25.5" x14ac:dyDescent="0.25">
      <c r="A34" s="36" t="s">
        <v>252</v>
      </c>
      <c r="B34" s="37" t="s">
        <v>157</v>
      </c>
      <c r="C34" s="33">
        <v>445038.67300000001</v>
      </c>
      <c r="D34" s="47" t="s">
        <v>104</v>
      </c>
      <c r="E34" s="47">
        <f>IF(274423.716="","-",274423.716/3832218.99595*100)</f>
        <v>7.1609612156825833</v>
      </c>
      <c r="F34" s="47">
        <f>IF(445038.673="","-",445038.673/5072717.74218*100)</f>
        <v>8.7731802875502538</v>
      </c>
      <c r="G34" s="47">
        <f>IF(OR(4273352.38515="",431992.75026="",274423.716=""),"-",(274423.716-431992.75026)/4273352.38515*100)</f>
        <v>-3.6872464533361691</v>
      </c>
      <c r="H34" s="47">
        <f>IF(OR(3832218.99595="",445038.673="",274423.716=""),"-",(445038.673-274423.716)/3832218.99595*100)</f>
        <v>4.4521191816102066</v>
      </c>
    </row>
    <row r="35" spans="1:8" s="7" customFormat="1" ht="25.5" x14ac:dyDescent="0.25">
      <c r="A35" s="36" t="s">
        <v>298</v>
      </c>
      <c r="B35" s="37" t="s">
        <v>201</v>
      </c>
      <c r="C35" s="33">
        <v>185971.77453</v>
      </c>
      <c r="D35" s="47">
        <f>IF(OR(132816.98573="",185971.77453=""),"-",185971.77453/132816.98573*100)</f>
        <v>140.02107750589744</v>
      </c>
      <c r="E35" s="47">
        <f>IF(132816.98573="","-",132816.98573/3832218.99595*100)</f>
        <v>3.465798428283061</v>
      </c>
      <c r="F35" s="47">
        <f>IF(185971.77453="","-",185971.77453/5072717.74218*100)</f>
        <v>3.6661171384252622</v>
      </c>
      <c r="G35" s="47">
        <f>IF(OR(4273352.38515="",188234.69335="",132816.98573=""),"-",(132816.98573-188234.69335)/4273352.38515*100)</f>
        <v>-1.2968204497381923</v>
      </c>
      <c r="H35" s="47">
        <f>IF(OR(3832218.99595="",185971.77453="",132816.98573=""),"-",(185971.77453-132816.98573)/3832218.99595*100)</f>
        <v>1.3870498751813383</v>
      </c>
    </row>
    <row r="36" spans="1:8" s="7" customFormat="1" x14ac:dyDescent="0.25">
      <c r="A36" s="36" t="s">
        <v>308</v>
      </c>
      <c r="B36" s="37" t="s">
        <v>311</v>
      </c>
      <c r="C36" s="33">
        <v>7563.1934799999999</v>
      </c>
      <c r="D36" s="47">
        <f>IF(OR(8113.03895="",7563.19348=""),"-",7563.19348/8113.03895*100)</f>
        <v>93.222694068293606</v>
      </c>
      <c r="E36" s="47">
        <f>IF(8113.03895="","-",8113.03895/3832218.99595*100)</f>
        <v>0.2117060365958755</v>
      </c>
      <c r="F36" s="47">
        <f>IF(7563.19348="","-",7563.19348/5072717.74218*100)</f>
        <v>0.1490954920892113</v>
      </c>
      <c r="G36" s="47">
        <f>IF(OR(4273352.38515="",31008.59776="",8113.03895=""),"-",(8113.03895-31008.59776)/4273352.38515*100)</f>
        <v>-0.53577511860624005</v>
      </c>
      <c r="H36" s="47">
        <f>IF(OR(3832218.99595="",7563.19348="",8113.03895=""),"-",(7563.19348-8113.03895)/3832218.99595*100)</f>
        <v>-1.4347965775992781E-2</v>
      </c>
    </row>
    <row r="37" spans="1:8" s="7" customFormat="1" ht="25.5" x14ac:dyDescent="0.25">
      <c r="A37" s="34" t="s">
        <v>253</v>
      </c>
      <c r="B37" s="35" t="s">
        <v>158</v>
      </c>
      <c r="C37" s="32">
        <v>10076.60778</v>
      </c>
      <c r="D37" s="45">
        <f>IF(8057.8904="","-",10076.60778/8057.8904*100)</f>
        <v>125.05267855219277</v>
      </c>
      <c r="E37" s="45">
        <f>IF(8057.8904="","-",8057.8904/3832218.99595*100)</f>
        <v>0.21026696043508508</v>
      </c>
      <c r="F37" s="45">
        <f>IF(10076.60778="","-",10076.60778/5072717.74218*100)</f>
        <v>0.19864317890609814</v>
      </c>
      <c r="G37" s="45">
        <f>IF(4273352.38515="","-",(8057.8904-8375.94097)/4273352.38515*100)</f>
        <v>-7.4426478636592814E-3</v>
      </c>
      <c r="H37" s="45">
        <f>IF(3832218.99595="","-",(10076.60778-8057.8904)/3832218.99595*100)</f>
        <v>5.2677505699268212E-2</v>
      </c>
    </row>
    <row r="38" spans="1:8" s="7" customFormat="1" x14ac:dyDescent="0.25">
      <c r="A38" s="36" t="s">
        <v>254</v>
      </c>
      <c r="B38" s="37" t="s">
        <v>204</v>
      </c>
      <c r="C38" s="33">
        <v>1385.00965</v>
      </c>
      <c r="D38" s="47">
        <f>IF(OR(1222.03864="",1385.00965=""),"-",1385.00965/1222.03864*100)</f>
        <v>113.33599484219255</v>
      </c>
      <c r="E38" s="47">
        <f>IF(1222.03864="","-",1222.03864/3832218.99595*100)</f>
        <v>3.188853876282869E-2</v>
      </c>
      <c r="F38" s="47">
        <f>IF(1385.00965="","-",1385.00965/5072717.74218*100)</f>
        <v>2.730310891306939E-2</v>
      </c>
      <c r="G38" s="47">
        <f>IF(OR(4273352.38515="",1227.90088="",1222.03864=""),"-",(1222.03864-1227.90088)/4273352.38515*100)</f>
        <v>-1.3718129168030583E-4</v>
      </c>
      <c r="H38" s="47">
        <f>IF(OR(3832218.99595="",1385.00965="",1222.03864=""),"-",(1385.00965-1222.03864)/3832218.99595*100)</f>
        <v>4.2526538846614052E-3</v>
      </c>
    </row>
    <row r="39" spans="1:8" s="7" customFormat="1" ht="25.5" x14ac:dyDescent="0.25">
      <c r="A39" s="36" t="s">
        <v>255</v>
      </c>
      <c r="B39" s="37" t="s">
        <v>159</v>
      </c>
      <c r="C39" s="33">
        <v>7174.4156499999999</v>
      </c>
      <c r="D39" s="47">
        <f>IF(OR(5585.43017="",7174.41565=""),"-",7174.41565/5585.43017*100)</f>
        <v>128.44875742131069</v>
      </c>
      <c r="E39" s="47">
        <f>IF(5585.43017="","-",5585.43017/3832218.99595*100)</f>
        <v>0.14574924282518417</v>
      </c>
      <c r="F39" s="47">
        <f>IF(7174.41565="","-",7174.41565/5072717.74218*100)</f>
        <v>0.14143139860403106</v>
      </c>
      <c r="G39" s="47">
        <f>IF(OR(4273352.38515="",5183.63066="",5585.43017=""),"-",(5585.43017-5183.63066)/4273352.38515*100)</f>
        <v>9.4024427144427068E-3</v>
      </c>
      <c r="H39" s="47">
        <f>IF(OR(3832218.99595="",7174.41565="",5585.43017=""),"-",(7174.41565-5585.43017)/3832218.99595*100)</f>
        <v>4.1463848534733692E-2</v>
      </c>
    </row>
    <row r="40" spans="1:8" s="7" customFormat="1" ht="63.75" x14ac:dyDescent="0.25">
      <c r="A40" s="36" t="s">
        <v>256</v>
      </c>
      <c r="B40" s="37" t="s">
        <v>202</v>
      </c>
      <c r="C40" s="33">
        <v>1517.1824799999999</v>
      </c>
      <c r="D40" s="47">
        <f>IF(OR(1250.42159="",1517.18248=""),"-",1517.18248/1250.42159*100)</f>
        <v>121.33367594844553</v>
      </c>
      <c r="E40" s="47">
        <f>IF(1250.42159="","-",1250.42159/3832218.99595*100)</f>
        <v>3.2629178847072199E-2</v>
      </c>
      <c r="F40" s="47">
        <f>IF(1517.18248="","-",1517.18248/5072717.74218*100)</f>
        <v>2.9908671388997703E-2</v>
      </c>
      <c r="G40" s="47">
        <f>IF(OR(4273352.38515="",1964.40943="",1250.42159=""),"-",(1250.42159-1964.40943)/4273352.38515*100)</f>
        <v>-1.6707909286421695E-2</v>
      </c>
      <c r="H40" s="47">
        <f>IF(OR(3832218.99595="",1517.18248="",1250.42159=""),"-",(1517.18248-1250.42159)/3832218.99595*100)</f>
        <v>6.9610032798731146E-3</v>
      </c>
    </row>
    <row r="41" spans="1:8" s="7" customFormat="1" ht="25.5" x14ac:dyDescent="0.25">
      <c r="A41" s="34" t="s">
        <v>257</v>
      </c>
      <c r="B41" s="35" t="s">
        <v>160</v>
      </c>
      <c r="C41" s="32">
        <v>761731.94964000001</v>
      </c>
      <c r="D41" s="45">
        <f>IF(607468.62503="","-",761731.94964/607468.62503*100)</f>
        <v>125.39445137637877</v>
      </c>
      <c r="E41" s="45">
        <f>IF(607468.62503="","-",607468.62503/3832218.99595*100)</f>
        <v>15.851615621967074</v>
      </c>
      <c r="F41" s="45">
        <f>IF(761731.94964="","-",761731.94964/5072717.74218*100)</f>
        <v>15.016249441717324</v>
      </c>
      <c r="G41" s="45">
        <f>IF(4273352.38515="","-",(607468.62503-625415.61724)/4273352.38515*100)</f>
        <v>-0.41997454439671944</v>
      </c>
      <c r="H41" s="45">
        <f>IF(3832218.99595="","-",(761731.94964-607468.62503)/3832218.99595*100)</f>
        <v>4.0254308214908896</v>
      </c>
    </row>
    <row r="42" spans="1:8" s="7" customFormat="1" x14ac:dyDescent="0.25">
      <c r="A42" s="36" t="s">
        <v>258</v>
      </c>
      <c r="B42" s="37" t="s">
        <v>25</v>
      </c>
      <c r="C42" s="33">
        <v>10036.416310000001</v>
      </c>
      <c r="D42" s="47">
        <f>IF(OR(9004.75294="",10036.41631=""),"-",10036.41631/9004.75294*100)</f>
        <v>111.4568759062478</v>
      </c>
      <c r="E42" s="47">
        <f>IF(9004.75294="","-",9004.75294/3832218.99595*100)</f>
        <v>0.2349749048662533</v>
      </c>
      <c r="F42" s="47">
        <f>IF(10036.41631="","-",10036.41631/5072717.74218*100)</f>
        <v>0.19785087245336955</v>
      </c>
      <c r="G42" s="47">
        <f>IF(OR(4273352.38515="",16652.3463="",9004.75294=""),"-",(9004.75294-16652.3463)/4273352.38515*100)</f>
        <v>-0.17896004519953856</v>
      </c>
      <c r="H42" s="47">
        <f>IF(OR(3832218.99595="",10036.41631="",9004.75294=""),"-",(10036.41631-9004.75294)/3832218.99595*100)</f>
        <v>2.6920783261350459E-2</v>
      </c>
    </row>
    <row r="43" spans="1:8" s="7" customFormat="1" x14ac:dyDescent="0.25">
      <c r="A43" s="36" t="s">
        <v>259</v>
      </c>
      <c r="B43" s="37" t="s">
        <v>26</v>
      </c>
      <c r="C43" s="33">
        <v>12273.12824</v>
      </c>
      <c r="D43" s="47">
        <f>IF(OR(12036.92228="",12273.12824=""),"-",12273.12824/12036.92228*100)</f>
        <v>101.9623451452575</v>
      </c>
      <c r="E43" s="47">
        <f>IF(12036.92228="","-",12036.92228/3832218.99595*100)</f>
        <v>0.31409797542157608</v>
      </c>
      <c r="F43" s="47">
        <f>IF(12273.12824="","-",12273.12824/5072717.74218*100)</f>
        <v>0.24194384280339684</v>
      </c>
      <c r="G43" s="47">
        <f>IF(OR(4273352.38515="",14013.51541="",12036.92228=""),"-",(12036.92228-14013.51541)/4273352.38515*100)</f>
        <v>-4.625392319315174E-2</v>
      </c>
      <c r="H43" s="47">
        <f>IF(OR(3832218.99595="",12273.12824="",12036.92228=""),"-",(12273.12824-12036.92228)/3832218.99595*100)</f>
        <v>6.1636863720374181E-3</v>
      </c>
    </row>
    <row r="44" spans="1:8" s="7" customFormat="1" x14ac:dyDescent="0.25">
      <c r="A44" s="36" t="s">
        <v>260</v>
      </c>
      <c r="B44" s="37" t="s">
        <v>161</v>
      </c>
      <c r="C44" s="33">
        <v>38443.275710000002</v>
      </c>
      <c r="D44" s="47">
        <f>IF(OR(31740.55331="",38443.27571=""),"-",38443.27571/31740.55331*100)</f>
        <v>121.11721977413758</v>
      </c>
      <c r="E44" s="47">
        <f>IF(31740.55331="","-",31740.55331/3832218.99595*100)</f>
        <v>0.82825520523603524</v>
      </c>
      <c r="F44" s="47">
        <f>IF(38443.27571="","-",38443.27571/5072717.74218*100)</f>
        <v>0.75784377652912749</v>
      </c>
      <c r="G44" s="47">
        <f>IF(OR(4273352.38515="",29512.29993="",31740.55331=""),"-",(31740.55331-29512.29993)/4273352.38515*100)</f>
        <v>5.2142982351355595E-2</v>
      </c>
      <c r="H44" s="47">
        <f>IF(OR(3832218.99595="",38443.27571="",31740.55331=""),"-",(38443.27571-31740.55331)/3832218.99595*100)</f>
        <v>0.17490447198042788</v>
      </c>
    </row>
    <row r="45" spans="1:8" s="7" customFormat="1" x14ac:dyDescent="0.25">
      <c r="A45" s="36" t="s">
        <v>261</v>
      </c>
      <c r="B45" s="37" t="s">
        <v>162</v>
      </c>
      <c r="C45" s="33">
        <v>236453.45272</v>
      </c>
      <c r="D45" s="47">
        <f>IF(OR(176400.6984="",236453.45272=""),"-",236453.45272/176400.6984*100)</f>
        <v>134.04337673529304</v>
      </c>
      <c r="E45" s="47">
        <f>IF(176400.6984="","-",176400.6984/3832218.99595*100)</f>
        <v>4.6030954542635838</v>
      </c>
      <c r="F45" s="47">
        <f>IF(236453.45272="","-",236453.45272/5072717.74218*100)</f>
        <v>4.6612775387416718</v>
      </c>
      <c r="G45" s="47">
        <f>IF(OR(4273352.38515="",183273.51946="",176400.6984=""),"-",(176400.6984-183273.51946)/4273352.38515*100)</f>
        <v>-0.1608297289941085</v>
      </c>
      <c r="H45" s="47">
        <f>IF(OR(3832218.99595="",236453.45272="",176400.6984=""),"-",(236453.45272-176400.6984)/3832218.99595*100)</f>
        <v>1.5670491269800997</v>
      </c>
    </row>
    <row r="46" spans="1:8" s="7" customFormat="1" ht="39.75" customHeight="1" x14ac:dyDescent="0.25">
      <c r="A46" s="36" t="s">
        <v>262</v>
      </c>
      <c r="B46" s="37" t="s">
        <v>163</v>
      </c>
      <c r="C46" s="33">
        <v>100779.49980999999</v>
      </c>
      <c r="D46" s="47">
        <f>IF(OR(80660.40617="",100779.49981=""),"-",100779.49981/80660.40617*100)</f>
        <v>124.94296098335651</v>
      </c>
      <c r="E46" s="47">
        <f>IF(80660.40617="","-",80660.40617/3832218.99595*100)</f>
        <v>2.1047963661587255</v>
      </c>
      <c r="F46" s="47">
        <f>IF(100779.49981="","-",100779.49981/5072717.74218*100)</f>
        <v>1.9866963811530742</v>
      </c>
      <c r="G46" s="47">
        <f>IF(OR(4273352.38515="",83045.68298="",80660.40617=""),"-",(80660.40617-83045.68298)/4273352.38515*100)</f>
        <v>-5.5817461211223496E-2</v>
      </c>
      <c r="H46" s="47">
        <f>IF(OR(3832218.99595="",100779.49981="",80660.40617=""),"-",(100779.49981-80660.40617)/3832218.99595*100)</f>
        <v>0.52499853639007665</v>
      </c>
    </row>
    <row r="47" spans="1:8" s="7" customFormat="1" x14ac:dyDescent="0.25">
      <c r="A47" s="36" t="s">
        <v>263</v>
      </c>
      <c r="B47" s="37" t="s">
        <v>164</v>
      </c>
      <c r="C47" s="33">
        <v>69584.302060000002</v>
      </c>
      <c r="D47" s="47">
        <f>IF(OR(65611.23902="",69584.30206=""),"-",69584.30206/65611.23902*100)</f>
        <v>106.05546107548574</v>
      </c>
      <c r="E47" s="47">
        <f>IF(65611.23902="","-",65611.23902/3832218.99595*100)</f>
        <v>1.7120952401034455</v>
      </c>
      <c r="F47" s="47">
        <f>IF(69584.30206="","-",69584.30206/5072717.74218*100)</f>
        <v>1.3717361303468889</v>
      </c>
      <c r="G47" s="47">
        <f>IF(OR(4273352.38515="",70604.93355="",65611.23902=""),"-",(65611.23902-70604.93355)/4273352.38515*100)</f>
        <v>-0.11685660530484716</v>
      </c>
      <c r="H47" s="47">
        <f>IF(OR(3832218.99595="",69584.30206="",65611.23902=""),"-",(69584.30206-65611.23902)/3832218.99595*100)</f>
        <v>0.10367526083970818</v>
      </c>
    </row>
    <row r="48" spans="1:8" s="7" customFormat="1" x14ac:dyDescent="0.25">
      <c r="A48" s="36" t="s">
        <v>264</v>
      </c>
      <c r="B48" s="37" t="s">
        <v>27</v>
      </c>
      <c r="C48" s="33">
        <v>50413.373059999998</v>
      </c>
      <c r="D48" s="47">
        <f>IF(OR(34439.86117="",50413.37306=""),"-",50413.37306/34439.86117*100)</f>
        <v>146.38088350923513</v>
      </c>
      <c r="E48" s="47">
        <f>IF(34439.86117="","-",34439.86117/3832218.99595*100)</f>
        <v>0.89869240788162263</v>
      </c>
      <c r="F48" s="47">
        <f>IF(50413.37306="","-",50413.37306/5072717.74218*100)</f>
        <v>0.99381388088695144</v>
      </c>
      <c r="G48" s="47">
        <f>IF(OR(4273352.38515="",39916.70106="",34439.86117=""),"-",(34439.86117-39916.70106)/4273352.38515*100)</f>
        <v>-0.12816260856540054</v>
      </c>
      <c r="H48" s="47">
        <f>IF(OR(3832218.99595="",50413.37306="",34439.86117=""),"-",(50413.37306-34439.86117)/3832218.99595*100)</f>
        <v>0.41682147880591558</v>
      </c>
    </row>
    <row r="49" spans="1:8" s="7" customFormat="1" x14ac:dyDescent="0.25">
      <c r="A49" s="36" t="s">
        <v>265</v>
      </c>
      <c r="B49" s="37" t="s">
        <v>28</v>
      </c>
      <c r="C49" s="33">
        <v>116073.29961</v>
      </c>
      <c r="D49" s="47">
        <f>IF(OR(86195.45696="",116073.29961=""),"-",116073.29961/86195.45696*100)</f>
        <v>134.66289721494854</v>
      </c>
      <c r="E49" s="47">
        <f>IF(86195.45696="","-",86195.45696/3832218.99595*100)</f>
        <v>2.2492309821305581</v>
      </c>
      <c r="F49" s="47">
        <f>IF(116073.29961="","-",116073.29961/5072717.74218*100)</f>
        <v>2.2881876246502437</v>
      </c>
      <c r="G49" s="47">
        <f>IF(OR(4273352.38515="",84975.82113="",86195.45696=""),"-",(86195.45696-84975.82113)/4273352.38515*100)</f>
        <v>2.8540492804624826E-2</v>
      </c>
      <c r="H49" s="47">
        <f>IF(OR(3832218.99595="",116073.29961="",86195.45696=""),"-",(116073.29961-86195.45696)/3832218.99595*100)</f>
        <v>0.77964862346269292</v>
      </c>
    </row>
    <row r="50" spans="1:8" s="7" customFormat="1" x14ac:dyDescent="0.25">
      <c r="A50" s="36" t="s">
        <v>266</v>
      </c>
      <c r="B50" s="37" t="s">
        <v>165</v>
      </c>
      <c r="C50" s="33">
        <v>127675.20212</v>
      </c>
      <c r="D50" s="47">
        <f>IF(OR(111378.73478="",127675.20212=""),"-",127675.20212/111378.73478*100)</f>
        <v>114.63157879481167</v>
      </c>
      <c r="E50" s="47">
        <f>IF(111378.73478="","-",111378.73478/3832218.99595*100)</f>
        <v>2.9063770859052753</v>
      </c>
      <c r="F50" s="47">
        <f>IF(127675.20212="","-",127675.20212/5072717.74218*100)</f>
        <v>2.5168993941526026</v>
      </c>
      <c r="G50" s="47">
        <f>IF(OR(4273352.38515="",103420.79742="",111378.73478=""),"-",(111378.73478-103420.79742)/4273352.38515*100)</f>
        <v>0.18622235291557079</v>
      </c>
      <c r="H50" s="47">
        <f>IF(OR(3832218.99595="",127675.20212="",111378.73478=""),"-",(127675.20212-111378.73478)/3832218.99595*100)</f>
        <v>0.42524885339858143</v>
      </c>
    </row>
    <row r="51" spans="1:8" s="7" customFormat="1" ht="25.5" x14ac:dyDescent="0.25">
      <c r="A51" s="34" t="s">
        <v>267</v>
      </c>
      <c r="B51" s="35" t="s">
        <v>372</v>
      </c>
      <c r="C51" s="32">
        <v>965631.54943000001</v>
      </c>
      <c r="D51" s="45">
        <f>IF(758672.47356="","-",965631.54943/758672.47356*100)</f>
        <v>127.27910700369343</v>
      </c>
      <c r="E51" s="45">
        <f>IF(758672.47356="","-",758672.47356/3832218.99595*100)</f>
        <v>19.797210816025572</v>
      </c>
      <c r="F51" s="45">
        <f>IF(965631.54943="","-",965631.54943/5072717.74218*100)</f>
        <v>19.035783154278558</v>
      </c>
      <c r="G51" s="45">
        <f>IF(4273352.38515="","-",(758672.47356-841356.82282)/4273352.38515*100)</f>
        <v>-1.9348825420372564</v>
      </c>
      <c r="H51" s="45">
        <f>IF(3832218.99595="","-",(965631.54943-758672.47356)/3832218.99595*100)</f>
        <v>5.4005023222503832</v>
      </c>
    </row>
    <row r="52" spans="1:8" s="7" customFormat="1" x14ac:dyDescent="0.25">
      <c r="A52" s="36" t="s">
        <v>268</v>
      </c>
      <c r="B52" s="37" t="s">
        <v>166</v>
      </c>
      <c r="C52" s="33">
        <v>41518.436999999998</v>
      </c>
      <c r="D52" s="47">
        <f>IF(OR(32873.7579499999="",41518.437=""),"-",41518.437/32873.7579499999*100)</f>
        <v>126.29659518436689</v>
      </c>
      <c r="E52" s="47">
        <f>IF(32873.7579499999="","-",32873.7579499999/3832218.99595*100)</f>
        <v>0.85782566144423988</v>
      </c>
      <c r="F52" s="47">
        <f>IF(41518.437="","-",41518.437/5072717.74218*100)</f>
        <v>0.8184653495456945</v>
      </c>
      <c r="G52" s="47">
        <f>IF(OR(4273352.38515="",39325.25741="",32873.7579499999=""),"-",(32873.7579499999-39325.25741)/4273352.38515*100)</f>
        <v>-0.15097045313696134</v>
      </c>
      <c r="H52" s="47">
        <f>IF(OR(3832218.99595="",41518.437="",32873.7579499999=""),"-",(41518.437-32873.7579499999)/3832218.99595*100)</f>
        <v>0.22557894157760944</v>
      </c>
    </row>
    <row r="53" spans="1:8" s="7" customFormat="1" x14ac:dyDescent="0.25">
      <c r="A53" s="36" t="s">
        <v>269</v>
      </c>
      <c r="B53" s="37" t="s">
        <v>29</v>
      </c>
      <c r="C53" s="33">
        <v>50857.96516</v>
      </c>
      <c r="D53" s="47">
        <f>IF(OR(42275.4528="",50857.96516=""),"-",50857.96516/42275.4528*100)</f>
        <v>120.30140848071531</v>
      </c>
      <c r="E53" s="47">
        <f>IF(42275.4528="","-",42275.4528/3832218.99595*100)</f>
        <v>1.1031585836998858</v>
      </c>
      <c r="F53" s="47">
        <f>IF(50857.96516="","-",50857.96516/5072717.74218*100)</f>
        <v>1.0025782577475677</v>
      </c>
      <c r="G53" s="47">
        <f>IF(OR(4273352.38515="",49273.71597="",42275.4528=""),"-",(42275.4528-49273.71597)/4273352.38515*100)</f>
        <v>-0.16376517869949425</v>
      </c>
      <c r="H53" s="47">
        <f>IF(OR(3832218.99595="",50857.96516="",42275.4528=""),"-",(50857.96516-42275.4528)/3832218.99595*100)</f>
        <v>0.22395673026698756</v>
      </c>
    </row>
    <row r="54" spans="1:8" s="7" customFormat="1" x14ac:dyDescent="0.25">
      <c r="A54" s="36" t="s">
        <v>270</v>
      </c>
      <c r="B54" s="37" t="s">
        <v>167</v>
      </c>
      <c r="C54" s="33">
        <v>82975.745949999997</v>
      </c>
      <c r="D54" s="47">
        <f>IF(OR(63853.25068="",82975.74595=""),"-",82975.74595/63853.25068*100)</f>
        <v>129.9475673773168</v>
      </c>
      <c r="E54" s="47">
        <f>IF(63853.25068="","-",63853.25068/3832218.99595*100)</f>
        <v>1.6662213393201686</v>
      </c>
      <c r="F54" s="47">
        <f>IF(82975.74595="","-",82975.74595/5072717.74218*100)</f>
        <v>1.6357256635836628</v>
      </c>
      <c r="G54" s="47">
        <f>IF(OR(4273352.38515="",68463.17404="",63853.25068=""),"-",(63853.25068-68463.17404)/4273352.38515*100)</f>
        <v>-0.10787604074074472</v>
      </c>
      <c r="H54" s="47">
        <f>IF(OR(3832218.99595="",82975.74595="",63853.25068=""),"-",(82975.74595-63853.25068)/3832218.99595*100)</f>
        <v>0.49899275824813788</v>
      </c>
    </row>
    <row r="55" spans="1:8" s="7" customFormat="1" ht="25.5" x14ac:dyDescent="0.25">
      <c r="A55" s="36" t="s">
        <v>271</v>
      </c>
      <c r="B55" s="37" t="s">
        <v>168</v>
      </c>
      <c r="C55" s="33">
        <v>80714.561400000006</v>
      </c>
      <c r="D55" s="47">
        <f>IF(OR(67690.3876="",80714.5614=""),"-",80714.5614/67690.3876*100)</f>
        <v>119.24080251536336</v>
      </c>
      <c r="E55" s="47">
        <f>IF(67690.3876="","-",67690.3876/3832218.99595*100)</f>
        <v>1.7663496702964305</v>
      </c>
      <c r="F55" s="47">
        <f>IF(80714.5614="","-",80714.5614/5072717.74218*100)</f>
        <v>1.5911502571659533</v>
      </c>
      <c r="G55" s="47">
        <f>IF(OR(4273352.38515="",78177.48049="",67690.3876=""),"-",(67690.3876-78177.48049)/4273352.38515*100)</f>
        <v>-0.24540669584008312</v>
      </c>
      <c r="H55" s="47">
        <f>IF(OR(3832218.99595="",80714.5614="",67690.3876=""),"-",(80714.5614-67690.3876)/3832218.99595*100)</f>
        <v>0.33985985179250794</v>
      </c>
    </row>
    <row r="56" spans="1:8" s="7" customFormat="1" ht="27" customHeight="1" x14ac:dyDescent="0.25">
      <c r="A56" s="36" t="s">
        <v>272</v>
      </c>
      <c r="B56" s="37" t="s">
        <v>169</v>
      </c>
      <c r="C56" s="33">
        <v>237603.11366</v>
      </c>
      <c r="D56" s="47">
        <f>IF(OR(185913.64047="",237603.11366=""),"-",237603.11366/185913.64047*100)</f>
        <v>127.80294821796083</v>
      </c>
      <c r="E56" s="47">
        <f>IF(185913.64047="","-",185913.64047/3832218.99595*100)</f>
        <v>4.8513313217871668</v>
      </c>
      <c r="F56" s="47">
        <f>IF(237603.11366="","-",237603.11366/5072717.74218*100)</f>
        <v>4.6839411482392093</v>
      </c>
      <c r="G56" s="47">
        <f>IF(OR(4273352.38515="",203347.78404="",185913.64047=""),"-",(185913.64047-203347.78404)/4273352.38515*100)</f>
        <v>-0.40797345967966603</v>
      </c>
      <c r="H56" s="47">
        <f>IF(OR(3832218.99595="",237603.11366="",185913.64047=""),"-",(237603.11366-185913.64047)/3832218.99595*100)</f>
        <v>1.3488131352782011</v>
      </c>
    </row>
    <row r="57" spans="1:8" s="7" customFormat="1" ht="16.5" customHeight="1" x14ac:dyDescent="0.25">
      <c r="A57" s="36" t="s">
        <v>273</v>
      </c>
      <c r="B57" s="37" t="s">
        <v>30</v>
      </c>
      <c r="C57" s="33">
        <v>123155.96425</v>
      </c>
      <c r="D57" s="47">
        <f>IF(OR(102159.23186="",123155.96425=""),"-",123155.96425/102159.23186*100)</f>
        <v>120.55294661844573</v>
      </c>
      <c r="E57" s="47">
        <f>IF(102159.23186="","-",102159.23186/3832218.99595*100)</f>
        <v>2.6657983786408042</v>
      </c>
      <c r="F57" s="47">
        <f>IF(123155.96425="","-",123155.96425/5072717.74218*100)</f>
        <v>2.4278103081894273</v>
      </c>
      <c r="G57" s="47">
        <f>IF(OR(4273352.38515="",97381.81358="",102159.23186=""),"-",(102159.23186-97381.81358)/4273352.38515*100)</f>
        <v>0.11179556117584961</v>
      </c>
      <c r="H57" s="47">
        <f>IF(OR(3832218.99595="",123155.96425="",102159.23186=""),"-",(123155.96425-102159.23186)/3832218.99595*100)</f>
        <v>0.5479001177174363</v>
      </c>
    </row>
    <row r="58" spans="1:8" s="7" customFormat="1" ht="16.5" customHeight="1" x14ac:dyDescent="0.25">
      <c r="A58" s="36" t="s">
        <v>274</v>
      </c>
      <c r="B58" s="37" t="s">
        <v>170</v>
      </c>
      <c r="C58" s="33">
        <v>131951.12531999999</v>
      </c>
      <c r="D58" s="47">
        <f>IF(OR(99127.54654="",131951.12532=""),"-",131951.12532/99127.54654*100)</f>
        <v>133.11246966730383</v>
      </c>
      <c r="E58" s="47">
        <f>IF(99127.54654="","-",99127.54654/3832218.99595*100)</f>
        <v>2.5866879383657575</v>
      </c>
      <c r="F58" s="47">
        <f>IF(131951.12532="","-",131951.12532/5072717.74218*100)</f>
        <v>2.6011919453514483</v>
      </c>
      <c r="G58" s="47">
        <f>IF(OR(4273352.38515="",106051.73025="",99127.54654=""),"-",(99127.54654-106051.73025)/4273352.38515*100)</f>
        <v>-0.16203165772290856</v>
      </c>
      <c r="H58" s="47">
        <f>IF(OR(3832218.99595="",131951.12532="",99127.54654=""),"-",(131951.12532-99127.54654)/3832218.99595*100)</f>
        <v>0.8565162589791685</v>
      </c>
    </row>
    <row r="59" spans="1:8" s="7" customFormat="1" ht="15.75" customHeight="1" x14ac:dyDescent="0.25">
      <c r="A59" s="36" t="s">
        <v>275</v>
      </c>
      <c r="B59" s="37" t="s">
        <v>31</v>
      </c>
      <c r="C59" s="33">
        <v>57631.770360000002</v>
      </c>
      <c r="D59" s="47">
        <f>IF(OR(45551.82567="",57631.77036=""),"-",57631.77036/45551.82567*100)</f>
        <v>126.51912302596411</v>
      </c>
      <c r="E59" s="47">
        <f>IF(45551.82567="","-",45551.82567/3832218.99595*100)</f>
        <v>1.1886540335544624</v>
      </c>
      <c r="F59" s="47">
        <f>IF(57631.77036="","-",57631.77036/5072717.74218*100)</f>
        <v>1.1361123028941238</v>
      </c>
      <c r="G59" s="47">
        <f>IF(OR(4273352.38515="",70921.14616="",45551.82567=""),"-",(45551.82567-70921.14616)/4273352.38515*100)</f>
        <v>-0.59366319936916478</v>
      </c>
      <c r="H59" s="47">
        <f>IF(OR(3832218.99595="",57631.77036="",45551.82567=""),"-",(57631.77036-45551.82567)/3832218.99595*100)</f>
        <v>0.31522062551139274</v>
      </c>
    </row>
    <row r="60" spans="1:8" s="7" customFormat="1" x14ac:dyDescent="0.25">
      <c r="A60" s="36" t="s">
        <v>276</v>
      </c>
      <c r="B60" s="37" t="s">
        <v>32</v>
      </c>
      <c r="C60" s="33">
        <v>159222.86632999999</v>
      </c>
      <c r="D60" s="47">
        <f>IF(OR(119227.37999="",159222.86633=""),"-",159222.86633/119227.37999*100)</f>
        <v>133.54555500871911</v>
      </c>
      <c r="E60" s="47">
        <f>IF(119227.37999="","-",119227.37999/3832218.99595*100)</f>
        <v>3.1111838889166554</v>
      </c>
      <c r="F60" s="47">
        <f>IF(159222.86633="","-",159222.86633/5072717.74218*100)</f>
        <v>3.1388079215614697</v>
      </c>
      <c r="G60" s="47">
        <f>IF(OR(4273352.38515="",128414.72088="",119227.37999=""),"-",(119227.37999-128414.72088)/4273352.38515*100)</f>
        <v>-0.21499141802408375</v>
      </c>
      <c r="H60" s="47">
        <f>IF(OR(3832218.99595="",159222.86633="",119227.37999=""),"-",(159222.86633-119227.37999)/3832218.99595*100)</f>
        <v>1.0436639028789423</v>
      </c>
    </row>
    <row r="61" spans="1:8" s="7" customFormat="1" ht="25.5" x14ac:dyDescent="0.25">
      <c r="A61" s="34" t="s">
        <v>277</v>
      </c>
      <c r="B61" s="35" t="s">
        <v>171</v>
      </c>
      <c r="C61" s="32">
        <v>1298177.78953</v>
      </c>
      <c r="D61" s="45">
        <f>IF(980626.60792="","-",1298177.78953/980626.60792*100)</f>
        <v>132.38247657623276</v>
      </c>
      <c r="E61" s="45">
        <f>IF(980626.60792="","-",980626.60792/3832218.99595*100)</f>
        <v>25.589002323623848</v>
      </c>
      <c r="F61" s="45">
        <f>IF(1298177.78953="","-",1298177.78953/5072717.74218*100)</f>
        <v>25.591366512186585</v>
      </c>
      <c r="G61" s="45">
        <f>IF(4273352.38515="","-",(980626.60792-1035801.38753)/4273352.38515*100)</f>
        <v>-1.2911357322586741</v>
      </c>
      <c r="H61" s="45">
        <f>IF(3832218.99595="","-",(1298177.78953-980626.60792)/3832218.99595*100)</f>
        <v>8.2863526835391532</v>
      </c>
    </row>
    <row r="62" spans="1:8" s="7" customFormat="1" ht="25.5" x14ac:dyDescent="0.25">
      <c r="A62" s="36" t="s">
        <v>278</v>
      </c>
      <c r="B62" s="37" t="s">
        <v>172</v>
      </c>
      <c r="C62" s="33">
        <v>21247.908520000001</v>
      </c>
      <c r="D62" s="47">
        <f>IF(OR(14730.03736="",21247.90852=""),"-",21247.90852/14730.03736*100)</f>
        <v>144.24884337156902</v>
      </c>
      <c r="E62" s="47">
        <f>IF(14730.03736="","-",14730.03736/3832218.99595*100)</f>
        <v>0.38437358030861835</v>
      </c>
      <c r="F62" s="47">
        <f>IF(21247.90852="","-",21247.90852/5072717.74218*100)</f>
        <v>0.41886636710184294</v>
      </c>
      <c r="G62" s="47">
        <f>IF(OR(4273352.38515="",15420.6227="",14730.03736=""),"-",(14730.03736-15420.6227)/4273352.38515*100)</f>
        <v>-1.6160271322341678E-2</v>
      </c>
      <c r="H62" s="47">
        <f>IF(OR(3832218.99595="",21247.90852="",14730.03736=""),"-",(21247.90852-14730.03736)/3832218.99595*100)</f>
        <v>0.17008086351245261</v>
      </c>
    </row>
    <row r="63" spans="1:8" s="7" customFormat="1" ht="27" customHeight="1" x14ac:dyDescent="0.25">
      <c r="A63" s="36" t="s">
        <v>279</v>
      </c>
      <c r="B63" s="37" t="s">
        <v>173</v>
      </c>
      <c r="C63" s="33">
        <v>178292.57391000001</v>
      </c>
      <c r="D63" s="47">
        <f>IF(OR(120930.90443="",178292.57391=""),"-",178292.57391/120930.90443*100)</f>
        <v>147.43342469021508</v>
      </c>
      <c r="E63" s="47">
        <f>IF(120930.90443="","-",120930.90443/3832218.99595*100)</f>
        <v>3.1556365791674033</v>
      </c>
      <c r="F63" s="47">
        <f>IF(178292.57391="","-",178292.57391/5072717.74218*100)</f>
        <v>3.5147347629355536</v>
      </c>
      <c r="G63" s="47">
        <f>IF(OR(4273352.38515="",151720.10565="",120930.90443=""),"-",(120930.90443-151720.10565)/4273352.38515*100)</f>
        <v>-0.72049291621709477</v>
      </c>
      <c r="H63" s="47">
        <f>IF(OR(3832218.99595="",178292.57391="",120930.90443=""),"-",(178292.57391-120930.90443)/3832218.99595*100)</f>
        <v>1.4968265002762495</v>
      </c>
    </row>
    <row r="64" spans="1:8" s="7" customFormat="1" ht="25.5" x14ac:dyDescent="0.25">
      <c r="A64" s="36" t="s">
        <v>280</v>
      </c>
      <c r="B64" s="37" t="s">
        <v>174</v>
      </c>
      <c r="C64" s="33">
        <v>13526.1368</v>
      </c>
      <c r="D64" s="47">
        <f>IF(OR(10323.28093="",13526.1368=""),"-",13526.1368/10323.28093*100)</f>
        <v>131.02556146362664</v>
      </c>
      <c r="E64" s="47">
        <f>IF(10323.28093="","-",10323.28093/3832218.99595*100)</f>
        <v>0.26938128903671588</v>
      </c>
      <c r="F64" s="47">
        <f>IF(13526.1368="","-",13526.1368/5072717.74218*100)</f>
        <v>0.26664477480245419</v>
      </c>
      <c r="G64" s="47">
        <f>IF(OR(4273352.38515="",8192.83164="",10323.28093=""),"-",(10323.28093-8192.83164)/4273352.38515*100)</f>
        <v>4.9854285300771399E-2</v>
      </c>
      <c r="H64" s="47">
        <f>IF(OR(3832218.99595="",13526.1368="",10323.28093=""),"-",(13526.1368-10323.28093)/3832218.99595*100)</f>
        <v>8.3577057401596058E-2</v>
      </c>
    </row>
    <row r="65" spans="1:8" s="7" customFormat="1" ht="27.75" customHeight="1" x14ac:dyDescent="0.25">
      <c r="A65" s="36" t="s">
        <v>281</v>
      </c>
      <c r="B65" s="37" t="s">
        <v>175</v>
      </c>
      <c r="C65" s="33">
        <v>182874.91019</v>
      </c>
      <c r="D65" s="47">
        <f>IF(OR(148775.77793="",182874.91019=""),"-",182874.91019/148775.77793*100)</f>
        <v>122.91981445799858</v>
      </c>
      <c r="E65" s="47">
        <f>IF(148775.77793="","-",148775.77793/3832218.99595*100)</f>
        <v>3.8822358035182898</v>
      </c>
      <c r="F65" s="47">
        <f>IF(182874.91019="","-",182874.91019/5072717.74218*100)</f>
        <v>3.6050677267016535</v>
      </c>
      <c r="G65" s="47">
        <f>IF(OR(4273352.38515="",144101.26242="",148775.77793=""),"-",(148775.77793-144101.26242)/4273352.38515*100)</f>
        <v>0.10938755077264511</v>
      </c>
      <c r="H65" s="47">
        <f>IF(OR(3832218.99595="",182874.91019="",148775.77793=""),"-",(182874.91019-148775.77793)/3832218.99595*100)</f>
        <v>0.88980124298838181</v>
      </c>
    </row>
    <row r="66" spans="1:8" s="7" customFormat="1" ht="27" customHeight="1" x14ac:dyDescent="0.25">
      <c r="A66" s="36" t="s">
        <v>282</v>
      </c>
      <c r="B66" s="37" t="s">
        <v>176</v>
      </c>
      <c r="C66" s="33">
        <v>55241.503400000001</v>
      </c>
      <c r="D66" s="47">
        <f>IF(OR(37199.25482="",55241.5034=""),"-",55241.5034/37199.25482*100)</f>
        <v>148.50163979709527</v>
      </c>
      <c r="E66" s="47">
        <f>IF(37199.25482="","-",37199.25482/3832218.99595*100)</f>
        <v>0.97069752170513346</v>
      </c>
      <c r="F66" s="47">
        <f>IF(55241.5034="","-",55241.5034/5072717.74218*100)</f>
        <v>1.0889922563730103</v>
      </c>
      <c r="G66" s="47">
        <f>IF(OR(4273352.38515="",32573.36006="",37199.25482=""),"-",(37199.25482-32573.36006)/4273352.38515*100)</f>
        <v>0.1082497847843088</v>
      </c>
      <c r="H66" s="47">
        <f>IF(OR(3832218.99595="",55241.5034="",37199.25482=""),"-",(55241.5034-37199.25482)/3832218.99595*100)</f>
        <v>0.4708042154967545</v>
      </c>
    </row>
    <row r="67" spans="1:8" s="7" customFormat="1" ht="41.25" customHeight="1" x14ac:dyDescent="0.25">
      <c r="A67" s="36" t="s">
        <v>283</v>
      </c>
      <c r="B67" s="37" t="s">
        <v>177</v>
      </c>
      <c r="C67" s="33">
        <v>133858.55895000001</v>
      </c>
      <c r="D67" s="47">
        <f>IF(OR(114151.21008="",133858.55895=""),"-",133858.55895/114151.21008*100)</f>
        <v>117.26424875933299</v>
      </c>
      <c r="E67" s="47">
        <f>IF(114151.21008="","-",114151.21008/3832218.99595*100)</f>
        <v>2.9787235593957004</v>
      </c>
      <c r="F67" s="47">
        <f>IF(133858.55895="","-",133858.55895/5072717.74218*100)</f>
        <v>2.6387937542228457</v>
      </c>
      <c r="G67" s="47">
        <f>IF(OR(4273352.38515="",116787.49976="",114151.21008=""),"-",(114151.21008-116787.49976)/4273352.38515*100)</f>
        <v>-6.1691371138995463E-2</v>
      </c>
      <c r="H67" s="47">
        <f>IF(OR(3832218.99595="",133858.55895="",114151.21008=""),"-",(133858.55895-114151.21008)/3832218.99595*100)</f>
        <v>0.51425424514693185</v>
      </c>
    </row>
    <row r="68" spans="1:8" s="7" customFormat="1" ht="51" x14ac:dyDescent="0.25">
      <c r="A68" s="36" t="s">
        <v>284</v>
      </c>
      <c r="B68" s="37" t="s">
        <v>178</v>
      </c>
      <c r="C68" s="33">
        <v>388581.14711000002</v>
      </c>
      <c r="D68" s="47">
        <f>IF(OR(283706.95056="",388581.14711=""),"-",388581.14711/283706.95056*100)</f>
        <v>136.96567755671555</v>
      </c>
      <c r="E68" s="47">
        <f>IF(283706.95056="","-",283706.95056/3832218.99595*100)</f>
        <v>7.403202970911364</v>
      </c>
      <c r="F68" s="47">
        <f>IF(388581.14711="","-",388581.14711/5072717.74218*100)</f>
        <v>7.660216216623307</v>
      </c>
      <c r="G68" s="47">
        <f>IF(OR(4273352.38515="",320824.92581="",283706.95056=""),"-",(283706.95056-320824.92581)/4273352.38515*100)</f>
        <v>-0.86859149222015475</v>
      </c>
      <c r="H68" s="47">
        <f>IF(OR(3832218.99595="",388581.14711="",283706.95056=""),"-",(388581.14711-283706.95056)/3832218.99595*100)</f>
        <v>2.7366441390962803</v>
      </c>
    </row>
    <row r="69" spans="1:8" s="7" customFormat="1" ht="25.5" x14ac:dyDescent="0.25">
      <c r="A69" s="36" t="s">
        <v>285</v>
      </c>
      <c r="B69" s="37" t="s">
        <v>179</v>
      </c>
      <c r="C69" s="33">
        <v>321515.15353000001</v>
      </c>
      <c r="D69" s="47" t="s">
        <v>104</v>
      </c>
      <c r="E69" s="47">
        <f>IF(198478.78555="","-",198478.78555/3832218.99595*100)</f>
        <v>5.1792130293116898</v>
      </c>
      <c r="F69" s="47">
        <f>IF(321515.15353="","-",321515.15353/5072717.74218*100)</f>
        <v>6.338124253525466</v>
      </c>
      <c r="G69" s="47">
        <f>IF(OR(4273352.38515="",240099.51285="",198478.78555=""),"-",(198478.78555-240099.51285)/4273352.38515*100)</f>
        <v>-0.97395963517151085</v>
      </c>
      <c r="H69" s="47">
        <f>IF(OR(3832218.99595="",321515.15353="",198478.78555=""),"-",(321515.15353-198478.78555)/3832218.99595*100)</f>
        <v>3.2105776864534206</v>
      </c>
    </row>
    <row r="70" spans="1:8" s="7" customFormat="1" x14ac:dyDescent="0.25">
      <c r="A70" s="36" t="s">
        <v>286</v>
      </c>
      <c r="B70" s="37" t="s">
        <v>33</v>
      </c>
      <c r="C70" s="33">
        <v>3039.8971200000001</v>
      </c>
      <c r="D70" s="47">
        <f>IF(OR(52330.40626="",3039.89712=""),"-",3039.89712/52330.40626*100)</f>
        <v>5.8090455191509145</v>
      </c>
      <c r="E70" s="47">
        <f>IF(52330.40626="","-",52330.40626/3832218.99595*100)</f>
        <v>1.3655379902689355</v>
      </c>
      <c r="F70" s="47">
        <f>IF(3039.89712="","-",3039.89712/5072717.74218*100)</f>
        <v>5.9926399900452662E-2</v>
      </c>
      <c r="G70" s="47">
        <f>IF(OR(4273352.38515="",6081.26664="",52330.40626=""),"-",(52330.40626-6081.26664)/4273352.38515*100)</f>
        <v>1.082268332953698</v>
      </c>
      <c r="H70" s="47">
        <f>IF(OR(3832218.99595="",3039.89712="",52330.40626=""),"-",(3039.89712-52330.40626)/3832218.99595*100)</f>
        <v>-1.2862132668329145</v>
      </c>
    </row>
    <row r="71" spans="1:8" s="7" customFormat="1" x14ac:dyDescent="0.25">
      <c r="A71" s="34" t="s">
        <v>287</v>
      </c>
      <c r="B71" s="35" t="s">
        <v>34</v>
      </c>
      <c r="C71" s="32">
        <v>595962.83678000001</v>
      </c>
      <c r="D71" s="45">
        <f>IF(404289.16194="","-",595962.83678/404289.16194*100)</f>
        <v>147.41004530525751</v>
      </c>
      <c r="E71" s="45">
        <f>IF(404289.16194="","-",404289.16194/3832218.99595*100)</f>
        <v>10.549740564598853</v>
      </c>
      <c r="F71" s="45">
        <f>IF(595962.83678="","-",595962.83678/5072717.74218*100)</f>
        <v>11.748393407039538</v>
      </c>
      <c r="G71" s="45">
        <f>IF(4273352.38515="","-",(404289.16194-462490.83881)/4273352.38515*100)</f>
        <v>-1.3619676456416783</v>
      </c>
      <c r="H71" s="45">
        <f>IF(3832218.99595="","-",(595962.83678-404289.16194)/3832218.99595*100)</f>
        <v>5.0016367812634481</v>
      </c>
    </row>
    <row r="72" spans="1:8" ht="38.25" x14ac:dyDescent="0.25">
      <c r="A72" s="36" t="s">
        <v>288</v>
      </c>
      <c r="B72" s="37" t="s">
        <v>205</v>
      </c>
      <c r="C72" s="33">
        <v>53190.928910000002</v>
      </c>
      <c r="D72" s="47">
        <f>IF(OR(35816.37159="",53190.92891=""),"-",53190.92891/35816.37159*100)</f>
        <v>148.51009900972497</v>
      </c>
      <c r="E72" s="47">
        <f>IF(35816.37159="","-",35816.37159/3832218.99595*100)</f>
        <v>0.93461181701389673</v>
      </c>
      <c r="F72" s="47">
        <f>IF(53190.92891="","-",53190.92891/5072717.74218*100)</f>
        <v>1.0485686689743003</v>
      </c>
      <c r="G72" s="47">
        <f>IF(OR(4273352.38515="",34935.36115="",35816.37159=""),"-",(35816.37159-34935.36115)/4273352.38515*100)</f>
        <v>2.0616377040693797E-2</v>
      </c>
      <c r="H72" s="47">
        <f>IF(OR(3832218.99595="",53190.92891="",35816.37159=""),"-",(53190.92891-35816.37159)/3832218.99595*100)</f>
        <v>0.45338111779003071</v>
      </c>
    </row>
    <row r="73" spans="1:8" x14ac:dyDescent="0.25">
      <c r="A73" s="36" t="s">
        <v>289</v>
      </c>
      <c r="B73" s="37" t="s">
        <v>180</v>
      </c>
      <c r="C73" s="33">
        <v>53318.269910000003</v>
      </c>
      <c r="D73" s="47">
        <f>IF(OR(37193.94534="",53318.26991=""),"-",53318.26991/37193.94534*100)</f>
        <v>143.35201448139787</v>
      </c>
      <c r="E73" s="47">
        <f>IF(37193.94534="","-",37193.94534/3832218.99595*100)</f>
        <v>0.97055897325564222</v>
      </c>
      <c r="F73" s="47">
        <f>IF(53318.26991="","-",53318.26991/5072717.74218*100)</f>
        <v>1.0510789801422398</v>
      </c>
      <c r="G73" s="47">
        <f>IF(OR(4273352.38515="",41682.85747="",37193.94534=""),"-",(37193.94534-41682.85747)/4273352.38515*100)</f>
        <v>-0.10504427731256329</v>
      </c>
      <c r="H73" s="47">
        <f>IF(OR(3832218.99595="",53318.26991="",37193.94534=""),"-",(53318.26991-37193.94534)/3832218.99595*100)</f>
        <v>0.42075686663629241</v>
      </c>
    </row>
    <row r="74" spans="1:8" x14ac:dyDescent="0.25">
      <c r="A74" s="36" t="s">
        <v>290</v>
      </c>
      <c r="B74" s="37" t="s">
        <v>181</v>
      </c>
      <c r="C74" s="33">
        <v>9005.1244100000004</v>
      </c>
      <c r="D74" s="47">
        <f>IF(OR(6353.83388="",9005.12441=""),"-",9005.12441/6353.83388*100)</f>
        <v>141.72741340225281</v>
      </c>
      <c r="E74" s="47">
        <f>IF(6353.83388="","-",6353.83388/3832218.99595*100)</f>
        <v>0.16580038580036568</v>
      </c>
      <c r="F74" s="47">
        <f>IF(9005.12441="","-",9005.12441/5072717.74218*100)</f>
        <v>0.17752070719649482</v>
      </c>
      <c r="G74" s="47">
        <f>IF(OR(4273352.38515="",6994.82613="",6353.83388=""),"-",(6353.83388-6994.82613)/4273352.38515*100)</f>
        <v>-1.499975176930092E-2</v>
      </c>
      <c r="H74" s="47">
        <f>IF(OR(3832218.99595="",9005.12441="",6353.83388=""),"-",(9005.12441-6353.83388)/3832218.99595*100)</f>
        <v>6.918421240544867E-2</v>
      </c>
    </row>
    <row r="75" spans="1:8" x14ac:dyDescent="0.25">
      <c r="A75" s="36" t="s">
        <v>291</v>
      </c>
      <c r="B75" s="37" t="s">
        <v>182</v>
      </c>
      <c r="C75" s="33">
        <v>145412.79884</v>
      </c>
      <c r="D75" s="47" t="s">
        <v>221</v>
      </c>
      <c r="E75" s="47">
        <f>IF(94009.52777="","-",94009.52777/3832218.99595*100)</f>
        <v>2.4531355820048906</v>
      </c>
      <c r="F75" s="47">
        <f>IF(145412.79884="","-",145412.79884/5072717.74218*100)</f>
        <v>2.8665659362610003</v>
      </c>
      <c r="G75" s="47">
        <f>IF(OR(4273352.38515="",106141.49024="",94009.52777=""),"-",(94009.52777-106141.49024)/4273352.38515*100)</f>
        <v>-0.28389801206562915</v>
      </c>
      <c r="H75" s="47">
        <f>IF(OR(3832218.99595="",145412.79884="",94009.52777=""),"-",(145412.79884-94009.52777)/3832218.99595*100)</f>
        <v>1.3413448220032433</v>
      </c>
    </row>
    <row r="76" spans="1:8" x14ac:dyDescent="0.25">
      <c r="A76" s="36" t="s">
        <v>292</v>
      </c>
      <c r="B76" s="37" t="s">
        <v>183</v>
      </c>
      <c r="C76" s="33">
        <v>38467.099820000003</v>
      </c>
      <c r="D76" s="47">
        <f>IF(OR(28289.62971="",38467.09982=""),"-",38467.09982/28289.62971*100)</f>
        <v>135.97597499271049</v>
      </c>
      <c r="E76" s="47">
        <f>IF(28289.62971="","-",28289.62971/3832218.99595*100)</f>
        <v>0.73820493400552789</v>
      </c>
      <c r="F76" s="47">
        <f>IF(38467.09982="","-",38467.09982/5072717.74218*100)</f>
        <v>0.75831342832547921</v>
      </c>
      <c r="G76" s="47">
        <f>IF(OR(4273352.38515="",36289.4206="",28289.62971=""),"-",(28289.62971-36289.4206)/4273352.38515*100)</f>
        <v>-0.18720176032754654</v>
      </c>
      <c r="H76" s="47">
        <f>IF(OR(3832218.99595="",38467.09982="",28289.62971=""),"-",(38467.09982-28289.62971)/3832218.99595*100)</f>
        <v>0.26557642245278384</v>
      </c>
    </row>
    <row r="77" spans="1:8" ht="25.5" x14ac:dyDescent="0.25">
      <c r="A77" s="36" t="s">
        <v>293</v>
      </c>
      <c r="B77" s="37" t="s">
        <v>206</v>
      </c>
      <c r="C77" s="33">
        <v>70600.644889999996</v>
      </c>
      <c r="D77" s="47" t="s">
        <v>103</v>
      </c>
      <c r="E77" s="47">
        <f>IF(40557.79972="","-",40557.79972/3832218.99595*100)</f>
        <v>1.0583372130575694</v>
      </c>
      <c r="F77" s="47">
        <f>IF(70600.64489="","-",70600.64489/5072717.74218*100)</f>
        <v>1.3917716001217795</v>
      </c>
      <c r="G77" s="47">
        <f>IF(OR(4273352.38515="",47546.56125="",40557.79972=""),"-",(40557.79972-47546.56125)/4273352.38515*100)</f>
        <v>-0.16354283242089057</v>
      </c>
      <c r="H77" s="47">
        <f>IF(OR(3832218.99595="",70600.64489="",40557.79972=""),"-",(70600.64489-40557.79972)/3832218.99595*100)</f>
        <v>0.78395428867061479</v>
      </c>
    </row>
    <row r="78" spans="1:8" ht="25.5" x14ac:dyDescent="0.25">
      <c r="A78" s="36" t="s">
        <v>294</v>
      </c>
      <c r="B78" s="37" t="s">
        <v>184</v>
      </c>
      <c r="C78" s="33">
        <v>12708.90468</v>
      </c>
      <c r="D78" s="47" t="s">
        <v>103</v>
      </c>
      <c r="E78" s="47">
        <f>IF(7655.82007="","-",7655.82007/3832218.99595*100)</f>
        <v>0.19977511927400005</v>
      </c>
      <c r="F78" s="47">
        <f>IF(12708.90468="","-",12708.90468/5072717.74218*100)</f>
        <v>0.25053443392532126</v>
      </c>
      <c r="G78" s="47">
        <f>IF(OR(4273352.38515="",8646.22586="",7655.82007=""),"-",(7655.82007-8646.22586)/4273352.38515*100)</f>
        <v>-2.3176319215838227E-2</v>
      </c>
      <c r="H78" s="47">
        <f>IF(OR(3832218.99595="",12708.90468="",7655.82007=""),"-",(12708.90468-7655.82007)/3832218.99595*100)</f>
        <v>0.13185792918776945</v>
      </c>
    </row>
    <row r="79" spans="1:8" x14ac:dyDescent="0.25">
      <c r="A79" s="36" t="s">
        <v>295</v>
      </c>
      <c r="B79" s="37" t="s">
        <v>35</v>
      </c>
      <c r="C79" s="33">
        <v>213259.06531999999</v>
      </c>
      <c r="D79" s="47">
        <f>IF(OR(154412.23386="",213259.06532=""),"-",213259.06532/154412.23386*100)</f>
        <v>138.11021315406543</v>
      </c>
      <c r="E79" s="47">
        <f>IF(154412.23386="","-",154412.23386/3832218.99595*100)</f>
        <v>4.0293165401869606</v>
      </c>
      <c r="F79" s="47">
        <f>IF(213259.06532="","-",213259.06532/5072717.74218*100)</f>
        <v>4.2040396520929217</v>
      </c>
      <c r="G79" s="47">
        <f>IF(OR(4273352.38515="",180254.09611="",154412.23386=""),"-",(154412.23386-180254.09611)/4273352.38515*100)</f>
        <v>-0.60472106957060412</v>
      </c>
      <c r="H79" s="47">
        <f>IF(OR(3832218.99595="",213259.06532="",154412.23386=""),"-",(213259.06532-154412.23386)/3832218.99595*100)</f>
        <v>1.5355811221172648</v>
      </c>
    </row>
    <row r="80" spans="1:8" ht="25.5" x14ac:dyDescent="0.25">
      <c r="A80" s="40" t="s">
        <v>299</v>
      </c>
      <c r="B80" s="54" t="s">
        <v>185</v>
      </c>
      <c r="C80" s="55">
        <v>235.77689000000001</v>
      </c>
      <c r="D80" s="90">
        <f>IF(187.89133="","-",235.77689/187.89133*100)</f>
        <v>125.48577414402251</v>
      </c>
      <c r="E80" s="90">
        <f>IF(187.89133="","-",187.89133/3832218.99595*100)</f>
        <v>4.9029382245265474E-3</v>
      </c>
      <c r="F80" s="90">
        <f>IF(235.77689="","-",235.77689/5072717.74218*100)</f>
        <v>4.6479402557626816E-3</v>
      </c>
      <c r="G80" s="90">
        <f>IF(4273352.38515="","-",(187.89133-145.19009)/4273352.38515*100)</f>
        <v>9.9924453102411643E-4</v>
      </c>
      <c r="H80" s="90">
        <f>IF(3832218.99595="","-",(235.77689-187.89133)/3832218.99595*100)</f>
        <v>1.2495517623237827E-3</v>
      </c>
    </row>
    <row r="81" spans="1:11" x14ac:dyDescent="0.25">
      <c r="A81" s="127" t="s">
        <v>302</v>
      </c>
      <c r="B81" s="128"/>
      <c r="C81" s="128"/>
      <c r="D81" s="128"/>
      <c r="E81" s="128"/>
      <c r="I81" s="1"/>
      <c r="J81" s="1"/>
      <c r="K81" s="1"/>
    </row>
    <row r="82" spans="1:11" x14ac:dyDescent="0.25">
      <c r="A82" s="129" t="s">
        <v>410</v>
      </c>
      <c r="B82" s="129"/>
      <c r="C82" s="129"/>
      <c r="D82" s="129"/>
      <c r="E82" s="129"/>
    </row>
  </sheetData>
  <mergeCells count="12">
    <mergeCell ref="A82:E82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1"/>
  <sheetViews>
    <sheetView zoomScale="99" zoomScaleNormal="99" workbookViewId="0">
      <selection activeCell="B89" sqref="B89"/>
    </sheetView>
  </sheetViews>
  <sheetFormatPr defaultRowHeight="15.75" x14ac:dyDescent="0.25"/>
  <cols>
    <col min="1" max="1" width="7" customWidth="1"/>
    <col min="2" max="2" width="35.625" customWidth="1"/>
    <col min="3" max="4" width="13.5" customWidth="1"/>
    <col min="5" max="5" width="17.375" customWidth="1"/>
    <col min="6" max="6" width="12.25" bestFit="1" customWidth="1"/>
    <col min="7" max="7" width="12.125" bestFit="1" customWidth="1"/>
  </cols>
  <sheetData>
    <row r="1" spans="1:7" x14ac:dyDescent="0.25">
      <c r="B1" s="104" t="s">
        <v>139</v>
      </c>
      <c r="C1" s="104"/>
      <c r="D1" s="104"/>
      <c r="E1" s="104"/>
    </row>
    <row r="2" spans="1:7" x14ac:dyDescent="0.25">
      <c r="B2" s="104" t="s">
        <v>301</v>
      </c>
      <c r="C2" s="104"/>
      <c r="D2" s="104"/>
      <c r="E2" s="104"/>
    </row>
    <row r="3" spans="1:7" x14ac:dyDescent="0.25">
      <c r="B3" s="5"/>
    </row>
    <row r="4" spans="1:7" ht="21" customHeight="1" x14ac:dyDescent="0.25">
      <c r="A4" s="105" t="s">
        <v>300</v>
      </c>
      <c r="B4" s="105"/>
      <c r="C4" s="109" t="s">
        <v>353</v>
      </c>
      <c r="D4" s="110"/>
      <c r="E4" s="107" t="s">
        <v>355</v>
      </c>
      <c r="F4" s="1"/>
    </row>
    <row r="5" spans="1:7" ht="27" customHeight="1" x14ac:dyDescent="0.25">
      <c r="A5" s="106"/>
      <c r="B5" s="106"/>
      <c r="C5" s="18">
        <v>2020</v>
      </c>
      <c r="D5" s="17">
        <v>2021</v>
      </c>
      <c r="E5" s="108"/>
      <c r="F5" s="1"/>
    </row>
    <row r="6" spans="1:7" ht="28.5" x14ac:dyDescent="0.25">
      <c r="A6" s="38"/>
      <c r="B6" s="53" t="s">
        <v>312</v>
      </c>
      <c r="C6" s="123">
        <v>-2094743.4080699999</v>
      </c>
      <c r="D6" s="42">
        <v>-2969368.4331499999</v>
      </c>
      <c r="E6" s="78">
        <f>IF(-2094743.40807="","-",-2969321.31341/-2094743.40807*100)</f>
        <v>141.75107566734371</v>
      </c>
      <c r="G6" s="15"/>
    </row>
    <row r="7" spans="1:7" x14ac:dyDescent="0.25">
      <c r="A7" s="38"/>
      <c r="B7" s="41" t="s">
        <v>127</v>
      </c>
      <c r="C7" s="30"/>
      <c r="D7" s="31"/>
      <c r="E7" s="124"/>
    </row>
    <row r="8" spans="1:7" x14ac:dyDescent="0.25">
      <c r="A8" s="34" t="s">
        <v>227</v>
      </c>
      <c r="B8" s="35" t="s">
        <v>186</v>
      </c>
      <c r="C8" s="32">
        <f>IF(-58357.71462="","-",-58357.71462)</f>
        <v>-58357.714619999999</v>
      </c>
      <c r="D8" s="32">
        <v>-62117.551200000002</v>
      </c>
      <c r="E8" s="79">
        <f>IF(-58357.71462="","-",-62117.5512/-58357.71462*100)</f>
        <v>106.44274129732875</v>
      </c>
      <c r="F8" s="15"/>
    </row>
    <row r="9" spans="1:7" x14ac:dyDescent="0.25">
      <c r="A9" s="36" t="s">
        <v>228</v>
      </c>
      <c r="B9" s="37" t="s">
        <v>23</v>
      </c>
      <c r="C9" s="33">
        <f>IF(OR(3693.75123="",3693.75123=0),"-",3693.75123)</f>
        <v>3693.7512299999999</v>
      </c>
      <c r="D9" s="33">
        <v>2446.7606999999998</v>
      </c>
      <c r="E9" s="80">
        <f>IF(OR(3693.75123="",2446.7607="",3693.75123=0,2446.7607=0),"-",2446.7607/3693.75123*100)</f>
        <v>66.240538348328343</v>
      </c>
    </row>
    <row r="10" spans="1:7" x14ac:dyDescent="0.25">
      <c r="A10" s="36" t="s">
        <v>229</v>
      </c>
      <c r="B10" s="37" t="s">
        <v>187</v>
      </c>
      <c r="C10" s="33">
        <f>IF(OR(-26186.86687="",-26186.86687=0),"-",-26186.86687)</f>
        <v>-26186.866870000002</v>
      </c>
      <c r="D10" s="33">
        <v>-40966.611680000002</v>
      </c>
      <c r="E10" s="80" t="s">
        <v>104</v>
      </c>
    </row>
    <row r="11" spans="1:7" x14ac:dyDescent="0.25">
      <c r="A11" s="36" t="s">
        <v>230</v>
      </c>
      <c r="B11" s="37" t="s">
        <v>188</v>
      </c>
      <c r="C11" s="33">
        <f>IF(OR(-50925.61172="",-50925.61172=0),"-",-50925.61172)</f>
        <v>-50925.611720000001</v>
      </c>
      <c r="D11" s="33">
        <v>-58229.873059999998</v>
      </c>
      <c r="E11" s="80">
        <f>IF(OR(-50925.61172="",-58229.87306="",-50925.61172=0,-58229.87306=0),"-",-58229.87306/-50925.61172*100)</f>
        <v>114.34300167106564</v>
      </c>
    </row>
    <row r="12" spans="1:7" x14ac:dyDescent="0.25">
      <c r="A12" s="36" t="s">
        <v>231</v>
      </c>
      <c r="B12" s="37" t="s">
        <v>189</v>
      </c>
      <c r="C12" s="33">
        <f>IF(OR(-40224.83874="",-40224.83874=0),"-",-40224.83874)</f>
        <v>-40224.838739999999</v>
      </c>
      <c r="D12" s="33">
        <v>-51003.924229999997</v>
      </c>
      <c r="E12" s="80">
        <f>IF(OR(-40224.83874="",-51003.92423="",-40224.83874=0,-51003.92423=0),"-",-51003.92423/-40224.83874*100)</f>
        <v>126.79708813669193</v>
      </c>
    </row>
    <row r="13" spans="1:7" x14ac:dyDescent="0.25">
      <c r="A13" s="36" t="s">
        <v>232</v>
      </c>
      <c r="B13" s="37" t="s">
        <v>190</v>
      </c>
      <c r="C13" s="33">
        <f>IF(OR(52768.64349="",52768.64349=0),"-",52768.64349)</f>
        <v>52768.643490000002</v>
      </c>
      <c r="D13" s="33">
        <v>141787.51188999999</v>
      </c>
      <c r="E13" s="80" t="s">
        <v>306</v>
      </c>
    </row>
    <row r="14" spans="1:7" x14ac:dyDescent="0.25">
      <c r="A14" s="36" t="s">
        <v>233</v>
      </c>
      <c r="B14" s="37" t="s">
        <v>191</v>
      </c>
      <c r="C14" s="33">
        <f>IF(OR(99705.49569="",99705.49569=0),"-",99705.49569)</f>
        <v>99705.495689999996</v>
      </c>
      <c r="D14" s="33">
        <v>78168.452709999998</v>
      </c>
      <c r="E14" s="80">
        <f>IF(OR(99705.49569="",78168.45271="",99705.49569=0,78168.45271=0),"-",78168.45271/99705.49569*100)</f>
        <v>78.399342151648256</v>
      </c>
    </row>
    <row r="15" spans="1:7" x14ac:dyDescent="0.25">
      <c r="A15" s="36" t="s">
        <v>234</v>
      </c>
      <c r="B15" s="37" t="s">
        <v>149</v>
      </c>
      <c r="C15" s="33">
        <f>IF(OR(2314.22677="",2314.22677=0),"-",2314.22677)</f>
        <v>2314.2267700000002</v>
      </c>
      <c r="D15" s="33">
        <v>2606.0156099999999</v>
      </c>
      <c r="E15" s="80">
        <f>IF(OR(2314.22677="",2606.01561="",2314.22677=0,2606.01561=0),"-",2606.01561/2314.22677*100)</f>
        <v>112.60848088798141</v>
      </c>
    </row>
    <row r="16" spans="1:7" ht="25.5" x14ac:dyDescent="0.25">
      <c r="A16" s="36" t="s">
        <v>235</v>
      </c>
      <c r="B16" s="37" t="s">
        <v>192</v>
      </c>
      <c r="C16" s="33">
        <f>IF(OR(-32820.69042="",-32820.69042=0),"-",-32820.69042)</f>
        <v>-32820.690419999999</v>
      </c>
      <c r="D16" s="33">
        <v>-39097.116900000001</v>
      </c>
      <c r="E16" s="80">
        <f>IF(OR(-32820.69042="",-39097.1169="",-32820.69042=0,-39097.1169=0),"-",-39097.1169/-32820.69042*100)</f>
        <v>119.12338345014011</v>
      </c>
    </row>
    <row r="17" spans="1:5" ht="25.5" x14ac:dyDescent="0.25">
      <c r="A17" s="36" t="s">
        <v>236</v>
      </c>
      <c r="B17" s="37" t="s">
        <v>150</v>
      </c>
      <c r="C17" s="33">
        <f>IF(OR(-10782.75254="",-10782.75254=0),"-",-10782.75254)</f>
        <v>-10782.752539999999</v>
      </c>
      <c r="D17" s="33">
        <v>-23506.83063</v>
      </c>
      <c r="E17" s="80" t="s">
        <v>208</v>
      </c>
    </row>
    <row r="18" spans="1:5" x14ac:dyDescent="0.25">
      <c r="A18" s="36" t="s">
        <v>237</v>
      </c>
      <c r="B18" s="37" t="s">
        <v>193</v>
      </c>
      <c r="C18" s="33">
        <f>IF(OR(-55899.07151="",-55899.07151=0),"-",-55899.07151)</f>
        <v>-55899.071510000002</v>
      </c>
      <c r="D18" s="33">
        <v>-74321.93561</v>
      </c>
      <c r="E18" s="80">
        <f>IF(OR(-55899.07151="",-74321.93561="",-55899.07151=0,-74321.93561=0),"-",-74321.93561/-55899.07151*100)</f>
        <v>132.95737049354076</v>
      </c>
    </row>
    <row r="19" spans="1:5" x14ac:dyDescent="0.25">
      <c r="A19" s="34" t="s">
        <v>238</v>
      </c>
      <c r="B19" s="35" t="s">
        <v>194</v>
      </c>
      <c r="C19" s="32">
        <f>IF(55036.94096="","-",55036.94096)</f>
        <v>55036.94096</v>
      </c>
      <c r="D19" s="32">
        <v>52622.531230000001</v>
      </c>
      <c r="E19" s="79">
        <f>IF(55036.94096="","-",52622.53123/55036.94096*100)</f>
        <v>95.613110598289325</v>
      </c>
    </row>
    <row r="20" spans="1:5" x14ac:dyDescent="0.25">
      <c r="A20" s="36" t="s">
        <v>239</v>
      </c>
      <c r="B20" s="37" t="s">
        <v>195</v>
      </c>
      <c r="C20" s="33">
        <f>IF(OR(85706.49268="",85706.49268=0),"-",85706.49268)</f>
        <v>85706.492679999996</v>
      </c>
      <c r="D20" s="33">
        <v>80173.650479999997</v>
      </c>
      <c r="E20" s="80">
        <f>IF(OR(85706.49268="",80173.65048="",85706.49268=0,80173.65048=0),"-",80173.65048/85706.49268*100)</f>
        <v>93.544430501131544</v>
      </c>
    </row>
    <row r="21" spans="1:5" x14ac:dyDescent="0.25">
      <c r="A21" s="36" t="s">
        <v>240</v>
      </c>
      <c r="B21" s="37" t="s">
        <v>196</v>
      </c>
      <c r="C21" s="33">
        <f>IF(OR(-30669.55172="",-30669.55172=0),"-",-30669.55172)</f>
        <v>-30669.551719999999</v>
      </c>
      <c r="D21" s="33">
        <v>-27551.11925</v>
      </c>
      <c r="E21" s="80">
        <f>IF(OR(-30669.55172="",-27551.11925="",-30669.55172=0,-27551.11925=0),"-",-27551.11925/-30669.55172*100)</f>
        <v>89.832155036141486</v>
      </c>
    </row>
    <row r="22" spans="1:5" ht="25.5" x14ac:dyDescent="0.25">
      <c r="A22" s="34" t="s">
        <v>241</v>
      </c>
      <c r="B22" s="35" t="s">
        <v>24</v>
      </c>
      <c r="C22" s="32">
        <f>IF(47516.35369="","-",47516.35369)</f>
        <v>47516.353690000004</v>
      </c>
      <c r="D22" s="32">
        <v>70576.766680000001</v>
      </c>
      <c r="E22" s="79">
        <f>IF(47516.35369="","-",70576.76668/47516.35369*100)</f>
        <v>148.53152904039678</v>
      </c>
    </row>
    <row r="23" spans="1:5" x14ac:dyDescent="0.25">
      <c r="A23" s="36" t="s">
        <v>242</v>
      </c>
      <c r="B23" s="37" t="s">
        <v>203</v>
      </c>
      <c r="C23" s="33">
        <f>IF(OR(956.5476="",956.5476=0),"-",956.5476)</f>
        <v>956.54759999999999</v>
      </c>
      <c r="D23" s="33">
        <v>903.19374000000005</v>
      </c>
      <c r="E23" s="80">
        <f>IF(OR(956.5476="",903.19374="",956.5476=0,903.19374=0),"-",903.19374/956.5476*100)</f>
        <v>94.422247256696906</v>
      </c>
    </row>
    <row r="24" spans="1:5" x14ac:dyDescent="0.25">
      <c r="A24" s="36" t="s">
        <v>243</v>
      </c>
      <c r="B24" s="37" t="s">
        <v>197</v>
      </c>
      <c r="C24" s="33">
        <f>IF(OR(92944.45685="",92944.45685=0),"-",92944.45685)</f>
        <v>92944.456850000002</v>
      </c>
      <c r="D24" s="33">
        <v>94124.337650000001</v>
      </c>
      <c r="E24" s="80">
        <f>IF(OR(92944.45685="",94124.33765="",92944.45685=0,94124.33765=0),"-",94124.33765/92944.45685*100)</f>
        <v>101.26944719458007</v>
      </c>
    </row>
    <row r="25" spans="1:5" ht="17.25" customHeight="1" x14ac:dyDescent="0.25">
      <c r="A25" s="36" t="s">
        <v>297</v>
      </c>
      <c r="B25" s="37" t="s">
        <v>198</v>
      </c>
      <c r="C25" s="33">
        <f>IF(OR(-1009.77767="",-1009.77767=0),"-",-1009.77767)</f>
        <v>-1009.7776699999999</v>
      </c>
      <c r="D25" s="33">
        <v>-1905.6592599999999</v>
      </c>
      <c r="E25" s="80" t="s">
        <v>105</v>
      </c>
    </row>
    <row r="26" spans="1:5" x14ac:dyDescent="0.25">
      <c r="A26" s="36" t="s">
        <v>244</v>
      </c>
      <c r="B26" s="37" t="s">
        <v>199</v>
      </c>
      <c r="C26" s="33">
        <f>IF(OR(-27581.78437="",-27581.78437=0),"-",-27581.78437)</f>
        <v>-27581.784370000001</v>
      </c>
      <c r="D26" s="33">
        <v>-39027.123140000003</v>
      </c>
      <c r="E26" s="80">
        <f>IF(OR(-27581.78437="",-39027.12314="",-27581.78437=0,-39027.12314=0),"-",-39027.12314/-27581.78437*100)</f>
        <v>141.49600553925293</v>
      </c>
    </row>
    <row r="27" spans="1:5" x14ac:dyDescent="0.25">
      <c r="A27" s="36" t="s">
        <v>245</v>
      </c>
      <c r="B27" s="37" t="s">
        <v>151</v>
      </c>
      <c r="C27" s="33">
        <f>IF(OR(1057.34734="",1057.34734=0),"-",1057.34734)</f>
        <v>1057.34734</v>
      </c>
      <c r="D27" s="33">
        <v>3167.6661300000001</v>
      </c>
      <c r="E27" s="80" t="s">
        <v>319</v>
      </c>
    </row>
    <row r="28" spans="1:5" ht="38.25" x14ac:dyDescent="0.25">
      <c r="A28" s="36" t="s">
        <v>246</v>
      </c>
      <c r="B28" s="37" t="s">
        <v>152</v>
      </c>
      <c r="C28" s="33">
        <f>IF(OR(-5340.22791="",-5340.22791=0),"-",-5340.22791)</f>
        <v>-5340.2279099999996</v>
      </c>
      <c r="D28" s="33">
        <v>-7279.3238499999998</v>
      </c>
      <c r="E28" s="80">
        <f>IF(OR(-5340.22791="",-7279.32385="",-5340.22791=0,-7279.32385=0),"-",-7279.32385/-5340.22791*100)</f>
        <v>136.3111083024919</v>
      </c>
    </row>
    <row r="29" spans="1:5" ht="25.5" x14ac:dyDescent="0.25">
      <c r="A29" s="36" t="s">
        <v>247</v>
      </c>
      <c r="B29" s="37" t="s">
        <v>153</v>
      </c>
      <c r="C29" s="33">
        <f>IF(OR(-5797.67468="",-5797.67468=0),"-",-5797.67468)</f>
        <v>-5797.6746800000001</v>
      </c>
      <c r="D29" s="33">
        <v>-8515.5739400000002</v>
      </c>
      <c r="E29" s="80">
        <f>IF(OR(-5797.67468="",-8515.57394="",-5797.67468=0,-8515.57394=0),"-",-8515.57394/-5797.67468*100)</f>
        <v>146.87912671912801</v>
      </c>
    </row>
    <row r="30" spans="1:5" x14ac:dyDescent="0.25">
      <c r="A30" s="36" t="s">
        <v>248</v>
      </c>
      <c r="B30" s="37" t="s">
        <v>154</v>
      </c>
      <c r="C30" s="33">
        <f>IF(OR(15070.62853="",15070.62853=0),"-",15070.62853)</f>
        <v>15070.62853</v>
      </c>
      <c r="D30" s="33">
        <v>62967.465810000002</v>
      </c>
      <c r="E30" s="80" t="s">
        <v>316</v>
      </c>
    </row>
    <row r="31" spans="1:5" x14ac:dyDescent="0.25">
      <c r="A31" s="36" t="s">
        <v>249</v>
      </c>
      <c r="B31" s="37" t="s">
        <v>155</v>
      </c>
      <c r="C31" s="33">
        <f>IF(OR(-22783.162="",-22783.162=0),"-",-22783.162)</f>
        <v>-22783.162</v>
      </c>
      <c r="D31" s="33">
        <v>-33858.216460000003</v>
      </c>
      <c r="E31" s="80">
        <f>IF(OR(-22783.162="",-33858.21646="",-22783.162=0,-33858.21646=0),"-",-33858.21646/-22783.162*100)</f>
        <v>148.61069969128957</v>
      </c>
    </row>
    <row r="32" spans="1:5" ht="15.75" customHeight="1" x14ac:dyDescent="0.25">
      <c r="A32" s="34" t="s">
        <v>250</v>
      </c>
      <c r="B32" s="35" t="s">
        <v>156</v>
      </c>
      <c r="C32" s="32">
        <f>IF(-418002.99729="","-",-418002.99729)</f>
        <v>-418002.99729000003</v>
      </c>
      <c r="D32" s="32">
        <v>-636127.24945999996</v>
      </c>
      <c r="E32" s="79" t="s">
        <v>221</v>
      </c>
    </row>
    <row r="33" spans="1:5" x14ac:dyDescent="0.25">
      <c r="A33" s="36" t="s">
        <v>251</v>
      </c>
      <c r="B33" s="37" t="s">
        <v>200</v>
      </c>
      <c r="C33" s="33">
        <f>IF(OR(-11379.82801="",-11379.82801=0),"-",-11379.82801)</f>
        <v>-11379.828009999999</v>
      </c>
      <c r="D33" s="33">
        <v>-11516.94008</v>
      </c>
      <c r="E33" s="80">
        <f>IF(OR(-11379.82801="",-11516.94008="",-11379.82801=0,-11516.94008=0),"-",-11516.94008/-11379.82801*100)</f>
        <v>101.20486943985019</v>
      </c>
    </row>
    <row r="34" spans="1:5" x14ac:dyDescent="0.25">
      <c r="A34" s="36" t="s">
        <v>252</v>
      </c>
      <c r="B34" s="37" t="s">
        <v>157</v>
      </c>
      <c r="C34" s="33">
        <f>IF(OR(-266224.08385="",-266224.08385=0),"-",-266224.08385)</f>
        <v>-266224.08385</v>
      </c>
      <c r="D34" s="33">
        <v>-431079.75599999999</v>
      </c>
      <c r="E34" s="80" t="s">
        <v>104</v>
      </c>
    </row>
    <row r="35" spans="1:5" x14ac:dyDescent="0.25">
      <c r="A35" s="36" t="s">
        <v>298</v>
      </c>
      <c r="B35" s="37" t="s">
        <v>201</v>
      </c>
      <c r="C35" s="33">
        <f>IF(OR(-132291.60809="",-132291.60809=0),"-",-132291.60809)</f>
        <v>-132291.60808999999</v>
      </c>
      <c r="D35" s="33">
        <v>-185971.77453</v>
      </c>
      <c r="E35" s="80">
        <f>IF(OR(-132291.60809="",-185971.77453="",-132291.60809=0,-185971.77453=0),"-",-185971.77453/-132291.60809*100)</f>
        <v>140.57715165385287</v>
      </c>
    </row>
    <row r="36" spans="1:5" x14ac:dyDescent="0.25">
      <c r="A36" s="36" t="s">
        <v>308</v>
      </c>
      <c r="B36" s="37" t="s">
        <v>311</v>
      </c>
      <c r="C36" s="33">
        <f>IF(OR(-8107.47734="",-8107.47734=0),"-",-8107.47734)</f>
        <v>-8107.4773400000004</v>
      </c>
      <c r="D36" s="33">
        <v>-7558.7788499999997</v>
      </c>
      <c r="E36" s="80">
        <f>IF(OR(-8107.47734="",-7558.77885="",-8107.47734=0,-7558.77885=0),"-",-7558.77885/-8107.47734*100)</f>
        <v>93.232192123524328</v>
      </c>
    </row>
    <row r="37" spans="1:5" ht="25.5" x14ac:dyDescent="0.25">
      <c r="A37" s="34" t="s">
        <v>253</v>
      </c>
      <c r="B37" s="35" t="s">
        <v>158</v>
      </c>
      <c r="C37" s="32">
        <f>IF(62059.13533="","-",62059.13533)</f>
        <v>62059.135329999997</v>
      </c>
      <c r="D37" s="32">
        <v>36887.992389999999</v>
      </c>
      <c r="E37" s="79">
        <f>IF(62059.13533="","-",36887.99239/62059.13533*100)</f>
        <v>59.440068241118368</v>
      </c>
    </row>
    <row r="38" spans="1:5" x14ac:dyDescent="0.25">
      <c r="A38" s="36" t="s">
        <v>254</v>
      </c>
      <c r="B38" s="37" t="s">
        <v>204</v>
      </c>
      <c r="C38" s="33">
        <f>IF(OR(-1218.66944="",-1218.66944=0),"-",-1218.66944)</f>
        <v>-1218.6694399999999</v>
      </c>
      <c r="D38" s="33">
        <v>-1376.5228300000001</v>
      </c>
      <c r="E38" s="80">
        <f>IF(OR(-1218.66944="",-1376.52283="",-1218.66944=0,-1376.52283=0),"-",-1376.52283/-1218.66944*100)</f>
        <v>112.95292922090508</v>
      </c>
    </row>
    <row r="39" spans="1:5" ht="14.25" customHeight="1" x14ac:dyDescent="0.25">
      <c r="A39" s="36" t="s">
        <v>255</v>
      </c>
      <c r="B39" s="37" t="s">
        <v>159</v>
      </c>
      <c r="C39" s="33">
        <f>IF(OR(64503.27802="",64503.27802=0),"-",64503.27802)</f>
        <v>64503.278019999998</v>
      </c>
      <c r="D39" s="33">
        <v>39778.135370000004</v>
      </c>
      <c r="E39" s="80">
        <f>IF(OR(64503.27802="",39778.13537="",64503.27802=0,39778.13537=0),"-",39778.13537/64503.27802*100)</f>
        <v>61.668393593371064</v>
      </c>
    </row>
    <row r="40" spans="1:5" ht="51" x14ac:dyDescent="0.25">
      <c r="A40" s="36" t="s">
        <v>256</v>
      </c>
      <c r="B40" s="37" t="s">
        <v>202</v>
      </c>
      <c r="C40" s="33">
        <f>IF(OR(-1225.47325="",-1225.47325=0),"-",-1225.47325)</f>
        <v>-1225.47325</v>
      </c>
      <c r="D40" s="33">
        <v>-1513.62015</v>
      </c>
      <c r="E40" s="80">
        <f>IF(OR(-1225.47325="",-1513.62015="",-1225.47325=0,-1513.62015=0),"-",-1513.62015/-1225.47325*100)</f>
        <v>123.51311217931521</v>
      </c>
    </row>
    <row r="41" spans="1:5" ht="15" customHeight="1" x14ac:dyDescent="0.25">
      <c r="A41" s="34" t="s">
        <v>257</v>
      </c>
      <c r="B41" s="35" t="s">
        <v>160</v>
      </c>
      <c r="C41" s="32">
        <f>IF(-516182.88315="","-",-516182.88315)</f>
        <v>-516182.88315000001</v>
      </c>
      <c r="D41" s="32">
        <v>-655483.53971000004</v>
      </c>
      <c r="E41" s="79">
        <f>IF(-516182.88315="","-",-655483.53971/-516182.88315*100)</f>
        <v>126.98668652279197</v>
      </c>
    </row>
    <row r="42" spans="1:5" x14ac:dyDescent="0.25">
      <c r="A42" s="36" t="s">
        <v>258</v>
      </c>
      <c r="B42" s="37" t="s">
        <v>25</v>
      </c>
      <c r="C42" s="33">
        <f>IF(OR(27846.17443="",27846.17443=0),"-",27846.17443)</f>
        <v>27846.174429999999</v>
      </c>
      <c r="D42" s="33">
        <v>14867.70234</v>
      </c>
      <c r="E42" s="80">
        <f>IF(OR(27846.17443="",14867.70234="",27846.17443=0,14867.70234=0),"-",14867.70234/27846.17443*100)</f>
        <v>53.392261753493585</v>
      </c>
    </row>
    <row r="43" spans="1:5" x14ac:dyDescent="0.25">
      <c r="A43" s="36" t="s">
        <v>259</v>
      </c>
      <c r="B43" s="37" t="s">
        <v>26</v>
      </c>
      <c r="C43" s="33">
        <f>IF(OR(-10816.24517="",-10816.24517=0),"-",-10816.24517)</f>
        <v>-10816.24517</v>
      </c>
      <c r="D43" s="33">
        <v>-11421.163629999999</v>
      </c>
      <c r="E43" s="80">
        <f>IF(OR(-10816.24517="",-11421.16363="",-10816.24517=0,-11421.16363=0),"-",-11421.16363/-10816.24517*100)</f>
        <v>105.59268443431556</v>
      </c>
    </row>
    <row r="44" spans="1:5" x14ac:dyDescent="0.25">
      <c r="A44" s="36" t="s">
        <v>260</v>
      </c>
      <c r="B44" s="37" t="s">
        <v>161</v>
      </c>
      <c r="C44" s="33">
        <f>IF(OR(-31144.13959="",-31144.13959=0),"-",-31144.13959)</f>
        <v>-31144.139589999999</v>
      </c>
      <c r="D44" s="33">
        <v>-36407.564810000003</v>
      </c>
      <c r="E44" s="80">
        <f>IF(OR(-31144.13959="",-36407.56481="",-31144.13959=0,-36407.56481=0),"-",-36407.56481/-31144.13959*100)</f>
        <v>116.90021072757466</v>
      </c>
    </row>
    <row r="45" spans="1:5" x14ac:dyDescent="0.25">
      <c r="A45" s="36" t="s">
        <v>261</v>
      </c>
      <c r="B45" s="37" t="s">
        <v>162</v>
      </c>
      <c r="C45" s="33">
        <f>IF(OR(-137723.21629="",-137723.21629=0),"-",-137723.21629)</f>
        <v>-137723.21629000001</v>
      </c>
      <c r="D45" s="33">
        <v>-176592.6005</v>
      </c>
      <c r="E45" s="80">
        <f>IF(OR(-137723.21629="",-176592.6005="",-137723.21629=0,-176592.6005=0),"-",-176592.6005/-137723.21629*100)</f>
        <v>128.22282637384376</v>
      </c>
    </row>
    <row r="46" spans="1:5" ht="38.25" x14ac:dyDescent="0.25">
      <c r="A46" s="36" t="s">
        <v>262</v>
      </c>
      <c r="B46" s="37" t="s">
        <v>163</v>
      </c>
      <c r="C46" s="33">
        <f>IF(OR(-71747.09633="",-71747.09633=0),"-",-71747.09633)</f>
        <v>-71747.09633</v>
      </c>
      <c r="D46" s="33">
        <v>-91429.994879999998</v>
      </c>
      <c r="E46" s="80">
        <f>IF(OR(-71747.09633="",-91429.99488="",-71747.09633=0,-91429.99488=0),"-",-91429.99488/-71747.09633*100)</f>
        <v>127.43372144214551</v>
      </c>
    </row>
    <row r="47" spans="1:5" x14ac:dyDescent="0.25">
      <c r="A47" s="36" t="s">
        <v>263</v>
      </c>
      <c r="B47" s="37" t="s">
        <v>164</v>
      </c>
      <c r="C47" s="33">
        <f>IF(OR(-65608.97477="",-65608.97477=0),"-",-65608.97477)</f>
        <v>-65608.974770000001</v>
      </c>
      <c r="D47" s="33">
        <v>-69432.48414</v>
      </c>
      <c r="E47" s="80">
        <f>IF(OR(-65608.97477="",-69432.48414="",-65608.97477=0,-69432.48414=0),"-",-69432.48414/-65608.97477*100)</f>
        <v>105.82772308728153</v>
      </c>
    </row>
    <row r="48" spans="1:5" x14ac:dyDescent="0.25">
      <c r="A48" s="36" t="s">
        <v>264</v>
      </c>
      <c r="B48" s="37" t="s">
        <v>27</v>
      </c>
      <c r="C48" s="33">
        <f>IF(OR(-32932.81465="",-32932.81465=0),"-",-32932.81465)</f>
        <v>-32932.81465</v>
      </c>
      <c r="D48" s="33">
        <v>-48443.29924</v>
      </c>
      <c r="E48" s="80">
        <f>IF(OR(-32932.81465="",-48443.29924="",-32932.81465=0,-48443.29924=0),"-",-48443.29924/-32932.81465*100)</f>
        <v>147.09735488703515</v>
      </c>
    </row>
    <row r="49" spans="1:5" x14ac:dyDescent="0.25">
      <c r="A49" s="36" t="s">
        <v>265</v>
      </c>
      <c r="B49" s="37" t="s">
        <v>28</v>
      </c>
      <c r="C49" s="33">
        <f>IF(OR(-84485.29234="",-84485.29234=0),"-",-84485.29234)</f>
        <v>-84485.29234</v>
      </c>
      <c r="D49" s="33">
        <v>-113231.38576999999</v>
      </c>
      <c r="E49" s="80">
        <f>IF(OR(-84485.29234="",-113231.38577="",-84485.29234=0,-113231.38577=0),"-",-113231.38577/-84485.29234*100)</f>
        <v>134.02496770007625</v>
      </c>
    </row>
    <row r="50" spans="1:5" x14ac:dyDescent="0.25">
      <c r="A50" s="36" t="s">
        <v>266</v>
      </c>
      <c r="B50" s="37" t="s">
        <v>165</v>
      </c>
      <c r="C50" s="33">
        <f>IF(OR(-109571.27844="",-109571.27844=0),"-",-109571.27844)</f>
        <v>-109571.27843999999</v>
      </c>
      <c r="D50" s="33">
        <v>-123392.74907999999</v>
      </c>
      <c r="E50" s="80">
        <f>IF(OR(-109571.27844="",-123392.74908="",-109571.27844=0,-123392.74908=0),"-",-123392.74908/-109571.27844*100)</f>
        <v>112.61413651166667</v>
      </c>
    </row>
    <row r="51" spans="1:5" ht="25.5" x14ac:dyDescent="0.25">
      <c r="A51" s="34" t="s">
        <v>267</v>
      </c>
      <c r="B51" s="35" t="s">
        <v>372</v>
      </c>
      <c r="C51" s="32">
        <f>IF(-634404.9894="","-",-634404.9894)</f>
        <v>-634404.98939999996</v>
      </c>
      <c r="D51" s="32">
        <v>-786851.70513000002</v>
      </c>
      <c r="E51" s="45">
        <f>IF(-634404.9894="","-",-786851.70513/-634404.9894*100)</f>
        <v>124.02987338958027</v>
      </c>
    </row>
    <row r="52" spans="1:5" x14ac:dyDescent="0.25">
      <c r="A52" s="36" t="s">
        <v>268</v>
      </c>
      <c r="B52" s="37" t="s">
        <v>166</v>
      </c>
      <c r="C52" s="33">
        <f>IF(OR(-32345.59349="",-32345.59349=0),"-",-32345.59349)</f>
        <v>-32345.593489999999</v>
      </c>
      <c r="D52" s="33">
        <v>-40651.329129999998</v>
      </c>
      <c r="E52" s="80">
        <f>IF(OR(-32345.59349="",-40651.32913="",-32345.59349=0,-40651.32913=0),"-",-40651.32913/-32345.59349*100)</f>
        <v>125.67810555885397</v>
      </c>
    </row>
    <row r="53" spans="1:5" x14ac:dyDescent="0.25">
      <c r="A53" s="36" t="s">
        <v>269</v>
      </c>
      <c r="B53" s="37" t="s">
        <v>29</v>
      </c>
      <c r="C53" s="33">
        <f>IF(OR(-41253.07952="",-41253.07952=0),"-",-41253.07952)</f>
        <v>-41253.079519999999</v>
      </c>
      <c r="D53" s="33">
        <v>-49828.060380000003</v>
      </c>
      <c r="E53" s="80">
        <f>IF(OR(-41253.07952="",-49828.06038="",-41253.07952=0,-49828.06038=0),"-",-49828.06038/-41253.07952*100)</f>
        <v>120.78628058747165</v>
      </c>
    </row>
    <row r="54" spans="1:5" x14ac:dyDescent="0.25">
      <c r="A54" s="36" t="s">
        <v>270</v>
      </c>
      <c r="B54" s="37" t="s">
        <v>167</v>
      </c>
      <c r="C54" s="33">
        <f>IF(OR(-49850.96659="",-49850.96659=0),"-",-49850.96659)</f>
        <v>-49850.966590000004</v>
      </c>
      <c r="D54" s="33">
        <v>-64010.228490000001</v>
      </c>
      <c r="E54" s="80">
        <f>IF(OR(-49850.96659="",-64010.22849="",-49850.96659=0,-64010.22849=0),"-",-64010.22849/-49850.96659*100)</f>
        <v>128.40318426812672</v>
      </c>
    </row>
    <row r="55" spans="1:5" ht="25.5" x14ac:dyDescent="0.25">
      <c r="A55" s="36" t="s">
        <v>271</v>
      </c>
      <c r="B55" s="37" t="s">
        <v>168</v>
      </c>
      <c r="C55" s="33">
        <f>IF(OR(-60723.75534="",-60723.75534=0),"-",-60723.75534)</f>
        <v>-60723.755340000003</v>
      </c>
      <c r="D55" s="33">
        <v>-72685.012069999997</v>
      </c>
      <c r="E55" s="80">
        <f>IF(OR(-60723.75534="",-72685.01207="",-60723.75534=0,-72685.01207=0),"-",-72685.01207/-60723.75534*100)</f>
        <v>119.69782116245513</v>
      </c>
    </row>
    <row r="56" spans="1:5" ht="25.5" x14ac:dyDescent="0.25">
      <c r="A56" s="36" t="s">
        <v>272</v>
      </c>
      <c r="B56" s="37" t="s">
        <v>169</v>
      </c>
      <c r="C56" s="33">
        <f>IF(OR(-142988.75922="",-142988.75922=0),"-",-142988.75922)</f>
        <v>-142988.75922000001</v>
      </c>
      <c r="D56" s="33">
        <v>-178180.29120000001</v>
      </c>
      <c r="E56" s="80">
        <f>IF(OR(-142988.75922="",-178180.2912="",-142988.75922=0,-178180.2912=0),"-",-178180.2912/-142988.75922*100)</f>
        <v>124.61139754758968</v>
      </c>
    </row>
    <row r="57" spans="1:5" x14ac:dyDescent="0.25">
      <c r="A57" s="36" t="s">
        <v>273</v>
      </c>
      <c r="B57" s="37" t="s">
        <v>30</v>
      </c>
      <c r="C57" s="33">
        <f>IF(OR(-65228.5515="",-65228.5515=0),"-",-65228.5515)</f>
        <v>-65228.551500000001</v>
      </c>
      <c r="D57" s="33">
        <v>-74478.519639999999</v>
      </c>
      <c r="E57" s="80">
        <f>IF(OR(-65228.5515="",-74478.51964="",-65228.5515=0,-74478.51964=0),"-",-74478.51964/-65228.5515*100)</f>
        <v>114.18085781040223</v>
      </c>
    </row>
    <row r="58" spans="1:5" x14ac:dyDescent="0.25">
      <c r="A58" s="36" t="s">
        <v>274</v>
      </c>
      <c r="B58" s="37" t="s">
        <v>170</v>
      </c>
      <c r="C58" s="33">
        <f>IF(OR(-98107.22821="",-98107.22821=0),"-",-98107.22821)</f>
        <v>-98107.228210000001</v>
      </c>
      <c r="D58" s="33">
        <v>-123194.77475</v>
      </c>
      <c r="E58" s="80">
        <f>IF(OR(-98107.22821="",-123194.77475="",-98107.22821=0,-123194.77475=0),"-",-123194.77475/-98107.22821*100)</f>
        <v>125.57155777176756</v>
      </c>
    </row>
    <row r="59" spans="1:5" x14ac:dyDescent="0.25">
      <c r="A59" s="36" t="s">
        <v>275</v>
      </c>
      <c r="B59" s="37" t="s">
        <v>31</v>
      </c>
      <c r="C59" s="33">
        <f>IF(OR(-44013.92416="",-44013.92416=0),"-",-44013.92416)</f>
        <v>-44013.924160000002</v>
      </c>
      <c r="D59" s="33">
        <v>-56208.891689999997</v>
      </c>
      <c r="E59" s="80">
        <f>IF(OR(-44013.92416="",-56208.89169="",-44013.92416=0,-56208.89169=0),"-",-56208.89169/-44013.92416*100)</f>
        <v>127.70706716735522</v>
      </c>
    </row>
    <row r="60" spans="1:5" x14ac:dyDescent="0.25">
      <c r="A60" s="36" t="s">
        <v>276</v>
      </c>
      <c r="B60" s="37" t="s">
        <v>32</v>
      </c>
      <c r="C60" s="33">
        <f>IF(OR(-99893.13137="",-99893.13137=0),"-",-99893.13137)</f>
        <v>-99893.131370000003</v>
      </c>
      <c r="D60" s="33">
        <v>-127614.59778</v>
      </c>
      <c r="E60" s="47">
        <f>IF(OR(-99893.13137="",-127614.59778="",-99893.13137=0,-127614.59778=0),"-",-127614.59778/-99893.13137*100)</f>
        <v>127.75112365566039</v>
      </c>
    </row>
    <row r="61" spans="1:5" x14ac:dyDescent="0.25">
      <c r="A61" s="34" t="s">
        <v>277</v>
      </c>
      <c r="B61" s="35" t="s">
        <v>171</v>
      </c>
      <c r="C61" s="32">
        <f>IF(-595960.63514="","-",-595960.63514)</f>
        <v>-595960.63514000003</v>
      </c>
      <c r="D61" s="32">
        <v>-824532.18053999997</v>
      </c>
      <c r="E61" s="79">
        <f>IF(-595960.63514="","-",-824532.18054/-595960.63514*100)</f>
        <v>138.35346362202347</v>
      </c>
    </row>
    <row r="62" spans="1:5" ht="16.5" customHeight="1" x14ac:dyDescent="0.25">
      <c r="A62" s="36" t="s">
        <v>278</v>
      </c>
      <c r="B62" s="37" t="s">
        <v>172</v>
      </c>
      <c r="C62" s="33">
        <f>IF(OR(-13365.65326="",-13365.65326=0),"-",-13365.65326)</f>
        <v>-13365.653259999999</v>
      </c>
      <c r="D62" s="33">
        <v>-19545.685799999999</v>
      </c>
      <c r="E62" s="80">
        <f>IF(OR(-13365.65326="",-19545.6858="",-13365.65326=0,-19545.6858=0),"-",-19545.6858/-13365.65326*100)</f>
        <v>146.23816299720465</v>
      </c>
    </row>
    <row r="63" spans="1:5" ht="25.5" x14ac:dyDescent="0.25">
      <c r="A63" s="36" t="s">
        <v>279</v>
      </c>
      <c r="B63" s="37" t="s">
        <v>173</v>
      </c>
      <c r="C63" s="33">
        <f>IF(OR(-111098.76024="",-111098.76024=0),"-",-111098.76024)</f>
        <v>-111098.76024</v>
      </c>
      <c r="D63" s="33">
        <v>-167912.75932000001</v>
      </c>
      <c r="E63" s="80" t="s">
        <v>221</v>
      </c>
    </row>
    <row r="64" spans="1:5" x14ac:dyDescent="0.25">
      <c r="A64" s="36" t="s">
        <v>280</v>
      </c>
      <c r="B64" s="37" t="s">
        <v>174</v>
      </c>
      <c r="C64" s="33">
        <f>IF(OR(-8047.19588="",-8047.19588=0),"-",-8047.19588)</f>
        <v>-8047.1958800000002</v>
      </c>
      <c r="D64" s="33">
        <v>-10127.275320000001</v>
      </c>
      <c r="E64" s="80">
        <f>IF(OR(-8047.19588="",-10127.27532="",-8047.19588=0,-10127.27532=0),"-",-10127.27532/-8047.19588*100)</f>
        <v>125.84850016102753</v>
      </c>
    </row>
    <row r="65" spans="1:5" ht="25.5" x14ac:dyDescent="0.25">
      <c r="A65" s="36" t="s">
        <v>281</v>
      </c>
      <c r="B65" s="37" t="s">
        <v>175</v>
      </c>
      <c r="C65" s="33">
        <f>IF(OR(-133368.97989="",-133368.97989=0),"-",-133368.97989)</f>
        <v>-133368.97988999999</v>
      </c>
      <c r="D65" s="33">
        <v>-164064.28481000001</v>
      </c>
      <c r="E65" s="80">
        <f>IF(OR(-133368.97989="",-164064.28481="",-133368.97989=0,-164064.28481=0),"-",-164064.28481/-133368.97989*100)</f>
        <v>123.01532556169875</v>
      </c>
    </row>
    <row r="66" spans="1:5" ht="27.75" customHeight="1" x14ac:dyDescent="0.25">
      <c r="A66" s="36" t="s">
        <v>282</v>
      </c>
      <c r="B66" s="37" t="s">
        <v>176</v>
      </c>
      <c r="C66" s="33">
        <f>IF(OR(-35794.43036="",-35794.43036=0),"-",-35794.43036)</f>
        <v>-35794.430359999998</v>
      </c>
      <c r="D66" s="33">
        <v>-53770.898560000001</v>
      </c>
      <c r="E66" s="80" t="s">
        <v>221</v>
      </c>
    </row>
    <row r="67" spans="1:5" ht="29.25" customHeight="1" x14ac:dyDescent="0.25">
      <c r="A67" s="36" t="s">
        <v>283</v>
      </c>
      <c r="B67" s="37" t="s">
        <v>177</v>
      </c>
      <c r="C67" s="33">
        <f>IF(OR(-112327.08212="",-112327.08212=0),"-",-112327.08212)</f>
        <v>-112327.08212000001</v>
      </c>
      <c r="D67" s="33">
        <v>-131804.23485000001</v>
      </c>
      <c r="E67" s="80">
        <f>IF(OR(-112327.08212="",-131804.23485="",-112327.08212=0,-131804.23485=0),"-",-131804.23485/-112327.08212*100)</f>
        <v>117.33967656098498</v>
      </c>
    </row>
    <row r="68" spans="1:5" ht="15" customHeight="1" x14ac:dyDescent="0.25">
      <c r="A68" s="36" t="s">
        <v>284</v>
      </c>
      <c r="B68" s="37" t="s">
        <v>178</v>
      </c>
      <c r="C68" s="33">
        <f>IF(OR(50080.85372="",50080.85372=0),"-",50080.85372)</f>
        <v>50080.853719999999</v>
      </c>
      <c r="D68" s="33">
        <v>4092.4580099999998</v>
      </c>
      <c r="E68" s="80">
        <f>IF(OR(50080.85372="",4092.45801="",50080.85372=0,4092.45801=0),"-",4092.45801/50080.85372*100)</f>
        <v>8.1717017702628745</v>
      </c>
    </row>
    <row r="69" spans="1:5" x14ac:dyDescent="0.25">
      <c r="A69" s="36" t="s">
        <v>285</v>
      </c>
      <c r="B69" s="37" t="s">
        <v>179</v>
      </c>
      <c r="C69" s="33">
        <f>IF(OR(-180127.61773="",-180127.61773=0),"-",-180127.61773)</f>
        <v>-180127.61773</v>
      </c>
      <c r="D69" s="33">
        <v>-279224.85188999999</v>
      </c>
      <c r="E69" s="80" t="s">
        <v>104</v>
      </c>
    </row>
    <row r="70" spans="1:5" x14ac:dyDescent="0.25">
      <c r="A70" s="36" t="s">
        <v>286</v>
      </c>
      <c r="B70" s="37" t="s">
        <v>33</v>
      </c>
      <c r="C70" s="33">
        <f>IF(OR(-51911.76938="",-51911.76938=0),"-",-51911.76938)</f>
        <v>-51911.769379999998</v>
      </c>
      <c r="D70" s="33">
        <v>-2174.6480000000001</v>
      </c>
      <c r="E70" s="80">
        <f>IF(OR(-51911.76938="",-2174.648="",-51911.76938=0,-2174.648=0),"-",-2174.648/-51911.76938*100)</f>
        <v>4.1891232488750898</v>
      </c>
    </row>
    <row r="71" spans="1:5" x14ac:dyDescent="0.25">
      <c r="A71" s="34" t="s">
        <v>287</v>
      </c>
      <c r="B71" s="35" t="s">
        <v>34</v>
      </c>
      <c r="C71" s="32">
        <f>IF(-36667.12292="","-",-36667.12292)</f>
        <v>-36667.122920000002</v>
      </c>
      <c r="D71" s="32">
        <v>-164541.49527000001</v>
      </c>
      <c r="E71" s="79" t="s">
        <v>332</v>
      </c>
    </row>
    <row r="72" spans="1:5" ht="25.5" x14ac:dyDescent="0.25">
      <c r="A72" s="36" t="s">
        <v>288</v>
      </c>
      <c r="B72" s="37" t="s">
        <v>205</v>
      </c>
      <c r="C72" s="33">
        <f>IF(OR(-27969.52237="",-27969.52237=0),"-",-27969.52237)</f>
        <v>-27969.522369999999</v>
      </c>
      <c r="D72" s="33">
        <v>-41888.354489999998</v>
      </c>
      <c r="E72" s="80">
        <f>IF(OR(-27969.52237="",-41888.35449="",-27969.52237=0,-41888.35449=0),"-",-41888.35449/-27969.52237*100)</f>
        <v>149.76428247816375</v>
      </c>
    </row>
    <row r="73" spans="1:5" x14ac:dyDescent="0.25">
      <c r="A73" s="36" t="s">
        <v>289</v>
      </c>
      <c r="B73" s="37" t="s">
        <v>180</v>
      </c>
      <c r="C73" s="33">
        <f>IF(OR(55991.68948="",55991.68948=0),"-",55991.68948)</f>
        <v>55991.689480000001</v>
      </c>
      <c r="D73" s="33">
        <v>62710.049019999999</v>
      </c>
      <c r="E73" s="80">
        <f>IF(OR(55991.68948="",62710.04902="",55991.68948=0,62710.04902=0),"-",62710.04902/55991.68948*100)</f>
        <v>111.998851262382</v>
      </c>
    </row>
    <row r="74" spans="1:5" x14ac:dyDescent="0.25">
      <c r="A74" s="36" t="s">
        <v>290</v>
      </c>
      <c r="B74" s="37" t="s">
        <v>181</v>
      </c>
      <c r="C74" s="33">
        <f>IF(OR(2843.97757="",2843.97757=0),"-",2843.97757)</f>
        <v>2843.97757</v>
      </c>
      <c r="D74" s="33">
        <v>1620.1144300000001</v>
      </c>
      <c r="E74" s="80">
        <f>IF(OR(2843.97757="",1620.11443="",2843.97757=0,1620.11443=0),"-",1620.11443/2843.97757*100)</f>
        <v>56.966498157016055</v>
      </c>
    </row>
    <row r="75" spans="1:5" x14ac:dyDescent="0.25">
      <c r="A75" s="36" t="s">
        <v>291</v>
      </c>
      <c r="B75" s="37" t="s">
        <v>182</v>
      </c>
      <c r="C75" s="33">
        <f>IF(OR(82146.33794="",82146.33794=0),"-",82146.33794)</f>
        <v>82146.337939999998</v>
      </c>
      <c r="D75" s="33">
        <v>56529.175949999997</v>
      </c>
      <c r="E75" s="80">
        <f>IF(OR(82146.33794="",56529.17595="",82146.33794=0,56529.17595=0),"-",56529.17595/82146.33794*100)</f>
        <v>68.815211204289014</v>
      </c>
    </row>
    <row r="76" spans="1:5" x14ac:dyDescent="0.25">
      <c r="A76" s="36" t="s">
        <v>292</v>
      </c>
      <c r="B76" s="37" t="s">
        <v>183</v>
      </c>
      <c r="C76" s="33">
        <f>IF(OR(-3625.02345="",-3625.02345=0),"-",-3625.02345)</f>
        <v>-3625.0234500000001</v>
      </c>
      <c r="D76" s="33">
        <v>-11051.86644</v>
      </c>
      <c r="E76" s="80" t="s">
        <v>319</v>
      </c>
    </row>
    <row r="77" spans="1:5" ht="25.5" x14ac:dyDescent="0.25">
      <c r="A77" s="36" t="s">
        <v>293</v>
      </c>
      <c r="B77" s="37" t="s">
        <v>206</v>
      </c>
      <c r="C77" s="33">
        <f>IF(OR(-25373.47312="",-25373.47312=0),"-",-25373.47312)</f>
        <v>-25373.473119999999</v>
      </c>
      <c r="D77" s="33">
        <v>-54097.418339999997</v>
      </c>
      <c r="E77" s="80" t="s">
        <v>95</v>
      </c>
    </row>
    <row r="78" spans="1:5" ht="25.5" x14ac:dyDescent="0.25">
      <c r="A78" s="36" t="s">
        <v>294</v>
      </c>
      <c r="B78" s="37" t="s">
        <v>184</v>
      </c>
      <c r="C78" s="33">
        <f>IF(OR(-5523.4694="",-5523.4694=0),"-",-5523.4694)</f>
        <v>-5523.4694</v>
      </c>
      <c r="D78" s="33">
        <v>-9925.4651699999995</v>
      </c>
      <c r="E78" s="80" t="s">
        <v>209</v>
      </c>
    </row>
    <row r="79" spans="1:5" x14ac:dyDescent="0.25">
      <c r="A79" s="86" t="s">
        <v>295</v>
      </c>
      <c r="B79" s="87" t="s">
        <v>35</v>
      </c>
      <c r="C79" s="56">
        <f>IF(OR(-115157.63957="",-115157.63957=0),"-",-115157.63957)</f>
        <v>-115157.63957</v>
      </c>
      <c r="D79" s="56">
        <v>-168437.73022999999</v>
      </c>
      <c r="E79" s="82">
        <f>IF(OR(-115157.63957="",-168437.73023="",-115157.63957=0,-168437.73023=0),"-",-168437.73023/-115157.63957*100)</f>
        <v>146.26709166577962</v>
      </c>
    </row>
    <row r="80" spans="1:5" x14ac:dyDescent="0.25">
      <c r="A80" s="40" t="s">
        <v>299</v>
      </c>
      <c r="B80" s="54" t="s">
        <v>185</v>
      </c>
      <c r="C80" s="55">
        <f>IF(220.50447="","-",220.50447)</f>
        <v>220.50447</v>
      </c>
      <c r="D80" s="55">
        <v>197.99786</v>
      </c>
      <c r="E80" s="125">
        <f>IF(220.50447="","-",197.99786/220.50447*100)</f>
        <v>89.793127549749897</v>
      </c>
    </row>
    <row r="81" spans="1:2" x14ac:dyDescent="0.25">
      <c r="A81" s="127" t="s">
        <v>302</v>
      </c>
      <c r="B81" s="128"/>
    </row>
  </sheetData>
  <mergeCells count="6"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Лист1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2021-11-15T12:21:32Z</cp:lastPrinted>
  <dcterms:created xsi:type="dcterms:W3CDTF">2016-09-01T07:59:47Z</dcterms:created>
  <dcterms:modified xsi:type="dcterms:W3CDTF">2021-11-15T12:22:56Z</dcterms:modified>
</cp:coreProperties>
</file>