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_Ext_01-02_2021_REV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52511" iterate="1"/>
</workbook>
</file>

<file path=xl/calcChain.xml><?xml version="1.0" encoding="utf-8"?>
<calcChain xmlns="http://schemas.openxmlformats.org/spreadsheetml/2006/main">
  <c r="D126" i="3" l="1"/>
  <c r="D125" i="3"/>
  <c r="D124" i="3"/>
  <c r="D122" i="3"/>
  <c r="D121" i="3"/>
  <c r="D119" i="3"/>
  <c r="D118" i="3"/>
  <c r="D116" i="3"/>
  <c r="D112" i="3"/>
  <c r="D111" i="3"/>
  <c r="D110" i="3"/>
  <c r="D109" i="3"/>
  <c r="D107" i="3"/>
  <c r="D105" i="3"/>
  <c r="D102" i="3"/>
  <c r="D101" i="3"/>
  <c r="D96" i="3"/>
  <c r="D94" i="3"/>
  <c r="D90" i="3"/>
  <c r="D88" i="3"/>
  <c r="D87" i="3"/>
  <c r="D86" i="3"/>
  <c r="D85" i="3"/>
  <c r="D83" i="3"/>
  <c r="D82" i="3"/>
  <c r="D77" i="3"/>
  <c r="D76" i="3"/>
  <c r="D73" i="3"/>
  <c r="D72" i="3"/>
  <c r="D70" i="3"/>
  <c r="D68" i="3"/>
  <c r="D67" i="3"/>
  <c r="D65" i="3"/>
  <c r="D62" i="3"/>
  <c r="D61" i="3"/>
  <c r="D60" i="3"/>
  <c r="D59" i="3"/>
  <c r="D56" i="3"/>
  <c r="D55" i="3"/>
  <c r="D54" i="3"/>
  <c r="D53" i="3"/>
  <c r="D51" i="3"/>
  <c r="D50" i="3"/>
  <c r="D49" i="3"/>
  <c r="D48" i="3"/>
  <c r="D47" i="3"/>
  <c r="D46" i="3"/>
  <c r="C45" i="3"/>
  <c r="C44" i="3"/>
  <c r="D43" i="3"/>
  <c r="C43" i="3"/>
  <c r="D42" i="3"/>
  <c r="C42" i="3"/>
  <c r="D41" i="3"/>
  <c r="C41" i="3"/>
  <c r="D40" i="3"/>
  <c r="C40" i="3"/>
  <c r="C39" i="3"/>
  <c r="C38" i="3"/>
  <c r="D37" i="3"/>
  <c r="C37" i="3"/>
  <c r="D36" i="3"/>
  <c r="C36" i="3"/>
  <c r="D35" i="3"/>
  <c r="D34" i="3"/>
  <c r="D33" i="3"/>
  <c r="D31" i="3"/>
  <c r="D30" i="3"/>
  <c r="D29" i="3"/>
  <c r="D26" i="3"/>
  <c r="D25" i="3"/>
  <c r="D22" i="3"/>
  <c r="D21" i="3"/>
  <c r="D19" i="3"/>
  <c r="D18" i="3"/>
  <c r="D17" i="3"/>
  <c r="D15" i="3"/>
  <c r="D13" i="3"/>
  <c r="D12" i="3"/>
  <c r="D11" i="3"/>
  <c r="D9" i="3"/>
  <c r="D7" i="3"/>
  <c r="D5" i="3"/>
  <c r="E39" i="8" l="1"/>
  <c r="D39" i="8"/>
  <c r="E38" i="8"/>
  <c r="D38" i="8"/>
  <c r="E37" i="8"/>
  <c r="D37" i="8"/>
  <c r="E36" i="8"/>
  <c r="D36" i="8"/>
  <c r="D35" i="8"/>
  <c r="E34" i="8"/>
  <c r="D34" i="8"/>
  <c r="E32" i="8"/>
  <c r="D32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38" i="7" l="1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E21" i="7"/>
  <c r="D21" i="7"/>
  <c r="E20" i="7"/>
  <c r="D20" i="7"/>
  <c r="E19" i="7"/>
  <c r="D19" i="7"/>
  <c r="E18" i="7"/>
  <c r="D18" i="7"/>
  <c r="E17" i="7"/>
  <c r="D17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D79" i="4" l="1"/>
  <c r="D78" i="4"/>
  <c r="D77" i="4"/>
  <c r="D75" i="4"/>
  <c r="D74" i="4"/>
  <c r="D73" i="4"/>
  <c r="D72" i="4"/>
  <c r="D69" i="4"/>
  <c r="D68" i="4"/>
  <c r="D67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5" i="4"/>
  <c r="D34" i="4"/>
  <c r="D33" i="4"/>
  <c r="D32" i="4"/>
  <c r="D31" i="4"/>
  <c r="D28" i="4"/>
  <c r="D26" i="4"/>
  <c r="D25" i="4"/>
  <c r="D24" i="4"/>
  <c r="D23" i="4"/>
  <c r="D22" i="4"/>
  <c r="D21" i="4"/>
  <c r="D20" i="4"/>
  <c r="D19" i="4"/>
  <c r="D18" i="4"/>
  <c r="D16" i="4"/>
  <c r="D14" i="4"/>
  <c r="D13" i="4"/>
  <c r="D12" i="4"/>
  <c r="D11" i="4"/>
  <c r="D10" i="4"/>
  <c r="D9" i="4"/>
  <c r="D6" i="4"/>
  <c r="G80" i="6" l="1"/>
  <c r="F80" i="6"/>
  <c r="E80" i="6"/>
  <c r="D80" i="6"/>
  <c r="C80" i="6"/>
  <c r="G79" i="6"/>
  <c r="F79" i="6"/>
  <c r="E79" i="6"/>
  <c r="D79" i="6"/>
  <c r="C79" i="6"/>
  <c r="G78" i="6"/>
  <c r="F78" i="6"/>
  <c r="E78" i="6"/>
  <c r="D78" i="6"/>
  <c r="C78" i="6"/>
  <c r="G77" i="6"/>
  <c r="F77" i="6"/>
  <c r="E77" i="6"/>
  <c r="D77" i="6"/>
  <c r="C77" i="6"/>
  <c r="G76" i="6"/>
  <c r="F76" i="6"/>
  <c r="E76" i="6"/>
  <c r="D76" i="6"/>
  <c r="C76" i="6"/>
  <c r="G75" i="6"/>
  <c r="F75" i="6"/>
  <c r="E75" i="6"/>
  <c r="D75" i="6"/>
  <c r="C75" i="6"/>
  <c r="G74" i="6"/>
  <c r="F74" i="6"/>
  <c r="E74" i="6"/>
  <c r="D74" i="6"/>
  <c r="C74" i="6"/>
  <c r="G73" i="6"/>
  <c r="F73" i="6"/>
  <c r="E73" i="6"/>
  <c r="D73" i="6"/>
  <c r="C73" i="6"/>
  <c r="G72" i="6"/>
  <c r="F72" i="6"/>
  <c r="E72" i="6"/>
  <c r="D72" i="6"/>
  <c r="C72" i="6"/>
  <c r="G71" i="6"/>
  <c r="F71" i="6"/>
  <c r="E71" i="6"/>
  <c r="D71" i="6"/>
  <c r="C71" i="6"/>
  <c r="G70" i="6"/>
  <c r="F70" i="6"/>
  <c r="E70" i="6"/>
  <c r="D70" i="6"/>
  <c r="C70" i="6"/>
  <c r="G69" i="6"/>
  <c r="F69" i="6"/>
  <c r="E69" i="6"/>
  <c r="D69" i="6"/>
  <c r="C69" i="6"/>
  <c r="G68" i="6"/>
  <c r="F68" i="6"/>
  <c r="E68" i="6"/>
  <c r="D68" i="6"/>
  <c r="C68" i="6"/>
  <c r="G67" i="6"/>
  <c r="F67" i="6"/>
  <c r="E67" i="6"/>
  <c r="D67" i="6"/>
  <c r="C67" i="6"/>
  <c r="G66" i="6"/>
  <c r="F66" i="6"/>
  <c r="E66" i="6"/>
  <c r="D66" i="6"/>
  <c r="G65" i="6"/>
  <c r="F65" i="6"/>
  <c r="E65" i="6"/>
  <c r="D65" i="6"/>
  <c r="C65" i="6"/>
  <c r="G64" i="6"/>
  <c r="F64" i="6"/>
  <c r="E64" i="6"/>
  <c r="D64" i="6"/>
  <c r="C64" i="6"/>
  <c r="G63" i="6"/>
  <c r="F63" i="6"/>
  <c r="E63" i="6"/>
  <c r="D63" i="6"/>
  <c r="C63" i="6"/>
  <c r="G62" i="6"/>
  <c r="F62" i="6"/>
  <c r="E62" i="6"/>
  <c r="D62" i="6"/>
  <c r="C62" i="6"/>
  <c r="G61" i="6"/>
  <c r="F61" i="6"/>
  <c r="E61" i="6"/>
  <c r="D61" i="6"/>
  <c r="C61" i="6"/>
  <c r="G60" i="6"/>
  <c r="F60" i="6"/>
  <c r="E60" i="6"/>
  <c r="D60" i="6"/>
  <c r="C60" i="6"/>
  <c r="G59" i="6"/>
  <c r="F59" i="6"/>
  <c r="E59" i="6"/>
  <c r="D59" i="6"/>
  <c r="C59" i="6"/>
  <c r="G58" i="6"/>
  <c r="F58" i="6"/>
  <c r="E58" i="6"/>
  <c r="D58" i="6"/>
  <c r="C58" i="6"/>
  <c r="G57" i="6"/>
  <c r="F57" i="6"/>
  <c r="E57" i="6"/>
  <c r="D57" i="6"/>
  <c r="C57" i="6"/>
  <c r="G56" i="6"/>
  <c r="F56" i="6"/>
  <c r="E56" i="6"/>
  <c r="D56" i="6"/>
  <c r="C56" i="6"/>
  <c r="G55" i="6"/>
  <c r="F55" i="6"/>
  <c r="E55" i="6"/>
  <c r="D55" i="6"/>
  <c r="C55" i="6"/>
  <c r="G54" i="6"/>
  <c r="F54" i="6"/>
  <c r="E54" i="6"/>
  <c r="D54" i="6"/>
  <c r="C54" i="6"/>
  <c r="G53" i="6"/>
  <c r="F53" i="6"/>
  <c r="E53" i="6"/>
  <c r="D53" i="6"/>
  <c r="C53" i="6"/>
  <c r="G52" i="6"/>
  <c r="F52" i="6"/>
  <c r="E52" i="6"/>
  <c r="D52" i="6"/>
  <c r="C52" i="6"/>
  <c r="G51" i="6"/>
  <c r="F51" i="6"/>
  <c r="E51" i="6"/>
  <c r="D51" i="6"/>
  <c r="C51" i="6"/>
  <c r="G50" i="6"/>
  <c r="F50" i="6"/>
  <c r="E50" i="6"/>
  <c r="D50" i="6"/>
  <c r="C50" i="6"/>
  <c r="G49" i="6"/>
  <c r="F49" i="6"/>
  <c r="E49" i="6"/>
  <c r="D49" i="6"/>
  <c r="C49" i="6"/>
  <c r="G48" i="6"/>
  <c r="F48" i="6"/>
  <c r="E48" i="6"/>
  <c r="D48" i="6"/>
  <c r="C48" i="6"/>
  <c r="G47" i="6"/>
  <c r="F47" i="6"/>
  <c r="E47" i="6"/>
  <c r="D47" i="6"/>
  <c r="C47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41" i="6"/>
  <c r="F41" i="6"/>
  <c r="E41" i="6"/>
  <c r="D41" i="6"/>
  <c r="C41" i="6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E34" i="6"/>
  <c r="D34" i="6"/>
  <c r="C34" i="6"/>
  <c r="G33" i="6"/>
  <c r="F33" i="6"/>
  <c r="E33" i="6"/>
  <c r="D33" i="6"/>
  <c r="C33" i="6"/>
  <c r="G32" i="6"/>
  <c r="F32" i="6"/>
  <c r="E32" i="6"/>
  <c r="D32" i="6"/>
  <c r="C32" i="6"/>
  <c r="G31" i="6"/>
  <c r="F31" i="6"/>
  <c r="E31" i="6"/>
  <c r="D31" i="6"/>
  <c r="C31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G7" i="6"/>
  <c r="F7" i="6"/>
  <c r="C7" i="6"/>
  <c r="G77" i="5" l="1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C71" i="5"/>
  <c r="B71" i="5"/>
  <c r="G70" i="5"/>
  <c r="F70" i="5"/>
  <c r="E70" i="5"/>
  <c r="D70" i="5"/>
  <c r="B70" i="5"/>
  <c r="G69" i="5"/>
  <c r="F69" i="5"/>
  <c r="E69" i="5"/>
  <c r="D69" i="5"/>
  <c r="C69" i="5"/>
  <c r="B69" i="5"/>
  <c r="G68" i="5"/>
  <c r="F68" i="5"/>
  <c r="E68" i="5"/>
  <c r="D68" i="5"/>
  <c r="B68" i="5"/>
  <c r="G67" i="5"/>
  <c r="F67" i="5"/>
  <c r="E67" i="5"/>
  <c r="D67" i="5"/>
  <c r="C67" i="5"/>
  <c r="B67" i="5"/>
  <c r="G66" i="5"/>
  <c r="F66" i="5"/>
  <c r="E66" i="5"/>
  <c r="D66" i="5"/>
  <c r="C66" i="5"/>
  <c r="B66" i="5"/>
  <c r="G65" i="5"/>
  <c r="F65" i="5"/>
  <c r="E65" i="5"/>
  <c r="D65" i="5"/>
  <c r="B65" i="5"/>
  <c r="G64" i="5"/>
  <c r="F64" i="5"/>
  <c r="E64" i="5"/>
  <c r="D64" i="5"/>
  <c r="B64" i="5"/>
  <c r="G63" i="5"/>
  <c r="F63" i="5"/>
  <c r="E63" i="5"/>
  <c r="D63" i="5"/>
  <c r="C63" i="5"/>
  <c r="B63" i="5"/>
  <c r="G62" i="5"/>
  <c r="F62" i="5"/>
  <c r="E62" i="5"/>
  <c r="D62" i="5"/>
  <c r="B62" i="5"/>
  <c r="G61" i="5"/>
  <c r="F61" i="5"/>
  <c r="E61" i="5"/>
  <c r="D61" i="5"/>
  <c r="B61" i="5"/>
  <c r="G60" i="5"/>
  <c r="F60" i="5"/>
  <c r="E60" i="5"/>
  <c r="D60" i="5"/>
  <c r="C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C57" i="5"/>
  <c r="B57" i="5"/>
  <c r="G56" i="5"/>
  <c r="F56" i="5"/>
  <c r="E56" i="5"/>
  <c r="D56" i="5"/>
  <c r="B56" i="5"/>
  <c r="G55" i="5"/>
  <c r="F55" i="5"/>
  <c r="E55" i="5"/>
  <c r="D55" i="5"/>
  <c r="C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B33" i="5"/>
  <c r="G32" i="5"/>
  <c r="F32" i="5"/>
  <c r="E32" i="5"/>
  <c r="D32" i="5"/>
  <c r="B32" i="5"/>
  <c r="G31" i="5"/>
  <c r="F31" i="5"/>
  <c r="E31" i="5"/>
  <c r="D31" i="5"/>
  <c r="B31" i="5"/>
  <c r="G30" i="5"/>
  <c r="F30" i="5"/>
  <c r="E30" i="5"/>
  <c r="D30" i="5"/>
  <c r="C30" i="5"/>
  <c r="B30" i="5"/>
  <c r="G29" i="5"/>
  <c r="F29" i="5"/>
  <c r="E29" i="5"/>
  <c r="D29" i="5"/>
  <c r="B29" i="5"/>
  <c r="G28" i="5"/>
  <c r="F28" i="5"/>
  <c r="E28" i="5"/>
  <c r="D28" i="5"/>
  <c r="C28" i="5"/>
  <c r="B28" i="5"/>
  <c r="G27" i="5"/>
  <c r="F27" i="5"/>
  <c r="E27" i="5"/>
  <c r="D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7" i="5"/>
  <c r="F7" i="5"/>
  <c r="C7" i="5"/>
  <c r="G108" i="2" l="1"/>
  <c r="F108" i="2"/>
  <c r="E108" i="2"/>
  <c r="D108" i="2"/>
  <c r="C108" i="2"/>
  <c r="G107" i="2"/>
  <c r="F107" i="2"/>
  <c r="E107" i="2"/>
  <c r="D107" i="2"/>
  <c r="C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C100" i="2"/>
  <c r="G99" i="2"/>
  <c r="F99" i="2"/>
  <c r="E99" i="2"/>
  <c r="D99" i="2"/>
  <c r="C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G89" i="2"/>
  <c r="F89" i="2"/>
  <c r="E89" i="2"/>
  <c r="D89" i="2"/>
  <c r="C89" i="2"/>
  <c r="G88" i="2"/>
  <c r="F88" i="2"/>
  <c r="E88" i="2"/>
  <c r="D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G74" i="2"/>
  <c r="F74" i="2"/>
  <c r="E74" i="2"/>
  <c r="D74" i="2"/>
  <c r="C74" i="2"/>
  <c r="G73" i="2"/>
  <c r="F73" i="2"/>
  <c r="E73" i="2"/>
  <c r="D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C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C55" i="2"/>
  <c r="G54" i="2"/>
  <c r="F54" i="2"/>
  <c r="E54" i="2"/>
  <c r="D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G45" i="2"/>
  <c r="F45" i="2"/>
  <c r="E45" i="2"/>
  <c r="D45" i="2"/>
  <c r="C45" i="2"/>
  <c r="G44" i="2"/>
  <c r="F44" i="2"/>
  <c r="E44" i="2"/>
  <c r="D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G34" i="2"/>
  <c r="F34" i="2"/>
  <c r="E34" i="2"/>
  <c r="D34" i="2"/>
  <c r="C34" i="2"/>
  <c r="G33" i="2"/>
  <c r="F33" i="2"/>
  <c r="E33" i="2"/>
  <c r="D33" i="2"/>
  <c r="G32" i="2"/>
  <c r="F32" i="2"/>
  <c r="E32" i="2"/>
  <c r="D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6" i="2"/>
  <c r="F6" i="2"/>
  <c r="C6" i="2"/>
  <c r="G102" i="1" l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G91" i="1"/>
  <c r="F91" i="1"/>
  <c r="E91" i="1"/>
  <c r="D91" i="1"/>
  <c r="C91" i="1"/>
  <c r="G90" i="1"/>
  <c r="F90" i="1"/>
  <c r="E90" i="1"/>
  <c r="D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G80" i="1"/>
  <c r="F80" i="1"/>
  <c r="E80" i="1"/>
  <c r="D80" i="1"/>
  <c r="C80" i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G70" i="1"/>
  <c r="F70" i="1"/>
  <c r="E70" i="1"/>
  <c r="D70" i="1"/>
  <c r="G69" i="1"/>
  <c r="F69" i="1"/>
  <c r="E69" i="1"/>
  <c r="D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G59" i="1"/>
  <c r="F59" i="1"/>
  <c r="E59" i="1"/>
  <c r="D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 l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G23" i="1"/>
  <c r="F23" i="1"/>
  <c r="E23" i="1"/>
  <c r="D23" i="1"/>
  <c r="C23" i="1"/>
  <c r="G22" i="1"/>
  <c r="F22" i="1"/>
  <c r="E22" i="1"/>
  <c r="D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6" i="1"/>
  <c r="F6" i="1"/>
  <c r="C6" i="1"/>
</calcChain>
</file>

<file path=xl/sharedStrings.xml><?xml version="1.0" encoding="utf-8"?>
<sst xmlns="http://schemas.openxmlformats.org/spreadsheetml/2006/main" count="809" uniqueCount="292">
  <si>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</si>
  <si>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</si>
  <si>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</si>
  <si>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</si>
  <si>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</si>
  <si>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</si>
  <si>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</si>
  <si>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</si>
  <si>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</si>
  <si>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</si>
  <si>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</si>
  <si>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</si>
  <si>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</si>
  <si>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</si>
  <si>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</si>
  <si>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</si>
  <si>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</si>
  <si>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</si>
  <si>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</si>
  <si>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</si>
  <si>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</si>
  <si>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</si>
  <si>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</si>
  <si>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</si>
  <si>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</si>
  <si>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</si>
  <si>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</si>
  <si>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</si>
  <si>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</si>
  <si>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</si>
  <si>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</si>
  <si>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</si>
  <si>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</si>
  <si>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</si>
  <si>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</si>
  <si>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</si>
  <si>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</si>
  <si>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</si>
  <si>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</si>
  <si>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</si>
  <si>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</si>
  <si>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</si>
  <si>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</si>
  <si>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</si>
  <si>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</si>
  <si>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</si>
  <si>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</si>
  <si>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</si>
  <si>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</si>
  <si>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</si>
  <si>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</si>
  <si>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</si>
  <si>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</si>
  <si>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</si>
  <si>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</si>
  <si>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</si>
  <si>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</si>
  <si>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</si>
  <si>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</si>
  <si>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</si>
  <si>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</si>
  <si>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</si>
  <si>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</si>
  <si>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</si>
  <si>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</si>
  <si>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</si>
  <si>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</si>
  <si>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</si>
  <si>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</si>
  <si>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</si>
  <si>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</si>
  <si>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</si>
  <si>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</si>
  <si>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</si>
  <si>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</si>
  <si>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</si>
  <si>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</si>
  <si>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</si>
  <si>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</si>
  <si>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</si>
  <si>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</si>
  <si>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</si>
  <si>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</si>
  <si>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</si>
  <si>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</si>
  <si>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</si>
  <si>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</si>
  <si>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</si>
  <si>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</si>
  <si>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</si>
  <si>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</si>
  <si>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</si>
  <si>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</si>
  <si>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</si>
  <si>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</si>
  <si>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</si>
  <si>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</si>
  <si>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</si>
  <si>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</si>
  <si>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</si>
  <si>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</si>
  <si>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</si>
  <si>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</si>
  <si>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</si>
  <si>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</si>
  <si>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</si>
  <si>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</si>
  <si>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</si>
  <si>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</si>
  <si>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</si>
  <si>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</si>
  <si>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</si>
  <si>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</si>
  <si>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</si>
  <si>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</si>
  <si>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</si>
  <si>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</si>
  <si>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</si>
  <si>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</si>
  <si>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</si>
  <si>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</si>
  <si>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</si>
  <si>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</si>
  <si>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Regatul Unit al Marii Britanii şi Irlandei de Nord</t>
  </si>
  <si>
    <t>Franţa</t>
  </si>
  <si>
    <t>Croaţia</t>
  </si>
  <si>
    <t>Federaţia Rusă</t>
  </si>
  <si>
    <t>Kârgâzstan</t>
  </si>
  <si>
    <t>Elveţia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</si>
  <si>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</si>
  <si>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</si>
  <si>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</si>
  <si>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</si>
  <si>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</si>
  <si>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</si>
  <si>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</si>
  <si>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</si>
  <si>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</si>
  <si>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</si>
  <si>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</si>
  <si>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Cote D'Ivoire</t>
  </si>
  <si>
    <t>Insulele Feroe</t>
  </si>
  <si>
    <t>Laos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</si>
  <si>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</si>
  <si>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</si>
  <si>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</si>
  <si>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</si>
  <si>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</si>
  <si>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</si>
  <si>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</si>
  <si>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</si>
  <si>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</si>
  <si>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</si>
  <si>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</si>
  <si>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</si>
  <si>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</si>
  <si>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</si>
  <si>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</si>
  <si>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</si>
  <si>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</si>
  <si>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</si>
  <si>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</si>
  <si>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</si>
  <si>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</si>
  <si>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</si>
  <si>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</si>
  <si>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</si>
  <si>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</si>
  <si>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</si>
  <si>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</si>
  <si>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</si>
  <si>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</si>
  <si>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</si>
  <si>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</si>
  <si>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</si>
  <si>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</si>
  <si>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</si>
  <si>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</si>
  <si>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</si>
  <si>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</si>
  <si>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</si>
  <si>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</si>
  <si>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</si>
  <si>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</si>
  <si>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</si>
  <si>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</si>
  <si>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</si>
  <si>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</si>
  <si>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</si>
  <si>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</si>
  <si>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</si>
  <si>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</si>
  <si>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</si>
  <si>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</si>
  <si>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</si>
  <si>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</si>
  <si>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</si>
  <si>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</si>
  <si>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</si>
  <si>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</si>
  <si>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</si>
  <si>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</si>
  <si>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</si>
  <si>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</si>
  <si>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</si>
  <si>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</si>
  <si>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</si>
  <si>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</si>
  <si>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</si>
  <si>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</si>
  <si>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</si>
  <si>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</si>
  <si>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</si>
  <si>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</si>
  <si>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</si>
  <si>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</si>
  <si>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</si>
  <si>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</si>
  <si>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</si>
  <si>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</si>
  <si>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</si>
  <si>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</si>
  <si>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</si>
  <si>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</si>
  <si>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</si>
  <si>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</si>
  <si>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2,2 ori</t>
  </si>
  <si>
    <t>de 1,8 ori</t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</si>
  <si>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moduri de transport a mărfurilor și grupe de ţări 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</si>
  <si>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moduri de transport a mărfurilor și grupe de ţări </t>
    </r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</si>
  <si>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</si>
  <si>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</si>
  <si>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</si>
  <si>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</si>
  <si>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</si>
  <si>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</si>
  <si>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</si>
  <si>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de 2,5 ori</t>
  </si>
  <si>
    <t>de 5,7 ori</t>
  </si>
  <si>
    <t>Celelalte țări ale lumii</t>
  </si>
  <si>
    <t>Ţările Uniunii Europene (UE 27) - total</t>
  </si>
  <si>
    <t>Bosnia şi Herţegovina</t>
  </si>
  <si>
    <t>de 2,4 ori</t>
  </si>
  <si>
    <t>Libia</t>
  </si>
  <si>
    <t>de 2,7 ori</t>
  </si>
  <si>
    <t>de 5,3 ori</t>
  </si>
  <si>
    <t>de 4,6 ori</t>
  </si>
  <si>
    <t>de 6,2 ori</t>
  </si>
  <si>
    <t>ianuarie - februarie</t>
  </si>
  <si>
    <t>Ianuarie - februarie 2021</t>
  </si>
  <si>
    <t>în % faţă de ianuarie - februarie 2020¹</t>
  </si>
  <si>
    <t>2021¹</t>
  </si>
  <si>
    <t>în % faţă de ianuarie-februarie 2020¹</t>
  </si>
  <si>
    <t>Ianuarie - februarie</t>
  </si>
  <si>
    <t>Ianuarie - februarie 2021 în % faţă de ianuarie - februarie 2020¹</t>
  </si>
  <si>
    <t>Statul Palestina</t>
  </si>
  <si>
    <t>Gambia</t>
  </si>
  <si>
    <t>de 2,3 ori</t>
  </si>
  <si>
    <t>de 2,8 ori</t>
  </si>
  <si>
    <t>de 4,7 ori</t>
  </si>
  <si>
    <t>de 36,8 ori</t>
  </si>
  <si>
    <t>de 4,1 ori</t>
  </si>
  <si>
    <t>de 3,8 ori</t>
  </si>
  <si>
    <t>de 8,3 ori</t>
  </si>
  <si>
    <t>de 88,6 ori</t>
  </si>
  <si>
    <t>Djibouti</t>
  </si>
  <si>
    <t>Gabon</t>
  </si>
  <si>
    <t>de 1355,2 ori</t>
  </si>
  <si>
    <t>de 11,9 ori</t>
  </si>
  <si>
    <t>de 9,3 ori</t>
  </si>
  <si>
    <t>de 18,0 ori</t>
  </si>
  <si>
    <t>de 846,9 ori</t>
  </si>
  <si>
    <t>de 3,1 ori</t>
  </si>
  <si>
    <t>de 83,5 ori</t>
  </si>
  <si>
    <t>de 184,8 ori</t>
  </si>
  <si>
    <t>de 107,4 ori</t>
  </si>
  <si>
    <t>de 7,2 ori</t>
  </si>
  <si>
    <t>de 7,7 ori</t>
  </si>
  <si>
    <t>de 7,6 ori</t>
  </si>
  <si>
    <t>de 3,7 ori</t>
  </si>
  <si>
    <t>de 5,0 ori</t>
  </si>
  <si>
    <t>de 1,5 ori</t>
  </si>
  <si>
    <t>de 3,4 ori</t>
  </si>
  <si>
    <t>de 8,8 ori</t>
  </si>
  <si>
    <t>de 3,2 ori</t>
  </si>
  <si>
    <t xml:space="preserve">         -</t>
  </si>
  <si>
    <t>de 6,4 ori</t>
  </si>
  <si>
    <t>de 5,8 ori</t>
  </si>
  <si>
    <t>de 6,3 ori</t>
  </si>
  <si>
    <t>de 3,5 ori</t>
  </si>
  <si>
    <t>de 82,1 ori</t>
  </si>
  <si>
    <t>de 6,0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</si>
</sst>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0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1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/>
    </xf>
    <xf numFmtId="0" fontId="3" fillId="0" borderId="0" xfId="0" applyFont="1"/>
    <xf numFmtId="0" fontId="25" fillId="0" borderId="0" xfId="0" applyFont="1"/>
    <xf numFmtId="4" fontId="24" fillId="0" borderId="0" xfId="0" applyNumberFormat="1" applyFont="1" applyFill="1" applyAlignment="1" applyProtection="1">
      <alignment horizontal="right" vertical="top" inden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164" fontId="22" fillId="0" borderId="0" xfId="0" applyNumberFormat="1" applyFont="1" applyFill="1" applyBorder="1" applyAlignment="1" applyProtection="1">
      <alignment horizontal="right" vertical="top"/>
    </xf>
    <xf numFmtId="0" fontId="2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22" fillId="0" borderId="0" xfId="0" applyNumberFormat="1" applyFont="1" applyFill="1" applyBorder="1" applyAlignment="1" applyProtection="1">
      <alignment horizontal="right" vertical="top" indent="1"/>
    </xf>
    <xf numFmtId="4" fontId="24" fillId="0" borderId="0" xfId="0" applyNumberFormat="1" applyFont="1" applyFill="1" applyAlignment="1" applyProtection="1">
      <alignment horizontal="right" vertical="top" wrapText="1" indent="1"/>
    </xf>
    <xf numFmtId="4" fontId="24" fillId="0" borderId="0" xfId="0" applyNumberFormat="1" applyFont="1" applyFill="1" applyBorder="1" applyAlignment="1" applyProtection="1">
      <alignment horizontal="right" vertical="top" wrapText="1" indent="1"/>
    </xf>
    <xf numFmtId="4" fontId="24" fillId="0" borderId="0" xfId="0" applyNumberFormat="1" applyFont="1" applyFill="1" applyBorder="1" applyAlignment="1" applyProtection="1">
      <alignment horizontal="right" vertical="top" indent="1"/>
    </xf>
    <xf numFmtId="4" fontId="28" fillId="0" borderId="0" xfId="0" applyNumberFormat="1" applyFont="1" applyAlignment="1">
      <alignment horizontal="right" vertical="top" wrapText="1" indent="1"/>
    </xf>
    <xf numFmtId="4" fontId="26" fillId="0" borderId="0" xfId="0" applyNumberFormat="1" applyFont="1" applyAlignment="1">
      <alignment horizontal="right" vertical="top" indent="1"/>
    </xf>
    <xf numFmtId="0" fontId="27" fillId="0" borderId="5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Alignment="1" applyProtection="1">
      <alignment horizontal="left" vertical="top" wrapText="1"/>
    </xf>
    <xf numFmtId="38" fontId="9" fillId="0" borderId="3" xfId="0" applyNumberFormat="1" applyFont="1" applyFill="1" applyBorder="1" applyAlignment="1" applyProtection="1">
      <alignment horizontal="left" vertical="top" wrapText="1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38" fontId="11" fillId="0" borderId="0" xfId="0" applyNumberFormat="1" applyFont="1" applyFill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4" fontId="11" fillId="0" borderId="0" xfId="0" applyNumberFormat="1" applyFont="1" applyFill="1" applyAlignment="1" applyProtection="1">
      <alignment horizontal="right" vertical="top"/>
    </xf>
    <xf numFmtId="4" fontId="9" fillId="0" borderId="0" xfId="0" applyNumberFormat="1" applyFont="1" applyFill="1" applyAlignment="1" applyProtection="1">
      <alignment horizontal="right" vertical="top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26" fillId="0" borderId="0" xfId="0" applyNumberFormat="1" applyFont="1" applyAlignment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1"/>
    </xf>
    <xf numFmtId="4" fontId="27" fillId="0" borderId="5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wrapTex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9" fillId="0" borderId="3" xfId="0" applyNumberFormat="1" applyFont="1" applyBorder="1" applyAlignment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 indent="1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2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 wrapText="1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indent="1"/>
    </xf>
    <xf numFmtId="0" fontId="25" fillId="0" borderId="0" xfId="0" applyFont="1" applyAlignment="1">
      <alignment horizontal="right" vertical="top" indent="2"/>
    </xf>
    <xf numFmtId="4" fontId="11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left" vertical="top" wrapTex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 2" xfId="4"/>
    <cellStyle name="Normal 3" xfId="3"/>
    <cellStyle name="Обычный" xfId="0" builtinId="0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3"/>
  <sheetViews>
    <sheetView tabSelected="1" zoomScaleNormal="100" workbookViewId="0">
      <selection activeCell="I22" sqref="I22"/>
    </sheetView>
  </sheetViews>
  <sheetFormatPr defaultRowHeight="15.75" x14ac:dyDescent="0.25"/>
  <cols>
    <col min="1" max="1" width="28" style="9" customWidth="1"/>
    <col min="2" max="2" width="13.125" style="9" customWidth="1"/>
    <col min="3" max="3" width="11.2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87" t="s">
        <v>149</v>
      </c>
      <c r="B1" s="87"/>
      <c r="C1" s="87"/>
      <c r="D1" s="87"/>
      <c r="E1" s="87"/>
      <c r="F1" s="87"/>
      <c r="G1" s="87"/>
    </row>
    <row r="3" spans="1:7" ht="54" customHeight="1" x14ac:dyDescent="0.25">
      <c r="A3" s="88"/>
      <c r="B3" s="91" t="s">
        <v>249</v>
      </c>
      <c r="C3" s="92"/>
      <c r="D3" s="91" t="s">
        <v>109</v>
      </c>
      <c r="E3" s="92"/>
      <c r="F3" s="93" t="s">
        <v>1</v>
      </c>
      <c r="G3" s="94"/>
    </row>
    <row r="4" spans="1:7" ht="18.75" customHeight="1" x14ac:dyDescent="0.25">
      <c r="A4" s="89"/>
      <c r="B4" s="95" t="s">
        <v>100</v>
      </c>
      <c r="C4" s="97" t="s">
        <v>250</v>
      </c>
      <c r="D4" s="99" t="s">
        <v>248</v>
      </c>
      <c r="E4" s="99"/>
      <c r="F4" s="99" t="s">
        <v>248</v>
      </c>
      <c r="G4" s="91"/>
    </row>
    <row r="5" spans="1:7" ht="38.25" customHeight="1" x14ac:dyDescent="0.25">
      <c r="A5" s="90"/>
      <c r="B5" s="96"/>
      <c r="C5" s="98"/>
      <c r="D5" s="23">
        <v>2020</v>
      </c>
      <c r="E5" s="23">
        <v>2021</v>
      </c>
      <c r="F5" s="23" t="s">
        <v>137</v>
      </c>
      <c r="G5" s="19" t="s">
        <v>251</v>
      </c>
    </row>
    <row r="6" spans="1:7" ht="15.75" customHeight="1" x14ac:dyDescent="0.25">
      <c r="A6" s="49" t="s">
        <v>101</v>
      </c>
      <c r="B6" s="53">
        <v>425641.38618999999</v>
      </c>
      <c r="C6" s="53">
        <f>IF(464796.56015="","-",425641.38619/464796.56015*100)</f>
        <v>91.575846872153321</v>
      </c>
      <c r="D6" s="53">
        <v>100</v>
      </c>
      <c r="E6" s="53">
        <v>100</v>
      </c>
      <c r="F6" s="53">
        <f>IF(475663.92916="","-",(464796.56015-475663.92916)/475663.92916*100)</f>
        <v>-2.284673767294334</v>
      </c>
      <c r="G6" s="53">
        <f>IF(464796.56015="","-",(425641.38619-464796.56015)/464796.56015*100)</f>
        <v>-8.4241531278466777</v>
      </c>
    </row>
    <row r="7" spans="1:7" ht="15.75" customHeight="1" x14ac:dyDescent="0.25">
      <c r="A7" s="36" t="s">
        <v>134</v>
      </c>
      <c r="B7" s="43"/>
      <c r="C7" s="43"/>
      <c r="D7" s="43"/>
      <c r="E7" s="43"/>
      <c r="F7" s="43"/>
      <c r="G7" s="43"/>
    </row>
    <row r="8" spans="1:7" ht="15.75" customHeight="1" x14ac:dyDescent="0.25">
      <c r="A8" s="37" t="s">
        <v>157</v>
      </c>
      <c r="B8" s="54">
        <v>270269.98132000002</v>
      </c>
      <c r="C8" s="54">
        <f>IF(310155.39842="","-",270269.98132/310155.39842*100)</f>
        <v>87.140182855695855</v>
      </c>
      <c r="D8" s="54">
        <f>IF(310155.39842="","-",310155.39842/464796.56015*100)</f>
        <v>66.729280078988978</v>
      </c>
      <c r="E8" s="54">
        <f>IF(270269.98132="","-",270269.98132/425641.38619*100)</f>
        <v>63.497110499343101</v>
      </c>
      <c r="F8" s="54">
        <f>IF(475663.92916="","-",(310155.39842-298969.38833)/475663.92916*100)</f>
        <v>2.3516624667659709</v>
      </c>
      <c r="G8" s="54">
        <f>IF(464796.56015="","-",(270269.98132-310155.39842)/464796.56015*100)</f>
        <v>-8.5812633998685506</v>
      </c>
    </row>
    <row r="9" spans="1:7" ht="15.75" customHeight="1" x14ac:dyDescent="0.25">
      <c r="A9" s="50" t="s">
        <v>2</v>
      </c>
      <c r="B9" s="55">
        <v>112864.55979</v>
      </c>
      <c r="C9" s="55">
        <f>IF(OR(116852.49484="",112864.55979=""),"-",112864.55979/116852.49484*100)</f>
        <v>96.587205899659679</v>
      </c>
      <c r="D9" s="55">
        <f>IF(116852.49484="","-",116852.49484/464796.56015*100)</f>
        <v>25.140567908310068</v>
      </c>
      <c r="E9" s="55">
        <f>IF(112864.55979="","-",112864.55979/425641.38619*100)</f>
        <v>26.51635001950185</v>
      </c>
      <c r="F9" s="55">
        <f>IF(OR(475663.92916="",122615.69329="",116852.49484=""),"-",(116852.49484-122615.69329)/475663.92916*100)</f>
        <v>-1.2116114123216222</v>
      </c>
      <c r="G9" s="55">
        <f>IF(OR(464796.56015="",112864.55979="",116852.49484=""),"-",(112864.55979-116852.49484)/464796.56015*100)</f>
        <v>-0.85799581836685856</v>
      </c>
    </row>
    <row r="10" spans="1:7" ht="15.75" customHeight="1" x14ac:dyDescent="0.25">
      <c r="A10" s="50" t="s">
        <v>4</v>
      </c>
      <c r="B10" s="55">
        <v>46805.825449999997</v>
      </c>
      <c r="C10" s="55">
        <f>IF(OR(45193.45809="",46805.82545=""),"-",46805.82545/45193.45809*100)</f>
        <v>103.56770078711186</v>
      </c>
      <c r="D10" s="55">
        <f>IF(45193.45809="","-",45193.45809/464796.56015*100)</f>
        <v>9.7232772280877224</v>
      </c>
      <c r="E10" s="55">
        <f>IF(46805.82545="","-",46805.82545/425641.38619*100)</f>
        <v>10.996540037839877</v>
      </c>
      <c r="F10" s="55">
        <f>IF(OR(475663.92916="",41248.94533="",45193.45809=""),"-",(45193.45809-41248.94533)/475663.92916*100)</f>
        <v>0.82926463794843996</v>
      </c>
      <c r="G10" s="55">
        <f>IF(OR(464796.56015="",46805.82545="",45193.45809=""),"-",(46805.82545-45193.45809)/464796.56015*100)</f>
        <v>0.34689743819955349</v>
      </c>
    </row>
    <row r="11" spans="1:7" ht="13.5" customHeight="1" x14ac:dyDescent="0.25">
      <c r="A11" s="50" t="s">
        <v>3</v>
      </c>
      <c r="B11" s="55">
        <v>25935.12225</v>
      </c>
      <c r="C11" s="55">
        <f>IF(OR(44883.52811="",25935.12225=""),"-",25935.12225/44883.52811*100)</f>
        <v>57.783163093682212</v>
      </c>
      <c r="D11" s="55">
        <f>IF(44883.52811="","-",44883.52811/464796.56015*100)</f>
        <v>9.656596446306553</v>
      </c>
      <c r="E11" s="55">
        <f>IF(25935.12225="","-",25935.12225/425641.38619*100)</f>
        <v>6.09318621061509</v>
      </c>
      <c r="F11" s="55">
        <f>IF(OR(475663.92916="",57991.42218="",44883.52811=""),"-",(44883.52811-57991.42218)/475663.92916*100)</f>
        <v>-2.7557048719561146</v>
      </c>
      <c r="G11" s="55">
        <f>IF(OR(464796.56015="",25935.12225="",44883.52811=""),"-",(25935.12225-44883.52811)/464796.56015*100)</f>
        <v>-4.0767095724385172</v>
      </c>
    </row>
    <row r="12" spans="1:7" ht="15.75" customHeight="1" x14ac:dyDescent="0.25">
      <c r="A12" s="50" t="s">
        <v>5</v>
      </c>
      <c r="B12" s="55">
        <v>17557.237369999999</v>
      </c>
      <c r="C12" s="55">
        <f>IF(OR(20320.25712="",17557.23737=""),"-",17557.23737/20320.25712*100)</f>
        <v>86.402633915096843</v>
      </c>
      <c r="D12" s="55">
        <f>IF(20320.25712="","-",20320.25712/464796.56015*100)</f>
        <v>4.3718604787957567</v>
      </c>
      <c r="E12" s="55">
        <f>IF(17557.23737="","-",17557.23737/425641.38619*100)</f>
        <v>4.1248896229660126</v>
      </c>
      <c r="F12" s="55">
        <f>IF(OR(475663.92916="",16849.0360199999="",20320.25712=""),"-",(20320.25712-16849.0360199999)/475663.92916*100)</f>
        <v>0.72976336593992097</v>
      </c>
      <c r="G12" s="55">
        <f>IF(OR(464796.56015="",17557.23737="",20320.25712=""),"-",(17557.23737-20320.25712)/464796.56015*100)</f>
        <v>-0.59445787402305916</v>
      </c>
    </row>
    <row r="13" spans="1:7" s="14" customFormat="1" x14ac:dyDescent="0.25">
      <c r="A13" s="50" t="s">
        <v>7</v>
      </c>
      <c r="B13" s="55">
        <v>13033.75345</v>
      </c>
      <c r="C13" s="55">
        <f>IF(OR(16109.71497="",13033.75345=""),"-",13033.75345/16109.71497*100)</f>
        <v>80.906170433628716</v>
      </c>
      <c r="D13" s="55">
        <f>IF(16109.71497="","-",16109.71497/464796.56015*100)</f>
        <v>3.4659712121795923</v>
      </c>
      <c r="E13" s="55">
        <f>IF(13033.75345="","-",13033.75345/425641.38619*100)</f>
        <v>3.0621443010200906</v>
      </c>
      <c r="F13" s="55">
        <f>IF(OR(475663.92916="",7978.21117="",16109.71497=""),"-",(16109.71497-7978.21117)/475663.92916*100)</f>
        <v>1.7095060822374848</v>
      </c>
      <c r="G13" s="55">
        <f>IF(OR(464796.56015="",13033.75345="",16109.71497=""),"-",(13033.75345-16109.71497)/464796.56015*100)</f>
        <v>-0.66178663607306409</v>
      </c>
    </row>
    <row r="14" spans="1:7" s="14" customFormat="1" x14ac:dyDescent="0.25">
      <c r="A14" s="50" t="s">
        <v>43</v>
      </c>
      <c r="B14" s="55">
        <v>7236.9417100000001</v>
      </c>
      <c r="C14" s="55" t="s">
        <v>257</v>
      </c>
      <c r="D14" s="55">
        <f>IF(3184.15928="","-",3184.15928/464796.56015*100)</f>
        <v>0.68506515602705886</v>
      </c>
      <c r="E14" s="55">
        <f>IF(7236.94171="","-",7236.94171/425641.38619*100)</f>
        <v>1.7002439012755062</v>
      </c>
      <c r="F14" s="55">
        <f>IF(OR(475663.92916="",1018.59827="",3184.15928=""),"-",(3184.15928-1018.59827)/475663.92916*100)</f>
        <v>0.45527122769731104</v>
      </c>
      <c r="G14" s="55">
        <f>IF(OR(464796.56015="",7236.94171="",3184.15928=""),"-",(7236.94171-3184.15928)/464796.56015*100)</f>
        <v>0.8719475954581245</v>
      </c>
    </row>
    <row r="15" spans="1:7" s="14" customFormat="1" x14ac:dyDescent="0.25">
      <c r="A15" s="50" t="s">
        <v>41</v>
      </c>
      <c r="B15" s="55">
        <v>6940.0315099999998</v>
      </c>
      <c r="C15" s="55">
        <f>IF(OR(9901.15886="",6940.03151=""),"-",6940.03151/9901.15886*100)</f>
        <v>70.093123523522578</v>
      </c>
      <c r="D15" s="55">
        <f>IF(9901.15886="","-",9901.15886/464796.56015*100)</f>
        <v>2.130213454420721</v>
      </c>
      <c r="E15" s="55">
        <f>IF(6940.03151="","-",6940.03151/425641.38619*100)</f>
        <v>1.6304879495205087</v>
      </c>
      <c r="F15" s="55">
        <f>IF(OR(475663.92916="",6725.0276="",9901.15886=""),"-",(9901.15886-6725.0276)/475663.92916*100)</f>
        <v>0.66772590169048485</v>
      </c>
      <c r="G15" s="55">
        <f>IF(OR(464796.56015="",6940.03151="",9901.15886=""),"-",(6940.03151-9901.15886)/464796.56015*100)</f>
        <v>-0.63708030649890768</v>
      </c>
    </row>
    <row r="16" spans="1:7" s="14" customFormat="1" x14ac:dyDescent="0.25">
      <c r="A16" s="50" t="s">
        <v>6</v>
      </c>
      <c r="B16" s="55">
        <v>6925.3548199999996</v>
      </c>
      <c r="C16" s="55">
        <f>IF(OR(10354.20923="",6925.35482=""),"-",6925.35482/10354.20923*100)</f>
        <v>66.884439614516069</v>
      </c>
      <c r="D16" s="55">
        <f>IF(10354.20923="","-",10354.20923/464796.56015*100)</f>
        <v>2.2276862863740798</v>
      </c>
      <c r="E16" s="55">
        <f>IF(6925.35482="","-",6925.35482/425641.38619*100)</f>
        <v>1.6270398144292819</v>
      </c>
      <c r="F16" s="55">
        <f>IF(OR(475663.92916="",6247.67522="",10354.20923=""),"-",(10354.20923-6247.67522)/475663.92916*100)</f>
        <v>0.86332676460288782</v>
      </c>
      <c r="G16" s="55">
        <f>IF(OR(464796.56015="",6925.35482="",10354.20923=""),"-",(6925.35482-10354.20923)/464796.56015*100)</f>
        <v>-0.73771079736335288</v>
      </c>
    </row>
    <row r="17" spans="1:7" s="14" customFormat="1" x14ac:dyDescent="0.25">
      <c r="A17" s="50" t="s">
        <v>9</v>
      </c>
      <c r="B17" s="55">
        <v>6872.2790500000001</v>
      </c>
      <c r="C17" s="55">
        <f>IF(OR(8039.18712="",6872.27905=""),"-",6872.27905/8039.18712*100)</f>
        <v>85.484750478105553</v>
      </c>
      <c r="D17" s="55">
        <f>IF(8039.18712="","-",8039.18712/464796.56015*100)</f>
        <v>1.7296141600973938</v>
      </c>
      <c r="E17" s="55">
        <f>IF(6872.27905="","-",6872.27905/425641.38619*100)</f>
        <v>1.6145702163774829</v>
      </c>
      <c r="F17" s="55">
        <f>IF(OR(475663.92916="",6194.48905="",8039.18712=""),"-",(8039.18712-6194.48905)/475663.92916*100)</f>
        <v>0.38781542112256634</v>
      </c>
      <c r="G17" s="55">
        <f>IF(OR(464796.56015="",6872.27905="",8039.18712=""),"-",(6872.27905-8039.18712)/464796.56015*100)</f>
        <v>-0.25105781110415554</v>
      </c>
    </row>
    <row r="18" spans="1:7" s="14" customFormat="1" x14ac:dyDescent="0.25">
      <c r="A18" s="50" t="s">
        <v>10</v>
      </c>
      <c r="B18" s="55">
        <v>6801.4791299999997</v>
      </c>
      <c r="C18" s="55">
        <f>IF(OR(5609.82176="",6801.47913=""),"-",6801.47913/5609.82176*100)</f>
        <v>121.24233925749542</v>
      </c>
      <c r="D18" s="55">
        <f>IF(5609.82176="","-",5609.82176/464796.56015*100)</f>
        <v>1.2069413246495602</v>
      </c>
      <c r="E18" s="55">
        <f>IF(6801.47913="","-",6801.47913/425641.38619*100)</f>
        <v>1.5979365143228625</v>
      </c>
      <c r="F18" s="55">
        <f>IF(OR(475663.92916="",6809.35646="",5609.82176=""),"-",(5609.82176-6809.35646)/475663.92916*100)</f>
        <v>-0.25218113597941338</v>
      </c>
      <c r="G18" s="55">
        <f>IF(OR(464796.56015="",6801.47913="",5609.82176=""),"-",(6801.47913-5609.82176)/464796.56015*100)</f>
        <v>0.25638257082096866</v>
      </c>
    </row>
    <row r="19" spans="1:7" s="16" customFormat="1" x14ac:dyDescent="0.25">
      <c r="A19" s="50" t="s">
        <v>124</v>
      </c>
      <c r="B19" s="55">
        <v>6193.4937399999999</v>
      </c>
      <c r="C19" s="55">
        <f>IF(OR(9241.62246="",6193.49374=""),"-",6193.49374/9241.62246*100)</f>
        <v>67.017385386678086</v>
      </c>
      <c r="D19" s="55">
        <f>IF(9241.62246="","-",9241.62246/464796.56015*100)</f>
        <v>1.9883155884410004</v>
      </c>
      <c r="E19" s="55">
        <f>IF(6193.49374="","-",6193.49374/425641.38619*100)</f>
        <v>1.4550966942945056</v>
      </c>
      <c r="F19" s="55">
        <f>IF(OR(475663.92916="",7456.19019="",9241.62246=""),"-",(9241.62246-7456.19019)/475663.92916*100)</f>
        <v>0.37535582594059402</v>
      </c>
      <c r="G19" s="55">
        <f>IF(OR(464796.56015="",6193.49374="",9241.62246=""),"-",(6193.49374-9241.62246)/464796.56015*100)</f>
        <v>-0.65579846783209905</v>
      </c>
    </row>
    <row r="20" spans="1:7" s="14" customFormat="1" x14ac:dyDescent="0.25">
      <c r="A20" s="50" t="s">
        <v>8</v>
      </c>
      <c r="B20" s="55">
        <v>2886.49064</v>
      </c>
      <c r="C20" s="55">
        <f>IF(OR(5203.31296="",2886.49064=""),"-",2886.49064/5203.31296*100)</f>
        <v>55.474092413614883</v>
      </c>
      <c r="D20" s="55">
        <f>IF(5203.31296="","-",5203.31296/464796.56015*100)</f>
        <v>1.1194818133595434</v>
      </c>
      <c r="E20" s="55">
        <f>IF(2886.49064="","-",2886.49064/425641.38619*100)</f>
        <v>0.67815084097849299</v>
      </c>
      <c r="F20" s="55">
        <f>IF(OR(475663.92916="",5721.29706="",5203.31296=""),"-",(5203.31296-5721.29706)/475663.92916*100)</f>
        <v>-0.10889707380476277</v>
      </c>
      <c r="G20" s="55">
        <f>IF(OR(464796.56015="",2886.49064="",5203.31296=""),"-",(2886.49064-5203.31296)/464796.56015*100)</f>
        <v>-0.49845943766285861</v>
      </c>
    </row>
    <row r="21" spans="1:7" s="14" customFormat="1" x14ac:dyDescent="0.25">
      <c r="A21" s="50" t="s">
        <v>45</v>
      </c>
      <c r="B21" s="55">
        <v>2769.4572400000002</v>
      </c>
      <c r="C21" s="55">
        <f>IF(OR(2006.3504="",2769.45724=""),"-",2769.45724/2006.3504*100)</f>
        <v>138.0345746186708</v>
      </c>
      <c r="D21" s="55">
        <f>IF(2006.3504="","-",2006.3504/464796.56015*100)</f>
        <v>0.43166205863324525</v>
      </c>
      <c r="E21" s="55">
        <f>IF(2769.45724="","-",2769.45724/425641.38619*100)</f>
        <v>0.65065506547423835</v>
      </c>
      <c r="F21" s="55">
        <f>IF(OR(475663.92916="",1667.12894="",2006.3504=""),"-",(2006.3504-1667.12894)/475663.92916*100)</f>
        <v>7.1315363475016699E-2</v>
      </c>
      <c r="G21" s="55">
        <f>IF(OR(464796.56015="",2769.45724="",2006.3504=""),"-",(2769.45724-2006.3504)/464796.56015*100)</f>
        <v>0.16418082779135218</v>
      </c>
    </row>
    <row r="22" spans="1:7" s="14" customFormat="1" x14ac:dyDescent="0.25">
      <c r="A22" s="50" t="s">
        <v>42</v>
      </c>
      <c r="B22" s="55">
        <v>2719.7794699999999</v>
      </c>
      <c r="C22" s="55" t="s">
        <v>281</v>
      </c>
      <c r="D22" s="55">
        <f>IF(1773.43127="","-",1773.43127/464796.56015*100)</f>
        <v>0.38154999886997337</v>
      </c>
      <c r="E22" s="55">
        <f>IF(2719.77947="","-",2719.77947/425641.38619*100)</f>
        <v>0.63898379204740463</v>
      </c>
      <c r="F22" s="55">
        <f>IF(OR(475663.92916="",2580.53296="",1773.43127=""),"-",(1773.43127-2580.53296)/475663.92916*100)</f>
        <v>-0.16967897721933706</v>
      </c>
      <c r="G22" s="55">
        <f>IF(OR(464796.56015="",2719.77947="",1773.43127=""),"-",(2719.77947-1773.43127)/464796.56015*100)</f>
        <v>0.20360482007323652</v>
      </c>
    </row>
    <row r="23" spans="1:7" s="14" customFormat="1" x14ac:dyDescent="0.25">
      <c r="A23" s="50" t="s">
        <v>48</v>
      </c>
      <c r="B23" s="55">
        <v>1293.5790999999999</v>
      </c>
      <c r="C23" s="55">
        <f>IF(OR(3247.95317="",1293.5791=""),"-",1293.5791/3247.95317*100)</f>
        <v>39.827516971249928</v>
      </c>
      <c r="D23" s="55">
        <f>IF(3247.95317="","-",3247.95317/464796.56015*100)</f>
        <v>0.69879027696586538</v>
      </c>
      <c r="E23" s="55">
        <f>IF(1293.5791="","-",1293.5791/425641.38619*100)</f>
        <v>0.30391290461180986</v>
      </c>
      <c r="F23" s="55">
        <f>IF(OR(475663.92916="",4203.81576="",3247.95317=""),"-",(3247.95317-4203.81576)/475663.92916*100)</f>
        <v>-0.20095334781596932</v>
      </c>
      <c r="G23" s="55">
        <f>IF(OR(464796.56015="",1293.5791="",3247.95317=""),"-",(1293.5791-3247.95317)/464796.56015*100)</f>
        <v>-0.42047946081384097</v>
      </c>
    </row>
    <row r="24" spans="1:7" s="14" customFormat="1" x14ac:dyDescent="0.25">
      <c r="A24" s="50" t="s">
        <v>46</v>
      </c>
      <c r="B24" s="55">
        <v>991.73278000000005</v>
      </c>
      <c r="C24" s="55" t="s">
        <v>281</v>
      </c>
      <c r="D24" s="55">
        <f>IF(655.4969="","-",655.4969/464796.56015*100)</f>
        <v>0.14102877607107439</v>
      </c>
      <c r="E24" s="55">
        <f>IF(991.73278="","-",991.73278/425641.38619*100)</f>
        <v>0.23299726299578052</v>
      </c>
      <c r="F24" s="55">
        <f>IF(OR(475663.92916="",1197.91967="",655.4969=""),"-",(655.4969-1197.91967)/475663.92916*100)</f>
        <v>-0.11403487562277279</v>
      </c>
      <c r="G24" s="55">
        <f>IF(OR(464796.56015="",991.73278="",655.4969=""),"-",(991.73278-655.4969)/464796.56015*100)</f>
        <v>7.2340440706249939E-2</v>
      </c>
    </row>
    <row r="25" spans="1:7" s="14" customFormat="1" x14ac:dyDescent="0.25">
      <c r="A25" s="50" t="s">
        <v>44</v>
      </c>
      <c r="B25" s="55">
        <v>965.40356999999995</v>
      </c>
      <c r="C25" s="55">
        <f>IF(OR(1188.09688="",965.40357=""),"-",965.40357/1188.09688*100)</f>
        <v>81.256300412134735</v>
      </c>
      <c r="D25" s="55">
        <f>IF(1188.09688="","-",1188.09688/464796.56015*100)</f>
        <v>0.25561653890394009</v>
      </c>
      <c r="E25" s="55">
        <f>IF(965.40357="","-",965.40357/425641.38619*100)</f>
        <v>0.22681148998256909</v>
      </c>
      <c r="F25" s="55">
        <f>IF(OR(475663.92916="",1524.37549="",1188.09688=""),"-",(1188.09688-1524.37549)/475663.92916*100)</f>
        <v>-7.0696680867488093E-2</v>
      </c>
      <c r="G25" s="55">
        <f>IF(OR(464796.56015="",965.40357="",1188.09688=""),"-",(965.40357-1188.09688)/464796.56015*100)</f>
        <v>-4.7911996149053282E-2</v>
      </c>
    </row>
    <row r="26" spans="1:7" s="9" customFormat="1" x14ac:dyDescent="0.25">
      <c r="A26" s="50" t="s">
        <v>47</v>
      </c>
      <c r="B26" s="55">
        <v>562.81835999999998</v>
      </c>
      <c r="C26" s="55">
        <f>IF(OR(1149.62103="",562.81836=""),"-",562.81836/1149.62103*100)</f>
        <v>48.956860157646901</v>
      </c>
      <c r="D26" s="55">
        <f>IF(1149.62103="","-",1149.62103/464796.56015*100)</f>
        <v>0.24733854089388965</v>
      </c>
      <c r="E26" s="55">
        <f>IF(562.81836="","-",562.81836/425641.38619*100)</f>
        <v>0.13222829787251145</v>
      </c>
      <c r="F26" s="55">
        <f>IF(OR(475663.92916="",452.83576="",1149.62103=""),"-",(1149.62103-452.83576)/475663.92916*100)</f>
        <v>0.14648688439135796</v>
      </c>
      <c r="G26" s="55">
        <f>IF(OR(464796.56015="",562.81836="",1149.62103=""),"-",(562.81836-1149.62103)/464796.56015*100)</f>
        <v>-0.12624935731250378</v>
      </c>
    </row>
    <row r="27" spans="1:7" s="9" customFormat="1" x14ac:dyDescent="0.25">
      <c r="A27" s="50" t="s">
        <v>49</v>
      </c>
      <c r="B27" s="55">
        <v>412.19799</v>
      </c>
      <c r="C27" s="55" t="s">
        <v>258</v>
      </c>
      <c r="D27" s="55">
        <f>IF(149.35023="","-",149.35023/464796.56015*100)</f>
        <v>3.2132387114009932E-2</v>
      </c>
      <c r="E27" s="55">
        <f>IF(412.19799="","-",412.19799/425641.38619*100)</f>
        <v>9.6841614413876786E-2</v>
      </c>
      <c r="F27" s="55">
        <f>IF(OR(475663.92916="",141.60971="",149.35023=""),"-",(149.35023-141.60971)/475663.92916*100)</f>
        <v>1.6273085944669792E-3</v>
      </c>
      <c r="G27" s="55">
        <f>IF(OR(464796.56015="",412.19799="",149.35023=""),"-",(412.19799-149.35023)/464796.56015*100)</f>
        <v>5.6551141410163035E-2</v>
      </c>
    </row>
    <row r="28" spans="1:7" s="14" customFormat="1" x14ac:dyDescent="0.25">
      <c r="A28" s="50" t="s">
        <v>50</v>
      </c>
      <c r="B28" s="55">
        <v>235.79606999999999</v>
      </c>
      <c r="C28" s="55">
        <f>IF(OR(195.50355="",235.79607=""),"-",235.79607/195.50355*100)</f>
        <v>120.60961041372393</v>
      </c>
      <c r="D28" s="55">
        <f>IF(195.50355="","-",195.50355/464796.56015*100)</f>
        <v>4.2062176608386848E-2</v>
      </c>
      <c r="E28" s="55">
        <f>IF(235.79607="","-",235.79607/425641.38619*100)</f>
        <v>5.5397824941474112E-2</v>
      </c>
      <c r="F28" s="55">
        <f>IF(OR(475663.92916="",133.133="",195.50355=""),"-",(195.50355-133.133)/475663.92916*100)</f>
        <v>1.3112314425469139E-2</v>
      </c>
      <c r="G28" s="55">
        <f>IF(OR(464796.56015="",235.79607="",195.50355=""),"-",(235.79607-195.50355)/464796.56015*100)</f>
        <v>8.6688507305210522E-3</v>
      </c>
    </row>
    <row r="29" spans="1:7" s="14" customFormat="1" x14ac:dyDescent="0.25">
      <c r="A29" s="50" t="s">
        <v>51</v>
      </c>
      <c r="B29" s="55">
        <v>99.91771</v>
      </c>
      <c r="C29" s="55">
        <f>IF(OR(104.10859="",99.91771=""),"-",99.91771/104.10859*100)</f>
        <v>95.974510844878409</v>
      </c>
      <c r="D29" s="55">
        <f>IF(104.10859="","-",104.10859/464796.56015*100)</f>
        <v>2.2398743649566146E-2</v>
      </c>
      <c r="E29" s="55">
        <f>IF(99.91771="","-",99.91771/425641.38619*100)</f>
        <v>2.3474622826126737E-2</v>
      </c>
      <c r="F29" s="55">
        <f>IF(OR(475663.92916="",64.84103="",104.10859=""),"-",(104.10859-64.84103)/475663.92916*100)</f>
        <v>8.2553159053587819E-3</v>
      </c>
      <c r="G29" s="55">
        <f>IF(OR(464796.56015="",99.91771="",104.10859=""),"-",(99.91771-104.10859)/464796.56015*100)</f>
        <v>-9.0165899649677242E-4</v>
      </c>
    </row>
    <row r="30" spans="1:7" s="9" customFormat="1" x14ac:dyDescent="0.25">
      <c r="A30" s="50" t="s">
        <v>54</v>
      </c>
      <c r="B30" s="55">
        <v>77.675370000000001</v>
      </c>
      <c r="C30" s="55">
        <f>IF(OR(72.95247="",77.67537=""),"-",77.67537/72.95247*100)</f>
        <v>106.47394118389686</v>
      </c>
      <c r="D30" s="55">
        <f>IF(72.95247="","-",72.95247/464796.56015*100)</f>
        <v>1.5695570117054362E-2</v>
      </c>
      <c r="E30" s="55">
        <f>IF(77.67537="","-",77.67537/425641.38619*100)</f>
        <v>1.8249017252595562E-2</v>
      </c>
      <c r="F30" s="55">
        <f>IF(OR(475663.92916="",4.47867="",72.95247=""),"-",(72.95247-4.47867)/475663.92916*100)</f>
        <v>1.4395415713132064E-2</v>
      </c>
      <c r="G30" s="55">
        <f>IF(OR(464796.56015="",77.67537="",72.95247=""),"-",(77.67537-72.95247)/464796.56015*100)</f>
        <v>1.0161219778553896E-3</v>
      </c>
    </row>
    <row r="31" spans="1:7" s="9" customFormat="1" x14ac:dyDescent="0.25">
      <c r="A31" s="50" t="s">
        <v>52</v>
      </c>
      <c r="B31" s="55">
        <v>44.616419999999998</v>
      </c>
      <c r="C31" s="55">
        <f>IF(OR(4514.94353="",44.61642=""),"-",44.61642/4514.94353*100)</f>
        <v>0.98819441934415508</v>
      </c>
      <c r="D31" s="55">
        <f>IF(4514.94353="","-",4514.94353/464796.56015*100)</f>
        <v>0.97138058176311126</v>
      </c>
      <c r="E31" s="55">
        <f>IF(44.61642="","-",44.61642/425641.38619*100)</f>
        <v>1.0482162084700075E-2</v>
      </c>
      <c r="F31" s="55">
        <f>IF(OR(475663.92916="",19.59225="",4514.94353=""),"-",(4514.94353-19.59225)/475663.92916*100)</f>
        <v>0.94506877743254103</v>
      </c>
      <c r="G31" s="55">
        <f>IF(OR(464796.56015="",44.61642="",4514.94353=""),"-",(44.61642-4514.94353)/464796.56015*100)</f>
        <v>-0.96178145306353535</v>
      </c>
    </row>
    <row r="32" spans="1:7" s="9" customFormat="1" x14ac:dyDescent="0.25">
      <c r="A32" s="50" t="s">
        <v>125</v>
      </c>
      <c r="B32" s="55">
        <v>40.475619999999999</v>
      </c>
      <c r="C32" s="55">
        <f>IF(OR(153.94229="",40.47562=""),"-",40.47562/153.94229*100)</f>
        <v>26.292723071743314</v>
      </c>
      <c r="D32" s="55">
        <f>IF(153.94229="","-",153.94229/464796.56015*100)</f>
        <v>3.3120359141711263E-2</v>
      </c>
      <c r="E32" s="55">
        <f>IF(40.47562="","-",40.47562/425641.38619*100)</f>
        <v>9.5093243545476755E-3</v>
      </c>
      <c r="F32" s="55">
        <f>IF(OR(475663.92916="",85.99316="",153.94229=""),"-",(153.94229-85.99316)/475663.92916*100)</f>
        <v>1.428511304609432E-2</v>
      </c>
      <c r="G32" s="55">
        <f>IF(OR(464796.56015="",40.47562="",153.94229=""),"-",(40.47562-153.94229)/464796.56015*100)</f>
        <v>-2.4412114832214303E-2</v>
      </c>
    </row>
    <row r="33" spans="1:7" s="9" customFormat="1" x14ac:dyDescent="0.25">
      <c r="A33" s="50" t="s">
        <v>55</v>
      </c>
      <c r="B33" s="55">
        <v>3.6461399999999999</v>
      </c>
      <c r="C33" s="55">
        <f>IF(OR(25.65794="",3.64614=""),"-",3.64614/25.65794*100)</f>
        <v>14.210571854170679</v>
      </c>
      <c r="D33" s="55">
        <f>IF(25.65794="","-",25.65794/464796.56015*100)</f>
        <v>5.5202516971553364E-3</v>
      </c>
      <c r="E33" s="55">
        <f>IF(3.64614="","-",3.64614/425641.38619*100)</f>
        <v>8.5662252739032697E-4</v>
      </c>
      <c r="F33" s="55">
        <f>IF(OR(475663.92916="",30.57552="",25.65794=""),"-",(25.65794-30.57552)/475663.92916*100)</f>
        <v>-1.0338349617311144E-3</v>
      </c>
      <c r="G33" s="55">
        <f>IF(OR(464796.56015="",3.64614="",25.65794=""),"-",(3.64614-25.65794)/464796.56015*100)</f>
        <v>-4.7357923632000021E-3</v>
      </c>
    </row>
    <row r="34" spans="1:7" s="9" customFormat="1" x14ac:dyDescent="0.25">
      <c r="A34" s="50" t="s">
        <v>53</v>
      </c>
      <c r="B34" s="55">
        <v>0.31657000000000002</v>
      </c>
      <c r="C34" s="55">
        <f>IF(OR(25.06537="",0.31657=""),"-",0.31657/25.06537*100)</f>
        <v>1.262977566259744</v>
      </c>
      <c r="D34" s="55">
        <f>IF(25.06537="","-",25.06537/464796.56015*100)</f>
        <v>5.3927615109524178E-3</v>
      </c>
      <c r="E34" s="55">
        <f>IF(0.31657="","-",0.31657/425641.38619*100)</f>
        <v>7.4374816517181399E-5</v>
      </c>
      <c r="F34" s="55">
        <f>IF(OR(475663.92916="",6.61457="",25.06537=""),"-",(25.06537-6.61457)/475663.92916*100)</f>
        <v>3.8789571520765178E-3</v>
      </c>
      <c r="G34" s="55">
        <f>IF(OR(464796.56015="",0.31657="",25.06537=""),"-",(0.31657-25.06537)/464796.56015*100)</f>
        <v>-5.324652142867199E-3</v>
      </c>
    </row>
    <row r="35" spans="1:7" s="9" customFormat="1" x14ac:dyDescent="0.25">
      <c r="A35" s="37" t="s">
        <v>159</v>
      </c>
      <c r="B35" s="54">
        <v>67449.188670000003</v>
      </c>
      <c r="C35" s="54">
        <f>IF(59866.72216="","-",67449.18867/59866.72216*100)</f>
        <v>112.66557819841059</v>
      </c>
      <c r="D35" s="54">
        <f>IF(59866.72216="","-",59866.72216/464796.56015*100)</f>
        <v>12.880199057557503</v>
      </c>
      <c r="E35" s="54">
        <f>IF(67449.18867="","-",67449.18867/425641.38619*100)</f>
        <v>15.846482710187324</v>
      </c>
      <c r="F35" s="54">
        <f>IF(475663.92916="","-",(59866.72216-64729.50993)/475663.92916*100)</f>
        <v>-1.0223158561944052</v>
      </c>
      <c r="G35" s="54">
        <f>IF(464796.56015="","-",(67449.18867-59866.72216)/464796.56015*100)</f>
        <v>1.6313516837458903</v>
      </c>
    </row>
    <row r="36" spans="1:7" s="9" customFormat="1" x14ac:dyDescent="0.25">
      <c r="A36" s="50" t="s">
        <v>126</v>
      </c>
      <c r="B36" s="55">
        <v>39799.444280000003</v>
      </c>
      <c r="C36" s="55">
        <f>IF(OR(33223.298="",39799.44428=""),"-",39799.44428/33223.298*100)</f>
        <v>119.7937792930732</v>
      </c>
      <c r="D36" s="55">
        <f>IF(33223.298="","-",33223.298/464796.56015*100)</f>
        <v>7.1479225210440713</v>
      </c>
      <c r="E36" s="55">
        <f>IF(39799.44428="","-",39799.44428/425641.38619*100)</f>
        <v>9.3504639283911466</v>
      </c>
      <c r="F36" s="55">
        <f>IF(OR(475663.92916="",37637.32979="",33223.298=""),"-",(33223.298-37637.32979)/475663.92916*100)</f>
        <v>-0.92797278065523536</v>
      </c>
      <c r="G36" s="55">
        <f>IF(OR(464796.56015="",39799.44428="",33223.298=""),"-",(39799.44428-33223.298)/464796.56015*100)</f>
        <v>1.4148440078553368</v>
      </c>
    </row>
    <row r="37" spans="1:7" s="9" customFormat="1" x14ac:dyDescent="0.25">
      <c r="A37" s="50" t="s">
        <v>12</v>
      </c>
      <c r="B37" s="55">
        <v>13708.264649999999</v>
      </c>
      <c r="C37" s="55">
        <f>IF(OR(12112.66909="",13708.26465=""),"-",13708.26465/12112.66909*100)</f>
        <v>113.17294766450192</v>
      </c>
      <c r="D37" s="55">
        <f>IF(12112.66909="","-",12112.66909/464796.56015*100)</f>
        <v>2.6060152179463154</v>
      </c>
      <c r="E37" s="55">
        <f>IF(13708.26465="","-",13708.26465/425641.38619*100)</f>
        <v>3.220613665580168</v>
      </c>
      <c r="F37" s="55">
        <f>IF(OR(475663.92916="",10834.85249="",12112.66909=""),"-",(12112.66909-10834.85249)/475663.92916*100)</f>
        <v>0.26863853272552407</v>
      </c>
      <c r="G37" s="55">
        <f>IF(OR(464796.56015="",13708.26465="",12112.66909=""),"-",(13708.26465-12112.66909)/464796.56015*100)</f>
        <v>0.34328902078902357</v>
      </c>
    </row>
    <row r="38" spans="1:7" s="9" customFormat="1" ht="14.25" customHeight="1" x14ac:dyDescent="0.25">
      <c r="A38" s="50" t="s">
        <v>11</v>
      </c>
      <c r="B38" s="55">
        <v>11109.473980000001</v>
      </c>
      <c r="C38" s="55">
        <f>IF(OR(10739.30441="",11109.47398=""),"-",11109.47398/10739.30441*100)</f>
        <v>103.44686728178887</v>
      </c>
      <c r="D38" s="55">
        <f>IF(10739.30441="","-",10739.30441/464796.56015*100)</f>
        <v>2.3105387024667725</v>
      </c>
      <c r="E38" s="55">
        <f>IF(11109.47398="","-",11109.47398/425641.38619*100)</f>
        <v>2.6100549289727422</v>
      </c>
      <c r="F38" s="55">
        <f>IF(OR(475663.92916="",14286.81155="",10739.30441=""),"-",(10739.30441-14286.81155)/475663.92916*100)</f>
        <v>-0.74580116811983821</v>
      </c>
      <c r="G38" s="55">
        <f>IF(OR(464796.56015="",11109.47398="",10739.30441=""),"-",(11109.47398-10739.30441)/464796.56015*100)</f>
        <v>7.9641202568396421E-2</v>
      </c>
    </row>
    <row r="39" spans="1:7" s="15" customFormat="1" ht="14.25" customHeight="1" x14ac:dyDescent="0.2">
      <c r="A39" s="50" t="s">
        <v>13</v>
      </c>
      <c r="B39" s="55">
        <v>1162.9453799999999</v>
      </c>
      <c r="C39" s="55">
        <f>IF(OR(2286.38216="",1162.94538=""),"-",1162.94538/2286.38216*100)</f>
        <v>50.86399816905498</v>
      </c>
      <c r="D39" s="55">
        <f>IF(2286.38216="","-",2286.38216/464796.56015*100)</f>
        <v>0.49191030141491038</v>
      </c>
      <c r="E39" s="55">
        <f>IF(1162.94538="","-",1162.94538/425641.38619*100)</f>
        <v>0.27322187591055308</v>
      </c>
      <c r="F39" s="55">
        <f>IF(OR(475663.92916="",751.72265="",2286.38216=""),"-",(2286.38216-751.72265)/475663.92916*100)</f>
        <v>0.32263525062960652</v>
      </c>
      <c r="G39" s="55">
        <f>IF(OR(464796.56015="",1162.94538="",2286.38216=""),"-",(1162.94538-2286.38216)/464796.56015*100)</f>
        <v>-0.2417050547098375</v>
      </c>
    </row>
    <row r="40" spans="1:7" s="15" customFormat="1" ht="14.25" customHeight="1" x14ac:dyDescent="0.2">
      <c r="A40" s="50" t="s">
        <v>15</v>
      </c>
      <c r="B40" s="55">
        <v>858.77128000000005</v>
      </c>
      <c r="C40" s="55">
        <f>IF(OR(579.28494="",858.77128=""),"-",858.77128/579.28494*100)</f>
        <v>148.24678162701761</v>
      </c>
      <c r="D40" s="55">
        <f>IF(579.28494="","-",579.28494/464796.56015*100)</f>
        <v>0.1246319335524024</v>
      </c>
      <c r="E40" s="55">
        <f>IF(858.77128="","-",858.77128/425641.38619*100)</f>
        <v>0.20175934668548828</v>
      </c>
      <c r="F40" s="55">
        <f>IF(OR(475663.92916="",452.23268="",579.28494=""),"-",(579.28494-452.23268)/475663.92916*100)</f>
        <v>2.6710509713101072E-2</v>
      </c>
      <c r="G40" s="55">
        <f>IF(OR(464796.56015="",858.77128="",579.28494=""),"-",(858.77128-579.28494)/464796.56015*100)</f>
        <v>6.0130896818557288E-2</v>
      </c>
    </row>
    <row r="41" spans="1:7" s="15" customFormat="1" ht="14.25" customHeight="1" x14ac:dyDescent="0.2">
      <c r="A41" s="50" t="s">
        <v>14</v>
      </c>
      <c r="B41" s="55">
        <v>389.56373000000002</v>
      </c>
      <c r="C41" s="55">
        <f>IF(OR(605.20225="",389.56373=""),"-",389.56373/605.20225*100)</f>
        <v>64.369180716033355</v>
      </c>
      <c r="D41" s="55">
        <f>IF(605.20225="","-",605.20225/464796.56015*100)</f>
        <v>0.13020798815823598</v>
      </c>
      <c r="E41" s="55">
        <f>IF(389.56373="","-",389.56373/425641.38619*100)</f>
        <v>9.1523931327980534E-2</v>
      </c>
      <c r="F41" s="55">
        <f>IF(OR(475663.92916="",414.47334="",605.20225=""),"-",(605.20225-414.47334)/475663.92916*100)</f>
        <v>4.0097408760176173E-2</v>
      </c>
      <c r="G41" s="55">
        <f>IF(OR(464796.56015="",389.56373="",605.20225=""),"-",(389.56373-605.20225)/464796.56015*100)</f>
        <v>-4.6394172953949736E-2</v>
      </c>
    </row>
    <row r="42" spans="1:7" s="13" customFormat="1" ht="14.25" customHeight="1" x14ac:dyDescent="0.2">
      <c r="A42" s="50" t="s">
        <v>127</v>
      </c>
      <c r="B42" s="55">
        <v>189.16840999999999</v>
      </c>
      <c r="C42" s="55" t="s">
        <v>259</v>
      </c>
      <c r="D42" s="55">
        <f>IF(40.08862="","-",40.08862/464796.56015*100)</f>
        <v>8.6249820753971432E-3</v>
      </c>
      <c r="E42" s="55">
        <f>IF(189.16841="","-",189.16841/425641.38619*100)</f>
        <v>4.4443143016068935E-2</v>
      </c>
      <c r="F42" s="55">
        <f>IF(OR(475663.92916="",110.97636="",40.08862=""),"-",(40.08862-110.97636)/475663.92916*100)</f>
        <v>-1.4902904267974325E-2</v>
      </c>
      <c r="G42" s="55">
        <f>IF(OR(464796.56015="",189.16841="",40.08862=""),"-",(189.16841-40.08862)/464796.56015*100)</f>
        <v>3.2074202518170253E-2</v>
      </c>
    </row>
    <row r="43" spans="1:7" s="15" customFormat="1" ht="14.25" customHeight="1" x14ac:dyDescent="0.2">
      <c r="A43" s="50" t="s">
        <v>17</v>
      </c>
      <c r="B43" s="55">
        <v>125.77253</v>
      </c>
      <c r="C43" s="55">
        <f>IF(OR(185.3358="",125.77253=""),"-",125.77253/185.3358*100)</f>
        <v>67.861972700363339</v>
      </c>
      <c r="D43" s="55">
        <f>IF(185.3358="","-",185.3358/464796.56015*100)</f>
        <v>3.9874606632241016E-2</v>
      </c>
      <c r="E43" s="55">
        <f>IF(125.77253="","-",125.77253/425641.38619*100)</f>
        <v>2.9548942861457792E-2</v>
      </c>
      <c r="F43" s="55">
        <f>IF(OR(475663.92916="",135.26441="",185.3358=""),"-",(185.3358-135.26441)/475663.92916*100)</f>
        <v>1.052663171000242E-2</v>
      </c>
      <c r="G43" s="55">
        <f>IF(OR(464796.56015="",125.77253="",185.3358=""),"-",(125.77253-185.3358)/464796.56015*100)</f>
        <v>-1.2814911965092348E-2</v>
      </c>
    </row>
    <row r="44" spans="1:7" s="13" customFormat="1" ht="14.25" customHeight="1" x14ac:dyDescent="0.2">
      <c r="A44" s="50" t="s">
        <v>18</v>
      </c>
      <c r="B44" s="55">
        <v>105.78443</v>
      </c>
      <c r="C44" s="55">
        <f>IF(OR(95.15689="",105.78443=""),"-",105.78443/95.15689*100)</f>
        <v>111.16843982605988</v>
      </c>
      <c r="D44" s="55">
        <f>IF(95.15689="","-",95.15689/464796.56015*100)</f>
        <v>2.0472804267159549E-2</v>
      </c>
      <c r="E44" s="55">
        <f>IF(105.78443="","-",105.78443/425641.38619*100)</f>
        <v>2.485294744171785E-2</v>
      </c>
      <c r="F44" s="55">
        <f>IF(OR(475663.92916="",59.17266="",95.15689=""),"-",(95.15689-59.17266)/475663.92916*100)</f>
        <v>7.5650533483895771E-3</v>
      </c>
      <c r="G44" s="55">
        <f>IF(OR(464796.56015="",105.78443="",95.15689=""),"-",(105.78443-95.15689)/464796.56015*100)</f>
        <v>2.2864928252847349E-3</v>
      </c>
    </row>
    <row r="45" spans="1:7" s="13" customFormat="1" ht="14.25" customHeight="1" x14ac:dyDescent="0.2">
      <c r="A45" s="37" t="s">
        <v>160</v>
      </c>
      <c r="B45" s="54">
        <v>87922.216199999995</v>
      </c>
      <c r="C45" s="54">
        <f>IF(94774.43957="","-",87922.2162/94774.43957*100)</f>
        <v>92.7699668802167</v>
      </c>
      <c r="D45" s="54">
        <f>IF(94774.43957="","-",94774.43957/464796.56015*100)</f>
        <v>20.390520863453514</v>
      </c>
      <c r="E45" s="54">
        <f>IF(87922.2162="","-",87922.2162/425641.38619*100)</f>
        <v>20.656406790469578</v>
      </c>
      <c r="F45" s="54">
        <f>IF(475663.92916="","-",(94774.43957-111965.0309)/475663.92916*100)</f>
        <v>-3.614020377865895</v>
      </c>
      <c r="G45" s="54">
        <f>IF(464796.56015="","-",(87922.2162-94774.43957)/464796.56015*100)</f>
        <v>-1.4742414117240121</v>
      </c>
    </row>
    <row r="46" spans="1:7" s="13" customFormat="1" ht="14.25" customHeight="1" x14ac:dyDescent="0.2">
      <c r="A46" s="50" t="s">
        <v>57</v>
      </c>
      <c r="B46" s="55">
        <v>45627.423479999998</v>
      </c>
      <c r="C46" s="55">
        <f>IF(OR(33490.1862="",45627.42348=""),"-",45627.42348/33490.1862*100)</f>
        <v>136.24117587020166</v>
      </c>
      <c r="D46" s="55">
        <f>IF(33490.1862="","-",33490.1862/464796.56015*100)</f>
        <v>7.2053429546018979</v>
      </c>
      <c r="E46" s="55">
        <f>IF(45627.42348="","-",45627.42348/425641.38619*100)</f>
        <v>10.719686797475232</v>
      </c>
      <c r="F46" s="55">
        <f>IF(OR(475663.92916="",47631.72599="",33490.1862=""),"-",(33490.1862-47631.72599)/475663.92916*100)</f>
        <v>-2.9730107588719816</v>
      </c>
      <c r="G46" s="55">
        <f>IF(OR(464796.56015="",45627.42348="",33490.1862=""),"-",(45627.42348-33490.1862)/464796.56015*100)</f>
        <v>2.6113010122284579</v>
      </c>
    </row>
    <row r="47" spans="1:7" s="13" customFormat="1" ht="14.25" customHeight="1" x14ac:dyDescent="0.2">
      <c r="A47" s="50" t="s">
        <v>128</v>
      </c>
      <c r="B47" s="55">
        <v>7085.5553200000004</v>
      </c>
      <c r="C47" s="55">
        <f>IF(OR(18384.2484="",7085.55532=""),"-",7085.55532/18384.2484*100)</f>
        <v>38.541446818135903</v>
      </c>
      <c r="D47" s="55">
        <f>IF(18384.2484="","-",18384.2484/464796.56015*100)</f>
        <v>3.9553322843153147</v>
      </c>
      <c r="E47" s="55">
        <f>IF(7085.55532="","-",7085.55532/425641.38619*100)</f>
        <v>1.6646772494151012</v>
      </c>
      <c r="F47" s="55">
        <f>IF(OR(475663.92916="",15991.42065="",18384.2484=""),"-",(18384.2484-15991.42065)/475663.92916*100)</f>
        <v>0.50305007449810646</v>
      </c>
      <c r="G47" s="55">
        <f>IF(OR(464796.56015="",7085.55532="",18384.2484=""),"-",(7085.55532-18384.2484)/464796.56015*100)</f>
        <v>-2.430889995475368</v>
      </c>
    </row>
    <row r="48" spans="1:7" s="9" customFormat="1" ht="25.5" x14ac:dyDescent="0.25">
      <c r="A48" s="50" t="s">
        <v>123</v>
      </c>
      <c r="B48" s="55">
        <v>6068.2632800000001</v>
      </c>
      <c r="C48" s="55">
        <f>IF(OR(8220.90733="",6068.26328=""),"-",6068.26328/8220.90733*100)</f>
        <v>73.815006500018526</v>
      </c>
      <c r="D48" s="55">
        <f>IF(8220.90733="","-",8220.90733/464796.56015*100)</f>
        <v>1.7687108801637719</v>
      </c>
      <c r="E48" s="55">
        <f>IF(6068.26328="","-",6068.26328/425641.38619*100)</f>
        <v>1.4256751051203507</v>
      </c>
      <c r="F48" s="55">
        <f>IF(OR(475663.92916="",7607.37641="",8220.90733=""),"-",(8220.90733-7607.37641)/475663.92916*100)</f>
        <v>0.12898411722820075</v>
      </c>
      <c r="G48" s="55">
        <f>IF(OR(464796.56015="",6068.26328="",8220.90733=""),"-",(6068.26328-8220.90733)/464796.56015*100)</f>
        <v>-0.4631368290043486</v>
      </c>
    </row>
    <row r="49" spans="1:7" s="9" customFormat="1" x14ac:dyDescent="0.25">
      <c r="A49" s="50" t="s">
        <v>61</v>
      </c>
      <c r="B49" s="55">
        <v>4451.6237000000001</v>
      </c>
      <c r="C49" s="55">
        <f>IF(OR(3121.87521="",4451.6237=""),"-",4451.6237/3121.87521*100)</f>
        <v>142.59454336100771</v>
      </c>
      <c r="D49" s="55">
        <f>IF(3121.87521="","-",3121.87521/464796.56015*100)</f>
        <v>0.67166486967814543</v>
      </c>
      <c r="E49" s="55">
        <f>IF(4451.6237="","-",4451.6237/425641.38619*100)</f>
        <v>1.0458625134758071</v>
      </c>
      <c r="F49" s="55">
        <f>IF(OR(475663.92916="",264.554="",3121.87521=""),"-",(3121.87521-264.554)/475663.92916*100)</f>
        <v>0.60070167923935169</v>
      </c>
      <c r="G49" s="55">
        <f>IF(OR(464796.56015="",4451.6237="",3121.87521=""),"-",(4451.6237-3121.87521)/464796.56015*100)</f>
        <v>0.28609258415571348</v>
      </c>
    </row>
    <row r="50" spans="1:7" s="14" customFormat="1" x14ac:dyDescent="0.25">
      <c r="A50" s="50" t="s">
        <v>59</v>
      </c>
      <c r="B50" s="55">
        <v>3000.5163299999999</v>
      </c>
      <c r="C50" s="55">
        <f>IF(OR(3718.93207="",3000.51633=""),"-",3000.51633/3718.93207*100)</f>
        <v>80.682203211095498</v>
      </c>
      <c r="D50" s="55">
        <f>IF(3718.93207="","-",3718.93207/464796.56015*100)</f>
        <v>0.80012039435055615</v>
      </c>
      <c r="E50" s="55">
        <f>IF(3000.51633="","-",3000.51633/425641.38619*100)</f>
        <v>0.70493998641866418</v>
      </c>
      <c r="F50" s="55">
        <f>IF(OR(475663.92916="",2599.38399="",3718.93207=""),"-",(3718.93207-2599.38399)/475663.92916*100)</f>
        <v>0.23536535174678244</v>
      </c>
      <c r="G50" s="55">
        <f>IF(OR(464796.56015="",3000.51633="",3718.93207=""),"-",(3000.51633-3718.93207)/464796.56015*100)</f>
        <v>-0.15456563184722183</v>
      </c>
    </row>
    <row r="51" spans="1:7" s="16" customFormat="1" x14ac:dyDescent="0.25">
      <c r="A51" s="50" t="s">
        <v>19</v>
      </c>
      <c r="B51" s="55">
        <v>2627.1654600000002</v>
      </c>
      <c r="C51" s="55">
        <f>IF(OR(3694.57142="",2627.16546=""),"-",2627.16546/3694.57142*100)</f>
        <v>71.108801572443284</v>
      </c>
      <c r="D51" s="55">
        <f>IF(3694.57142="","-",3694.57142/464796.56015*100)</f>
        <v>0.79487925186186437</v>
      </c>
      <c r="E51" s="55">
        <f>IF(2627.16546="","-",2627.16546/425641.38619*100)</f>
        <v>0.61722509728583408</v>
      </c>
      <c r="F51" s="55">
        <f>IF(OR(475663.92916="",3479.67266999999="",3694.57142=""),"-",(3694.57142-3479.67266999999)/475663.92916*100)</f>
        <v>4.5178693784813852E-2</v>
      </c>
      <c r="G51" s="55">
        <f>IF(OR(464796.56015="",2627.16546="",3694.57142=""),"-",(2627.16546-3694.57142)/464796.56015*100)</f>
        <v>-0.22965014191488961</v>
      </c>
    </row>
    <row r="52" spans="1:7" s="9" customFormat="1" x14ac:dyDescent="0.25">
      <c r="A52" s="50" t="s">
        <v>69</v>
      </c>
      <c r="B52" s="55">
        <v>2235.6451699999998</v>
      </c>
      <c r="C52" s="55" t="s">
        <v>96</v>
      </c>
      <c r="D52" s="55">
        <f>IF(1041.81964="","-",1041.81964/464796.56015*100)</f>
        <v>0.22414529910973996</v>
      </c>
      <c r="E52" s="55">
        <f>IF(2235.64517="","-",2235.64517/425641.38619*100)</f>
        <v>0.52524149261229058</v>
      </c>
      <c r="F52" s="55">
        <f>IF(OR(475663.92916="",2722.62646="",1041.81964=""),"-",(1041.81964-2722.62646)/475663.92916*100)</f>
        <v>-0.35336015975990137</v>
      </c>
      <c r="G52" s="55">
        <f>IF(OR(464796.56015="",2235.64517="",1041.81964=""),"-",(2235.64517-1041.81964)/464796.56015*100)</f>
        <v>0.25684904587390367</v>
      </c>
    </row>
    <row r="53" spans="1:7" s="16" customFormat="1" x14ac:dyDescent="0.25">
      <c r="A53" s="50" t="s">
        <v>60</v>
      </c>
      <c r="B53" s="55">
        <v>1634.3436300000001</v>
      </c>
      <c r="C53" s="55">
        <f>IF(OR(1999.02172="",1634.34363=""),"-",1634.34363/1999.02172*100)</f>
        <v>81.757172203211482</v>
      </c>
      <c r="D53" s="55">
        <f>IF(1999.02172="","-",1999.02172/464796.56015*100)</f>
        <v>0.43008530858207561</v>
      </c>
      <c r="E53" s="55">
        <f>IF(1634.34363="","-",1634.34363/425641.38619*100)</f>
        <v>0.38397197336220812</v>
      </c>
      <c r="F53" s="55">
        <f>IF(OR(475663.92916="",2370.294="",1999.02172=""),"-",(1999.02172-2370.294)/475663.92916*100)</f>
        <v>-7.8053486346053025E-2</v>
      </c>
      <c r="G53" s="55">
        <f>IF(OR(464796.56015="",1634.34363="",1999.02172=""),"-",(1634.34363-1999.02172)/464796.56015*100)</f>
        <v>-7.8459722223914549E-2</v>
      </c>
    </row>
    <row r="54" spans="1:7" s="14" customFormat="1" x14ac:dyDescent="0.25">
      <c r="A54" s="50" t="s">
        <v>67</v>
      </c>
      <c r="B54" s="55">
        <v>1487.9303399999999</v>
      </c>
      <c r="C54" s="55">
        <f>IF(OR(1078.97621="",1487.93034=""),"-",1487.93034/1078.97621*100)</f>
        <v>137.90205253923068</v>
      </c>
      <c r="D54" s="55">
        <f>IF(1078.97621="","-",1078.97621/464796.56015*100)</f>
        <v>0.23213945680918788</v>
      </c>
      <c r="E54" s="55">
        <f>IF(1487.93034="","-",1487.93034/425641.38619*100)</f>
        <v>0.34957369942776428</v>
      </c>
      <c r="F54" s="55">
        <f>IF(OR(475663.92916="",1995.1669="",1078.97621=""),"-",(1078.97621-1995.1669)/475663.92916*100)</f>
        <v>-0.19261302651600035</v>
      </c>
      <c r="G54" s="55">
        <f>IF(OR(464796.56015="",1487.93034="",1078.97621=""),"-",(1487.93034-1078.97621)/464796.56015*100)</f>
        <v>8.798561888410307E-2</v>
      </c>
    </row>
    <row r="55" spans="1:7" s="9" customFormat="1" x14ac:dyDescent="0.25">
      <c r="A55" s="50" t="s">
        <v>243</v>
      </c>
      <c r="B55" s="55">
        <v>1141.3527799999999</v>
      </c>
      <c r="C55" s="55" t="str">
        <f>IF(OR(""="",1141.35278=""),"-",1141.35278/""*100)</f>
        <v>-</v>
      </c>
      <c r="D55" s="55" t="str">
        <f>IF(""="","-",""/464796.56015*100)</f>
        <v>-</v>
      </c>
      <c r="E55" s="55">
        <f>IF(1141.35278="","-",1141.35278/425641.38619*100)</f>
        <v>0.26814891996675272</v>
      </c>
      <c r="F55" s="55" t="str">
        <f>IF(OR(475663.92916="",55.4922="",""=""),"-",(""-55.4922)/475663.92916*100)</f>
        <v>-</v>
      </c>
      <c r="G55" s="55" t="str">
        <f>IF(OR(464796.56015="",1141.35278="",""=""),"-",(1141.35278-"")/464796.56015*100)</f>
        <v>-</v>
      </c>
    </row>
    <row r="56" spans="1:7" s="9" customFormat="1" x14ac:dyDescent="0.25">
      <c r="A56" s="50" t="s">
        <v>64</v>
      </c>
      <c r="B56" s="55">
        <v>870.69296999999995</v>
      </c>
      <c r="C56" s="55" t="s">
        <v>260</v>
      </c>
      <c r="D56" s="55">
        <f>IF(23.62892="","-",23.62892/464796.56015*100)</f>
        <v>5.0837123218757108E-3</v>
      </c>
      <c r="E56" s="55">
        <f>IF(870.69297="","-",870.69297/425641.38619*100)</f>
        <v>0.20456022328884521</v>
      </c>
      <c r="F56" s="55">
        <f>IF(OR(475663.92916="",894.03825="",23.62892=""),"-",(23.62892-894.03825)/475663.92916*100)</f>
        <v>-0.18298829838476541</v>
      </c>
      <c r="G56" s="55">
        <f>IF(OR(464796.56015="",870.69297="",23.62892=""),"-",(870.69297-23.62892)/464796.56015*100)</f>
        <v>0.18224404451845211</v>
      </c>
    </row>
    <row r="57" spans="1:7" s="16" customFormat="1" x14ac:dyDescent="0.25">
      <c r="A57" s="50" t="s">
        <v>63</v>
      </c>
      <c r="B57" s="55">
        <v>832.03873999999996</v>
      </c>
      <c r="C57" s="55">
        <f>IF(OR(660.80087="",832.03874=""),"-",832.03874/660.80087*100)</f>
        <v>125.91368712937681</v>
      </c>
      <c r="D57" s="55">
        <f>IF(660.80087="","-",660.80087/464796.56015*100)</f>
        <v>0.14216991403437779</v>
      </c>
      <c r="E57" s="55">
        <f>IF(832.03874="","-",832.03874/425641.38619*100)</f>
        <v>0.19547881549953186</v>
      </c>
      <c r="F57" s="55">
        <f>IF(OR(475663.92916="",710.68077="",660.80087=""),"-",(660.80087-710.68077)/475663.92916*100)</f>
        <v>-1.0486374295416002E-2</v>
      </c>
      <c r="G57" s="55">
        <f>IF(OR(464796.56015="",832.03874="",660.80087=""),"-",(832.03874-660.80087)/464796.56015*100)</f>
        <v>3.6841466714972619E-2</v>
      </c>
    </row>
    <row r="58" spans="1:7" s="9" customFormat="1" x14ac:dyDescent="0.25">
      <c r="A58" s="50" t="s">
        <v>58</v>
      </c>
      <c r="B58" s="55">
        <v>538.69146000000001</v>
      </c>
      <c r="C58" s="55">
        <f>IF(OR(1325.39911="",538.69146=""),"-",538.69146/1325.39911*100)</f>
        <v>40.643716744309565</v>
      </c>
      <c r="D58" s="55">
        <f>IF(1325.39911="","-",1325.39911/464796.56015*100)</f>
        <v>0.28515682421837735</v>
      </c>
      <c r="E58" s="55">
        <f>IF(538.69146="","-",538.69146/425641.38619*100)</f>
        <v>0.12655993460173917</v>
      </c>
      <c r="F58" s="55">
        <f>IF(OR(475663.92916="",1888.66151="",1325.39911=""),"-",(1325.39911-1888.66151)/475663.92916*100)</f>
        <v>-0.11841604239251327</v>
      </c>
      <c r="G58" s="55">
        <f>IF(OR(464796.56015="",538.69146="",1325.39911=""),"-",(538.69146-1325.39911)/464796.56015*100)</f>
        <v>-0.16925849230599133</v>
      </c>
    </row>
    <row r="59" spans="1:7" s="14" customFormat="1" x14ac:dyDescent="0.25">
      <c r="A59" s="50" t="s">
        <v>110</v>
      </c>
      <c r="B59" s="55">
        <v>488.06799999999998</v>
      </c>
      <c r="C59" s="55" t="s">
        <v>261</v>
      </c>
      <c r="D59" s="55">
        <f>IF(117.96236="","-",117.96236/464796.56015*100)</f>
        <v>2.5379353057589538E-2</v>
      </c>
      <c r="E59" s="55">
        <f>IF(488.068="","-",488.068/425641.38619*100)</f>
        <v>0.11466648118238522</v>
      </c>
      <c r="F59" s="55">
        <f>IF(OR(475663.92916="",325.60447="",117.96236=""),"-",(117.96236-325.60447)/475663.92916*100)</f>
        <v>-4.3653112475164166E-2</v>
      </c>
      <c r="G59" s="55">
        <f>IF(OR(464796.56015="",488.068="",117.96236=""),"-",(488.068-117.96236)/464796.56015*100)</f>
        <v>7.9627448163678075E-2</v>
      </c>
    </row>
    <row r="60" spans="1:7" s="9" customFormat="1" x14ac:dyDescent="0.25">
      <c r="A60" s="50" t="s">
        <v>139</v>
      </c>
      <c r="B60" s="55">
        <v>477.59145999999998</v>
      </c>
      <c r="C60" s="55" t="s">
        <v>258</v>
      </c>
      <c r="D60" s="55">
        <f>IF(168.79628="","-",168.79628/464796.56015*100)</f>
        <v>3.6316163774001632E-2</v>
      </c>
      <c r="E60" s="55">
        <f>IF(477.59146="","-",477.59146/425641.38619*100)</f>
        <v>0.11220512748419868</v>
      </c>
      <c r="F60" s="55">
        <f>IF(OR(475663.92916="",206.6237="",168.79628=""),"-",(168.79628-206.6237)/475663.92916*100)</f>
        <v>-7.9525517242397276E-3</v>
      </c>
      <c r="G60" s="55">
        <f>IF(OR(464796.56015="",477.59146="",168.79628=""),"-",(477.59146-168.79628)/464796.56015*100)</f>
        <v>6.6436631953632586E-2</v>
      </c>
    </row>
    <row r="61" spans="1:7" s="14" customFormat="1" x14ac:dyDescent="0.25">
      <c r="A61" s="50" t="s">
        <v>38</v>
      </c>
      <c r="B61" s="55">
        <v>463.14418999999998</v>
      </c>
      <c r="C61" s="55">
        <f>IF(OR(720.97577="",463.14419=""),"-",463.14419/720.97577*100)</f>
        <v>64.238523577567662</v>
      </c>
      <c r="D61" s="55">
        <f>IF(720.97577="","-",720.97577/464796.56015*100)</f>
        <v>0.15511641690448943</v>
      </c>
      <c r="E61" s="55">
        <f>IF(463.14419="","-",463.14419/425641.38619*100)</f>
        <v>0.10881089222683324</v>
      </c>
      <c r="F61" s="55">
        <f>IF(OR(475663.92916="",568.2411="",720.97577=""),"-",(720.97577-568.2411)/475663.92916*100)</f>
        <v>3.2109786056244004E-2</v>
      </c>
      <c r="G61" s="55">
        <f>IF(OR(464796.56015="",463.14419="",720.97577=""),"-",(463.14419-720.97577)/464796.56015*100)</f>
        <v>-5.5471920858620849E-2</v>
      </c>
    </row>
    <row r="62" spans="1:7" s="9" customFormat="1" x14ac:dyDescent="0.25">
      <c r="A62" s="50" t="s">
        <v>241</v>
      </c>
      <c r="B62" s="55">
        <v>369.45029</v>
      </c>
      <c r="C62" s="55">
        <f>IF(OR(339.75008="",369.45029=""),"-",369.45029/339.75008*100)</f>
        <v>108.74178160605584</v>
      </c>
      <c r="D62" s="55">
        <f>IF(339.75008="","-",339.75008/464796.56015*100)</f>
        <v>7.3096513427370308E-2</v>
      </c>
      <c r="E62" s="55">
        <f>IF(369.45029="","-",369.45029/425641.38619*100)</f>
        <v>8.6798488583787026E-2</v>
      </c>
      <c r="F62" s="55">
        <f>IF(OR(475663.92916="",232.49105="",339.75008=""),"-",(339.75008-232.49105)/475663.92916*100)</f>
        <v>2.2549330193991038E-2</v>
      </c>
      <c r="G62" s="55">
        <f>IF(OR(464796.56015="",369.45029="",339.75008=""),"-",(369.45029-339.75008)/464796.56015*100)</f>
        <v>6.3899375654619872E-3</v>
      </c>
    </row>
    <row r="63" spans="1:7" s="14" customFormat="1" x14ac:dyDescent="0.25">
      <c r="A63" s="50" t="s">
        <v>40</v>
      </c>
      <c r="B63" s="55">
        <v>348.49047999999999</v>
      </c>
      <c r="C63" s="55">
        <f>IF(OR(241.53697="",348.49048=""),"-",348.49048/241.53697*100)</f>
        <v>144.28038904354889</v>
      </c>
      <c r="D63" s="55">
        <f>IF(241.53697="","-",241.53697/464796.56015*100)</f>
        <v>5.1966169870545247E-2</v>
      </c>
      <c r="E63" s="55">
        <f>IF(348.49048="","-",348.49048/425641.38619*100)</f>
        <v>8.1874200044174977E-2</v>
      </c>
      <c r="F63" s="55">
        <f>IF(OR(475663.92916="",344.01872="",241.53697=""),"-",(241.53697-344.01872)/475663.92916*100)</f>
        <v>-2.1544990846999457E-2</v>
      </c>
      <c r="G63" s="55">
        <f>IF(OR(464796.56015="",348.49048="",241.53697=""),"-",(348.49048-241.53697)/464796.56015*100)</f>
        <v>2.3010822189708926E-2</v>
      </c>
    </row>
    <row r="64" spans="1:7" s="9" customFormat="1" x14ac:dyDescent="0.25">
      <c r="A64" s="50" t="s">
        <v>77</v>
      </c>
      <c r="B64" s="55">
        <v>283.92336999999998</v>
      </c>
      <c r="C64" s="55">
        <f>IF(OR(197.68344="",283.92337=""),"-",283.92337/197.68344*100)</f>
        <v>143.62526775130985</v>
      </c>
      <c r="D64" s="55">
        <f>IF(197.68344="","-",197.68344/464796.56015*100)</f>
        <v>4.2531175346091896E-2</v>
      </c>
      <c r="E64" s="55">
        <f>IF(283.92337="","-",283.92337/425641.38619*100)</f>
        <v>6.6704831628675507E-2</v>
      </c>
      <c r="F64" s="55">
        <f>IF(OR(475663.92916="",203.52005="",197.68344=""),"-",(197.68344-203.52005)/475663.92916*100)</f>
        <v>-1.2270449033852924E-3</v>
      </c>
      <c r="G64" s="55">
        <f>IF(OR(464796.56015="",283.92337="",197.68344=""),"-",(283.92337-197.68344)/464796.56015*100)</f>
        <v>1.8554339122511681E-2</v>
      </c>
    </row>
    <row r="65" spans="1:7" s="9" customFormat="1" x14ac:dyDescent="0.25">
      <c r="A65" s="50" t="s">
        <v>78</v>
      </c>
      <c r="B65" s="55">
        <v>233.82228000000001</v>
      </c>
      <c r="C65" s="55">
        <f>IF(OR(235.95389="",233.82228=""),"-",233.82228/235.95389*100)</f>
        <v>99.096598916000076</v>
      </c>
      <c r="D65" s="55">
        <f>IF(235.95389="","-",235.95389/464796.56015*100)</f>
        <v>5.0764981979180855E-2</v>
      </c>
      <c r="E65" s="55">
        <f>IF(233.82228="","-",233.82228/425641.38619*100)</f>
        <v>5.4934103587291963E-2</v>
      </c>
      <c r="F65" s="55">
        <f>IF(OR(475663.92916="",183.69074="",235.95389=""),"-",(235.95389-183.69074)/475663.92916*100)</f>
        <v>1.0987410815929273E-2</v>
      </c>
      <c r="G65" s="55">
        <f>IF(OR(464796.56015="",233.82228="",235.95389=""),"-",(233.82228-235.95389)/464796.56015*100)</f>
        <v>-4.5861139749228739E-4</v>
      </c>
    </row>
    <row r="66" spans="1:7" s="14" customFormat="1" x14ac:dyDescent="0.25">
      <c r="A66" s="50" t="s">
        <v>164</v>
      </c>
      <c r="B66" s="55">
        <v>218.25857999999999</v>
      </c>
      <c r="C66" s="55" t="str">
        <f>IF(OR(""="",218.25858=""),"-",218.25858/""*100)</f>
        <v>-</v>
      </c>
      <c r="D66" s="55" t="str">
        <f>IF(""="","-",""/464796.56015*100)</f>
        <v>-</v>
      </c>
      <c r="E66" s="55">
        <f>IF(218.25858="","-",218.25858/425641.38619*100)</f>
        <v>5.1277574756927562E-2</v>
      </c>
      <c r="F66" s="55" t="str">
        <f>IF(OR(475663.92916="",48.51096="",""=""),"-",(""-48.51096)/475663.92916*100)</f>
        <v>-</v>
      </c>
      <c r="G66" s="55" t="str">
        <f>IF(OR(464796.56015="",218.25858="",""=""),"-",(218.25858-"")/464796.56015*100)</f>
        <v>-</v>
      </c>
    </row>
    <row r="67" spans="1:7" s="16" customFormat="1" x14ac:dyDescent="0.25">
      <c r="A67" s="50" t="s">
        <v>161</v>
      </c>
      <c r="B67" s="55">
        <v>208.64400000000001</v>
      </c>
      <c r="C67" s="55" t="str">
        <f>IF(OR(""="",208.644=""),"-",208.644/""*100)</f>
        <v>-</v>
      </c>
      <c r="D67" s="55" t="str">
        <f>IF(""="","-",""/464796.56015*100)</f>
        <v>-</v>
      </c>
      <c r="E67" s="55">
        <f>IF(208.644="","-",208.644/425641.38619*100)</f>
        <v>4.9018729561900357E-2</v>
      </c>
      <c r="F67" s="55" t="str">
        <f>IF(OR(475663.92916="",""="",""=""),"-",(""-"")/475663.92916*100)</f>
        <v>-</v>
      </c>
      <c r="G67" s="55" t="str">
        <f>IF(OR(464796.56015="",208.644="",""=""),"-",(208.644-"")/464796.56015*100)</f>
        <v>-</v>
      </c>
    </row>
    <row r="68" spans="1:7" s="9" customFormat="1" x14ac:dyDescent="0.25">
      <c r="A68" s="50" t="s">
        <v>37</v>
      </c>
      <c r="B68" s="55">
        <v>203.14975000000001</v>
      </c>
      <c r="C68" s="55" t="s">
        <v>245</v>
      </c>
      <c r="D68" s="55">
        <f>IF(38.08343="","-",38.08343/464796.56015*100)</f>
        <v>8.1935696743774614E-3</v>
      </c>
      <c r="E68" s="55">
        <f>IF(203.14975="","-",203.14975/425641.38619*100)</f>
        <v>4.7727912884231845E-2</v>
      </c>
      <c r="F68" s="55">
        <f>IF(OR(475663.92916="",50.67151="",38.08343=""),"-",(38.08343-50.67151)/475663.92916*100)</f>
        <v>-2.6464230790486788E-3</v>
      </c>
      <c r="G68" s="55">
        <f>IF(OR(464796.56015="",203.14975="",38.08343=""),"-",(203.14975-38.08343)/464796.56015*100)</f>
        <v>3.5513670743761425E-2</v>
      </c>
    </row>
    <row r="69" spans="1:7" s="9" customFormat="1" x14ac:dyDescent="0.25">
      <c r="A69" s="50" t="s">
        <v>92</v>
      </c>
      <c r="B69" s="55">
        <v>195.95647</v>
      </c>
      <c r="C69" s="55" t="s">
        <v>267</v>
      </c>
      <c r="D69" s="55">
        <f>IF(0.1446="","-",0.1446/464796.56015*100)</f>
        <v>3.1110385144273535E-5</v>
      </c>
      <c r="E69" s="55">
        <f>IF(195.95647="","-",195.95647/425641.38619*100)</f>
        <v>4.6037926845893681E-2</v>
      </c>
      <c r="F69" s="55">
        <f>IF(OR(475663.92916="",49.07619="",0.1446=""),"-",(0.1446-49.07619)/475663.92916*100)</f>
        <v>-1.0287008747207482E-2</v>
      </c>
      <c r="G69" s="55">
        <f>IF(OR(464796.56015="",195.95647="",0.1446=""),"-",(195.95647-0.1446)/464796.56015*100)</f>
        <v>4.2128511006365291E-2</v>
      </c>
    </row>
    <row r="70" spans="1:7" s="9" customFormat="1" x14ac:dyDescent="0.25">
      <c r="A70" s="50" t="s">
        <v>102</v>
      </c>
      <c r="B70" s="55">
        <v>183.98168999999999</v>
      </c>
      <c r="C70" s="55" t="s">
        <v>262</v>
      </c>
      <c r="D70" s="55">
        <f>IF(47.89125="","-",47.89125/464796.56015*100)</f>
        <v>1.0303701469852627E-2</v>
      </c>
      <c r="E70" s="55">
        <f>IF(183.98169="","-",183.98169/425641.38619*100)</f>
        <v>4.3224577301294968E-2</v>
      </c>
      <c r="F70" s="55">
        <f>IF(OR(475663.92916="",82.76864="",47.89125=""),"-",(47.89125-82.76864)/475663.92916*100)</f>
        <v>-7.3323596476175586E-3</v>
      </c>
      <c r="G70" s="55">
        <f>IF(OR(464796.56015="",183.98169="",47.89125=""),"-",(183.98169-47.89125)/464796.56015*100)</f>
        <v>2.9279571250716799E-2</v>
      </c>
    </row>
    <row r="71" spans="1:7" s="9" customFormat="1" x14ac:dyDescent="0.25">
      <c r="A71" s="50" t="s">
        <v>144</v>
      </c>
      <c r="B71" s="55">
        <v>182.67859999999999</v>
      </c>
      <c r="C71" s="55" t="s">
        <v>263</v>
      </c>
      <c r="D71" s="55">
        <f>IF(22.02535="","-",22.02535/464796.56015*100)</f>
        <v>4.7387076171329541E-3</v>
      </c>
      <c r="E71" s="55">
        <f>IF(182.6786="","-",182.6786/425641.38619*100)</f>
        <v>4.2918429910021712E-2</v>
      </c>
      <c r="F71" s="55" t="str">
        <f>IF(OR(475663.92916="",""="",22.02535=""),"-",(22.02535-"")/475663.92916*100)</f>
        <v>-</v>
      </c>
      <c r="G71" s="55">
        <f>IF(OR(464796.56015="",182.6786="",22.02535=""),"-",(182.6786-22.02535)/464796.56015*100)</f>
        <v>3.4564208037200984E-2</v>
      </c>
    </row>
    <row r="72" spans="1:7" s="9" customFormat="1" x14ac:dyDescent="0.25">
      <c r="A72" s="50" t="s">
        <v>89</v>
      </c>
      <c r="B72" s="55">
        <v>180.64213000000001</v>
      </c>
      <c r="C72" s="55" t="str">
        <f>IF(OR(""="",180.64213=""),"-",180.64213/""*100)</f>
        <v>-</v>
      </c>
      <c r="D72" s="55" t="str">
        <f>IF(""="","-",""/464796.56015*100)</f>
        <v>-</v>
      </c>
      <c r="E72" s="55">
        <f>IF(180.64213="","-",180.64213/425641.38619*100)</f>
        <v>4.2439982544217172E-2</v>
      </c>
      <c r="F72" s="55" t="str">
        <f>IF(OR(475663.92916="",""="",""=""),"-",(""-"")/475663.92916*100)</f>
        <v>-</v>
      </c>
      <c r="G72" s="55" t="str">
        <f>IF(OR(464796.56015="",180.64213="",""=""),"-",(180.64213-"")/464796.56015*100)</f>
        <v>-</v>
      </c>
    </row>
    <row r="73" spans="1:7" s="9" customFormat="1" x14ac:dyDescent="0.25">
      <c r="A73" s="50" t="s">
        <v>84</v>
      </c>
      <c r="B73" s="55">
        <v>174.99936</v>
      </c>
      <c r="C73" s="55">
        <f>IF(OR(130.39804="",174.99936=""),"-",174.99936/130.39804*100)</f>
        <v>134.20398036657605</v>
      </c>
      <c r="D73" s="55">
        <f>IF(130.39804="","-",130.39804/464796.56015*100)</f>
        <v>2.8054863391828402E-2</v>
      </c>
      <c r="E73" s="55">
        <f>IF(174.99936="","-",174.99936/425641.38619*100)</f>
        <v>4.1114272643093711E-2</v>
      </c>
      <c r="F73" s="55">
        <f>IF(OR(475663.92916="",344.72972="",130.39804=""),"-",(130.39804-344.72972)/475663.92916*100)</f>
        <v>-4.5059477261288151E-2</v>
      </c>
      <c r="G73" s="55">
        <f>IF(OR(464796.56015="",174.99936="",130.39804=""),"-",(174.99936-130.39804)/464796.56015*100)</f>
        <v>9.5958799664107169E-3</v>
      </c>
    </row>
    <row r="74" spans="1:7" s="9" customFormat="1" x14ac:dyDescent="0.25">
      <c r="A74" s="50" t="s">
        <v>255</v>
      </c>
      <c r="B74" s="55">
        <v>156.72684000000001</v>
      </c>
      <c r="C74" s="55" t="str">
        <f>IF(OR(""="",156.72684=""),"-",156.72684/""*100)</f>
        <v>-</v>
      </c>
      <c r="D74" s="55" t="str">
        <f>IF(""="","-",""/464796.56015*100)</f>
        <v>-</v>
      </c>
      <c r="E74" s="55">
        <f>IF(156.72684="","-",156.72684/425641.38619*100)</f>
        <v>3.6821334833741823E-2</v>
      </c>
      <c r="F74" s="55" t="str">
        <f>IF(OR(475663.92916="",101.91749="",""=""),"-",(""-101.91749)/475663.92916*100)</f>
        <v>-</v>
      </c>
      <c r="G74" s="55" t="str">
        <f>IF(OR(464796.56015="",156.72684="",""=""),"-",(156.72684-"")/464796.56015*100)</f>
        <v>-</v>
      </c>
    </row>
    <row r="75" spans="1:7" s="9" customFormat="1" x14ac:dyDescent="0.25">
      <c r="A75" s="50" t="s">
        <v>103</v>
      </c>
      <c r="B75" s="55">
        <v>142.02279999999999</v>
      </c>
      <c r="C75" s="55" t="s">
        <v>237</v>
      </c>
      <c r="D75" s="55">
        <f>IF(56.09281="","-",56.09281/464796.56015*100)</f>
        <v>1.2068249812756279E-2</v>
      </c>
      <c r="E75" s="55">
        <f>IF(142.0228="","-",142.0228/425641.38619*100)</f>
        <v>3.3366774145548693E-2</v>
      </c>
      <c r="F75" s="55">
        <f>IF(OR(475663.92916="",34.39035="",56.09281=""),"-",(56.09281-34.39035)/475663.92916*100)</f>
        <v>4.5625616469017359E-3</v>
      </c>
      <c r="G75" s="55">
        <f>IF(OR(464796.56015="",142.0228="",56.09281=""),"-",(142.0228-56.09281)/464796.56015*100)</f>
        <v>1.8487656184948638E-2</v>
      </c>
    </row>
    <row r="76" spans="1:7" s="9" customFormat="1" x14ac:dyDescent="0.25">
      <c r="A76" s="50" t="s">
        <v>138</v>
      </c>
      <c r="B76" s="55">
        <v>141.80054000000001</v>
      </c>
      <c r="C76" s="55">
        <f>IF(OR(179.95698="",141.80054=""),"-",141.80054/179.95698*100)</f>
        <v>78.796910239324987</v>
      </c>
      <c r="D76" s="55">
        <f>IF(179.95698="","-",179.95698/464796.56015*100)</f>
        <v>3.8717364849241556E-2</v>
      </c>
      <c r="E76" s="55">
        <f>IF(141.80054="","-",141.80054/425641.38619*100)</f>
        <v>3.3314556478937496E-2</v>
      </c>
      <c r="F76" s="55" t="str">
        <f>IF(OR(475663.92916="",""="",179.95698=""),"-",(179.95698-"")/475663.92916*100)</f>
        <v>-</v>
      </c>
      <c r="G76" s="55">
        <f>IF(OR(464796.56015="",141.80054="",179.95698=""),"-",(141.80054-179.95698)/464796.56015*100)</f>
        <v>-8.2092776219527229E-3</v>
      </c>
    </row>
    <row r="77" spans="1:7" x14ac:dyDescent="0.25">
      <c r="A77" s="50" t="s">
        <v>156</v>
      </c>
      <c r="B77" s="55">
        <v>128.05065999999999</v>
      </c>
      <c r="C77" s="55" t="str">
        <f>IF(OR(""="",128.05066=""),"-",128.05066/""*100)</f>
        <v>-</v>
      </c>
      <c r="D77" s="55" t="str">
        <f>IF(""="","-",""/464796.56015*100)</f>
        <v>-</v>
      </c>
      <c r="E77" s="55">
        <f>IF(128.05066="","-",128.05066/425641.38619*100)</f>
        <v>3.0084165721338027E-2</v>
      </c>
      <c r="F77" s="55" t="str">
        <f>IF(OR(475663.92916="",""="",""=""),"-",(""-"")/475663.92916*100)</f>
        <v>-</v>
      </c>
      <c r="G77" s="55" t="str">
        <f>IF(OR(464796.56015="",128.05066="",""=""),"-",(128.05066-"")/464796.56015*100)</f>
        <v>-</v>
      </c>
    </row>
    <row r="78" spans="1:7" x14ac:dyDescent="0.25">
      <c r="A78" s="50" t="s">
        <v>132</v>
      </c>
      <c r="B78" s="55">
        <v>119.43317999999999</v>
      </c>
      <c r="C78" s="55">
        <f>IF(OR(138.71352="",119.43318=""),"-",119.43318/138.71352*100)</f>
        <v>86.100605045564421</v>
      </c>
      <c r="D78" s="55">
        <f>IF(138.71352="","-",138.71352/464796.56015*100)</f>
        <v>2.9843921382558019E-2</v>
      </c>
      <c r="E78" s="55">
        <f>IF(119.43318="","-",119.43318/425641.38619*100)</f>
        <v>2.8059578761611963E-2</v>
      </c>
      <c r="F78" s="55">
        <f>IF(OR(475663.92916="",37.954="",138.71352=""),"-",(138.71352-37.954)/475663.92916*100)</f>
        <v>2.118292219002953E-2</v>
      </c>
      <c r="G78" s="55">
        <f>IF(OR(464796.56015="",119.43318="",138.71352=""),"-",(119.43318-138.71352)/464796.56015*100)</f>
        <v>-4.1481245028529923E-3</v>
      </c>
    </row>
    <row r="79" spans="1:7" x14ac:dyDescent="0.25">
      <c r="A79" s="50" t="s">
        <v>76</v>
      </c>
      <c r="B79" s="55">
        <v>118.66419</v>
      </c>
      <c r="C79" s="55">
        <f>IF(OR(134.6794="",118.66419=""),"-",118.66419/134.6794*100)</f>
        <v>88.108641707640516</v>
      </c>
      <c r="D79" s="55">
        <f>IF(134.6794="","-",134.6794/464796.56015*100)</f>
        <v>2.8975988969568968E-2</v>
      </c>
      <c r="E79" s="55">
        <f>IF(118.66419="","-",118.66419/425641.38619*100)</f>
        <v>2.7878912589348177E-2</v>
      </c>
      <c r="F79" s="55">
        <f>IF(OR(475663.92916="",305.37925="",134.6794=""),"-",(134.6794-305.37925)/475663.92916*100)</f>
        <v>-3.5886650119013201E-2</v>
      </c>
      <c r="G79" s="55">
        <f>IF(OR(464796.56015="",118.66419="",134.6794=""),"-",(118.66419-134.6794)/464796.56015*100)</f>
        <v>-3.4456386671260059E-3</v>
      </c>
    </row>
    <row r="80" spans="1:7" x14ac:dyDescent="0.25">
      <c r="A80" s="50" t="s">
        <v>97</v>
      </c>
      <c r="B80" s="55">
        <v>99.424080000000004</v>
      </c>
      <c r="C80" s="55">
        <f>IF(OR(144.76891="",99.42408=""),"-",99.42408/144.76891*100)</f>
        <v>68.677784477343934</v>
      </c>
      <c r="D80" s="55">
        <f>IF(144.76891="","-",144.76891/464796.56015*100)</f>
        <v>3.1146725774665783E-2</v>
      </c>
      <c r="E80" s="55">
        <f>IF(99.42408="","-",99.42408/425641.38619*100)</f>
        <v>2.3358649611111493E-2</v>
      </c>
      <c r="F80" s="55">
        <f>IF(OR(475663.92916="",237.80074="",144.76891=""),"-",(144.76891-237.80074)/475663.92916*100)</f>
        <v>-1.9558310878079362E-2</v>
      </c>
      <c r="G80" s="55">
        <f>IF(OR(464796.56015="",99.42408="",144.76891=""),"-",(99.42408-144.76891)/464796.56015*100)</f>
        <v>-9.7558445753914858E-3</v>
      </c>
    </row>
    <row r="81" spans="1:7" x14ac:dyDescent="0.25">
      <c r="A81" s="50" t="s">
        <v>133</v>
      </c>
      <c r="B81" s="55">
        <v>95.292249999999996</v>
      </c>
      <c r="C81" s="55" t="s">
        <v>226</v>
      </c>
      <c r="D81" s="55">
        <f>IF(42.93746="","-",42.93746/464796.56015*100)</f>
        <v>9.2379039952755117E-3</v>
      </c>
      <c r="E81" s="55">
        <f>IF(95.29225="","-",95.29225/425641.38619*100)</f>
        <v>2.2387919288812518E-2</v>
      </c>
      <c r="F81" s="55">
        <f>IF(OR(475663.92916="",44.1089="",42.93746=""),"-",(42.93746-44.1089)/475663.92916*100)</f>
        <v>-2.462747179649936E-4</v>
      </c>
      <c r="G81" s="55">
        <f>IF(OR(464796.56015="",95.29225="",42.93746=""),"-",(95.29225-42.93746)/464796.56015*100)</f>
        <v>1.1264022690508718E-2</v>
      </c>
    </row>
    <row r="82" spans="1:7" x14ac:dyDescent="0.25">
      <c r="A82" s="50" t="s">
        <v>73</v>
      </c>
      <c r="B82" s="55">
        <v>67.28201</v>
      </c>
      <c r="C82" s="55">
        <f>IF(OR(84.22537="",67.28201=""),"-",67.28201/84.22537*100)</f>
        <v>79.883305944515286</v>
      </c>
      <c r="D82" s="55">
        <f>IF(84.22537="","-",84.22537/464796.56015*100)</f>
        <v>1.8120910785746486E-2</v>
      </c>
      <c r="E82" s="55">
        <f>IF(67.28201="","-",67.28201/425641.38619*100)</f>
        <v>1.5807205827011925E-2</v>
      </c>
      <c r="F82" s="55">
        <f>IF(OR(475663.92916="",176.56459="",84.22537=""),"-",(84.22537-176.56459)/475663.92916*100)</f>
        <v>-1.9412701770989173E-2</v>
      </c>
      <c r="G82" s="55">
        <f>IF(OR(464796.56015="",67.28201="",84.22537=""),"-",(67.28201-84.22537)/464796.56015*100)</f>
        <v>-3.6453281828359501E-3</v>
      </c>
    </row>
    <row r="83" spans="1:7" x14ac:dyDescent="0.25">
      <c r="A83" s="50" t="s">
        <v>94</v>
      </c>
      <c r="B83" s="55">
        <v>64.781940000000006</v>
      </c>
      <c r="C83" s="55">
        <f>IF(OR(327.66508="",64.78194=""),"-",64.78194/327.66508*100)</f>
        <v>19.770779357995675</v>
      </c>
      <c r="D83" s="55">
        <f>IF(327.66508="","-",327.66508/464796.56015*100)</f>
        <v>7.0496451155803594E-2</v>
      </c>
      <c r="E83" s="55">
        <f>IF(64.78194="","-",64.78194/425641.38619*100)</f>
        <v>1.5219840481179692E-2</v>
      </c>
      <c r="F83" s="55">
        <f>IF(OR(475663.92916="",14.07414="",327.66508=""),"-",(327.66508-14.07414)/475663.92916*100)</f>
        <v>6.5926996094445675E-2</v>
      </c>
      <c r="G83" s="55">
        <f>IF(OR(464796.56015="",64.78194="",327.66508=""),"-",(64.78194-327.66508)/464796.56015*100)</f>
        <v>-5.6558753342572467E-2</v>
      </c>
    </row>
    <row r="84" spans="1:7" x14ac:dyDescent="0.25">
      <c r="A84" s="50" t="s">
        <v>39</v>
      </c>
      <c r="B84" s="55">
        <v>55.104170000000003</v>
      </c>
      <c r="C84" s="55">
        <f>IF(OR(137.06371="",55.10417=""),"-",55.10417/137.06371*100)</f>
        <v>40.203325883999497</v>
      </c>
      <c r="D84" s="55">
        <f>IF(137.06371="","-",137.06371/464796.56015*100)</f>
        <v>2.9488968239301628E-2</v>
      </c>
      <c r="E84" s="55">
        <f>IF(55.10417="","-",55.10417/425641.38619*100)</f>
        <v>1.2946149455354494E-2</v>
      </c>
      <c r="F84" s="55">
        <f>IF(OR(475663.92916="",167.60732="",137.06371=""),"-",(137.06371-167.60732)/475663.92916*100)</f>
        <v>-6.4212583985375077E-3</v>
      </c>
      <c r="G84" s="55">
        <f>IF(OR(464796.56015="",55.10417="",137.06371=""),"-",(55.10417-137.06371)/464796.56015*100)</f>
        <v>-1.7633422238226084E-2</v>
      </c>
    </row>
    <row r="85" spans="1:7" x14ac:dyDescent="0.25">
      <c r="A85" s="50" t="s">
        <v>140</v>
      </c>
      <c r="B85" s="55">
        <v>45.84075</v>
      </c>
      <c r="C85" s="55" t="s">
        <v>106</v>
      </c>
      <c r="D85" s="55">
        <f>IF(24.70613="","-",24.70613/464796.56015*100)</f>
        <v>5.3154717823270456E-3</v>
      </c>
      <c r="E85" s="55">
        <f>IF(45.84075="","-",45.84075/425641.38619*100)</f>
        <v>1.0769805636225743E-2</v>
      </c>
      <c r="F85" s="55">
        <f>IF(OR(475663.92916="",35.94494="",24.70613=""),"-",(24.70613-35.94494)/475663.92916*100)</f>
        <v>-2.3627627219594319E-3</v>
      </c>
      <c r="G85" s="55">
        <f>IF(OR(464796.56015="",45.84075="",24.70613=""),"-",(45.84075-24.70613)/464796.56015*100)</f>
        <v>4.5470689355315789E-3</v>
      </c>
    </row>
    <row r="86" spans="1:7" x14ac:dyDescent="0.25">
      <c r="A86" s="50" t="s">
        <v>75</v>
      </c>
      <c r="B86" s="55">
        <v>45.75</v>
      </c>
      <c r="C86" s="55">
        <f>IF(OR(41.78618="",45.75=""),"-",45.75/41.78618*100)</f>
        <v>109.48595923341162</v>
      </c>
      <c r="D86" s="55">
        <f>IF(41.78618="","-",41.78618/464796.56015*100)</f>
        <v>8.9902085304836791E-3</v>
      </c>
      <c r="E86" s="55">
        <f>IF(45.75="","-",45.75/425641.38619*100)</f>
        <v>1.0748484871153456E-2</v>
      </c>
      <c r="F86" s="55">
        <f>IF(OR(475663.92916="",166.64737="",41.78618=""),"-",(41.78618-166.64737)/475663.92916*100)</f>
        <v>-2.6249875667574571E-2</v>
      </c>
      <c r="G86" s="55">
        <f>IF(OR(464796.56015="",45.75="",41.78618=""),"-",(45.75-41.78618)/464796.56015*100)</f>
        <v>8.5280751620037544E-4</v>
      </c>
    </row>
    <row r="87" spans="1:7" x14ac:dyDescent="0.25">
      <c r="A87" s="50" t="s">
        <v>91</v>
      </c>
      <c r="B87" s="55">
        <v>45.109529999999999</v>
      </c>
      <c r="C87" s="55">
        <f>IF(OR(31.01059="",45.10953=""),"-",45.10953/31.01059*100)</f>
        <v>145.46492020951553</v>
      </c>
      <c r="D87" s="55">
        <f>IF(31.01059="","-",31.01059/464796.56015*100)</f>
        <v>6.6718630598281989E-3</v>
      </c>
      <c r="E87" s="55">
        <f>IF(45.10953="","-",45.10953/425641.38619*100)</f>
        <v>1.0598013131144108E-2</v>
      </c>
      <c r="F87" s="55">
        <f>IF(OR(475663.92916="",10.16064="",31.01059=""),"-",(31.01059-10.16064)/475663.92916*100)</f>
        <v>4.3833363687719659E-3</v>
      </c>
      <c r="G87" s="55">
        <f>IF(OR(464796.56015="",45.10953="",31.01059=""),"-",(45.10953-31.01059)/464796.56015*100)</f>
        <v>3.0333572166390309E-3</v>
      </c>
    </row>
    <row r="88" spans="1:7" x14ac:dyDescent="0.25">
      <c r="A88" s="50" t="s">
        <v>256</v>
      </c>
      <c r="B88" s="55">
        <v>39.469250000000002</v>
      </c>
      <c r="C88" s="55" t="str">
        <f>IF(OR(""="",39.46925=""),"-",39.46925/""*100)</f>
        <v>-</v>
      </c>
      <c r="D88" s="55" t="str">
        <f>IF(""="","-",""/464796.56015*100)</f>
        <v>-</v>
      </c>
      <c r="E88" s="55">
        <f>IF(39.46925="","-",39.46925/425641.38619*100)</f>
        <v>9.2728882295251037E-3</v>
      </c>
      <c r="F88" s="55" t="str">
        <f>IF(OR(475663.92916="",""="",""=""),"-",(""-"")/475663.92916*100)</f>
        <v>-</v>
      </c>
      <c r="G88" s="55" t="str">
        <f>IF(OR(464796.56015="",39.46925="",""=""),"-",(39.46925-"")/464796.56015*100)</f>
        <v>-</v>
      </c>
    </row>
    <row r="89" spans="1:7" x14ac:dyDescent="0.25">
      <c r="A89" s="50" t="s">
        <v>71</v>
      </c>
      <c r="B89" s="55">
        <v>36.894910000000003</v>
      </c>
      <c r="C89" s="55">
        <f>IF(OR(388.78293="",36.89491=""),"-",36.89491/388.78293*100)</f>
        <v>9.4898482297049416</v>
      </c>
      <c r="D89" s="55">
        <f>IF(388.78293="","-",388.78293/464796.56015*100)</f>
        <v>8.3645827730422811E-2</v>
      </c>
      <c r="E89" s="55">
        <f>IF(36.89491="","-",36.89491/425641.38619*100)</f>
        <v>8.6680739225698002E-3</v>
      </c>
      <c r="F89" s="55">
        <f>IF(OR(475663.92916="",13.9509="",388.78293=""),"-",(388.78293-13.9509)/475663.92916*100)</f>
        <v>7.8801861360800612E-2</v>
      </c>
      <c r="G89" s="55">
        <f>IF(OR(464796.56015="",36.89491="",388.78293=""),"-",(36.89491-388.78293)/464796.56015*100)</f>
        <v>-7.5707965628325241E-2</v>
      </c>
    </row>
    <row r="90" spans="1:7" x14ac:dyDescent="0.25">
      <c r="A90" s="50" t="s">
        <v>147</v>
      </c>
      <c r="B90" s="55">
        <v>35.02102</v>
      </c>
      <c r="C90" s="55" t="s">
        <v>264</v>
      </c>
      <c r="D90" s="55">
        <f>IF(0.39509="","-",0.39509/464796.56015*100)</f>
        <v>8.5002780543921378E-5</v>
      </c>
      <c r="E90" s="55">
        <f>IF(35.02102="","-",35.02102/425641.38619*100)</f>
        <v>8.2278230304341539E-3</v>
      </c>
      <c r="F90" s="55">
        <f>IF(OR(475663.92916="",24.51487="",0.39509=""),"-",(0.39509-24.51487)/475663.92916*100)</f>
        <v>-5.0707607874732876E-3</v>
      </c>
      <c r="G90" s="55">
        <f>IF(OR(464796.56015="",35.02102="",0.39509=""),"-",(35.02102-0.39509)/464796.56015*100)</f>
        <v>7.4496958387182234E-3</v>
      </c>
    </row>
    <row r="91" spans="1:7" x14ac:dyDescent="0.25">
      <c r="A91" s="50" t="s">
        <v>265</v>
      </c>
      <c r="B91" s="55">
        <v>26.507999999999999</v>
      </c>
      <c r="C91" s="55" t="str">
        <f>IF(OR(""="",26.508=""),"-",26.508/""*100)</f>
        <v>-</v>
      </c>
      <c r="D91" s="55" t="str">
        <f>IF(""="","-",""/464796.56015*100)</f>
        <v>-</v>
      </c>
      <c r="E91" s="55">
        <f>IF(26.508="","-",26.508/425641.38619*100)</f>
        <v>6.2277778571483231E-3</v>
      </c>
      <c r="F91" s="55" t="str">
        <f>IF(OR(475663.92916="",""="",""=""),"-",(""-"")/475663.92916*100)</f>
        <v>-</v>
      </c>
      <c r="G91" s="55" t="str">
        <f>IF(OR(464796.56015="",26.508="",""=""),"-",(26.508-"")/464796.56015*100)</f>
        <v>-</v>
      </c>
    </row>
    <row r="92" spans="1:7" x14ac:dyDescent="0.25">
      <c r="A92" s="50" t="s">
        <v>70</v>
      </c>
      <c r="B92" s="55">
        <v>22.107500000000002</v>
      </c>
      <c r="C92" s="55" t="s">
        <v>268</v>
      </c>
      <c r="D92" s="55">
        <f>IF(1.8532="","-",1.8532/464796.56015*100)</f>
        <v>3.987120729555167E-4</v>
      </c>
      <c r="E92" s="55">
        <f>IF(22.1075="","-",22.1075/425641.38619*100)</f>
        <v>5.1939263232573781E-3</v>
      </c>
      <c r="F92" s="55">
        <f>IF(OR(475663.92916="",94.79925="",1.8532=""),"-",(1.8532-94.79925)/475663.92916*100)</f>
        <v>-1.954027713729278E-2</v>
      </c>
      <c r="G92" s="55">
        <f>IF(OR(464796.56015="",22.1075="",1.8532=""),"-",(22.1075-1.8532)/464796.56015*100)</f>
        <v>4.3576699434831221E-3</v>
      </c>
    </row>
    <row r="93" spans="1:7" x14ac:dyDescent="0.25">
      <c r="A93" s="50" t="s">
        <v>66</v>
      </c>
      <c r="B93" s="55">
        <v>19.06101</v>
      </c>
      <c r="C93" s="55">
        <f>IF(OR(2287.14891="",19.06101=""),"-",19.06101/2287.14891*100)</f>
        <v>0.8333961079954344</v>
      </c>
      <c r="D93" s="55">
        <f>IF(2287.14891="","-",2287.14891/464796.56015*100)</f>
        <v>0.49207526606089491</v>
      </c>
      <c r="E93" s="55">
        <f>IF(19.06101="","-",19.06101/425641.38619*100)</f>
        <v>4.4781853030361682E-3</v>
      </c>
      <c r="F93" s="55">
        <f>IF(OR(475663.92916="",3131.13596="",2287.14891=""),"-",(2287.14891-3131.13596)/475663.92916*100)</f>
        <v>-0.17743347734827011</v>
      </c>
      <c r="G93" s="55">
        <f>IF(OR(464796.56015="",19.06101="",2287.14891=""),"-",(19.06101-2287.14891)/464796.56015*100)</f>
        <v>-0.48797432994513523</v>
      </c>
    </row>
    <row r="94" spans="1:7" x14ac:dyDescent="0.25">
      <c r="A94" s="50" t="s">
        <v>87</v>
      </c>
      <c r="B94" s="55">
        <v>18.05866</v>
      </c>
      <c r="C94" s="55">
        <f>IF(OR(193.7004="",18.05866=""),"-",18.05866/193.7004*100)</f>
        <v>9.3229853939382679</v>
      </c>
      <c r="D94" s="55">
        <f>IF(193.7004="","-",193.7004/464796.56015*100)</f>
        <v>4.1674232687412459E-2</v>
      </c>
      <c r="E94" s="55">
        <f>IF(18.05866="","-",18.05866/425641.38619*100)</f>
        <v>4.2426936350448965E-3</v>
      </c>
      <c r="F94" s="55">
        <f>IF(OR(475663.92916="",1.40515="",193.7004=""),"-",(193.7004-1.40515)/475663.92916*100)</f>
        <v>4.042670427828831E-2</v>
      </c>
      <c r="G94" s="55">
        <f>IF(OR(464796.56015="",18.05866="",193.7004=""),"-",(18.05866-193.7004)/464796.56015*100)</f>
        <v>-3.7788950060929152E-2</v>
      </c>
    </row>
    <row r="95" spans="1:7" x14ac:dyDescent="0.25">
      <c r="A95" s="50" t="s">
        <v>146</v>
      </c>
      <c r="B95" s="55">
        <v>15.14443</v>
      </c>
      <c r="C95" s="55" t="str">
        <f>IF(OR(""="",15.14443=""),"-",15.14443/""*100)</f>
        <v>-</v>
      </c>
      <c r="D95" s="55" t="str">
        <f>IF(""="","-",""/464796.56015*100)</f>
        <v>-</v>
      </c>
      <c r="E95" s="55">
        <f>IF(15.14443="","-",15.14443/425641.38619*100)</f>
        <v>3.5580257210326236E-3</v>
      </c>
      <c r="F95" s="55" t="str">
        <f>IF(OR(475663.92916="",""="",""=""),"-",(""-"")/475663.92916*100)</f>
        <v>-</v>
      </c>
      <c r="G95" s="55" t="str">
        <f>IF(OR(464796.56015="",15.14443="",""=""),"-",(15.14443-"")/464796.56015*100)</f>
        <v>-</v>
      </c>
    </row>
    <row r="96" spans="1:7" x14ac:dyDescent="0.25">
      <c r="A96" s="50" t="s">
        <v>99</v>
      </c>
      <c r="B96" s="55">
        <v>15.07536</v>
      </c>
      <c r="C96" s="55" t="str">
        <f>IF(OR(""="",15.07536=""),"-",15.07536/""*100)</f>
        <v>-</v>
      </c>
      <c r="D96" s="55" t="str">
        <f>IF(""="","-",""/464796.56015*100)</f>
        <v>-</v>
      </c>
      <c r="E96" s="55">
        <f>IF(15.07536="","-",15.07536/425641.38619*100)</f>
        <v>3.541798445621682E-3</v>
      </c>
      <c r="F96" s="55" t="str">
        <f>IF(OR(475663.92916="",""="",""=""),"-",(""-"")/475663.92916*100)</f>
        <v>-</v>
      </c>
      <c r="G96" s="55" t="str">
        <f>IF(OR(464796.56015="",15.07536="",""=""),"-",(15.07536-"")/464796.56015*100)</f>
        <v>-</v>
      </c>
    </row>
    <row r="97" spans="1:7" x14ac:dyDescent="0.25">
      <c r="A97" s="50" t="s">
        <v>79</v>
      </c>
      <c r="B97" s="55">
        <v>14.7685</v>
      </c>
      <c r="C97" s="55">
        <f>IF(OR(54.71266="",14.7685=""),"-",14.7685/54.71266*100)</f>
        <v>26.992838586169999</v>
      </c>
      <c r="D97" s="55">
        <f>IF(54.71266="","-",54.71266/464796.56015*100)</f>
        <v>1.1771313449984017E-2</v>
      </c>
      <c r="E97" s="55">
        <f>IF(14.7685="","-",14.7685/425641.38619*100)</f>
        <v>3.469704892232345E-3</v>
      </c>
      <c r="F97" s="55">
        <f>IF(OR(475663.92916="",9.62318="",54.71266=""),"-",(54.71266-9.62318)/475663.92916*100)</f>
        <v>9.4792724938436868E-3</v>
      </c>
      <c r="G97" s="55">
        <f>IF(OR(464796.56015="",14.7685="",54.71266=""),"-",(14.7685-54.71266)/464796.56015*100)</f>
        <v>-8.5939018109577117E-3</v>
      </c>
    </row>
    <row r="98" spans="1:7" x14ac:dyDescent="0.25">
      <c r="A98" s="50" t="s">
        <v>266</v>
      </c>
      <c r="B98" s="55">
        <v>13.790279999999999</v>
      </c>
      <c r="C98" s="55">
        <f>IF(OR(11.9821="",13.79028=""),"-",13.79028/11.9821*100)</f>
        <v>115.09067692641521</v>
      </c>
      <c r="D98" s="55">
        <f>IF(11.9821="","-",11.9821/464796.56015*100)</f>
        <v>2.5779235535076067E-3</v>
      </c>
      <c r="E98" s="55">
        <f>IF(13.79028="","-",13.79028/425641.38619*100)</f>
        <v>3.2398823158244824E-3</v>
      </c>
      <c r="F98" s="55">
        <f>IF(OR(475663.92916="",14.1884="",11.9821=""),"-",(11.9821-14.1884)/475663.92916*100)</f>
        <v>-4.6383588595759625E-4</v>
      </c>
      <c r="G98" s="55">
        <f>IF(OR(464796.56015="",13.79028="",11.9821=""),"-",(13.79028-11.9821)/464796.56015*100)</f>
        <v>3.8902611486979575E-4</v>
      </c>
    </row>
    <row r="99" spans="1:7" x14ac:dyDescent="0.25">
      <c r="A99" s="50" t="s">
        <v>86</v>
      </c>
      <c r="B99" s="55">
        <v>12.80368</v>
      </c>
      <c r="C99" s="55">
        <f>IF(OR(293.39559="",12.80368=""),"-",12.80368/293.39559*100)</f>
        <v>4.3639647071723191</v>
      </c>
      <c r="D99" s="55">
        <f>IF(293.39559="","-",293.39559/464796.56015*100)</f>
        <v>6.3123442631613902E-2</v>
      </c>
      <c r="E99" s="55">
        <f>IF(12.80368="","-",12.80368/425641.38619*100)</f>
        <v>3.0080909459036082E-3</v>
      </c>
      <c r="F99" s="55">
        <f>IF(OR(475663.92916="",669.26124="",293.39559=""),"-",(293.39559-669.26124)/475663.92916*100)</f>
        <v>-7.9019161840537491E-2</v>
      </c>
      <c r="G99" s="55">
        <f>IF(OR(464796.56015="",12.80368="",293.39559=""),"-",(12.80368-293.39559)/464796.56015*100)</f>
        <v>-6.0368757873218111E-2</v>
      </c>
    </row>
    <row r="100" spans="1:7" x14ac:dyDescent="0.25">
      <c r="A100" s="50" t="s">
        <v>81</v>
      </c>
      <c r="B100" s="55">
        <v>12.290430000000001</v>
      </c>
      <c r="C100" s="55" t="str">
        <f>IF(OR(""="",12.29043=""),"-",12.29043/""*100)</f>
        <v>-</v>
      </c>
      <c r="D100" s="55" t="str">
        <f>IF(""="","-",""/464796.56015*100)</f>
        <v>-</v>
      </c>
      <c r="E100" s="55">
        <f>IF(12.29043="","-",12.29043/425641.38619*100)</f>
        <v>2.8875082167206679E-3</v>
      </c>
      <c r="F100" s="55" t="str">
        <f>IF(OR(475663.92916="",""="",""=""),"-",(""-"")/475663.92916*100)</f>
        <v>-</v>
      </c>
      <c r="G100" s="55" t="str">
        <f>IF(OR(464796.56015="",12.29043="",""=""),"-",(12.29043-"")/464796.56015*100)</f>
        <v>-</v>
      </c>
    </row>
    <row r="101" spans="1:7" x14ac:dyDescent="0.25">
      <c r="A101" s="50" t="s">
        <v>108</v>
      </c>
      <c r="B101" s="55">
        <v>8.6611600000000006</v>
      </c>
      <c r="C101" s="55">
        <f>IF(OR(56.53675="",8.66116=""),"-",8.66116/56.53675*100)</f>
        <v>15.319522257646575</v>
      </c>
      <c r="D101" s="55">
        <f>IF(56.53675="","-",56.53675/464796.56015*100)</f>
        <v>1.2163762567811249E-2</v>
      </c>
      <c r="E101" s="55">
        <f>IF(8.66116="","-",8.66116/425641.38619*100)</f>
        <v>2.0348491197079662E-3</v>
      </c>
      <c r="F101" s="55">
        <f>IF(OR(475663.92916="",100.36322="",56.53675=""),"-",(56.53675-100.36322)/475663.92916*100)</f>
        <v>-9.2137467891238826E-3</v>
      </c>
      <c r="G101" s="55">
        <f>IF(OR(464796.56015="",8.66116="",56.53675=""),"-",(8.66116-56.53675)/464796.56015*100)</f>
        <v>-1.0300332253868122E-2</v>
      </c>
    </row>
    <row r="102" spans="1:7" x14ac:dyDescent="0.25">
      <c r="A102" s="51" t="s">
        <v>68</v>
      </c>
      <c r="B102" s="56">
        <v>7.5979999999999999</v>
      </c>
      <c r="C102" s="56">
        <f>IF(OR(723.8061="",7.598=""),"-",7.598/723.8061*100)</f>
        <v>1.0497286497032838</v>
      </c>
      <c r="D102" s="56">
        <f>IF(723.8061="","-",723.8061/464796.56015*100)</f>
        <v>0.15572535643689187</v>
      </c>
      <c r="E102" s="56">
        <f>IF(7.598="","-",7.598/425641.38619*100)</f>
        <v>1.7850707770715618E-3</v>
      </c>
      <c r="F102" s="56">
        <f>IF(OR(475663.92916="",22.26872="",723.8061=""),"-",(723.8061-22.26872)/475663.92916*100)</f>
        <v>0.14748593218722339</v>
      </c>
      <c r="G102" s="56">
        <f>IF(OR(464796.56015="",7.598="",723.8061=""),"-",(7.598-723.8061)/464796.56015*100)</f>
        <v>-0.15409066275552127</v>
      </c>
    </row>
    <row r="103" spans="1:7" x14ac:dyDescent="0.25">
      <c r="A103" s="33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9"/>
  <sheetViews>
    <sheetView zoomScaleNormal="100" workbookViewId="0">
      <selection activeCell="A82" sqref="A82"/>
    </sheetView>
  </sheetViews>
  <sheetFormatPr defaultRowHeight="15.75" x14ac:dyDescent="0.25"/>
  <cols>
    <col min="1" max="1" width="27.5" customWidth="1"/>
    <col min="2" max="2" width="12.875" customWidth="1"/>
    <col min="3" max="3" width="10.625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100" t="s">
        <v>150</v>
      </c>
      <c r="B1" s="100"/>
      <c r="C1" s="100"/>
      <c r="D1" s="100"/>
      <c r="E1" s="100"/>
      <c r="F1" s="100"/>
      <c r="G1" s="100"/>
    </row>
    <row r="2" spans="1:7" x14ac:dyDescent="0.25">
      <c r="A2" s="2"/>
    </row>
    <row r="3" spans="1:7" ht="55.5" customHeight="1" x14ac:dyDescent="0.25">
      <c r="A3" s="88"/>
      <c r="B3" s="91" t="s">
        <v>249</v>
      </c>
      <c r="C3" s="92"/>
      <c r="D3" s="91" t="s">
        <v>109</v>
      </c>
      <c r="E3" s="92"/>
      <c r="F3" s="93" t="s">
        <v>121</v>
      </c>
      <c r="G3" s="94"/>
    </row>
    <row r="4" spans="1:7" ht="21" customHeight="1" x14ac:dyDescent="0.25">
      <c r="A4" s="89"/>
      <c r="B4" s="95" t="s">
        <v>100</v>
      </c>
      <c r="C4" s="97" t="s">
        <v>252</v>
      </c>
      <c r="D4" s="99" t="s">
        <v>248</v>
      </c>
      <c r="E4" s="99"/>
      <c r="F4" s="99" t="s">
        <v>248</v>
      </c>
      <c r="G4" s="91"/>
    </row>
    <row r="5" spans="1:7" ht="33.75" customHeight="1" x14ac:dyDescent="0.25">
      <c r="A5" s="90"/>
      <c r="B5" s="96"/>
      <c r="C5" s="98"/>
      <c r="D5" s="28">
        <v>2020</v>
      </c>
      <c r="E5" s="28">
        <v>2021</v>
      </c>
      <c r="F5" s="28" t="s">
        <v>137</v>
      </c>
      <c r="G5" s="27" t="s">
        <v>251</v>
      </c>
    </row>
    <row r="6" spans="1:7" s="3" customFormat="1" ht="15" x14ac:dyDescent="0.25">
      <c r="A6" s="49" t="s">
        <v>130</v>
      </c>
      <c r="B6" s="53">
        <v>923234.79735000001</v>
      </c>
      <c r="C6" s="53">
        <f>IF(864624.24072="","-",923234.79735/864624.24072*100)</f>
        <v>106.77873160035314</v>
      </c>
      <c r="D6" s="53">
        <v>100</v>
      </c>
      <c r="E6" s="53">
        <v>100</v>
      </c>
      <c r="F6" s="53">
        <f>IF(831797.47999="","-",(864624.24072-831797.47999)/831797.47999*100)</f>
        <v>3.9464847537641767</v>
      </c>
      <c r="G6" s="53">
        <f>IF(864624.24072="","-",(923234.79735-864624.24072)/864624.24072*100)</f>
        <v>6.7787316003531357</v>
      </c>
    </row>
    <row r="7" spans="1:7" s="3" customFormat="1" ht="15" x14ac:dyDescent="0.25">
      <c r="A7" s="36" t="s">
        <v>134</v>
      </c>
      <c r="B7" s="43"/>
      <c r="C7" s="43"/>
      <c r="D7" s="43"/>
      <c r="E7" s="43"/>
      <c r="F7" s="43"/>
      <c r="G7" s="43"/>
    </row>
    <row r="8" spans="1:7" ht="12.75" customHeight="1" x14ac:dyDescent="0.25">
      <c r="A8" s="37" t="s">
        <v>157</v>
      </c>
      <c r="B8" s="54">
        <v>426429.55258000002</v>
      </c>
      <c r="C8" s="54">
        <f>IF(400841.64019="","-",426429.55258/400841.64019*100)</f>
        <v>106.38354647433117</v>
      </c>
      <c r="D8" s="54">
        <f>IF(400841.64019="","-",400841.64019/864624.24072*100)</f>
        <v>46.360213062752727</v>
      </c>
      <c r="E8" s="54">
        <f>IF(426429.55258="","-",426429.55258/923234.79735*100)</f>
        <v>46.188635199192973</v>
      </c>
      <c r="F8" s="54">
        <f>IF(831797.47999="","-",(400841.64019-378629.804)/831797.47999*100)</f>
        <v>2.6703418469441664</v>
      </c>
      <c r="G8" s="54">
        <f>IF(864624.24072="","-",(426429.55258-400841.64019)/864624.24072*100)</f>
        <v>2.959425746459774</v>
      </c>
    </row>
    <row r="9" spans="1:7" x14ac:dyDescent="0.25">
      <c r="A9" s="50" t="s">
        <v>2</v>
      </c>
      <c r="B9" s="55">
        <v>116137.23577</v>
      </c>
      <c r="C9" s="55">
        <f>IF(OR(123108.1302="",116137.23577=""),"-",116137.23577/123108.1302*100)</f>
        <v>94.337584025786796</v>
      </c>
      <c r="D9" s="55">
        <f>IF(123108.1302="","-",123108.1302/864624.24072*100)</f>
        <v>14.238338968785325</v>
      </c>
      <c r="E9" s="55">
        <f>IF(116137.23577="","-",116137.23577/923234.79735*100)</f>
        <v>12.579382417490507</v>
      </c>
      <c r="F9" s="55">
        <f>IF(OR(831797.47999="",108721.15427="",123108.1302=""),"-",(123108.1302-108721.15427)/831797.47999*100)</f>
        <v>1.7296248517334967</v>
      </c>
      <c r="G9" s="55">
        <f>IF(OR(864624.24072="",116137.23577="",123108.1302=""),"-",(116137.23577-123108.1302)/864624.24072*100)</f>
        <v>-0.80623398023112502</v>
      </c>
    </row>
    <row r="10" spans="1:7" s="9" customFormat="1" x14ac:dyDescent="0.25">
      <c r="A10" s="50" t="s">
        <v>4</v>
      </c>
      <c r="B10" s="55">
        <v>72745.428289999996</v>
      </c>
      <c r="C10" s="55">
        <f>IF(OR(67311.15812="",72745.42829=""),"-",72745.42829/67311.15812*100)</f>
        <v>108.0733571101421</v>
      </c>
      <c r="D10" s="55">
        <f>IF(67311.15812="","-",67311.15812/864624.24072*100)</f>
        <v>7.7850186184865526</v>
      </c>
      <c r="E10" s="55">
        <f>IF(72745.42829="","-",72745.42829/923234.79735*100)</f>
        <v>7.8794071127739427</v>
      </c>
      <c r="F10" s="55">
        <f>IF(OR(831797.47999="",65822.32263="",67311.15812=""),"-",(67311.15812-65822.32263)/831797.47999*100)</f>
        <v>0.17899014192948706</v>
      </c>
      <c r="G10" s="55">
        <f>IF(OR(864624.24072="",72745.42829="",67311.15812=""),"-",(72745.42829-67311.15812)/864624.24072*100)</f>
        <v>0.62851235416146956</v>
      </c>
    </row>
    <row r="11" spans="1:7" s="9" customFormat="1" x14ac:dyDescent="0.25">
      <c r="A11" s="50" t="s">
        <v>3</v>
      </c>
      <c r="B11" s="55">
        <v>57731.758159999998</v>
      </c>
      <c r="C11" s="55">
        <f>IF(OR(49871.05658="",57731.75816=""),"-",57731.75816/49871.05658*100)</f>
        <v>115.76205141631672</v>
      </c>
      <c r="D11" s="55">
        <f>IF(49871.05658="","-",49871.05658/864624.24072*100)</f>
        <v>5.7679456845288986</v>
      </c>
      <c r="E11" s="55">
        <f>IF(57731.75816="","-",57731.75816/923234.79735*100)</f>
        <v>6.2532043122410368</v>
      </c>
      <c r="F11" s="55">
        <f>IF(OR(831797.47999="",50454.12397="",49871.05658=""),"-",(49871.05658-50454.12397)/831797.47999*100)</f>
        <v>-7.0097277766099197E-2</v>
      </c>
      <c r="G11" s="55">
        <f>IF(OR(864624.24072="",57731.75816="",49871.05658=""),"-",(57731.75816-49871.05658)/864624.24072*100)</f>
        <v>0.90914656446066633</v>
      </c>
    </row>
    <row r="12" spans="1:7" s="9" customFormat="1" x14ac:dyDescent="0.25">
      <c r="A12" s="50" t="s">
        <v>5</v>
      </c>
      <c r="B12" s="55">
        <v>36932.257400000002</v>
      </c>
      <c r="C12" s="55">
        <f>IF(OR(33568.67074="",36932.2574=""),"-",36932.2574/33568.67074*100)</f>
        <v>110.02001743248056</v>
      </c>
      <c r="D12" s="55">
        <f>IF(33568.67074="","-",33568.67074/864624.24072*100)</f>
        <v>3.8824577381784144</v>
      </c>
      <c r="E12" s="55">
        <f>IF(36932.2574="","-",36932.2574/923234.79735*100)</f>
        <v>4.0003103767327906</v>
      </c>
      <c r="F12" s="55">
        <f>IF(OR(831797.47999="",27285.71681="",33568.67074=""),"-",(33568.67074-27285.71681)/831797.47999*100)</f>
        <v>0.75534659350921984</v>
      </c>
      <c r="G12" s="55">
        <f>IF(OR(864624.24072="",36932.2574="",33568.67074=""),"-",(36932.2574-33568.67074)/864624.24072*100)</f>
        <v>0.38902294217416755</v>
      </c>
    </row>
    <row r="13" spans="1:7" s="9" customFormat="1" x14ac:dyDescent="0.25">
      <c r="A13" s="50" t="s">
        <v>124</v>
      </c>
      <c r="B13" s="55">
        <v>28268.8688</v>
      </c>
      <c r="C13" s="55">
        <f>IF(OR(21248.34128="",28268.8688=""),"-",28268.8688/21248.34128*100)</f>
        <v>133.04035560934852</v>
      </c>
      <c r="D13" s="55">
        <f>IF(21248.34128="","-",21248.34128/864624.24072*100)</f>
        <v>2.4575231967017062</v>
      </c>
      <c r="E13" s="55">
        <f>IF(28268.8688="","-",28268.8688/923234.79735*100)</f>
        <v>3.0619371021479402</v>
      </c>
      <c r="F13" s="55">
        <f>IF(OR(831797.47999="",21836.85881="",21248.34128=""),"-",(21248.34128-21836.85881)/831797.47999*100)</f>
        <v>-7.0752502160390793E-2</v>
      </c>
      <c r="G13" s="55">
        <f>IF(OR(864624.24072="",28268.8688="",21248.34128=""),"-",(28268.8688-21248.34128)/864624.24072*100)</f>
        <v>0.81197440337247362</v>
      </c>
    </row>
    <row r="14" spans="1:7" s="9" customFormat="1" x14ac:dyDescent="0.25">
      <c r="A14" s="50" t="s">
        <v>43</v>
      </c>
      <c r="B14" s="55">
        <v>20146.22985</v>
      </c>
      <c r="C14" s="55">
        <f>IF(OR(18753.81488="",20146.22985=""),"-",20146.22985/18753.81488*100)</f>
        <v>107.42470254137433</v>
      </c>
      <c r="D14" s="55">
        <f>IF(18753.81488="","-",18753.81488/864624.24072*100)</f>
        <v>2.1690133120004949</v>
      </c>
      <c r="E14" s="55">
        <f>IF(20146.22985="","-",20146.22985/923234.79735*100)</f>
        <v>2.1821350221879179</v>
      </c>
      <c r="F14" s="55">
        <f>IF(OR(831797.47999="",16865.48477="",18753.81488=""),"-",(18753.81488-16865.48477)/831797.47999*100)</f>
        <v>0.22701801284883724</v>
      </c>
      <c r="G14" s="55">
        <f>IF(OR(864624.24072="",20146.22985="",18753.81488=""),"-",(20146.22985-18753.81488)/864624.24072*100)</f>
        <v>0.16104278649884832</v>
      </c>
    </row>
    <row r="15" spans="1:7" s="9" customFormat="1" x14ac:dyDescent="0.25">
      <c r="A15" s="50" t="s">
        <v>7</v>
      </c>
      <c r="B15" s="55">
        <v>16975.750840000001</v>
      </c>
      <c r="C15" s="55">
        <f>IF(OR(15185.75085="",16975.75084=""),"-",16975.75084/15185.75085*100)</f>
        <v>111.7873657198847</v>
      </c>
      <c r="D15" s="55">
        <f>IF(15185.75085="","-",15185.75085/864624.24072*100)</f>
        <v>1.7563410941791713</v>
      </c>
      <c r="E15" s="55">
        <f>IF(16975.75084="","-",16975.75084/923234.79735*100)</f>
        <v>1.8387251963125975</v>
      </c>
      <c r="F15" s="55">
        <f>IF(OR(831797.47999="",16522.44166="",15185.75085=""),"-",(15185.75085-16522.44166)/831797.47999*100)</f>
        <v>-0.16069906944369078</v>
      </c>
      <c r="G15" s="55">
        <f>IF(OR(864624.24072="",16975.75084="",15185.75085=""),"-",(16975.75084-15185.75085)/864624.24072*100)</f>
        <v>0.20702634805952361</v>
      </c>
    </row>
    <row r="16" spans="1:7" s="9" customFormat="1" x14ac:dyDescent="0.25">
      <c r="A16" s="50" t="s">
        <v>41</v>
      </c>
      <c r="B16" s="55">
        <v>12571.473040000001</v>
      </c>
      <c r="C16" s="55">
        <f>IF(OR(12231.45182="",12571.47304=""),"-",12571.47304/12231.45182*100)</f>
        <v>102.77989256716052</v>
      </c>
      <c r="D16" s="55">
        <f>IF(12231.45182="","-",12231.45182/864624.24072*100)</f>
        <v>1.4146552044174106</v>
      </c>
      <c r="E16" s="55">
        <f>IF(12571.47304="","-",12571.47304/923234.79735*100)</f>
        <v>1.3616766911390723</v>
      </c>
      <c r="F16" s="55">
        <f>IF(OR(831797.47999="",11070.39357="",12231.45182=""),"-",(12231.45182-11070.39357)/831797.47999*100)</f>
        <v>0.13958424711913753</v>
      </c>
      <c r="G16" s="55">
        <f>IF(OR(864624.24072="",12571.47304="",12231.45182=""),"-",(12571.47304-12231.45182)/864624.24072*100)</f>
        <v>3.9325894878549102E-2</v>
      </c>
    </row>
    <row r="17" spans="1:7" s="9" customFormat="1" x14ac:dyDescent="0.25">
      <c r="A17" s="50" t="s">
        <v>8</v>
      </c>
      <c r="B17" s="55">
        <v>12142.897199999999</v>
      </c>
      <c r="C17" s="55">
        <f>IF(OR(10139.14634="",12142.8972=""),"-",12142.8972/10139.14634*100)</f>
        <v>119.76252036224186</v>
      </c>
      <c r="D17" s="55">
        <f>IF(10139.14634="","-",10139.14634/864624.24072*100)</f>
        <v>1.1726650563899077</v>
      </c>
      <c r="E17" s="55">
        <f>IF(12142.8972="","-",12142.8972/923234.79735*100)</f>
        <v>1.3152555812296365</v>
      </c>
      <c r="F17" s="55">
        <f>IF(OR(831797.47999="",13792.95707="",10139.14634=""),"-",(10139.14634-13792.95707)/831797.47999*100)</f>
        <v>-0.43926686698352679</v>
      </c>
      <c r="G17" s="55">
        <f>IF(OR(864624.24072="",12142.8972="",10139.14634=""),"-",(12142.8972-10139.14634)/864624.24072*100)</f>
        <v>0.23174817054995048</v>
      </c>
    </row>
    <row r="18" spans="1:7" s="9" customFormat="1" x14ac:dyDescent="0.25">
      <c r="A18" s="50" t="s">
        <v>10</v>
      </c>
      <c r="B18" s="55">
        <v>8929.0714800000005</v>
      </c>
      <c r="C18" s="55">
        <f>IF(OR(9097.78512="",8929.07148=""),"-",8929.07148/9097.78512*100)</f>
        <v>98.145552595772884</v>
      </c>
      <c r="D18" s="55">
        <f>IF(9097.78512="","-",9097.78512/864624.24072*100)</f>
        <v>1.0522241560592827</v>
      </c>
      <c r="E18" s="55">
        <f>IF(8929.07148="","-",8929.07148/923234.79735*100)</f>
        <v>0.96715066477449652</v>
      </c>
      <c r="F18" s="55">
        <f>IF(OR(831797.47999="",7324.83383="",9097.78512=""),"-",(9097.78512-7324.83383)/831797.47999*100)</f>
        <v>0.21314698982032448</v>
      </c>
      <c r="G18" s="55">
        <f>IF(OR(864624.24072="",8929.07148="",9097.78512=""),"-",(8929.07148-9097.78512)/864624.24072*100)</f>
        <v>-1.9512943548691944E-2</v>
      </c>
    </row>
    <row r="19" spans="1:7" s="9" customFormat="1" x14ac:dyDescent="0.25">
      <c r="A19" s="50" t="s">
        <v>6</v>
      </c>
      <c r="B19" s="55">
        <v>7446.4111400000002</v>
      </c>
      <c r="C19" s="55">
        <f>IF(OR(8432.96019="",7446.41114=""),"-",7446.41114/8432.96019*100)</f>
        <v>88.301272296175753</v>
      </c>
      <c r="D19" s="55">
        <f>IF(8432.96019="","-",8432.96019/864624.24072*100)</f>
        <v>0.9753323805700389</v>
      </c>
      <c r="E19" s="55">
        <f>IF(7446.41114="","-",7446.41114/923234.79735*100)</f>
        <v>0.80655659441929062</v>
      </c>
      <c r="F19" s="55">
        <f>IF(OR(831797.47999="",5870.17023="",8432.96019=""),"-",(8432.96019-5870.17023)/831797.47999*100)</f>
        <v>0.30810263575585856</v>
      </c>
      <c r="G19" s="55">
        <f>IF(OR(864624.24072="",7446.41114="",8432.96019=""),"-",(7446.41114-8432.96019)/864624.24072*100)</f>
        <v>-0.11410147941011564</v>
      </c>
    </row>
    <row r="20" spans="1:7" s="9" customFormat="1" ht="15.75" customHeight="1" x14ac:dyDescent="0.25">
      <c r="A20" s="50" t="s">
        <v>42</v>
      </c>
      <c r="B20" s="55">
        <v>5816.8132500000002</v>
      </c>
      <c r="C20" s="55">
        <f>IF(OR(4818.28868="",5816.81325=""),"-",5816.81325/4818.28868*100)</f>
        <v>120.72363522228811</v>
      </c>
      <c r="D20" s="55">
        <f>IF(4818.28868="","-",4818.28868/864624.24072*100)</f>
        <v>0.55726967312270337</v>
      </c>
      <c r="E20" s="55">
        <f>IF(5816.81325="","-",5816.81325/923234.79735*100)</f>
        <v>0.63004701151822329</v>
      </c>
      <c r="F20" s="55">
        <f>IF(OR(831797.47999="",5653.41477="",4818.28868=""),"-",(4818.28868-5653.41477)/831797.47999*100)</f>
        <v>-0.10040017072545598</v>
      </c>
      <c r="G20" s="55">
        <f>IF(OR(864624.24072="",5816.81325="",4818.28868=""),"-",(5816.81325-4818.28868)/864624.24072*100)</f>
        <v>0.11548653426238632</v>
      </c>
    </row>
    <row r="21" spans="1:7" s="9" customFormat="1" x14ac:dyDescent="0.25">
      <c r="A21" s="50" t="s">
        <v>45</v>
      </c>
      <c r="B21" s="55">
        <v>4594.85977</v>
      </c>
      <c r="C21" s="55">
        <f>IF(OR(3550.11235="",4594.85977=""),"-",4594.85977/3550.11235*100)</f>
        <v>129.42857343655618</v>
      </c>
      <c r="D21" s="55">
        <f>IF(3550.11235="","-",3550.11235/864624.24072*100)</f>
        <v>0.41059597716618595</v>
      </c>
      <c r="E21" s="55">
        <f>IF(4594.85977="","-",4594.85977/923234.79735*100)</f>
        <v>0.49769135470075665</v>
      </c>
      <c r="F21" s="55">
        <f>IF(OR(831797.47999="",5379.73784="",3550.11235=""),"-",(3550.11235-5379.73784)/831797.47999*100)</f>
        <v>-0.21996045119323948</v>
      </c>
      <c r="G21" s="55">
        <f>IF(OR(864624.24072="",4594.85977="",3550.11235=""),"-",(4594.85977-3550.11235)/864624.24072*100)</f>
        <v>0.12083253866789645</v>
      </c>
    </row>
    <row r="22" spans="1:7" s="9" customFormat="1" x14ac:dyDescent="0.25">
      <c r="A22" s="50" t="s">
        <v>53</v>
      </c>
      <c r="B22" s="55">
        <v>4372.6070300000001</v>
      </c>
      <c r="C22" s="55">
        <f>IF(OR(4343.14568="",4372.60703=""),"-",4372.60703/4343.14568*100)</f>
        <v>100.6783412800466</v>
      </c>
      <c r="D22" s="55">
        <f>IF(4343.14568="","-",4343.14568/864624.24072*100)</f>
        <v>0.50231597443802001</v>
      </c>
      <c r="E22" s="55">
        <f>IF(4372.60703="","-",4372.60703/923234.79735*100)</f>
        <v>0.47361809179537856</v>
      </c>
      <c r="F22" s="55">
        <f>IF(OR(831797.47999="",3741.18556="",4343.14568=""),"-",(4343.14568-3741.18556)/831797.47999*100)</f>
        <v>7.2368591451760181E-2</v>
      </c>
      <c r="G22" s="55">
        <f>IF(OR(864624.24072="",4372.60703="",4343.14568=""),"-",(4372.60703-4343.14568)/864624.24072*100)</f>
        <v>3.4074166108814035E-3</v>
      </c>
    </row>
    <row r="23" spans="1:7" s="9" customFormat="1" x14ac:dyDescent="0.25">
      <c r="A23" s="50" t="s">
        <v>52</v>
      </c>
      <c r="B23" s="55">
        <v>4226.8764000000001</v>
      </c>
      <c r="C23" s="55">
        <f>IF(OR(3047.37709="",4226.8764=""),"-",4226.8764/3047.37709*100)</f>
        <v>138.70539402132212</v>
      </c>
      <c r="D23" s="55">
        <f>IF(3047.37709="","-",3047.37709/864624.24072*100)</f>
        <v>0.35245103554607171</v>
      </c>
      <c r="E23" s="55">
        <f>IF(4226.8764="","-",4226.8764/923234.79735*100)</f>
        <v>0.4578333065578315</v>
      </c>
      <c r="F23" s="55">
        <f>IF(OR(831797.47999="",2556.1463="",3047.37709=""),"-",(3047.37709-2556.1463)/831797.47999*100)</f>
        <v>5.9056537416524231E-2</v>
      </c>
      <c r="G23" s="55">
        <f>IF(OR(864624.24072="",4226.8764="",3047.37709=""),"-",(4226.8764-3047.37709)/864624.24072*100)</f>
        <v>0.13641756204033717</v>
      </c>
    </row>
    <row r="24" spans="1:7" s="9" customFormat="1" x14ac:dyDescent="0.25">
      <c r="A24" s="50" t="s">
        <v>9</v>
      </c>
      <c r="B24" s="55">
        <v>3469.6042000000002</v>
      </c>
      <c r="C24" s="55">
        <f>IF(OR(2360.8408="",3469.6042=""),"-",3469.6042/2360.8408*100)</f>
        <v>146.9647678064527</v>
      </c>
      <c r="D24" s="55">
        <f>IF(2360.8408="","-",2360.8408/864624.24072*100)</f>
        <v>0.27304818542145581</v>
      </c>
      <c r="E24" s="55">
        <f>IF(3469.6042="","-",3469.6042/923234.79735*100)</f>
        <v>0.37580951345843466</v>
      </c>
      <c r="F24" s="55">
        <f>IF(OR(831797.47999="",2698.89543="",2360.8408=""),"-",(2360.8408-2698.89543)/831797.47999*100)</f>
        <v>-4.0641458784422407E-2</v>
      </c>
      <c r="G24" s="55">
        <f>IF(OR(864624.24072="",3469.6042="",2360.8408=""),"-",(3469.6042-2360.8408)/864624.24072*100)</f>
        <v>0.12823644628291914</v>
      </c>
    </row>
    <row r="25" spans="1:7" s="9" customFormat="1" x14ac:dyDescent="0.25">
      <c r="A25" s="50" t="s">
        <v>51</v>
      </c>
      <c r="B25" s="55">
        <v>3156.6260600000001</v>
      </c>
      <c r="C25" s="55">
        <f>IF(OR(3035.72985="",3156.62606=""),"-",3156.62606/3035.72985*100)</f>
        <v>103.98244297001594</v>
      </c>
      <c r="D25" s="55">
        <f>IF(3035.72985="","-",3035.72985/864624.24072*100)</f>
        <v>0.35110394863230432</v>
      </c>
      <c r="E25" s="55">
        <f>IF(3156.62606="","-",3156.62606/923234.79735*100)</f>
        <v>0.34190934625304398</v>
      </c>
      <c r="F25" s="55">
        <f>IF(OR(831797.47999="",3818.19713="",3035.72985=""),"-",(3035.72985-3818.19713)/831797.47999*100)</f>
        <v>-9.4069445847492439E-2</v>
      </c>
      <c r="G25" s="55">
        <f>IF(OR(864624.24072="",3156.62606="",3035.72985=""),"-",(3156.62606-3035.72985)/864624.24072*100)</f>
        <v>1.3982514519755514E-2</v>
      </c>
    </row>
    <row r="26" spans="1:7" s="9" customFormat="1" x14ac:dyDescent="0.25">
      <c r="A26" s="50" t="s">
        <v>49</v>
      </c>
      <c r="B26" s="55">
        <v>2401.1765799999998</v>
      </c>
      <c r="C26" s="55">
        <f>IF(OR(1790.05525="",2401.17658=""),"-",2401.17658/1790.05525*100)</f>
        <v>134.13980266810199</v>
      </c>
      <c r="D26" s="55">
        <f>IF(1790.05525="","-",1790.05525/864624.24072*100)</f>
        <v>0.20703273927519822</v>
      </c>
      <c r="E26" s="55">
        <f>IF(2401.17658="","-",2401.17658/923234.79735*100)</f>
        <v>0.26008298072085223</v>
      </c>
      <c r="F26" s="55">
        <f>IF(OR(831797.47999="",1914.92182="",1790.05525=""),"-",(1790.05525-1914.92182)/831797.47999*100)</f>
        <v>-1.5011655241069174E-2</v>
      </c>
      <c r="G26" s="55">
        <f>IF(OR(864624.24072="",2401.17658="",1790.05525=""),"-",(2401.17658-1790.05525)/864624.24072*100)</f>
        <v>7.0680568646918782E-2</v>
      </c>
    </row>
    <row r="27" spans="1:7" s="9" customFormat="1" x14ac:dyDescent="0.25">
      <c r="A27" s="50" t="s">
        <v>46</v>
      </c>
      <c r="B27" s="55">
        <v>2037.8973100000001</v>
      </c>
      <c r="C27" s="55">
        <f>IF(OR(1584.50871="",2037.89731=""),"-",2037.89731/1584.50871*100)</f>
        <v>128.61382819410315</v>
      </c>
      <c r="D27" s="55">
        <f>IF(1584.50871="","-",1584.50871/864624.24072*100)</f>
        <v>0.18325980644268422</v>
      </c>
      <c r="E27" s="55">
        <f>IF(2037.89731="","-",2037.89731/923234.79735*100)</f>
        <v>0.22073445626718827</v>
      </c>
      <c r="F27" s="55">
        <f>IF(OR(831797.47999="",1503.03637="",1584.50871=""),"-",(1584.50871-1503.03637)/831797.47999*100)</f>
        <v>9.7947327276081079E-3</v>
      </c>
      <c r="G27" s="55">
        <f>IF(OR(864624.24072="",2037.89731="",1584.50871=""),"-",(2037.89731-1584.50871)/864624.24072*100)</f>
        <v>5.2437646164355617E-2</v>
      </c>
    </row>
    <row r="28" spans="1:7" s="9" customFormat="1" x14ac:dyDescent="0.25">
      <c r="A28" s="50" t="s">
        <v>50</v>
      </c>
      <c r="B28" s="55">
        <v>1653.0263299999999</v>
      </c>
      <c r="C28" s="55">
        <f>IF(OR(1483.04315="",1653.02633=""),"-",1653.02633/1483.04315*100)</f>
        <v>111.4617824842116</v>
      </c>
      <c r="D28" s="55">
        <f>IF(1483.04315="","-",1483.04315/864624.24072*100)</f>
        <v>0.17152458607510504</v>
      </c>
      <c r="E28" s="55">
        <f>IF(1653.02633="","-",1653.02633/923234.79735*100)</f>
        <v>0.17904722988612989</v>
      </c>
      <c r="F28" s="55">
        <f>IF(OR(831797.47999="",1665.7784="",1483.04315=""),"-",(1483.04315-1665.7784)/831797.47999*100)</f>
        <v>-2.1968718876402081E-2</v>
      </c>
      <c r="G28" s="55">
        <f>IF(OR(864624.24072="",1653.02633="",1483.04315=""),"-",(1653.02633-1483.04315)/864624.24072*100)</f>
        <v>1.9659774962872838E-2</v>
      </c>
    </row>
    <row r="29" spans="1:7" s="9" customFormat="1" x14ac:dyDescent="0.25">
      <c r="A29" s="50" t="s">
        <v>44</v>
      </c>
      <c r="B29" s="55">
        <v>1207.7212500000001</v>
      </c>
      <c r="C29" s="55">
        <f>IF(OR(2750.1897="",1207.72125=""),"-",1207.72125/2750.1897*100)</f>
        <v>43.914107088685562</v>
      </c>
      <c r="D29" s="55">
        <f>IF(2750.1897="","-",2750.1897/864624.24072*100)</f>
        <v>0.31807918058251872</v>
      </c>
      <c r="E29" s="55">
        <f>IF(1207.72125="","-",1207.72125/923234.79735*100)</f>
        <v>0.13081409555473575</v>
      </c>
      <c r="F29" s="55">
        <f>IF(OR(831797.47999="",2007.75878="",2750.1897=""),"-",(2750.1897-2007.75878)/831797.47999*100)</f>
        <v>8.9256211741459673E-2</v>
      </c>
      <c r="G29" s="55">
        <f>IF(OR(864624.24072="",1207.72125="",2750.1897=""),"-",(1207.72125-2750.1897)/864624.24072*100)</f>
        <v>-0.17839754859469792</v>
      </c>
    </row>
    <row r="30" spans="1:7" s="9" customFormat="1" x14ac:dyDescent="0.25">
      <c r="A30" s="50" t="s">
        <v>54</v>
      </c>
      <c r="B30" s="55">
        <v>1161.8334299999999</v>
      </c>
      <c r="C30" s="55">
        <f>IF(OR(1540.55744="",1161.83343=""),"-",1161.83343/1540.55744*100)</f>
        <v>75.416430431831216</v>
      </c>
      <c r="D30" s="55">
        <f>IF(1540.55744="","-",1540.55744/864624.24072*100)</f>
        <v>0.17817652657033176</v>
      </c>
      <c r="E30" s="55">
        <f>IF(1161.83343="","-",1161.83343/923234.79735*100)</f>
        <v>0.12584376513264661</v>
      </c>
      <c r="F30" s="55">
        <f>IF(OR(831797.47999="",839.60604="",1540.55744=""),"-",(1540.55744-839.60604)/831797.47999*100)</f>
        <v>8.4269478672672468E-2</v>
      </c>
      <c r="G30" s="55">
        <f>IF(OR(864624.24072="",1161.83343="",1540.55744=""),"-",(1161.83343-1540.55744)/864624.24072*100)</f>
        <v>-4.3802150363564246E-2</v>
      </c>
    </row>
    <row r="31" spans="1:7" s="9" customFormat="1" x14ac:dyDescent="0.25">
      <c r="A31" s="50" t="s">
        <v>125</v>
      </c>
      <c r="B31" s="55">
        <v>960.2826</v>
      </c>
      <c r="C31" s="55">
        <f>IF(OR(902.53267="",960.2826=""),"-",960.2826/902.53267*100)</f>
        <v>106.39865258284777</v>
      </c>
      <c r="D31" s="55">
        <f>IF(902.53267="","-",902.53267/864624.24072*100)</f>
        <v>0.10438438196556142</v>
      </c>
      <c r="E31" s="55">
        <f>IF(960.2826="","-",960.2826/923234.79735*100)</f>
        <v>0.10401282563832515</v>
      </c>
      <c r="F31" s="55">
        <f>IF(OR(831797.47999="",345.05117="",902.53267=""),"-",(902.53267-345.05117)/831797.47999*100)</f>
        <v>6.7021301868659455E-2</v>
      </c>
      <c r="G31" s="55">
        <f>IF(OR(864624.24072="",960.2826="",902.53267=""),"-",(960.2826-902.53267)/864624.24072*100)</f>
        <v>6.6791939527290779E-3</v>
      </c>
    </row>
    <row r="32" spans="1:7" s="9" customFormat="1" x14ac:dyDescent="0.25">
      <c r="A32" s="50" t="s">
        <v>47</v>
      </c>
      <c r="B32" s="55">
        <v>738.87698</v>
      </c>
      <c r="C32" s="55" t="s">
        <v>104</v>
      </c>
      <c r="D32" s="55">
        <f>IF(443.50322="","-",443.50322/864624.24072*100)</f>
        <v>5.1294331006806006E-2</v>
      </c>
      <c r="E32" s="55">
        <f>IF(738.87698="","-",738.87698/923234.79735*100)</f>
        <v>8.0031318373270807E-2</v>
      </c>
      <c r="F32" s="55">
        <f>IF(OR(831797.47999="",673.92447="",443.50322=""),"-",(443.50322-673.92447)/831797.47999*100)</f>
        <v>-2.7701604722674827E-2</v>
      </c>
      <c r="G32" s="55">
        <f>IF(OR(864624.24072="",738.87698="",443.50322=""),"-",(738.87698-443.50322)/864624.24072*100)</f>
        <v>3.416209563521292E-2</v>
      </c>
    </row>
    <row r="33" spans="1:7" s="9" customFormat="1" x14ac:dyDescent="0.25">
      <c r="A33" s="50" t="s">
        <v>55</v>
      </c>
      <c r="B33" s="55">
        <v>529.27499</v>
      </c>
      <c r="C33" s="55" t="s">
        <v>246</v>
      </c>
      <c r="D33" s="55">
        <f>IF(115.63382="","-",115.63382/864624.24072*100)</f>
        <v>1.3373881341067659E-2</v>
      </c>
      <c r="E33" s="55">
        <f>IF(529.27499="","-",529.27499/923234.79735*100)</f>
        <v>5.7328319027749E-2</v>
      </c>
      <c r="F33" s="55">
        <f>IF(OR(831797.47999="",161.24184="",115.63382=""),"-",(115.63382-161.24184)/831797.47999*100)</f>
        <v>-5.4830678256621189E-3</v>
      </c>
      <c r="G33" s="55">
        <f>IF(OR(864624.24072="",529.27499="",115.63382=""),"-",(529.27499-115.63382)/864624.24072*100)</f>
        <v>4.7840570564566622E-2</v>
      </c>
    </row>
    <row r="34" spans="1:7" s="9" customFormat="1" x14ac:dyDescent="0.25">
      <c r="A34" s="50" t="s">
        <v>48</v>
      </c>
      <c r="B34" s="55">
        <v>69.52046</v>
      </c>
      <c r="C34" s="55">
        <f>IF(OR(126.9544="",69.52046=""),"-",69.52046/126.9544*100)</f>
        <v>54.760181608514543</v>
      </c>
      <c r="D34" s="55">
        <f>IF(126.9544="","-",126.9544/864624.24072*100)</f>
        <v>1.4683187680960812E-2</v>
      </c>
      <c r="E34" s="55">
        <f>IF(69.52046="","-",69.52046/923234.79735*100)</f>
        <v>7.5300952909863796E-3</v>
      </c>
      <c r="F34" s="55">
        <f>IF(OR(831797.47999="",95.67696="",126.9544=""),"-",(126.9544-95.67696)/831797.47999*100)</f>
        <v>3.7602229812449105E-3</v>
      </c>
      <c r="G34" s="55">
        <f>IF(OR(864624.24072="",69.52046="",126.9544=""),"-",(69.52046-126.9544)/864624.24072*100)</f>
        <v>-6.6426474409476358E-3</v>
      </c>
    </row>
    <row r="35" spans="1:7" s="9" customFormat="1" x14ac:dyDescent="0.25">
      <c r="A35" s="50" t="s">
        <v>56</v>
      </c>
      <c r="B35" s="55">
        <v>5.1739699999999997</v>
      </c>
      <c r="C35" s="55" t="s">
        <v>238</v>
      </c>
      <c r="D35" s="55">
        <f>IF(0.90126="","-",0.90126/864624.24072*100)</f>
        <v>1.0423718854441233E-4</v>
      </c>
      <c r="E35" s="55">
        <f>IF(5.17397="","-",5.17397/923234.79735*100)</f>
        <v>5.6041756819078577E-4</v>
      </c>
      <c r="F35" s="55">
        <f>IF(OR(831797.47999="",8.7735="",0.90126=""),"-",(0.90126-8.7735)/831797.47999*100)</f>
        <v>-9.464130619985337E-4</v>
      </c>
      <c r="G35" s="55">
        <f>IF(OR(864624.24072="",5.17397="",0.90126=""),"-",(5.17397-0.90126)/864624.24072*100)</f>
        <v>4.9416958243525284E-4</v>
      </c>
    </row>
    <row r="36" spans="1:7" s="9" customFormat="1" x14ac:dyDescent="0.25">
      <c r="A36" s="37" t="s">
        <v>230</v>
      </c>
      <c r="B36" s="54">
        <v>221339.78979000001</v>
      </c>
      <c r="C36" s="54">
        <f>IF(221081.46144="","-",221339.78979/221081.46144*100)</f>
        <v>100.11684758564441</v>
      </c>
      <c r="D36" s="54">
        <f>IF(221081.46144="","-",221081.46144/864624.24072*100)</f>
        <v>25.569658011889473</v>
      </c>
      <c r="E36" s="54">
        <f>IF(221339.78979="","-",221339.78979/923234.79735*100)</f>
        <v>23.974376878484325</v>
      </c>
      <c r="F36" s="54">
        <f>IF(831797.47999="","-",(221081.46144-225789.99819)/831797.47999*100)</f>
        <v>-0.5660676863383387</v>
      </c>
      <c r="G36" s="54">
        <f>IF(864624.24072="","-",(221339.78979-221081.46144)/864624.24072*100)</f>
        <v>2.9877528044422848E-2</v>
      </c>
    </row>
    <row r="37" spans="1:7" s="9" customFormat="1" x14ac:dyDescent="0.25">
      <c r="A37" s="50" t="s">
        <v>126</v>
      </c>
      <c r="B37" s="55">
        <v>123835.54757</v>
      </c>
      <c r="C37" s="55">
        <f>IF(OR(125907.89735="",123835.54757=""),"-",123835.54757/125907.89735*100)</f>
        <v>98.354074824838605</v>
      </c>
      <c r="D37" s="55">
        <f>IF(125907.89735="","-",125907.89735/864624.24072*100)</f>
        <v>14.562152137343789</v>
      </c>
      <c r="E37" s="55">
        <f>IF(123835.54757="","-",123835.54757/923234.79735*100)</f>
        <v>13.41322358358355</v>
      </c>
      <c r="F37" s="55">
        <f>IF(OR(831797.47999="",133637.42836="",125907.89735=""),"-",(125907.89735-133637.42836)/831797.47999*100)</f>
        <v>-0.9292563629902939</v>
      </c>
      <c r="G37" s="55">
        <f>IF(OR(864624.24072="",123835.54757="",125907.89735=""),"-",(123835.54757-125907.89735)/864624.24072*100)</f>
        <v>-0.23968212807384312</v>
      </c>
    </row>
    <row r="38" spans="1:7" s="9" customFormat="1" x14ac:dyDescent="0.25">
      <c r="A38" s="50" t="s">
        <v>12</v>
      </c>
      <c r="B38" s="55">
        <v>76521.683780000007</v>
      </c>
      <c r="C38" s="55">
        <f>IF(OR(75016.96145="",76521.68378=""),"-",76521.68378/75016.96145*100)</f>
        <v>102.00584281329887</v>
      </c>
      <c r="D38" s="55">
        <f>IF(75016.96145="","-",75016.96145/864624.24072*100)</f>
        <v>8.6762500884234974</v>
      </c>
      <c r="E38" s="55">
        <f>IF(76521.68378="","-",76521.68378/923234.79735*100)</f>
        <v>8.2884315018934984</v>
      </c>
      <c r="F38" s="55">
        <f>IF(OR(831797.47999="",71815.17972="",75016.96145=""),"-",(75016.96145-71815.17972)/831797.47999*100)</f>
        <v>0.38492323035632359</v>
      </c>
      <c r="G38" s="55">
        <f>IF(OR(864624.24072="",76521.68378="",75016.96145=""),"-",(76521.68378-75016.96145)/864624.24072*100)</f>
        <v>0.17403193886247906</v>
      </c>
    </row>
    <row r="39" spans="1:7" s="9" customFormat="1" x14ac:dyDescent="0.25">
      <c r="A39" s="50" t="s">
        <v>11</v>
      </c>
      <c r="B39" s="55">
        <v>17629.07086</v>
      </c>
      <c r="C39" s="55">
        <f>IF(OR(14656.69517="",17629.07086=""),"-",17629.07086/14656.69517*100)</f>
        <v>120.27998573705752</v>
      </c>
      <c r="D39" s="55">
        <f>IF(14656.69517="","-",14656.69517/864624.24072*100)</f>
        <v>1.6951520070493176</v>
      </c>
      <c r="E39" s="55">
        <f>IF(17629.07086="","-",17629.07086/923234.79735*100)</f>
        <v>1.9094894289731572</v>
      </c>
      <c r="F39" s="55">
        <f>IF(OR(831797.47999="",16080.80234="",14656.69517=""),"-",(14656.69517-16080.80234)/831797.47999*100)</f>
        <v>-0.17120840159519601</v>
      </c>
      <c r="G39" s="55">
        <f>IF(OR(864624.24072="",17629.07086="",14656.69517=""),"-",(17629.07086-14656.69517)/864624.24072*100)</f>
        <v>0.34377658525104587</v>
      </c>
    </row>
    <row r="40" spans="1:7" s="9" customFormat="1" x14ac:dyDescent="0.25">
      <c r="A40" s="50" t="s">
        <v>13</v>
      </c>
      <c r="B40" s="55">
        <v>2089.6854600000001</v>
      </c>
      <c r="C40" s="55">
        <f>IF(OR(2000.42767="",2089.68546=""),"-",2089.68546/2000.42767*100)</f>
        <v>104.46193538204757</v>
      </c>
      <c r="D40" s="55">
        <f>IF(2000.42767="","-",2000.42767/864624.24072*100)</f>
        <v>0.23136381977148598</v>
      </c>
      <c r="E40" s="55">
        <f>IF(2089.68546="","-",2089.68546/923234.79735*100)</f>
        <v>0.22634387980155352</v>
      </c>
      <c r="F40" s="55">
        <f>IF(OR(831797.47999="",1095.81412="",2000.42767=""),"-",(2000.42767-1095.81412)/831797.47999*100)</f>
        <v>0.10875406234831049</v>
      </c>
      <c r="G40" s="55">
        <f>IF(OR(864624.24072="",2089.68546="",2000.42767=""),"-",(2089.68546-2000.42767)/864624.24072*100)</f>
        <v>1.0323304135640742E-2</v>
      </c>
    </row>
    <row r="41" spans="1:7" s="9" customFormat="1" x14ac:dyDescent="0.25">
      <c r="A41" s="50" t="s">
        <v>15</v>
      </c>
      <c r="B41" s="55">
        <v>987.29760999999996</v>
      </c>
      <c r="C41" s="55">
        <f>IF(OR(1065.94329="",987.29761=""),"-",987.29761/1065.94329*100)</f>
        <v>92.621963969584158</v>
      </c>
      <c r="D41" s="55">
        <f>IF(1065.94329="","-",1065.94329/864624.24072*100)</f>
        <v>0.12328399318440982</v>
      </c>
      <c r="E41" s="55">
        <f>IF(987.29761="","-",987.29761/923234.79735*100)</f>
        <v>0.1069389512650392</v>
      </c>
      <c r="F41" s="55">
        <f>IF(OR(831797.47999="",995.68571="",1065.94329=""),"-",(1065.94329-995.68571)/831797.47999*100)</f>
        <v>8.4464766592998817E-3</v>
      </c>
      <c r="G41" s="55">
        <f>IF(OR(864624.24072="",987.29761="",1065.94329=""),"-",(987.29761-1065.94329)/864624.24072*100)</f>
        <v>-9.0959374368811616E-3</v>
      </c>
    </row>
    <row r="42" spans="1:7" s="9" customFormat="1" x14ac:dyDescent="0.25">
      <c r="A42" s="50" t="s">
        <v>17</v>
      </c>
      <c r="B42" s="55">
        <v>121.49594</v>
      </c>
      <c r="C42" s="55">
        <f>IF(OR(117.36413="",121.49594=""),"-",121.49594/117.36413*100)</f>
        <v>103.52050494473907</v>
      </c>
      <c r="D42" s="55">
        <f>IF(117.36413="","-",117.36413/864624.24072*100)</f>
        <v>1.3574004113309055E-2</v>
      </c>
      <c r="E42" s="55">
        <f>IF(121.49594="","-",121.49594/923234.79735*100)</f>
        <v>1.315980943837201E-2</v>
      </c>
      <c r="F42" s="55">
        <f>IF(OR(831797.47999="",160.87978="",117.36413=""),"-",(117.36413-160.87978)/831797.47999*100)</f>
        <v>-5.2315198166413245E-3</v>
      </c>
      <c r="G42" s="55">
        <f>IF(OR(864624.24072="",121.49594="",117.36413=""),"-",(121.49594-117.36413)/864624.24072*100)</f>
        <v>4.7787348600813139E-4</v>
      </c>
    </row>
    <row r="43" spans="1:7" s="9" customFormat="1" x14ac:dyDescent="0.25">
      <c r="A43" s="50" t="s">
        <v>14</v>
      </c>
      <c r="B43" s="55">
        <v>91.273880000000005</v>
      </c>
      <c r="C43" s="55">
        <f>IF(OR(1216.7106="",91.27388=""),"-",91.27388/1216.7106*100)</f>
        <v>7.5016918567159685</v>
      </c>
      <c r="D43" s="55">
        <f>IF(1216.7106="","-",1216.7106/864624.24072*100)</f>
        <v>0.14072131484386868</v>
      </c>
      <c r="E43" s="55">
        <f>IF(91.27388="","-",91.27388/923234.79735*100)</f>
        <v>9.8863128060150355E-3</v>
      </c>
      <c r="F43" s="55">
        <f>IF(OR(831797.47999="",48.80784="",1216.7106=""),"-",(1216.7106-48.80784)/831797.47999*100)</f>
        <v>0.14040710486572294</v>
      </c>
      <c r="G43" s="55">
        <f>IF(OR(864624.24072="",91.27388="",1216.7106=""),"-",(91.27388-1216.7106)/864624.24072*100)</f>
        <v>-0.13016483542756255</v>
      </c>
    </row>
    <row r="44" spans="1:7" s="9" customFormat="1" x14ac:dyDescent="0.25">
      <c r="A44" s="50" t="s">
        <v>127</v>
      </c>
      <c r="B44" s="55">
        <v>40.375309999999999</v>
      </c>
      <c r="C44" s="55" t="s">
        <v>237</v>
      </c>
      <c r="D44" s="55">
        <f>IF(16.24021="","-",16.24021/864624.24072*100)</f>
        <v>1.8782968641355999E-3</v>
      </c>
      <c r="E44" s="55">
        <f>IF(40.37531="","-",40.37531/923234.79735*100)</f>
        <v>4.3732439587297793E-3</v>
      </c>
      <c r="F44" s="55">
        <f>IF(OR(831797.47999="",41.44291="",16.24021=""),"-",(16.24021-41.44291)/831797.47999*100)</f>
        <v>-3.029908193554877E-3</v>
      </c>
      <c r="G44" s="55">
        <f>IF(OR(864624.24072="",40.37531="",16.24021=""),"-",(40.37531-16.24021)/864624.24072*100)</f>
        <v>2.7913975647851294E-3</v>
      </c>
    </row>
    <row r="45" spans="1:7" s="9" customFormat="1" x14ac:dyDescent="0.25">
      <c r="A45" s="50" t="s">
        <v>16</v>
      </c>
      <c r="B45" s="55">
        <v>22.944379999999999</v>
      </c>
      <c r="C45" s="55">
        <f>IF(OR(1083.03606="",22.94438=""),"-",22.94438/1083.03606*100)</f>
        <v>2.1185241052823303</v>
      </c>
      <c r="D45" s="55">
        <f>IF(1083.03606="","-",1083.03606/864624.24072*100)</f>
        <v>0.12526089473250501</v>
      </c>
      <c r="E45" s="55">
        <f>IF(22.94438="","-",22.94438/923234.79735*100)</f>
        <v>2.4852161190044206E-3</v>
      </c>
      <c r="F45" s="55">
        <f>IF(OR(831797.47999="",1913.95741="",1083.03606=""),"-",(1083.03606-1913.95741)/831797.47999*100)</f>
        <v>-9.9894670275989472E-2</v>
      </c>
      <c r="G45" s="55">
        <f>IF(OR(864624.24072="",22.94438="",1083.03606=""),"-",(22.94438-1083.03606)/864624.24072*100)</f>
        <v>-0.12260721248310458</v>
      </c>
    </row>
    <row r="46" spans="1:7" s="9" customFormat="1" x14ac:dyDescent="0.25">
      <c r="A46" s="50" t="s">
        <v>18</v>
      </c>
      <c r="B46" s="55">
        <v>0.41499999999999998</v>
      </c>
      <c r="C46" s="55" t="s">
        <v>226</v>
      </c>
      <c r="D46" s="55">
        <f>IF(0.18551="","-",0.18551/864624.24072*100)</f>
        <v>2.1455563152557458E-5</v>
      </c>
      <c r="E46" s="55">
        <f>IF(0.415="","-",0.415/923234.79735*100)</f>
        <v>4.4950645403660266E-5</v>
      </c>
      <c r="F46" s="55" t="str">
        <f>IF(OR(831797.47999="",""="",0.18551=""),"-",(0.18551-"")/831797.47999*100)</f>
        <v>-</v>
      </c>
      <c r="G46" s="55">
        <f>IF(OR(864624.24072="",0.415="",0.18551=""),"-",(0.415-0.18551)/864624.24072*100)</f>
        <v>2.6542165855643412E-5</v>
      </c>
    </row>
    <row r="47" spans="1:7" s="9" customFormat="1" x14ac:dyDescent="0.25">
      <c r="A47" s="37" t="s">
        <v>158</v>
      </c>
      <c r="B47" s="54">
        <v>275465.45497999998</v>
      </c>
      <c r="C47" s="54">
        <f>IF(242701.13909="","-",275465.45498/242701.13909*100)</f>
        <v>113.49986078056686</v>
      </c>
      <c r="D47" s="54">
        <f>IF(242701.13909="","-",242701.13909/864624.24072*100)</f>
        <v>28.070128925357807</v>
      </c>
      <c r="E47" s="54">
        <f>IF(275465.45498="","-",275465.45498/923234.79735*100)</f>
        <v>29.836987922322706</v>
      </c>
      <c r="F47" s="54">
        <f>IF(831797.47999="","-",(242701.13909-227377.6778)/831797.47999*100)</f>
        <v>1.8422105931583523</v>
      </c>
      <c r="G47" s="54">
        <f>IF(864624.24072="","-",(275465.45498-242701.13909)/864624.24072*100)</f>
        <v>3.7894283258489354</v>
      </c>
    </row>
    <row r="48" spans="1:7" s="9" customFormat="1" x14ac:dyDescent="0.25">
      <c r="A48" s="50" t="s">
        <v>60</v>
      </c>
      <c r="B48" s="55">
        <v>115061.41035999999</v>
      </c>
      <c r="C48" s="55">
        <f>IF(OR(92725.44566="",115061.41036=""),"-",115061.41036/92725.44566*100)</f>
        <v>124.08827969606115</v>
      </c>
      <c r="D48" s="55">
        <f>IF(92725.44566="","-",92725.44566/864624.24072*100)</f>
        <v>10.724363404706832</v>
      </c>
      <c r="E48" s="55">
        <f>IF(115061.41036="","-",115061.41036/923234.79735*100)</f>
        <v>12.462854594547956</v>
      </c>
      <c r="F48" s="55">
        <f>IF(OR(831797.47999="",94761.84671="",92725.44566=""),"-",(92725.44566-94761.84671)/831797.47999*100)</f>
        <v>-0.24481933391099989</v>
      </c>
      <c r="G48" s="55">
        <f>IF(OR(864624.24072="",115061.41036="",92725.44566=""),"-",(115061.41036-92725.44566)/864624.24072*100)</f>
        <v>2.5833146525478088</v>
      </c>
    </row>
    <row r="49" spans="1:7" s="9" customFormat="1" x14ac:dyDescent="0.25">
      <c r="A49" s="50" t="s">
        <v>57</v>
      </c>
      <c r="B49" s="55">
        <v>69500.952969999998</v>
      </c>
      <c r="C49" s="55">
        <f>IF(OR(63030.34983="",69500.95297=""),"-",69500.95297/63030.34983*100)</f>
        <v>110.26585312861495</v>
      </c>
      <c r="D49" s="55">
        <f>IF(63030.34983="","-",63030.34983/864624.24072*100)</f>
        <v>7.2899124106805786</v>
      </c>
      <c r="E49" s="55">
        <f>IF(69500.95297="","-",69500.95297/923234.79735*100)</f>
        <v>7.5279823907733467</v>
      </c>
      <c r="F49" s="55">
        <f>IF(OR(831797.47999="",53359.28007="",63030.34983=""),"-",(63030.34983-53359.28007)/831797.47999*100)</f>
        <v>1.1626712021436114</v>
      </c>
      <c r="G49" s="55">
        <f>IF(OR(864624.24072="",69500.95297="",63030.34983=""),"-",(69500.95297-63030.34983)/864624.24072*100)</f>
        <v>0.7483717012851413</v>
      </c>
    </row>
    <row r="50" spans="1:7" s="9" customFormat="1" x14ac:dyDescent="0.25">
      <c r="A50" s="50" t="s">
        <v>19</v>
      </c>
      <c r="B50" s="55">
        <v>10208.362349999999</v>
      </c>
      <c r="C50" s="55">
        <f>IF(OR(10527.80221="",10208.36235=""),"-",10208.36235/10527.80221*100)</f>
        <v>96.965749796319542</v>
      </c>
      <c r="D50" s="55">
        <f>IF(10527.80221="","-",10527.80221/864624.24072*100)</f>
        <v>1.2176158976566704</v>
      </c>
      <c r="E50" s="55">
        <f>IF(10208.36235="","-",10208.36235/923234.79735*100)</f>
        <v>1.1057168099925929</v>
      </c>
      <c r="F50" s="55">
        <f>IF(OR(831797.47999="",10565.62619="",10527.80221=""),"-",(10527.80221-10565.62619)/831797.47999*100)</f>
        <v>-4.5472583062473029E-3</v>
      </c>
      <c r="G50" s="55">
        <f>IF(OR(864624.24072="",10208.36235="",10527.80221=""),"-",(10208.36235-10527.80221)/864624.24072*100)</f>
        <v>-3.6945512854693122E-2</v>
      </c>
    </row>
    <row r="51" spans="1:7" s="9" customFormat="1" x14ac:dyDescent="0.25">
      <c r="A51" s="50" t="s">
        <v>77</v>
      </c>
      <c r="B51" s="55">
        <v>8344.1728000000003</v>
      </c>
      <c r="C51" s="55">
        <f>IF(OR(8959.11137="",8344.1728=""),"-",8344.1728/8959.11137*100)</f>
        <v>93.136165579332456</v>
      </c>
      <c r="D51" s="55">
        <f>IF(8959.11137="","-",8959.11137/864624.24072*100)</f>
        <v>1.0361855414254248</v>
      </c>
      <c r="E51" s="55">
        <f>IF(8344.1728="","-",8344.1728/923234.79735*100)</f>
        <v>0.90379747643293262</v>
      </c>
      <c r="F51" s="55">
        <f>IF(OR(831797.47999="",6413.60941="",8959.11137=""),"-",(8959.11137-6413.60941)/831797.47999*100)</f>
        <v>0.30602424523221722</v>
      </c>
      <c r="G51" s="55">
        <f>IF(OR(864624.24072="",8344.1728="",8959.11137=""),"-",(8344.1728-8959.11137)/864624.24072*100)</f>
        <v>-7.112205985433874E-2</v>
      </c>
    </row>
    <row r="52" spans="1:7" s="9" customFormat="1" ht="25.5" x14ac:dyDescent="0.25">
      <c r="A52" s="50" t="s">
        <v>123</v>
      </c>
      <c r="B52" s="55">
        <v>7941.1062499999998</v>
      </c>
      <c r="C52" s="55">
        <f>IF(OR(8518.32224="",7941.10625=""),"-",7941.10625/8518.32224*100)</f>
        <v>93.223830071964969</v>
      </c>
      <c r="D52" s="55">
        <f>IF(8518.32224="","-",8518.32224/864624.24072*100)</f>
        <v>0.98520511440976055</v>
      </c>
      <c r="E52" s="55">
        <f>IF(7941.10625="","-",7941.10625/923234.79735*100)</f>
        <v>0.86013940037720571</v>
      </c>
      <c r="F52" s="55">
        <f>IF(OR(831797.47999="",8928.38886="",8518.32224=""),"-",(8518.32224-8928.38886)/831797.47999*100)</f>
        <v>-4.9298853370525898E-2</v>
      </c>
      <c r="G52" s="55">
        <f>IF(OR(864624.24072="",7941.10625="",8518.32224=""),"-",(7941.10625-8518.32224)/864624.24072*100)</f>
        <v>-6.6759172692097274E-2</v>
      </c>
    </row>
    <row r="53" spans="1:7" s="9" customFormat="1" x14ac:dyDescent="0.25">
      <c r="A53" s="50" t="s">
        <v>70</v>
      </c>
      <c r="B53" s="55">
        <v>7031.9724800000004</v>
      </c>
      <c r="C53" s="55">
        <f>IF(OR(6244.8873="",7031.97248=""),"-",7031.97248/6244.8873*100)</f>
        <v>112.60367308790345</v>
      </c>
      <c r="D53" s="55">
        <f>IF(6244.8873="","-",6244.8873/864624.24072*100)</f>
        <v>0.7222660441256753</v>
      </c>
      <c r="E53" s="55">
        <f>IF(7031.97248="","-",7031.97248/923234.79735*100)</f>
        <v>0.76166675045006627</v>
      </c>
      <c r="F53" s="55">
        <f>IF(OR(831797.47999="",6133.80354="",6244.8873=""),"-",(6244.8873-6133.80354)/831797.47999*100)</f>
        <v>1.3354664166731535E-2</v>
      </c>
      <c r="G53" s="55">
        <f>IF(OR(864624.24072="",7031.97248="",6244.8873=""),"-",(7031.97248-6244.8873)/864624.24072*100)</f>
        <v>9.1032051026532543E-2</v>
      </c>
    </row>
    <row r="54" spans="1:7" s="9" customFormat="1" x14ac:dyDescent="0.25">
      <c r="A54" s="50" t="s">
        <v>73</v>
      </c>
      <c r="B54" s="55">
        <v>6611.2261200000003</v>
      </c>
      <c r="C54" s="55" t="s">
        <v>105</v>
      </c>
      <c r="D54" s="55">
        <f>IF(4077.12899="","-",4077.12899/864624.24072*100)</f>
        <v>0.47154923468313187</v>
      </c>
      <c r="E54" s="55">
        <f>IF(6611.22612="","-",6611.22612/923234.79735*100)</f>
        <v>0.71609368916514871</v>
      </c>
      <c r="F54" s="55">
        <f>IF(OR(831797.47999="",4261.60974="",4077.12899=""),"-",(4077.12899-4261.60974)/831797.47999*100)</f>
        <v>-2.2178565629005942E-2</v>
      </c>
      <c r="G54" s="55">
        <f>IF(OR(864624.24072="",6611.22612="",4077.12899=""),"-",(6611.22612-4077.12899)/864624.24072*100)</f>
        <v>0.29308652367758936</v>
      </c>
    </row>
    <row r="55" spans="1:7" s="9" customFormat="1" x14ac:dyDescent="0.25">
      <c r="A55" s="50" t="s">
        <v>37</v>
      </c>
      <c r="B55" s="55">
        <v>5974.18055</v>
      </c>
      <c r="C55" s="55">
        <f>IF(OR(5101.05964="",5974.18055=""),"-",5974.18055/5101.05964*100)</f>
        <v>117.11646151229864</v>
      </c>
      <c r="D55" s="55">
        <f>IF(5101.05964="","-",5101.05964/864624.24072*100)</f>
        <v>0.58997416447082107</v>
      </c>
      <c r="E55" s="55">
        <f>IF(5974.18055="","-",5974.18055/923234.79735*100)</f>
        <v>0.64709222043492554</v>
      </c>
      <c r="F55" s="55">
        <f>IF(OR(831797.47999="",3864.66233="",5101.05964=""),"-",(5101.05964-3864.66233)/831797.47999*100)</f>
        <v>0.1486416272882751</v>
      </c>
      <c r="G55" s="55">
        <f>IF(OR(864624.24072="",5974.18055="",5101.05964=""),"-",(5974.18055-5101.05964)/864624.24072*100)</f>
        <v>0.10098270079415357</v>
      </c>
    </row>
    <row r="56" spans="1:7" s="9" customFormat="1" x14ac:dyDescent="0.25">
      <c r="A56" s="50" t="s">
        <v>128</v>
      </c>
      <c r="B56" s="55">
        <v>5257.9034899999997</v>
      </c>
      <c r="C56" s="55">
        <f>IF(OR(3745.29468="",5257.90349=""),"-",5257.90349/3745.29468*100)</f>
        <v>140.38691049004453</v>
      </c>
      <c r="D56" s="55">
        <f>IF(3745.29468="","-",3745.29468/864624.24072*100)</f>
        <v>0.43317021471444916</v>
      </c>
      <c r="E56" s="55">
        <f>IF(5257.90349="","-",5257.90349/923234.79735*100)</f>
        <v>0.56950880806182591</v>
      </c>
      <c r="F56" s="55">
        <f>IF(OR(831797.47999="",4833.60999="",3745.29468=""),"-",(3745.29468-4833.60999)/831797.47999*100)</f>
        <v>-0.1308389765755342</v>
      </c>
      <c r="G56" s="55">
        <f>IF(OR(864624.24072="",5257.90349="",3745.29468=""),"-",(5257.90349-3745.29468)/864624.24072*100)</f>
        <v>0.17494406688625827</v>
      </c>
    </row>
    <row r="57" spans="1:7" s="9" customFormat="1" x14ac:dyDescent="0.25">
      <c r="A57" s="50" t="s">
        <v>80</v>
      </c>
      <c r="B57" s="55">
        <v>4172.1093199999996</v>
      </c>
      <c r="C57" s="55">
        <f>IF(OR(3522.95338="",4172.10932=""),"-",4172.10932/3522.95338*100)</f>
        <v>118.42646978200999</v>
      </c>
      <c r="D57" s="55">
        <f>IF(3522.95338="","-",3522.95338/864624.24072*100)</f>
        <v>0.40745484732955495</v>
      </c>
      <c r="E57" s="55">
        <f>IF(4172.10932="","-",4172.10932/923234.79735*100)</f>
        <v>0.45190122079187023</v>
      </c>
      <c r="F57" s="55">
        <f>IF(OR(831797.47999="",3033.14767="",3522.95338=""),"-",(3522.95338-3033.14767)/831797.47999*100)</f>
        <v>5.888521205977789E-2</v>
      </c>
      <c r="G57" s="55">
        <f>IF(OR(864624.24072="",4172.10932="",3522.95338=""),"-",(4172.10932-3522.95338)/864624.24072*100)</f>
        <v>7.5079544318515407E-2</v>
      </c>
    </row>
    <row r="58" spans="1:7" s="9" customFormat="1" x14ac:dyDescent="0.25">
      <c r="A58" s="50" t="s">
        <v>67</v>
      </c>
      <c r="B58" s="55">
        <v>3686.81747</v>
      </c>
      <c r="C58" s="55">
        <f>IF(OR(3855.0361="",3686.81747=""),"-",3686.81747/3855.0361*100)</f>
        <v>95.636392873208123</v>
      </c>
      <c r="D58" s="55">
        <f>IF(3855.0361="","-",3855.0361/864624.24072*100)</f>
        <v>0.44586259769790737</v>
      </c>
      <c r="E58" s="55">
        <f>IF(3686.81747="","-",3686.81747/923234.79735*100)</f>
        <v>0.39933692713732505</v>
      </c>
      <c r="F58" s="55">
        <f>IF(OR(831797.47999="",2505.7654="",3855.0361=""),"-",(3855.0361-2505.7654)/831797.47999*100)</f>
        <v>0.16221144358554929</v>
      </c>
      <c r="G58" s="55">
        <f>IF(OR(864624.24072="",3686.81747="",3855.0361=""),"-",(3686.81747-3855.0361)/864624.24072*100)</f>
        <v>-1.945569208884531E-2</v>
      </c>
    </row>
    <row r="59" spans="1:7" s="9" customFormat="1" x14ac:dyDescent="0.25">
      <c r="A59" s="50" t="s">
        <v>71</v>
      </c>
      <c r="B59" s="55">
        <v>2658.74773</v>
      </c>
      <c r="C59" s="55">
        <f>IF(OR(2430.26613="",2658.74773=""),"-",2658.74773/2430.26613*100)</f>
        <v>109.40150534048713</v>
      </c>
      <c r="D59" s="55">
        <f>IF(2430.26613="","-",2430.26613/864624.24072*100)</f>
        <v>0.28107772319409419</v>
      </c>
      <c r="E59" s="55">
        <f>IF(2658.74773="","-",2658.74773/923234.79735*100)</f>
        <v>0.28798175043136548</v>
      </c>
      <c r="F59" s="55">
        <f>IF(OR(831797.47999="",2313.88149="",2430.26613=""),"-",(2430.26613-2313.88149)/831797.47999*100)</f>
        <v>1.3991944289299717E-2</v>
      </c>
      <c r="G59" s="55">
        <f>IF(OR(864624.24072="",2658.74773="",2430.26613=""),"-",(2658.74773-2430.26613)/864624.24072*100)</f>
        <v>2.6425537157012412E-2</v>
      </c>
    </row>
    <row r="60" spans="1:7" s="9" customFormat="1" x14ac:dyDescent="0.25">
      <c r="A60" s="50" t="s">
        <v>62</v>
      </c>
      <c r="B60" s="55">
        <v>2111.2025699999999</v>
      </c>
      <c r="C60" s="55">
        <f>IF(OR(1801.15381="",2111.20257=""),"-",2111.20257/1801.15381*100)</f>
        <v>117.21389690756058</v>
      </c>
      <c r="D60" s="55">
        <f>IF(1801.15381="","-",1801.15381/864624.24072*100)</f>
        <v>0.20831636740835791</v>
      </c>
      <c r="E60" s="55">
        <f>IF(2111.20257="","-",2111.20257/923234.79735*100)</f>
        <v>0.22867450144425602</v>
      </c>
      <c r="F60" s="55">
        <f>IF(OR(831797.47999="",1739.65435="",1801.15381=""),"-",(1801.15381-1739.65435)/831797.47999*100)</f>
        <v>7.3935617117689935E-3</v>
      </c>
      <c r="G60" s="55">
        <f>IF(OR(864624.24072="",2111.20257="",1801.15381=""),"-",(2111.20257-1801.15381)/864624.24072*100)</f>
        <v>3.585936472724989E-2</v>
      </c>
    </row>
    <row r="61" spans="1:7" s="9" customFormat="1" x14ac:dyDescent="0.25">
      <c r="A61" s="50" t="s">
        <v>79</v>
      </c>
      <c r="B61" s="55">
        <v>1742.42111</v>
      </c>
      <c r="C61" s="55">
        <f>IF(OR(1833.32689="",1742.42111=""),"-",1742.42111/1833.32689*100)</f>
        <v>95.041485482166237</v>
      </c>
      <c r="D61" s="55">
        <f>IF(1833.32689="","-",1833.32689/864624.24072*100)</f>
        <v>0.21203741505944024</v>
      </c>
      <c r="E61" s="55">
        <f>IF(1742.42111="","-",1742.42111/923234.79735*100)</f>
        <v>0.18873000833605333</v>
      </c>
      <c r="F61" s="55">
        <f>IF(OR(831797.47999="",1480.90471="",1833.32689=""),"-",(1833.32689-1480.90471)/831797.47999*100)</f>
        <v>4.2368748220328448E-2</v>
      </c>
      <c r="G61" s="55">
        <f>IF(OR(864624.24072="",1742.42111="",1833.32689=""),"-",(1742.42111-1833.32689)/864624.24072*100)</f>
        <v>-1.0513906008961758E-2</v>
      </c>
    </row>
    <row r="62" spans="1:7" s="9" customFormat="1" x14ac:dyDescent="0.25">
      <c r="A62" s="50" t="s">
        <v>72</v>
      </c>
      <c r="B62" s="55">
        <v>1660.6938700000001</v>
      </c>
      <c r="C62" s="55">
        <f>IF(OR(1853.3526="",1660.69387=""),"-",1660.69387/1853.3526*100)</f>
        <v>89.604852848831911</v>
      </c>
      <c r="D62" s="55">
        <f>IF(1853.3526="","-",1853.3526/864624.24072*100)</f>
        <v>0.21435353217215547</v>
      </c>
      <c r="E62" s="55">
        <f>IF(1660.69387="","-",1660.69387/923234.79735*100)</f>
        <v>0.17987773801060794</v>
      </c>
      <c r="F62" s="55">
        <f>IF(OR(831797.47999="",1620.523="",1853.3526=""),"-",(1853.3526-1620.523)/831797.47999*100)</f>
        <v>2.7991140343776848E-2</v>
      </c>
      <c r="G62" s="55">
        <f>IF(OR(864624.24072="",1660.69387="",1853.3526=""),"-",(1660.69387-1853.3526)/864624.24072*100)</f>
        <v>-2.2282365093022009E-2</v>
      </c>
    </row>
    <row r="63" spans="1:7" s="9" customFormat="1" x14ac:dyDescent="0.25">
      <c r="A63" s="50" t="s">
        <v>63</v>
      </c>
      <c r="B63" s="55">
        <v>1649.13483</v>
      </c>
      <c r="C63" s="55">
        <f>IF(OR(1287.60258="",1649.13483=""),"-",1649.13483/1287.60258*100)</f>
        <v>128.07793768167193</v>
      </c>
      <c r="D63" s="55">
        <f>IF(1287.60258="","-",1287.60258/864624.24072*100)</f>
        <v>0.14892048121710913</v>
      </c>
      <c r="E63" s="55">
        <f>IF(1649.13483="","-",1649.13483/923234.79735*100)</f>
        <v>0.1786257228100134</v>
      </c>
      <c r="F63" s="55">
        <f>IF(OR(831797.47999="",2008.32072="",1287.60258=""),"-",(1287.60258-2008.32072)/831797.47999*100)</f>
        <v>-8.6645867213815619E-2</v>
      </c>
      <c r="G63" s="55">
        <f>IF(OR(864624.24072="",1649.13483="",1287.60258=""),"-",(1649.13483-1287.60258)/864624.24072*100)</f>
        <v>4.1813799911385854E-2</v>
      </c>
    </row>
    <row r="64" spans="1:7" s="9" customFormat="1" x14ac:dyDescent="0.25">
      <c r="A64" s="50" t="s">
        <v>75</v>
      </c>
      <c r="B64" s="55">
        <v>1525.63777</v>
      </c>
      <c r="C64" s="55">
        <f>IF(OR(1539.69205="",1525.63777=""),"-",1525.63777/1539.69205*100)</f>
        <v>99.087201885597835</v>
      </c>
      <c r="D64" s="55">
        <f>IF(1539.69205="","-",1539.69205/864624.24072*100)</f>
        <v>0.17807643800477416</v>
      </c>
      <c r="E64" s="55">
        <f>IF(1525.63777="","-",1525.63777/923234.79735*100)</f>
        <v>0.16524916244265303</v>
      </c>
      <c r="F64" s="55">
        <f>IF(OR(831797.47999="",948.43661="",1539.69205=""),"-",(1539.69205-948.43661)/831797.47999*100)</f>
        <v>7.1081658002511414E-2</v>
      </c>
      <c r="G64" s="55">
        <f>IF(OR(864624.24072="",1525.63777="",1539.69205=""),"-",(1525.63777-1539.69205)/864624.24072*100)</f>
        <v>-1.6254783683021215E-3</v>
      </c>
    </row>
    <row r="65" spans="1:7" s="9" customFormat="1" x14ac:dyDescent="0.25">
      <c r="A65" s="50" t="s">
        <v>83</v>
      </c>
      <c r="B65" s="55">
        <v>1429.6520399999999</v>
      </c>
      <c r="C65" s="55">
        <f>IF(OR(1435.36436="",1429.65204=""),"-",1429.65204/1435.36436*100)</f>
        <v>99.602029968195666</v>
      </c>
      <c r="D65" s="55">
        <f>IF(1435.36436="","-",1435.36436/864624.24072*100)</f>
        <v>0.16601019175737272</v>
      </c>
      <c r="E65" s="55">
        <f>IF(1429.65204="","-",1429.65204/923234.79735*100)</f>
        <v>0.15485248650761332</v>
      </c>
      <c r="F65" s="55">
        <f>IF(OR(831797.47999="",1515.11379="",1435.36436=""),"-",(1435.36436-1515.11379)/831797.47999*100)</f>
        <v>-9.5876017802985943E-3</v>
      </c>
      <c r="G65" s="55">
        <f>IF(OR(864624.24072="",1429.65204="",1435.36436=""),"-",(1429.65204-1435.36436)/864624.24072*100)</f>
        <v>-6.6067081293525397E-4</v>
      </c>
    </row>
    <row r="66" spans="1:7" s="9" customFormat="1" x14ac:dyDescent="0.25">
      <c r="A66" s="50" t="s">
        <v>86</v>
      </c>
      <c r="B66" s="55">
        <v>1311.0000700000001</v>
      </c>
      <c r="C66" s="55">
        <f>IF(OR(922.14014="",1311.00007=""),"-",1311.00007/922.14014*100)</f>
        <v>142.16928784815724</v>
      </c>
      <c r="D66" s="55">
        <f>IF(922.14014="","-",922.14014/864624.24072*100)</f>
        <v>0.10665212662001064</v>
      </c>
      <c r="E66" s="55">
        <f>IF(1311.00007="","-",1311.00007/923234.79735*100)</f>
        <v>0.14200072113432241</v>
      </c>
      <c r="F66" s="55">
        <f>IF(OR(831797.47999="",1354.75906="",922.14014=""),"-",(922.14014-1354.75906)/831797.47999*100)</f>
        <v>-5.2010126311659563E-2</v>
      </c>
      <c r="G66" s="55">
        <f>IF(OR(864624.24072="",1311.00007="",922.14014=""),"-",(1311.00007-922.14014)/864624.24072*100)</f>
        <v>4.4974442270573407E-2</v>
      </c>
    </row>
    <row r="67" spans="1:7" s="9" customFormat="1" x14ac:dyDescent="0.25">
      <c r="A67" s="50" t="s">
        <v>84</v>
      </c>
      <c r="B67" s="55">
        <v>1201.67074</v>
      </c>
      <c r="C67" s="55">
        <f>IF(OR(1199.04432="",1201.67074=""),"-",1201.67074/1199.04432*100)</f>
        <v>100.21904277900254</v>
      </c>
      <c r="D67" s="55">
        <f>IF(1199.04432="","-",1199.04432/864624.24072*100)</f>
        <v>0.13867808274742768</v>
      </c>
      <c r="E67" s="55">
        <f>IF(1201.67074="","-",1201.67074/923234.79735*100)</f>
        <v>0.13015873572456393</v>
      </c>
      <c r="F67" s="55">
        <f>IF(OR(831797.47999="",854.08204="",1199.04432=""),"-",(1199.04432-854.08204)/831797.47999*100)</f>
        <v>4.147190732101607E-2</v>
      </c>
      <c r="G67" s="55">
        <f>IF(OR(864624.24072="",1201.67074="",1199.04432=""),"-",(1201.67074-1199.04432)/864624.24072*100)</f>
        <v>3.0376432631740115E-4</v>
      </c>
    </row>
    <row r="68" spans="1:7" s="9" customFormat="1" x14ac:dyDescent="0.25">
      <c r="A68" s="50" t="s">
        <v>66</v>
      </c>
      <c r="B68" s="55">
        <v>1065.66779</v>
      </c>
      <c r="C68" s="55">
        <f>IF(OR(1103.75143="",1065.66779=""),"-",1065.66779/1103.75143*100)</f>
        <v>96.549618060290982</v>
      </c>
      <c r="D68" s="55">
        <f>IF(1103.75143="","-",1103.75143/864624.24072*100)</f>
        <v>0.12765677597482938</v>
      </c>
      <c r="E68" s="55">
        <f>IF(1065.66779="","-",1065.66779/923234.79735*100)</f>
        <v>0.11542760228046337</v>
      </c>
      <c r="F68" s="55">
        <f>IF(OR(831797.47999="",657.18104="",1103.75143=""),"-",(1103.75143-657.18104)/831797.47999*100)</f>
        <v>5.3687393956202985E-2</v>
      </c>
      <c r="G68" s="55">
        <f>IF(OR(864624.24072="",1065.66779="",1103.75143=""),"-",(1065.66779-1103.75143)/864624.24072*100)</f>
        <v>-4.4046463430503181E-3</v>
      </c>
    </row>
    <row r="69" spans="1:7" s="9" customFormat="1" x14ac:dyDescent="0.25">
      <c r="A69" s="50" t="s">
        <v>69</v>
      </c>
      <c r="B69" s="55">
        <v>1029.0422100000001</v>
      </c>
      <c r="C69" s="55">
        <f>IF(OR(841.80847="",1029.04221=""),"-",1029.04221/841.80847*100)</f>
        <v>122.24184558276066</v>
      </c>
      <c r="D69" s="55">
        <f>IF(841.80847="","-",841.80847/864624.24072*100)</f>
        <v>9.7361192337031804E-2</v>
      </c>
      <c r="E69" s="55">
        <f>IF(1029.04221="","-",1029.04221/923234.79735*100)</f>
        <v>0.11146050960749135</v>
      </c>
      <c r="F69" s="55">
        <f>IF(OR(831797.47999="",704.07227="",841.80847=""),"-",(841.80847-704.07227)/831797.47999*100)</f>
        <v>1.6558862380979554E-2</v>
      </c>
      <c r="G69" s="55">
        <f>IF(OR(864624.24072="",1029.04221="",841.80847=""),"-",(1029.04221-841.80847)/864624.24072*100)</f>
        <v>2.1654926057137206E-2</v>
      </c>
    </row>
    <row r="70" spans="1:7" s="9" customFormat="1" x14ac:dyDescent="0.25">
      <c r="A70" s="50" t="s">
        <v>94</v>
      </c>
      <c r="B70" s="55">
        <v>927.77892999999995</v>
      </c>
      <c r="C70" s="55" t="s">
        <v>269</v>
      </c>
      <c r="D70" s="55">
        <f>IF(99.60756="","-",99.60756/864624.24072*100)</f>
        <v>1.1520329330236409E-2</v>
      </c>
      <c r="E70" s="55">
        <f>IF(927.77893="","-",927.77893/923234.79735*100)</f>
        <v>0.10049219685642732</v>
      </c>
      <c r="F70" s="55">
        <f>IF(OR(831797.47999="",181.56241="",99.60756=""),"-",(99.60756-181.56241)/831797.47999*100)</f>
        <v>-9.8527408379483518E-3</v>
      </c>
      <c r="G70" s="55">
        <f>IF(OR(864624.24072="",927.77893="",99.60756=""),"-",(927.77893-99.60756)/864624.24072*100)</f>
        <v>9.5783963830386634E-2</v>
      </c>
    </row>
    <row r="71" spans="1:7" s="9" customFormat="1" x14ac:dyDescent="0.25">
      <c r="A71" s="50" t="s">
        <v>64</v>
      </c>
      <c r="B71" s="55">
        <v>876.94881999999996</v>
      </c>
      <c r="C71" s="55">
        <f>IF(OR(1290.3792="",876.94882=""),"-",876.94882/1290.3792*100)</f>
        <v>67.960551441002764</v>
      </c>
      <c r="D71" s="55">
        <f>IF(1290.3792="","-",1290.3792/864624.24072*100)</f>
        <v>0.14924161725161214</v>
      </c>
      <c r="E71" s="55">
        <f>IF(876.94882="","-",876.94882/923234.79735*100)</f>
        <v>9.4986543240911561E-2</v>
      </c>
      <c r="F71" s="55">
        <f>IF(OR(831797.47999="",1866.19238="",1290.3792=""),"-",(1290.3792-1866.19238)/831797.47999*100)</f>
        <v>-6.9225165241775244E-2</v>
      </c>
      <c r="G71" s="55">
        <f>IF(OR(864624.24072="",876.94882="",1290.3792=""),"-",(876.94882-1290.3792)/864624.24072*100)</f>
        <v>-4.7816191187945827E-2</v>
      </c>
    </row>
    <row r="72" spans="1:7" s="9" customFormat="1" x14ac:dyDescent="0.25">
      <c r="A72" s="50" t="s">
        <v>85</v>
      </c>
      <c r="B72" s="55">
        <v>827.81552999999997</v>
      </c>
      <c r="C72" s="55">
        <f>IF(OR(958.00956="",827.81553=""),"-",827.81553/958.00956*100)</f>
        <v>86.409944593872325</v>
      </c>
      <c r="D72" s="55">
        <f>IF(958.00956="","-",958.00956/864624.24072*100)</f>
        <v>0.11080068252565242</v>
      </c>
      <c r="E72" s="55">
        <f>IF(827.81553="","-",827.81553/923234.79735*100)</f>
        <v>8.96646803582484E-2</v>
      </c>
      <c r="F72" s="55">
        <f>IF(OR(831797.47999="",524.2928="",958.00956=""),"-",(958.00956-524.2928)/831797.47999*100)</f>
        <v>5.2142110361432459E-2</v>
      </c>
      <c r="G72" s="55">
        <f>IF(OR(864624.24072="",827.81553="",958.00956=""),"-",(827.81553-958.00956)/864624.24072*100)</f>
        <v>-1.5057874145603795E-2</v>
      </c>
    </row>
    <row r="73" spans="1:7" s="9" customFormat="1" x14ac:dyDescent="0.25">
      <c r="A73" s="50" t="s">
        <v>92</v>
      </c>
      <c r="B73" s="55">
        <v>724.42749000000003</v>
      </c>
      <c r="C73" s="55" t="s">
        <v>242</v>
      </c>
      <c r="D73" s="55">
        <f>IF(295.86094="","-",295.86094/864624.24072*100)</f>
        <v>3.4218441499353207E-2</v>
      </c>
      <c r="E73" s="55">
        <f>IF(724.42749="","-",724.42749/923234.79735*100)</f>
        <v>7.846622463531E-2</v>
      </c>
      <c r="F73" s="55">
        <f>IF(OR(831797.47999="",366.13797="",295.86094=""),"-",(295.86094-366.13797)/831797.47999*100)</f>
        <v>-8.4488149688605515E-3</v>
      </c>
      <c r="G73" s="55">
        <f>IF(OR(864624.24072="",724.42749="",295.86094=""),"-",(724.42749-295.86094)/864624.24072*100)</f>
        <v>4.956679790091463E-2</v>
      </c>
    </row>
    <row r="74" spans="1:7" s="9" customFormat="1" x14ac:dyDescent="0.25">
      <c r="A74" s="50" t="s">
        <v>59</v>
      </c>
      <c r="B74" s="55">
        <v>670.90408000000002</v>
      </c>
      <c r="C74" s="55">
        <f>IF(OR(1311.68475="",670.90408=""),"-",670.90408/1311.68475*100)</f>
        <v>51.148271716965532</v>
      </c>
      <c r="D74" s="55">
        <f>IF(1311.68475="","-",1311.68475/864624.24072*100)</f>
        <v>0.15170575704744507</v>
      </c>
      <c r="E74" s="55">
        <f>IF(670.90408="","-",670.90408/923234.79735*100)</f>
        <v>7.2668846746864885E-2</v>
      </c>
      <c r="F74" s="55">
        <f>IF(OR(831797.47999="",654.38404="",1311.68475=""),"-",(1311.68475-654.38404)/831797.47999*100)</f>
        <v>7.9021724135050514E-2</v>
      </c>
      <c r="G74" s="55">
        <f>IF(OR(864624.24072="",670.90408="",1311.68475=""),"-",(670.90408-1311.68475)/864624.24072*100)</f>
        <v>-7.4110884222538281E-2</v>
      </c>
    </row>
    <row r="75" spans="1:7" s="9" customFormat="1" x14ac:dyDescent="0.25">
      <c r="A75" s="50" t="s">
        <v>141</v>
      </c>
      <c r="B75" s="55">
        <v>654.66011000000003</v>
      </c>
      <c r="C75" s="55" t="s">
        <v>106</v>
      </c>
      <c r="D75" s="55">
        <f>IF(351.19899="","-",351.19899/864624.24072*100)</f>
        <v>4.0618684216804452E-2</v>
      </c>
      <c r="E75" s="55">
        <f>IF(654.66011="","-",654.66011/923234.79735*100)</f>
        <v>7.0909384251882479E-2</v>
      </c>
      <c r="F75" s="55">
        <f>IF(OR(831797.47999="",585.92692="",351.19899=""),"-",(351.19899-585.92692)/831797.47999*100)</f>
        <v>-2.8219360559113733E-2</v>
      </c>
      <c r="G75" s="55">
        <f>IF(OR(864624.24072="",654.66011="",351.19899=""),"-",(654.66011-351.19899)/864624.24072*100)</f>
        <v>3.5097456872976218E-2</v>
      </c>
    </row>
    <row r="76" spans="1:7" s="9" customFormat="1" x14ac:dyDescent="0.25">
      <c r="A76" s="50" t="s">
        <v>81</v>
      </c>
      <c r="B76" s="55">
        <v>652.29035999999996</v>
      </c>
      <c r="C76" s="55">
        <f>IF(OR(1358.33336="",652.29036=""),"-",652.29036/1358.33336*100)</f>
        <v>48.021375253568088</v>
      </c>
      <c r="D76" s="55">
        <f>IF(1358.33336="","-",1358.33336/864624.24072*100)</f>
        <v>0.15710100365320234</v>
      </c>
      <c r="E76" s="55">
        <f>IF(652.29036="","-",652.29036/923234.79735*100)</f>
        <v>7.0652705235146759E-2</v>
      </c>
      <c r="F76" s="55">
        <f>IF(OR(831797.47999="",1328.00743="",1358.33336=""),"-",(1358.33336-1328.00743)/831797.47999*100)</f>
        <v>3.645830953991896E-3</v>
      </c>
      <c r="G76" s="55">
        <f>IF(OR(864624.24072="",652.29036="",1358.33336=""),"-",(652.29036-1358.33336)/864624.24072*100)</f>
        <v>-8.1658941161776327E-2</v>
      </c>
    </row>
    <row r="77" spans="1:7" s="9" customFormat="1" x14ac:dyDescent="0.25">
      <c r="A77" s="50" t="s">
        <v>76</v>
      </c>
      <c r="B77" s="55">
        <v>642.96268999999995</v>
      </c>
      <c r="C77" s="55">
        <f>IF(OR(1355.03116="",642.96269=""),"-",642.96269/1355.03116*100)</f>
        <v>47.450029857615966</v>
      </c>
      <c r="D77" s="55">
        <f>IF(1355.03116="","-",1355.03116/864624.24072*100)</f>
        <v>0.15671908051891104</v>
      </c>
      <c r="E77" s="55">
        <f>IF(642.96269="","-",642.96269/923234.79735*100)</f>
        <v>6.964238044812901E-2</v>
      </c>
      <c r="F77" s="55">
        <f>IF(OR(831797.47999="",553.96737="",1355.03116=""),"-",(1355.03116-553.96737)/831797.47999*100)</f>
        <v>9.6305147499320454E-2</v>
      </c>
      <c r="G77" s="55">
        <f>IF(OR(864624.24072="",642.96269="",1355.03116=""),"-",(642.96269-1355.03116)/864624.24072*100)</f>
        <v>-8.2355830020106546E-2</v>
      </c>
    </row>
    <row r="78" spans="1:7" s="9" customFormat="1" x14ac:dyDescent="0.25">
      <c r="A78" s="50" t="s">
        <v>139</v>
      </c>
      <c r="B78" s="55">
        <v>551.76763000000005</v>
      </c>
      <c r="C78" s="55" t="s">
        <v>270</v>
      </c>
      <c r="D78" s="55">
        <f>IF(30.63145="","-",30.63145/864624.24072*100)</f>
        <v>3.5427470752488069E-3</v>
      </c>
      <c r="E78" s="55">
        <f>IF(551.76763="","-",551.76763/923234.79735*100)</f>
        <v>5.9764605015296443E-2</v>
      </c>
      <c r="F78" s="55">
        <f>IF(OR(831797.47999="",736.40888="",30.63145=""),"-",(30.63145-736.40888)/831797.47999*100)</f>
        <v>-8.4849671582136188E-2</v>
      </c>
      <c r="G78" s="55">
        <f>IF(OR(864624.24072="",551.76763="",30.63145=""),"-",(551.76763-30.63145)/864624.24072*100)</f>
        <v>6.0273140106045772E-2</v>
      </c>
    </row>
    <row r="79" spans="1:7" s="9" customFormat="1" x14ac:dyDescent="0.25">
      <c r="A79" s="50" t="s">
        <v>87</v>
      </c>
      <c r="B79" s="55">
        <v>523.86956999999995</v>
      </c>
      <c r="C79" s="55">
        <f>IF(OR(587.99936="",523.86957=""),"-",523.86957/587.99936*100)</f>
        <v>89.093561258297953</v>
      </c>
      <c r="D79" s="55">
        <f>IF(587.99936="","-",587.99936/864624.24072*100)</f>
        <v>6.8006346839218204E-2</v>
      </c>
      <c r="E79" s="55">
        <f>IF(523.86957="","-",523.86957/923234.79735*100)</f>
        <v>5.6742831997199955E-2</v>
      </c>
      <c r="F79" s="55">
        <f>IF(OR(831797.47999="",252.99368="",587.99936=""),"-",(587.99936-252.99368)/831797.47999*100)</f>
        <v>4.0274909224782392E-2</v>
      </c>
      <c r="G79" s="55">
        <f>IF(OR(864624.24072="",523.86957="",587.99936=""),"-",(523.86957-587.99936)/864624.24072*100)</f>
        <v>-7.4170705584887557E-3</v>
      </c>
    </row>
    <row r="80" spans="1:7" s="9" customFormat="1" x14ac:dyDescent="0.25">
      <c r="A80" s="50" t="s">
        <v>38</v>
      </c>
      <c r="B80" s="55">
        <v>506.73574000000002</v>
      </c>
      <c r="C80" s="55">
        <f>IF(OR(473.91156="",506.73574=""),"-",506.73574/473.91156*100)</f>
        <v>106.92622480025598</v>
      </c>
      <c r="D80" s="55">
        <f>IF(473.91156="","-",473.91156/864624.24072*100)</f>
        <v>5.481127380899694E-2</v>
      </c>
      <c r="E80" s="55">
        <f>IF(506.73574="","-",506.73574/923234.79735*100)</f>
        <v>5.4886984486991294E-2</v>
      </c>
      <c r="F80" s="55">
        <f>IF(OR(831797.47999="",387.46882="",473.91156=""),"-",(473.91156-387.46882)/831797.47999*100)</f>
        <v>1.0392282025312128E-2</v>
      </c>
      <c r="G80" s="55">
        <f>IF(OR(864624.24072="",506.73574="",473.91156=""),"-",(506.73574-473.91156)/864624.24072*100)</f>
        <v>3.7963520398949582E-3</v>
      </c>
    </row>
    <row r="81" spans="1:7" s="9" customFormat="1" x14ac:dyDescent="0.25">
      <c r="A81" s="50" t="s">
        <v>88</v>
      </c>
      <c r="B81" s="55">
        <v>484.29581000000002</v>
      </c>
      <c r="C81" s="55" t="s">
        <v>105</v>
      </c>
      <c r="D81" s="55">
        <f>IF(301.87263="","-",301.87263/864624.24072*100)</f>
        <v>3.4913736601765999E-2</v>
      </c>
      <c r="E81" s="55">
        <f>IF(484.29581="","-",484.29581/923234.79735*100)</f>
        <v>5.2456407772984173E-2</v>
      </c>
      <c r="F81" s="55">
        <f>IF(OR(831797.47999="",277.12102="",301.87263=""),"-",(301.87263-277.12102)/831797.47999*100)</f>
        <v>2.9756774449830742E-3</v>
      </c>
      <c r="G81" s="55">
        <f>IF(OR(864624.24072="",484.29581="",301.87263=""),"-",(484.29581-301.87263)/864624.24072*100)</f>
        <v>2.1098550261335541E-2</v>
      </c>
    </row>
    <row r="82" spans="1:7" s="9" customFormat="1" x14ac:dyDescent="0.25">
      <c r="A82" s="50" t="s">
        <v>90</v>
      </c>
      <c r="B82" s="55">
        <v>411.58211</v>
      </c>
      <c r="C82" s="55">
        <f>IF(OR(277.67454="",411.58211=""),"-",411.58211/277.67454*100)</f>
        <v>148.22464817984394</v>
      </c>
      <c r="D82" s="55">
        <f>IF(277.67454="","-",277.67454/864624.24072*100)</f>
        <v>3.2115053791317669E-2</v>
      </c>
      <c r="E82" s="55">
        <f>IF(411.58211="","-",411.58211/923234.79735*100)</f>
        <v>4.4580437303856135E-2</v>
      </c>
      <c r="F82" s="55">
        <f>IF(OR(831797.47999="",236.84987="",277.67454=""),"-",(277.67454-236.84987)/831797.47999*100)</f>
        <v>4.9080059728590147E-3</v>
      </c>
      <c r="G82" s="55">
        <f>IF(OR(864624.24072="",411.58211="",277.67454=""),"-",(411.58211-277.67454)/864624.24072*100)</f>
        <v>1.5487371703630581E-2</v>
      </c>
    </row>
    <row r="83" spans="1:7" s="9" customFormat="1" x14ac:dyDescent="0.25">
      <c r="A83" s="50" t="s">
        <v>40</v>
      </c>
      <c r="B83" s="55">
        <v>386.29329999999999</v>
      </c>
      <c r="C83" s="55">
        <f>IF(OR(468.59148="",386.2933=""),"-",386.2933/468.59148*100)</f>
        <v>82.437115587334205</v>
      </c>
      <c r="D83" s="55">
        <f>IF(468.59148="","-",468.59148/864624.24072*100)</f>
        <v>5.4195968367691041E-2</v>
      </c>
      <c r="E83" s="55">
        <f>IF(386.2933="","-",386.2933/923234.79735*100)</f>
        <v>4.1841284699059657E-2</v>
      </c>
      <c r="F83" s="55">
        <f>IF(OR(831797.47999="",326.74323="",468.59148=""),"-",(468.59148-326.74323)/831797.47999*100)</f>
        <v>1.7053219493007518E-2</v>
      </c>
      <c r="G83" s="55">
        <f>IF(OR(864624.24072="",386.2933="",468.59148=""),"-",(386.2933-468.59148)/864624.24072*100)</f>
        <v>-9.5183752807424978E-3</v>
      </c>
    </row>
    <row r="84" spans="1:7" s="9" customFormat="1" x14ac:dyDescent="0.25">
      <c r="A84" s="50" t="s">
        <v>39</v>
      </c>
      <c r="B84" s="55">
        <v>376.47102000000001</v>
      </c>
      <c r="C84" s="55">
        <f>IF(OR(472.27085="",376.47102=""),"-",376.47102/472.27085*100)</f>
        <v>79.715066047375146</v>
      </c>
      <c r="D84" s="55">
        <f>IF(472.27085="","-",472.27085/864624.24072*100)</f>
        <v>5.4621513919934181E-2</v>
      </c>
      <c r="E84" s="55">
        <f>IF(376.47102="","-",376.47102/923234.79735*100)</f>
        <v>4.0777386324757338E-2</v>
      </c>
      <c r="F84" s="55">
        <f>IF(OR(831797.47999="",438.02421="",472.27085=""),"-",(472.27085-438.02421)/831797.47999*100)</f>
        <v>4.1171848705783207E-3</v>
      </c>
      <c r="G84" s="55">
        <f>IF(OR(864624.24072="",376.47102="",472.27085=""),"-",(376.47102-472.27085)/864624.24072*100)</f>
        <v>-1.1079938022582439E-2</v>
      </c>
    </row>
    <row r="85" spans="1:7" s="9" customFormat="1" x14ac:dyDescent="0.25">
      <c r="A85" s="50" t="s">
        <v>89</v>
      </c>
      <c r="B85" s="55">
        <v>361.96179999999998</v>
      </c>
      <c r="C85" s="55">
        <f>IF(OR(286.66481="",361.9618=""),"-",361.9618/286.66481*100)</f>
        <v>126.26656198226772</v>
      </c>
      <c r="D85" s="55">
        <f>IF(286.66481="","-",286.66481/864624.24072*100)</f>
        <v>3.3154843051969619E-2</v>
      </c>
      <c r="E85" s="55">
        <f>IF(361.9618="","-",361.9618/923234.79735*100)</f>
        <v>3.9205822943302646E-2</v>
      </c>
      <c r="F85" s="55">
        <f>IF(OR(831797.47999="",316.14161="",286.66481=""),"-",(286.66481-316.14161)/831797.47999*100)</f>
        <v>-3.543747211202708E-3</v>
      </c>
      <c r="G85" s="55">
        <f>IF(OR(864624.24072="",361.9618="",286.66481=""),"-",(361.9618-286.66481)/864624.24072*100)</f>
        <v>8.7086374003691822E-3</v>
      </c>
    </row>
    <row r="86" spans="1:7" s="9" customFormat="1" x14ac:dyDescent="0.25">
      <c r="A86" s="50" t="s">
        <v>74</v>
      </c>
      <c r="B86" s="55">
        <v>349.94565</v>
      </c>
      <c r="C86" s="55">
        <f>IF(OR(551.99712="",349.94565=""),"-",349.94565/551.99712*100)</f>
        <v>63.396281850166183</v>
      </c>
      <c r="D86" s="55">
        <f>IF(551.99712="","-",551.99712/864624.24072*100)</f>
        <v>6.3842429347150217E-2</v>
      </c>
      <c r="E86" s="55">
        <f>IF(349.94565="","-",349.94565/923234.79735*100)</f>
        <v>3.7904295960731096E-2</v>
      </c>
      <c r="F86" s="55">
        <f>IF(OR(831797.47999="",316.35126="",551.99712=""),"-",(551.99712-316.35126)/831797.47999*100)</f>
        <v>2.832971554600441E-2</v>
      </c>
      <c r="G86" s="55">
        <f>IF(OR(864624.24072="",349.94565="",551.99712=""),"-",(349.94565-551.99712)/864624.24072*100)</f>
        <v>-2.3368702898237659E-2</v>
      </c>
    </row>
    <row r="87" spans="1:7" s="9" customFormat="1" x14ac:dyDescent="0.25">
      <c r="A87" s="50" t="s">
        <v>68</v>
      </c>
      <c r="B87" s="55">
        <v>277.46037999999999</v>
      </c>
      <c r="C87" s="55">
        <f>IF(OR(311.66623="",277.46038=""),"-",277.46038/311.66623*100)</f>
        <v>89.024845585612539</v>
      </c>
      <c r="D87" s="55">
        <f>IF(311.66623="","-",311.66623/864624.24072*100)</f>
        <v>3.604643674348821E-2</v>
      </c>
      <c r="E87" s="55">
        <f>IF(277.46038="","-",277.46038/923234.79735*100)</f>
        <v>3.005306784324056E-2</v>
      </c>
      <c r="F87" s="55">
        <f>IF(OR(831797.47999="",86.96862="",311.66623=""),"-",(311.66623-86.96862)/831797.47999*100)</f>
        <v>2.7013499728648051E-2</v>
      </c>
      <c r="G87" s="55">
        <f>IF(OR(864624.24072="",277.46038="",311.66623=""),"-",(277.46038-311.66623)/864624.24072*100)</f>
        <v>-3.9561520934823322E-3</v>
      </c>
    </row>
    <row r="88" spans="1:7" s="9" customFormat="1" x14ac:dyDescent="0.25">
      <c r="A88" s="50" t="s">
        <v>129</v>
      </c>
      <c r="B88" s="55">
        <v>235.79025999999999</v>
      </c>
      <c r="C88" s="55" t="s">
        <v>271</v>
      </c>
      <c r="D88" s="55">
        <f>IF(0.2784="","-",0.2784/864624.24072*100)</f>
        <v>3.2198958447911137E-5</v>
      </c>
      <c r="E88" s="55">
        <f>IF(235.79026="","-",235.79026/923234.79735*100)</f>
        <v>2.5539576787703275E-2</v>
      </c>
      <c r="F88" s="55">
        <f>IF(OR(831797.47999="",0.09673="",0.2784=""),"-",(0.2784-0.09673)/831797.47999*100)</f>
        <v>2.1840652847635948E-5</v>
      </c>
      <c r="G88" s="55">
        <f>IF(OR(864624.24072="",235.79026="",0.2784=""),"-",(235.79026-0.2784)/864624.24072*100)</f>
        <v>2.7238637191559865E-2</v>
      </c>
    </row>
    <row r="89" spans="1:7" x14ac:dyDescent="0.25">
      <c r="A89" s="50" t="s">
        <v>162</v>
      </c>
      <c r="B89" s="55">
        <v>231.88892000000001</v>
      </c>
      <c r="C89" s="55">
        <f>IF(OR(204.19728="",231.88892=""),"-",231.88892/204.19728*100)</f>
        <v>113.56121883699922</v>
      </c>
      <c r="D89" s="55">
        <f>IF(204.19728="","-",204.19728/864624.24072*100)</f>
        <v>2.3616881228076425E-2</v>
      </c>
      <c r="E89" s="55">
        <f>IF(231.88892="","-",231.88892/923234.79735*100)</f>
        <v>2.5117003893874085E-2</v>
      </c>
      <c r="F89" s="55">
        <f>IF(OR(831797.47999="",84.88349="",204.19728=""),"-",(204.19728-84.88349)/831797.47999*100)</f>
        <v>1.4344091304704893E-2</v>
      </c>
      <c r="G89" s="55">
        <f>IF(OR(864624.24072="",231.88892="",204.19728=""),"-",(231.88892-204.19728)/864624.24072*100)</f>
        <v>3.2027369458136287E-3</v>
      </c>
    </row>
    <row r="90" spans="1:7" x14ac:dyDescent="0.25">
      <c r="A90" s="50" t="s">
        <v>99</v>
      </c>
      <c r="B90" s="55">
        <v>230.10364000000001</v>
      </c>
      <c r="C90" s="55" t="s">
        <v>105</v>
      </c>
      <c r="D90" s="55">
        <f>IF(139.54267="","-",139.54267/864624.24072*100)</f>
        <v>1.6139111469254942E-2</v>
      </c>
      <c r="E90" s="55">
        <f>IF(230.10364="","-",230.10364/923234.79735*100)</f>
        <v>2.4923631633087948E-2</v>
      </c>
      <c r="F90" s="55">
        <f>IF(OR(831797.47999="",194.06628="",139.54267=""),"-",(139.54267-194.06628)/831797.47999*100)</f>
        <v>-6.5549140640165805E-3</v>
      </c>
      <c r="G90" s="55">
        <f>IF(OR(864624.24072="",230.10364="",139.54267=""),"-",(230.10364-139.54267)/864624.24072*100)</f>
        <v>1.0474026257300748E-2</v>
      </c>
    </row>
    <row r="91" spans="1:7" x14ac:dyDescent="0.25">
      <c r="A91" s="50" t="s">
        <v>98</v>
      </c>
      <c r="B91" s="55">
        <v>202.53422</v>
      </c>
      <c r="C91" s="55">
        <f>IF(OR(150.03282="",202.53422=""),"-",202.53422/150.03282*100)</f>
        <v>134.99327680436855</v>
      </c>
      <c r="D91" s="55">
        <f>IF(150.03282="","-",150.03282/864624.24072*100)</f>
        <v>1.7352372618545012E-2</v>
      </c>
      <c r="E91" s="55">
        <f>IF(202.53422="","-",202.53422/923234.79735*100)</f>
        <v>2.1937455193558841E-2</v>
      </c>
      <c r="F91" s="55">
        <f>IF(OR(831797.47999="",118.96638="",150.03282=""),"-",(150.03282-118.96638)/831797.47999*100)</f>
        <v>3.7348562297127266E-3</v>
      </c>
      <c r="G91" s="55">
        <f>IF(OR(864624.24072="",202.53422="",150.03282=""),"-",(202.53422-150.03282)/864624.24072*100)</f>
        <v>6.0721637825329119E-3</v>
      </c>
    </row>
    <row r="92" spans="1:7" x14ac:dyDescent="0.25">
      <c r="A92" s="50" t="s">
        <v>91</v>
      </c>
      <c r="B92" s="55">
        <v>183.73676</v>
      </c>
      <c r="C92" s="55">
        <f>IF(OR(171.81908="",183.73676=""),"-",183.73676/171.81908*100)</f>
        <v>106.93617961404517</v>
      </c>
      <c r="D92" s="55">
        <f>IF(171.81908="","-",171.81908/864624.24072*100)</f>
        <v>1.9872109976574428E-2</v>
      </c>
      <c r="E92" s="55">
        <f>IF(183.73676="","-",183.73676/923234.79735*100)</f>
        <v>1.990141191898176E-2</v>
      </c>
      <c r="F92" s="55">
        <f>IF(OR(831797.47999="",200.50308="",171.81908=""),"-",(171.81908-200.50308)/831797.47999*100)</f>
        <v>-3.4484355495216024E-3</v>
      </c>
      <c r="G92" s="55">
        <f>IF(OR(864624.24072="",183.73676="",171.81908=""),"-",(183.73676-171.81908)/864624.24072*100)</f>
        <v>1.3783652410757951E-3</v>
      </c>
    </row>
    <row r="93" spans="1:7" x14ac:dyDescent="0.25">
      <c r="A93" s="50" t="s">
        <v>103</v>
      </c>
      <c r="B93" s="55">
        <v>169.19176999999999</v>
      </c>
      <c r="C93" s="55" t="s">
        <v>272</v>
      </c>
      <c r="D93" s="55">
        <f>IF(55.1877="","-",55.1877/864624.24072*100)</f>
        <v>6.3828536606888846E-3</v>
      </c>
      <c r="E93" s="55">
        <f>IF(169.19177="","-",169.19177/923234.79735*100)</f>
        <v>1.8325974116837698E-2</v>
      </c>
      <c r="F93" s="55">
        <f>IF(OR(831797.47999="",61.19813="",55.1877=""),"-",(55.1877-61.19813)/831797.47999*100)</f>
        <v>-7.2258333844342222E-4</v>
      </c>
      <c r="G93" s="55">
        <f>IF(OR(864624.24072="",169.19177="",55.1877=""),"-",(169.19177-55.1877)/864624.24072*100)</f>
        <v>1.3185389054679426E-2</v>
      </c>
    </row>
    <row r="94" spans="1:7" x14ac:dyDescent="0.25">
      <c r="A94" s="50" t="s">
        <v>65</v>
      </c>
      <c r="B94" s="55">
        <v>165.56809000000001</v>
      </c>
      <c r="C94" s="55">
        <f>IF(OR(170.2181="",165.56809=""),"-",165.56809/170.2181*100)</f>
        <v>97.268204732634203</v>
      </c>
      <c r="D94" s="55">
        <f>IF(170.2181="","-",170.2181/864624.24072*100)</f>
        <v>1.9686945147206834E-2</v>
      </c>
      <c r="E94" s="55">
        <f>IF(165.56809="","-",165.56809/923234.79735*100)</f>
        <v>1.7933475912653759E-2</v>
      </c>
      <c r="F94" s="55">
        <f>IF(OR(831797.47999="",91.64038="",170.2181=""),"-",(170.2181-91.64038)/831797.47999*100)</f>
        <v>9.446736963057964E-3</v>
      </c>
      <c r="G94" s="55">
        <f>IF(OR(864624.24072="",165.56809="",170.2181=""),"-",(165.56809-170.2181)/864624.24072*100)</f>
        <v>-5.3780703582029688E-4</v>
      </c>
    </row>
    <row r="95" spans="1:7" x14ac:dyDescent="0.25">
      <c r="A95" s="50" t="s">
        <v>163</v>
      </c>
      <c r="B95" s="55">
        <v>156.88140000000001</v>
      </c>
      <c r="C95" s="55">
        <f>IF(OR(174.51585="",156.8814=""),"-",156.8814/174.51585*100)</f>
        <v>89.895215821370954</v>
      </c>
      <c r="D95" s="55">
        <f>IF(174.51585="","-",174.51585/864624.24072*100)</f>
        <v>2.0184010785387549E-2</v>
      </c>
      <c r="E95" s="55">
        <f>IF(156.8814="","-",156.8814/923234.79735*100)</f>
        <v>1.6992578751397085E-2</v>
      </c>
      <c r="F95" s="55">
        <f>IF(OR(831797.47999="",205.72394="",174.51585=""),"-",(174.51585-205.72394)/831797.47999*100)</f>
        <v>-3.7518856152792368E-3</v>
      </c>
      <c r="G95" s="55">
        <f>IF(OR(864624.24072="",156.8814="",174.51585=""),"-",(156.8814-174.51585)/864624.24072*100)</f>
        <v>-2.0395507284546202E-3</v>
      </c>
    </row>
    <row r="96" spans="1:7" x14ac:dyDescent="0.25">
      <c r="A96" s="50" t="s">
        <v>82</v>
      </c>
      <c r="B96" s="55">
        <v>142.47390999999999</v>
      </c>
      <c r="C96" s="55">
        <f>IF(OR(624.78585="",142.47391=""),"-",142.47391/624.78585*100)</f>
        <v>22.803639038880281</v>
      </c>
      <c r="D96" s="55">
        <f>IF(624.78585="","-",624.78585/864624.24072*100)</f>
        <v>7.2260968473393833E-2</v>
      </c>
      <c r="E96" s="55">
        <f>IF(142.47391="","-",142.47391/923234.79735*100)</f>
        <v>1.5432034235380738E-2</v>
      </c>
      <c r="F96" s="55">
        <f>IF(OR(831797.47999="",379.36714="",624.78585=""),"-",(624.78585-379.36714)/831797.47999*100)</f>
        <v>2.9504622928522267E-2</v>
      </c>
      <c r="G96" s="55">
        <f>IF(OR(864624.24072="",142.47391="",624.78585=""),"-",(142.47391-624.78585)/864624.24072*100)</f>
        <v>-5.5782838056722024E-2</v>
      </c>
    </row>
    <row r="97" spans="1:7" x14ac:dyDescent="0.25">
      <c r="A97" s="50" t="s">
        <v>93</v>
      </c>
      <c r="B97" s="55">
        <v>130.70887999999999</v>
      </c>
      <c r="C97" s="55">
        <f>IF(OR(251.38321="",130.70888=""),"-",130.70888/251.38321*100)</f>
        <v>51.995867186197522</v>
      </c>
      <c r="D97" s="55">
        <f>IF(251.38321="","-",251.38321/864624.24072*100)</f>
        <v>2.9074272748895544E-2</v>
      </c>
      <c r="E97" s="55">
        <f>IF(130.70888="","-",130.70888/923234.79735*100)</f>
        <v>1.4157707267444775E-2</v>
      </c>
      <c r="F97" s="55">
        <f>IF(OR(831797.47999="",127.84174="",251.38321=""),"-",(251.38321-127.84174)/831797.47999*100)</f>
        <v>1.4852349637015635E-2</v>
      </c>
      <c r="G97" s="55">
        <f>IF(OR(864624.24072="",130.70888="",251.38321=""),"-",(130.70888-251.38321)/864624.24072*100)</f>
        <v>-1.3956852505026998E-2</v>
      </c>
    </row>
    <row r="98" spans="1:7" x14ac:dyDescent="0.25">
      <c r="A98" s="50" t="s">
        <v>131</v>
      </c>
      <c r="B98" s="55">
        <v>114.13523000000001</v>
      </c>
      <c r="C98" s="55" t="s">
        <v>96</v>
      </c>
      <c r="D98" s="55">
        <f>IF(53.13973="","-",53.13973/864624.24072*100)</f>
        <v>6.1459912291782224E-3</v>
      </c>
      <c r="E98" s="55">
        <f>IF(114.13523="","-",114.13523/923234.79735*100)</f>
        <v>1.2362535546494479E-2</v>
      </c>
      <c r="F98" s="55">
        <f>IF(OR(831797.47999="",50.38919="",53.13973=""),"-",(53.13973-50.38919)/831797.47999*100)</f>
        <v>3.3067424056551221E-4</v>
      </c>
      <c r="G98" s="55">
        <f>IF(OR(864624.24072="",114.13523="",53.13973=""),"-",(114.13523-53.13973)/864624.24072*100)</f>
        <v>7.054567421011365E-3</v>
      </c>
    </row>
    <row r="99" spans="1:7" x14ac:dyDescent="0.25">
      <c r="A99" s="50" t="s">
        <v>95</v>
      </c>
      <c r="B99" s="55">
        <v>103.09831</v>
      </c>
      <c r="C99" s="55">
        <f>IF(OR(257.92198="",103.09831=""),"-",103.09831/257.92198*100)</f>
        <v>39.972673131619104</v>
      </c>
      <c r="D99" s="55">
        <f>IF(257.92198="","-",257.92198/864624.24072*100)</f>
        <v>2.9830528436864113E-2</v>
      </c>
      <c r="E99" s="55">
        <f>IF(103.09831="","-",103.09831/923234.79735*100)</f>
        <v>1.1167073673558172E-2</v>
      </c>
      <c r="F99" s="55">
        <f>IF(OR(831797.47999="",74.85715="",257.92198=""),"-",(257.92198-74.85715)/831797.47999*100)</f>
        <v>2.2008341501852213E-2</v>
      </c>
      <c r="G99" s="55">
        <f>IF(OR(864624.24072="",103.09831="",257.92198=""),"-",(103.09831-257.92198)/864624.24072*100)</f>
        <v>-1.7906468811361737E-2</v>
      </c>
    </row>
    <row r="100" spans="1:7" x14ac:dyDescent="0.25">
      <c r="A100" s="50" t="s">
        <v>241</v>
      </c>
      <c r="B100" s="55">
        <v>89.530869999999993</v>
      </c>
      <c r="C100" s="55">
        <f>IF(OR(70.49428="",89.53087=""),"-",89.53087/70.49428*100)</f>
        <v>127.00444631819772</v>
      </c>
      <c r="D100" s="55">
        <f>IF(70.49428="","-",70.49428/864624.24072*100)</f>
        <v>8.1531695134174336E-3</v>
      </c>
      <c r="E100" s="55">
        <f>IF(89.53087="","-",89.53087/923234.79735*100)</f>
        <v>9.6975190121715779E-3</v>
      </c>
      <c r="F100" s="55">
        <f>IF(OR(831797.47999="",342.82774="",70.49428=""),"-",(70.49428-342.82774)/831797.47999*100)</f>
        <v>-3.2740356463122969E-2</v>
      </c>
      <c r="G100" s="55">
        <f>IF(OR(864624.24072="",89.53087="",70.49428=""),"-",(89.53087-70.49428)/864624.24072*100)</f>
        <v>2.2017182844824728E-3</v>
      </c>
    </row>
    <row r="101" spans="1:7" x14ac:dyDescent="0.25">
      <c r="A101" s="50" t="s">
        <v>145</v>
      </c>
      <c r="B101" s="55">
        <v>78.135499999999993</v>
      </c>
      <c r="C101" s="55" t="s">
        <v>273</v>
      </c>
      <c r="D101" s="55">
        <f>IF(0.93607="","-",0.93607/864624.24072*100)</f>
        <v>1.0826321492218456E-4</v>
      </c>
      <c r="E101" s="55">
        <f>IF(78.1355="","-",78.1355/923234.79735*100)</f>
        <v>8.463231696235413E-3</v>
      </c>
      <c r="F101" s="55">
        <f>IF(OR(831797.47999="",1.04858="",0.93607=""),"-",(0.93607-1.04858)/831797.47999*100)</f>
        <v>-1.3526128980500483E-5</v>
      </c>
      <c r="G101" s="55">
        <f>IF(OR(864624.24072="",78.1355="",0.93607=""),"-",(78.1355-0.93607)/864624.24072*100)</f>
        <v>8.9286682427170416E-3</v>
      </c>
    </row>
    <row r="102" spans="1:7" x14ac:dyDescent="0.25">
      <c r="A102" s="50" t="s">
        <v>147</v>
      </c>
      <c r="B102" s="55">
        <v>72.155249999999995</v>
      </c>
      <c r="C102" s="55" t="s">
        <v>274</v>
      </c>
      <c r="D102" s="55">
        <f>IF(0.39035="","-",0.39035/864624.24072*100)</f>
        <v>4.514677956229207E-5</v>
      </c>
      <c r="E102" s="55">
        <f>IF(72.15525="","-",72.15525/923234.79735*100)</f>
        <v>7.8154820644878494E-3</v>
      </c>
      <c r="F102" s="55">
        <f>IF(OR(831797.47999="",1.04916="",0.39035=""),"-",(0.39035-1.04916)/831797.47999*100)</f>
        <v>-7.9203173350311245E-5</v>
      </c>
      <c r="G102" s="55">
        <f>IF(OR(864624.24072="",72.15525="",0.39035=""),"-",(72.15525-0.39035)/864624.24072*100)</f>
        <v>8.3001258373509267E-3</v>
      </c>
    </row>
    <row r="103" spans="1:7" x14ac:dyDescent="0.25">
      <c r="A103" s="50" t="s">
        <v>224</v>
      </c>
      <c r="B103" s="55">
        <v>66.021079999999998</v>
      </c>
      <c r="C103" s="55" t="s">
        <v>275</v>
      </c>
      <c r="D103" s="55">
        <f>IF(0.6147="","-",0.6147/864624.24072*100)</f>
        <v>7.1094467521303796E-5</v>
      </c>
      <c r="E103" s="55">
        <f>IF(66.02108="","-",66.02108/923234.79735*100)</f>
        <v>7.1510606174618966E-3</v>
      </c>
      <c r="F103" s="55">
        <f>IF(OR(831797.47999="",0.5567="",0.6147=""),"-",(0.6147-0.5567)/831797.47999*100)</f>
        <v>6.9728511320685097E-6</v>
      </c>
      <c r="G103" s="55">
        <f>IF(OR(864624.24072="",66.02108="",0.6147=""),"-",(66.02108-0.6147)/864624.24072*100)</f>
        <v>7.5647173557768909E-3</v>
      </c>
    </row>
    <row r="104" spans="1:7" x14ac:dyDescent="0.25">
      <c r="A104" s="50" t="s">
        <v>112</v>
      </c>
      <c r="B104" s="55">
        <v>49.259369999999997</v>
      </c>
      <c r="C104" s="55">
        <f>IF(OR(52.38433="",49.25937=""),"-",49.25937/52.38433*100)</f>
        <v>94.034551935664723</v>
      </c>
      <c r="D104" s="55">
        <f>IF(52.38433="","-",52.38433/864624.24072*100)</f>
        <v>6.0586237966654636E-3</v>
      </c>
      <c r="E104" s="55">
        <f>IF(49.25937="","-",49.25937/923234.79735*100)</f>
        <v>5.3355192136812059E-3</v>
      </c>
      <c r="F104" s="55">
        <f>IF(OR(831797.47999="",64.00732="",52.38433=""),"-",(52.38433-64.00732)/831797.47999*100)</f>
        <v>-1.397334120336568E-3</v>
      </c>
      <c r="G104" s="55">
        <f>IF(OR(864624.24072="",49.25937="",52.38433=""),"-",(49.25937-52.38433)/864624.24072*100)</f>
        <v>-3.6142405600353607E-4</v>
      </c>
    </row>
    <row r="105" spans="1:7" x14ac:dyDescent="0.25">
      <c r="A105" s="50" t="s">
        <v>155</v>
      </c>
      <c r="B105" s="55">
        <v>36.548380000000002</v>
      </c>
      <c r="C105" s="55" t="s">
        <v>276</v>
      </c>
      <c r="D105" s="55">
        <f>IF(5.04667="","-",5.04667/864624.24072*100)</f>
        <v>5.8368361217787251E-4</v>
      </c>
      <c r="E105" s="55">
        <f>IF(36.54838="","-",36.54838/923234.79735*100)</f>
        <v>3.9587307697788654E-3</v>
      </c>
      <c r="F105" s="55">
        <f>IF(OR(831797.47999="",14.7651="",5.04667=""),"-",(5.04667-14.7651)/831797.47999*100)</f>
        <v>-1.1683649246108365E-3</v>
      </c>
      <c r="G105" s="55">
        <f>IF(OR(864624.24072="",36.54838="",5.04667=""),"-",(36.54838-5.04667)/864624.24072*100)</f>
        <v>3.6433988912648956E-3</v>
      </c>
    </row>
    <row r="106" spans="1:7" x14ac:dyDescent="0.25">
      <c r="A106" s="50" t="s">
        <v>235</v>
      </c>
      <c r="B106" s="55">
        <v>34.816290000000002</v>
      </c>
      <c r="C106" s="55" t="s">
        <v>277</v>
      </c>
      <c r="D106" s="55">
        <f>IF(4.54069="","-",4.54069/864624.24072*100)</f>
        <v>5.25163393084934E-4</v>
      </c>
      <c r="E106" s="55">
        <f>IF(34.81629="","-",34.81629/923234.79735*100)</f>
        <v>3.7711197736409715E-3</v>
      </c>
      <c r="F106" s="55">
        <f>IF(OR(831797.47999="",22.90005="",4.54069=""),"-",(4.54069-22.90005)/831797.47999*100)</f>
        <v>-2.2071911062078141E-3</v>
      </c>
      <c r="G106" s="55">
        <f>IF(OR(864624.24072="",34.81629="",4.54069=""),"-",(34.81629-4.54069)/864624.24072*100)</f>
        <v>3.501590468339004E-3</v>
      </c>
    </row>
    <row r="107" spans="1:7" x14ac:dyDescent="0.25">
      <c r="A107" s="52" t="s">
        <v>142</v>
      </c>
      <c r="B107" s="57">
        <v>24.48085</v>
      </c>
      <c r="C107" s="57">
        <f>IF(OR(23.00899="",24.48085=""),"-",24.48085/23.00899*100)</f>
        <v>106.39689095436175</v>
      </c>
      <c r="D107" s="57">
        <f>IF(23.00899="","-",23.00899/864624.24072*100)</f>
        <v>2.6611548596925396E-3</v>
      </c>
      <c r="E107" s="57">
        <f>IF(24.48085="","-",24.48085/923234.79735*100)</f>
        <v>2.6516385723619196E-3</v>
      </c>
      <c r="F107" s="57">
        <f>IF(OR(831797.47999="",7.96128="",23.00899=""),"-",(23.00899-7.96128)/831797.47999*100)</f>
        <v>1.8090593398023885E-3</v>
      </c>
      <c r="G107" s="57">
        <f>IF(OR(864624.24072="",24.48085="",23.00899=""),"-",(24.48085-23.00899)/864624.24072*100)</f>
        <v>1.7023117450123016E-4</v>
      </c>
    </row>
    <row r="108" spans="1:7" x14ac:dyDescent="0.25">
      <c r="A108" s="51" t="s">
        <v>140</v>
      </c>
      <c r="B108" s="56">
        <v>17.022020000000001</v>
      </c>
      <c r="C108" s="56">
        <f>IF(OR(375.11441="",17.02202=""),"-",17.02202/375.11441*100)</f>
        <v>4.5378208744366821</v>
      </c>
      <c r="D108" s="56">
        <f>IF(375.11441="","-",375.11441/864624.24072*100)</f>
        <v>4.3384674212653386E-2</v>
      </c>
      <c r="E108" s="56">
        <f>IF(17.02202="","-",17.02202/923234.79735*100)</f>
        <v>1.8437368315036467E-3</v>
      </c>
      <c r="F108" s="56">
        <f>IF(OR(831797.47999="",29.94875="",375.11441=""),"-",(375.11441-29.94875)/831797.47999*100)</f>
        <v>4.1496357984175385E-2</v>
      </c>
      <c r="G108" s="56">
        <f>IF(OR(864624.24072="",17.02202="",375.11441=""),"-",(17.02202-375.11441)/864624.24072*100)</f>
        <v>-4.1415955409925258E-2</v>
      </c>
    </row>
    <row r="109" spans="1:7" x14ac:dyDescent="0.25">
      <c r="A109" s="33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7"/>
  <sheetViews>
    <sheetView workbookViewId="0">
      <selection activeCell="I10" sqref="I10"/>
    </sheetView>
  </sheetViews>
  <sheetFormatPr defaultRowHeight="15.75" x14ac:dyDescent="0.25"/>
  <cols>
    <col min="1" max="1" width="43.875" customWidth="1"/>
    <col min="2" max="2" width="15" customWidth="1"/>
    <col min="3" max="3" width="14.5" customWidth="1"/>
    <col min="4" max="4" width="16.375" customWidth="1"/>
  </cols>
  <sheetData>
    <row r="1" spans="1:5" x14ac:dyDescent="0.25">
      <c r="A1" s="100" t="s">
        <v>151</v>
      </c>
      <c r="B1" s="100"/>
      <c r="C1" s="100"/>
      <c r="D1" s="100"/>
    </row>
    <row r="2" spans="1:5" x14ac:dyDescent="0.25">
      <c r="A2" s="4"/>
    </row>
    <row r="3" spans="1:5" ht="28.5" customHeight="1" x14ac:dyDescent="0.25">
      <c r="A3" s="101"/>
      <c r="B3" s="105" t="s">
        <v>253</v>
      </c>
      <c r="C3" s="106"/>
      <c r="D3" s="103" t="s">
        <v>254</v>
      </c>
      <c r="E3" s="1"/>
    </row>
    <row r="4" spans="1:5" ht="27" customHeight="1" x14ac:dyDescent="0.25">
      <c r="A4" s="102"/>
      <c r="B4" s="21">
        <v>2020</v>
      </c>
      <c r="C4" s="20">
        <v>2021</v>
      </c>
      <c r="D4" s="104"/>
      <c r="E4" s="1"/>
    </row>
    <row r="5" spans="1:5" ht="16.5" customHeight="1" x14ac:dyDescent="0.25">
      <c r="A5" s="39" t="s">
        <v>236</v>
      </c>
      <c r="B5" s="53">
        <v>-399827.68057000003</v>
      </c>
      <c r="C5" s="53">
        <v>-497593.41116000002</v>
      </c>
      <c r="D5" s="53">
        <f>IF(-399827.68057="","-",-497593.41116/-399827.68057*100)</f>
        <v>124.45196651983268</v>
      </c>
    </row>
    <row r="6" spans="1:5" x14ac:dyDescent="0.25">
      <c r="A6" s="40" t="s">
        <v>143</v>
      </c>
      <c r="B6" s="34"/>
      <c r="C6" s="34"/>
      <c r="D6" s="83"/>
    </row>
    <row r="7" spans="1:5" x14ac:dyDescent="0.25">
      <c r="A7" s="37" t="s">
        <v>240</v>
      </c>
      <c r="B7" s="54">
        <v>-90686.241769999993</v>
      </c>
      <c r="C7" s="54">
        <v>-156159.57126</v>
      </c>
      <c r="D7" s="54">
        <f>IF(-90686.24177="","-",-156159.57126/-90686.24177*100)</f>
        <v>172.19764344855594</v>
      </c>
    </row>
    <row r="8" spans="1:5" x14ac:dyDescent="0.25">
      <c r="A8" s="50" t="s">
        <v>8</v>
      </c>
      <c r="B8" s="55">
        <v>-4935.83338</v>
      </c>
      <c r="C8" s="55">
        <v>-9256.4065599999994</v>
      </c>
      <c r="D8" s="55" t="s">
        <v>106</v>
      </c>
    </row>
    <row r="9" spans="1:5" x14ac:dyDescent="0.25">
      <c r="A9" s="50" t="s">
        <v>42</v>
      </c>
      <c r="B9" s="55">
        <v>-3044.8574100000001</v>
      </c>
      <c r="C9" s="55">
        <v>-3097.0337800000002</v>
      </c>
      <c r="D9" s="55">
        <f>IF(OR(-3044.85741="",-3097.03378="",-3044.85741=0),"-",-3097.03378/-3044.85741*100)</f>
        <v>101.71358993129338</v>
      </c>
    </row>
    <row r="10" spans="1:5" x14ac:dyDescent="0.25">
      <c r="A10" s="50" t="s">
        <v>6</v>
      </c>
      <c r="B10" s="55">
        <v>1921.2490399999999</v>
      </c>
      <c r="C10" s="55">
        <v>-521.05632000000003</v>
      </c>
      <c r="D10" s="55" t="s">
        <v>22</v>
      </c>
    </row>
    <row r="11" spans="1:5" x14ac:dyDescent="0.25">
      <c r="A11" s="50" t="s">
        <v>48</v>
      </c>
      <c r="B11" s="55">
        <v>3120.9987700000001</v>
      </c>
      <c r="C11" s="55">
        <v>1224.05864</v>
      </c>
      <c r="D11" s="55">
        <f>IF(OR(3120.99877="",1224.05864="",3120.99877=0),"-",1224.05864/3120.99877*100)</f>
        <v>39.220093636884066</v>
      </c>
    </row>
    <row r="12" spans="1:5" x14ac:dyDescent="0.25">
      <c r="A12" s="50" t="s">
        <v>125</v>
      </c>
      <c r="B12" s="55">
        <v>-748.59037999999998</v>
      </c>
      <c r="C12" s="55">
        <v>-919.80697999999995</v>
      </c>
      <c r="D12" s="55">
        <f>IF(OR(-748.59038="",-919.80698="",-748.59038=0),"-",-919.80698/-748.59038*100)</f>
        <v>122.87186752252947</v>
      </c>
    </row>
    <row r="13" spans="1:5" x14ac:dyDescent="0.25">
      <c r="A13" s="50" t="s">
        <v>49</v>
      </c>
      <c r="B13" s="55">
        <v>-1640.7050200000001</v>
      </c>
      <c r="C13" s="55">
        <v>-1988.9785899999999</v>
      </c>
      <c r="D13" s="55">
        <f>IF(OR(-1640.70502="",-1988.97859="",-1640.70502=0),"-",-1988.97859/-1640.70502*100)</f>
        <v>121.22706798325027</v>
      </c>
    </row>
    <row r="14" spans="1:5" x14ac:dyDescent="0.25">
      <c r="A14" s="50" t="s">
        <v>47</v>
      </c>
      <c r="B14" s="55">
        <v>706.11780999999996</v>
      </c>
      <c r="C14" s="55">
        <v>-176.05861999999999</v>
      </c>
      <c r="D14" s="55" t="s">
        <v>22</v>
      </c>
    </row>
    <row r="15" spans="1:5" x14ac:dyDescent="0.25">
      <c r="A15" s="50" t="s">
        <v>50</v>
      </c>
      <c r="B15" s="55">
        <v>-1287.5396000000001</v>
      </c>
      <c r="C15" s="55">
        <v>-1417.23026</v>
      </c>
      <c r="D15" s="55">
        <f>IF(OR(-1287.5396="",-1417.23026="",-1287.5396=0),"-",-1417.23026/-1287.5396*100)</f>
        <v>110.07275116043031</v>
      </c>
    </row>
    <row r="16" spans="1:5" x14ac:dyDescent="0.25">
      <c r="A16" s="50" t="s">
        <v>124</v>
      </c>
      <c r="B16" s="55">
        <v>-12006.71882</v>
      </c>
      <c r="C16" s="55">
        <v>-22075.375059999998</v>
      </c>
      <c r="D16" s="55" t="s">
        <v>227</v>
      </c>
    </row>
    <row r="17" spans="1:4" x14ac:dyDescent="0.25">
      <c r="A17" s="50" t="s">
        <v>4</v>
      </c>
      <c r="B17" s="55">
        <v>-22117.70003</v>
      </c>
      <c r="C17" s="55">
        <v>-25939.60284</v>
      </c>
      <c r="D17" s="55">
        <f>IF(OR(-22117.70003="",-25939.60284="",-22117.70003=0),"-",-25939.60284/-22117.70003*100)</f>
        <v>117.27983834131057</v>
      </c>
    </row>
    <row r="18" spans="1:4" x14ac:dyDescent="0.25">
      <c r="A18" s="50" t="s">
        <v>9</v>
      </c>
      <c r="B18" s="55">
        <v>5678.3463199999997</v>
      </c>
      <c r="C18" s="55">
        <v>3402.6748499999999</v>
      </c>
      <c r="D18" s="55">
        <f>IF(OR(5678.34632="",3402.67485="",5678.34632=0),"-",3402.67485/5678.34632*100)</f>
        <v>59.923693593947611</v>
      </c>
    </row>
    <row r="19" spans="1:4" x14ac:dyDescent="0.25">
      <c r="A19" s="50" t="s">
        <v>54</v>
      </c>
      <c r="B19" s="55">
        <v>-1467.6049700000001</v>
      </c>
      <c r="C19" s="55">
        <v>-1084.15806</v>
      </c>
      <c r="D19" s="55">
        <f>IF(OR(-1467.60497="",-1084.15806="",-1467.60497=0),"-",-1084.15806/-1467.60497*100)</f>
        <v>73.872607558694753</v>
      </c>
    </row>
    <row r="20" spans="1:4" x14ac:dyDescent="0.25">
      <c r="A20" s="50" t="s">
        <v>3</v>
      </c>
      <c r="B20" s="55">
        <v>-4987.5284700000002</v>
      </c>
      <c r="C20" s="55">
        <v>-31796.635910000001</v>
      </c>
      <c r="D20" s="55" t="s">
        <v>286</v>
      </c>
    </row>
    <row r="21" spans="1:4" x14ac:dyDescent="0.25">
      <c r="A21" s="50" t="s">
        <v>46</v>
      </c>
      <c r="B21" s="55">
        <v>-929.01180999999997</v>
      </c>
      <c r="C21" s="55">
        <v>-1046.16453</v>
      </c>
      <c r="D21" s="55">
        <f>IF(OR(-929.01181="",-1046.16453="",-929.01181=0),"-",-1046.16453/-929.01181*100)</f>
        <v>112.6104661683472</v>
      </c>
    </row>
    <row r="22" spans="1:4" x14ac:dyDescent="0.25">
      <c r="A22" s="50" t="s">
        <v>44</v>
      </c>
      <c r="B22" s="55">
        <v>-1562.0928200000001</v>
      </c>
      <c r="C22" s="55">
        <v>-242.31768</v>
      </c>
      <c r="D22" s="55">
        <f>IF(OR(-1562.09282="",-242.31768="",-1562.09282=0),"-",-242.31768/-1562.09282*100)</f>
        <v>15.512373970197238</v>
      </c>
    </row>
    <row r="23" spans="1:4" x14ac:dyDescent="0.25">
      <c r="A23" s="50" t="s">
        <v>55</v>
      </c>
      <c r="B23" s="55">
        <v>-89.975880000000004</v>
      </c>
      <c r="C23" s="55">
        <v>-525.62885000000006</v>
      </c>
      <c r="D23" s="55" t="s">
        <v>287</v>
      </c>
    </row>
    <row r="24" spans="1:4" x14ac:dyDescent="0.25">
      <c r="A24" s="50" t="s">
        <v>56</v>
      </c>
      <c r="B24" s="55">
        <v>-0.90125999999999995</v>
      </c>
      <c r="C24" s="55">
        <v>-5.1739699999999997</v>
      </c>
      <c r="D24" s="55" t="s">
        <v>238</v>
      </c>
    </row>
    <row r="25" spans="1:4" x14ac:dyDescent="0.25">
      <c r="A25" s="50" t="s">
        <v>10</v>
      </c>
      <c r="B25" s="55">
        <v>-3487.9633600000002</v>
      </c>
      <c r="C25" s="55">
        <v>-2127.5923499999999</v>
      </c>
      <c r="D25" s="55">
        <f>IF(OR(-3487.96336="",-2127.59235="",-3487.96336=0),"-",-2127.59235/-3487.96336*100)</f>
        <v>60.998127858774289</v>
      </c>
    </row>
    <row r="26" spans="1:4" x14ac:dyDescent="0.25">
      <c r="A26" s="50" t="s">
        <v>5</v>
      </c>
      <c r="B26" s="55">
        <v>-13248.413619999999</v>
      </c>
      <c r="C26" s="55">
        <v>-19375.02003</v>
      </c>
      <c r="D26" s="55">
        <f>IF(OR(-13248.41362="",-19375.02003="",-13248.41362=0),"-",-19375.02003/-13248.41362*100)</f>
        <v>146.24407559823754</v>
      </c>
    </row>
    <row r="27" spans="1:4" x14ac:dyDescent="0.25">
      <c r="A27" s="50" t="s">
        <v>52</v>
      </c>
      <c r="B27" s="55">
        <v>1467.5664400000001</v>
      </c>
      <c r="C27" s="55">
        <v>-4182.2599799999998</v>
      </c>
      <c r="D27" s="55" t="s">
        <v>22</v>
      </c>
    </row>
    <row r="28" spans="1:4" x14ac:dyDescent="0.25">
      <c r="A28" s="50" t="s">
        <v>7</v>
      </c>
      <c r="B28" s="55">
        <v>923.96411999999998</v>
      </c>
      <c r="C28" s="55">
        <v>-3941.99739</v>
      </c>
      <c r="D28" s="55" t="s">
        <v>22</v>
      </c>
    </row>
    <row r="29" spans="1:4" x14ac:dyDescent="0.25">
      <c r="A29" s="50" t="s">
        <v>2</v>
      </c>
      <c r="B29" s="55">
        <v>-6255.6353600000002</v>
      </c>
      <c r="C29" s="55">
        <v>-3272.67598</v>
      </c>
      <c r="D29" s="55">
        <f>IF(OR(-6255.63536="",-3272.67598="",-6255.63536=0),"-",-3272.67598/-6255.63536*100)</f>
        <v>52.315644881193968</v>
      </c>
    </row>
    <row r="30" spans="1:4" x14ac:dyDescent="0.25">
      <c r="A30" s="50" t="s">
        <v>45</v>
      </c>
      <c r="B30" s="55">
        <v>-1543.7619500000001</v>
      </c>
      <c r="C30" s="55">
        <v>-1825.4025300000001</v>
      </c>
      <c r="D30" s="55">
        <f>IF(OR(-1543.76195="",-1825.40253="",-1543.76195=0),"-",-1825.40253/-1543.76195*100)</f>
        <v>118.24378298739646</v>
      </c>
    </row>
    <row r="31" spans="1:4" x14ac:dyDescent="0.25">
      <c r="A31" s="50" t="s">
        <v>53</v>
      </c>
      <c r="B31" s="55">
        <v>-4318.0803100000003</v>
      </c>
      <c r="C31" s="55">
        <v>-4372.2904600000002</v>
      </c>
      <c r="D31" s="55">
        <f>IF(OR(-4318.08031="",-4372.29046="",-4318.08031=0),"-",-4372.29046/-4318.08031*100)</f>
        <v>101.25542245878239</v>
      </c>
    </row>
    <row r="32" spans="1:4" x14ac:dyDescent="0.25">
      <c r="A32" s="50" t="s">
        <v>41</v>
      </c>
      <c r="B32" s="55">
        <v>-2330.2929600000002</v>
      </c>
      <c r="C32" s="55">
        <v>-5631.4415300000001</v>
      </c>
      <c r="D32" s="55" t="s">
        <v>242</v>
      </c>
    </row>
    <row r="33" spans="1:4" x14ac:dyDescent="0.25">
      <c r="A33" s="50" t="s">
        <v>51</v>
      </c>
      <c r="B33" s="55">
        <v>-2931.6212599999999</v>
      </c>
      <c r="C33" s="55">
        <v>-3056.7083499999999</v>
      </c>
      <c r="D33" s="55">
        <f>IF(OR(-2931.62126="",-3056.70835="",-2931.62126=0),"-",-3056.70835/-2931.62126*100)</f>
        <v>104.26682299336308</v>
      </c>
    </row>
    <row r="34" spans="1:4" x14ac:dyDescent="0.25">
      <c r="A34" s="50" t="s">
        <v>43</v>
      </c>
      <c r="B34" s="55">
        <v>-15569.6556</v>
      </c>
      <c r="C34" s="55">
        <v>-12909.288140000001</v>
      </c>
      <c r="D34" s="55">
        <f>IF(OR(-15569.6556="",-12909.28814="",-15569.6556=0),"-",-12909.28814/-15569.6556*100)</f>
        <v>82.913125836900335</v>
      </c>
    </row>
    <row r="35" spans="1:4" x14ac:dyDescent="0.25">
      <c r="A35" s="37" t="s">
        <v>159</v>
      </c>
      <c r="B35" s="54">
        <v>-161214.73928000001</v>
      </c>
      <c r="C35" s="54">
        <v>-153890.60112000001</v>
      </c>
      <c r="D35" s="54">
        <f>IF(-161214.73928="","-",-153890.60112/-161214.73928*100)</f>
        <v>95.456905371859747</v>
      </c>
    </row>
    <row r="36" spans="1:4" x14ac:dyDescent="0.25">
      <c r="A36" s="50" t="s">
        <v>126</v>
      </c>
      <c r="B36" s="55">
        <v>-92684.599350000004</v>
      </c>
      <c r="C36" s="55">
        <f>IF(-84036.10329="","-",-84036.10329)</f>
        <v>-84036.103289999999</v>
      </c>
      <c r="D36" s="55">
        <f>IF(OR(-92684.59935="",-84036.10329="",-92684.59935=0),"-",-84036.10329/-92684.59935*100)</f>
        <v>90.668896320799604</v>
      </c>
    </row>
    <row r="37" spans="1:4" x14ac:dyDescent="0.25">
      <c r="A37" s="50" t="s">
        <v>12</v>
      </c>
      <c r="B37" s="55">
        <v>-62904.292359999999</v>
      </c>
      <c r="C37" s="55">
        <f>IF(-62813.41913="","-",-62813.41913)</f>
        <v>-62813.419130000002</v>
      </c>
      <c r="D37" s="55">
        <f>IF(OR(-62904.29236="",-62813.41913="",-62904.29236=0),"-",-62813.41913/-62904.29236*100)</f>
        <v>99.855537314560465</v>
      </c>
    </row>
    <row r="38" spans="1:4" x14ac:dyDescent="0.25">
      <c r="A38" s="50" t="s">
        <v>11</v>
      </c>
      <c r="B38" s="55">
        <v>-3917.3907599999998</v>
      </c>
      <c r="C38" s="55">
        <f>IF(-6519.59688="","-",-6519.59688)</f>
        <v>-6519.5968800000001</v>
      </c>
      <c r="D38" s="55" t="s">
        <v>104</v>
      </c>
    </row>
    <row r="39" spans="1:4" x14ac:dyDescent="0.25">
      <c r="A39" s="50" t="s">
        <v>13</v>
      </c>
      <c r="B39" s="55">
        <v>285.95449000000002</v>
      </c>
      <c r="C39" s="55">
        <f>IF(-926.74008="","-",-926.74008)</f>
        <v>-926.74008000000003</v>
      </c>
      <c r="D39" s="55" t="s">
        <v>22</v>
      </c>
    </row>
    <row r="40" spans="1:4" x14ac:dyDescent="0.25">
      <c r="A40" s="50" t="s">
        <v>15</v>
      </c>
      <c r="B40" s="55">
        <v>-486.65834999999998</v>
      </c>
      <c r="C40" s="55">
        <f>IF(-128.52633="","-",-128.52633)</f>
        <v>-128.52633</v>
      </c>
      <c r="D40" s="55">
        <f>IF(OR(-486.65835="",-128.52633="",-486.65835=0),"-",-128.52633/-486.65835*100)</f>
        <v>26.409971184096605</v>
      </c>
    </row>
    <row r="41" spans="1:4" x14ac:dyDescent="0.25">
      <c r="A41" s="50" t="s">
        <v>16</v>
      </c>
      <c r="B41" s="55">
        <v>-1083.0360599999999</v>
      </c>
      <c r="C41" s="55">
        <f>IF(-22.94438="","-",-22.94438)</f>
        <v>-22.944379999999999</v>
      </c>
      <c r="D41" s="55">
        <f>IF(OR(-1083.03606="",-22.94438="",-1083.03606=0),"-",-22.94438/-1083.03606*100)</f>
        <v>2.1185241052823303</v>
      </c>
    </row>
    <row r="42" spans="1:4" x14ac:dyDescent="0.25">
      <c r="A42" s="50" t="s">
        <v>17</v>
      </c>
      <c r="B42" s="55">
        <v>67.971670000000003</v>
      </c>
      <c r="C42" s="55">
        <f>IF(4.27659="","-",4.27659)</f>
        <v>4.2765899999999997</v>
      </c>
      <c r="D42" s="55">
        <f>IF(OR(67.97167="",4.27659="",67.97167=0),"-",4.27659/67.97167*100)</f>
        <v>6.2917241845021605</v>
      </c>
    </row>
    <row r="43" spans="1:4" x14ac:dyDescent="0.25">
      <c r="A43" s="50" t="s">
        <v>18</v>
      </c>
      <c r="B43" s="55">
        <v>94.971379999999996</v>
      </c>
      <c r="C43" s="55">
        <f>IF(105.36943="","-",105.36943)</f>
        <v>105.36942999999999</v>
      </c>
      <c r="D43" s="55">
        <f>IF(OR(94.97138="",105.36943="",94.97138=0),"-",105.36943/94.97138*100)</f>
        <v>110.94861420356321</v>
      </c>
    </row>
    <row r="44" spans="1:4" x14ac:dyDescent="0.25">
      <c r="A44" s="50" t="s">
        <v>127</v>
      </c>
      <c r="B44" s="55">
        <v>23.848410000000001</v>
      </c>
      <c r="C44" s="55">
        <f>IF(148.7931="","-",148.7931)</f>
        <v>148.79310000000001</v>
      </c>
      <c r="D44" s="55" t="s">
        <v>247</v>
      </c>
    </row>
    <row r="45" spans="1:4" x14ac:dyDescent="0.25">
      <c r="A45" s="50" t="s">
        <v>14</v>
      </c>
      <c r="B45" s="55">
        <v>-611.50834999999995</v>
      </c>
      <c r="C45" s="55">
        <f>IF(298.28985="","-",298.28985)</f>
        <v>298.28985</v>
      </c>
      <c r="D45" s="55" t="s">
        <v>22</v>
      </c>
    </row>
    <row r="46" spans="1:4" x14ac:dyDescent="0.25">
      <c r="A46" s="84" t="s">
        <v>160</v>
      </c>
      <c r="B46" s="54">
        <v>-147926.69951999999</v>
      </c>
      <c r="C46" s="54">
        <v>-187543.23878000001</v>
      </c>
      <c r="D46" s="54">
        <f>IF(-147926.69952="","-",-187543.23878/-147926.69952*100)</f>
        <v>126.78119594944641</v>
      </c>
    </row>
    <row r="47" spans="1:4" x14ac:dyDescent="0.25">
      <c r="A47" s="85" t="s">
        <v>60</v>
      </c>
      <c r="B47" s="55">
        <v>-90726.423939999993</v>
      </c>
      <c r="C47" s="55">
        <v>-113427.06673000001</v>
      </c>
      <c r="D47" s="55">
        <f>IF(OR(-90726.42394="",-113427.06673="",-90726.42394=0),"-",-113427.06673/-90726.42394*100)</f>
        <v>125.02098264670126</v>
      </c>
    </row>
    <row r="48" spans="1:4" x14ac:dyDescent="0.25">
      <c r="A48" s="85" t="s">
        <v>57</v>
      </c>
      <c r="B48" s="55">
        <v>-29540.163629999999</v>
      </c>
      <c r="C48" s="55">
        <v>-23873.529490000001</v>
      </c>
      <c r="D48" s="55">
        <f>IF(OR(-29540.16363="",-23873.52949="",-29540.16363=0),"-",-23873.52949/-29540.16363*100)</f>
        <v>80.817187707636279</v>
      </c>
    </row>
    <row r="49" spans="1:5" x14ac:dyDescent="0.25">
      <c r="A49" s="85" t="s">
        <v>77</v>
      </c>
      <c r="B49" s="55">
        <v>-8761.4279299999998</v>
      </c>
      <c r="C49" s="55">
        <v>-8060.2494299999998</v>
      </c>
      <c r="D49" s="55">
        <f>IF(OR(-8761.42793="",-8060.24943="",-8761.42793=0),"-",-8060.24943/-8761.42793*100)</f>
        <v>91.996983761070553</v>
      </c>
    </row>
    <row r="50" spans="1:5" x14ac:dyDescent="0.25">
      <c r="A50" s="85" t="s">
        <v>19</v>
      </c>
      <c r="B50" s="55">
        <v>-6833.2307899999996</v>
      </c>
      <c r="C50" s="55">
        <v>-7581.1968900000002</v>
      </c>
      <c r="D50" s="55">
        <f>IF(OR(-6833.23079="",-7581.19689="",-6833.23079=0),"-",-7581.19689/-6833.23079*100)</f>
        <v>110.94600962541176</v>
      </c>
    </row>
    <row r="51" spans="1:5" x14ac:dyDescent="0.25">
      <c r="A51" s="85" t="s">
        <v>70</v>
      </c>
      <c r="B51" s="55">
        <v>-6243.0340999999999</v>
      </c>
      <c r="C51" s="55">
        <v>-7009.8649800000003</v>
      </c>
      <c r="D51" s="55">
        <f>IF(OR(-6243.0341="",-7009.86498="",-6243.0341=0),"-",-7009.86498/-6243.0341*100)</f>
        <v>112.28298400612613</v>
      </c>
    </row>
    <row r="52" spans="1:5" x14ac:dyDescent="0.25">
      <c r="A52" s="85" t="s">
        <v>73</v>
      </c>
      <c r="B52" s="55">
        <v>-3992.90362</v>
      </c>
      <c r="C52" s="55">
        <v>-6543.9441100000004</v>
      </c>
      <c r="D52" s="55" t="s">
        <v>105</v>
      </c>
    </row>
    <row r="53" spans="1:5" x14ac:dyDescent="0.25">
      <c r="A53" s="85" t="s">
        <v>37</v>
      </c>
      <c r="B53" s="55">
        <v>-5062.9762099999998</v>
      </c>
      <c r="C53" s="55">
        <v>-5771.0308000000005</v>
      </c>
      <c r="D53" s="55">
        <f>IF(OR(-5062.97621="",-5771.0308="",-5062.97621=0),"-",-5771.0308/-5062.97621*100)</f>
        <v>113.98494799563754</v>
      </c>
    </row>
    <row r="54" spans="1:5" x14ac:dyDescent="0.25">
      <c r="A54" s="85" t="s">
        <v>80</v>
      </c>
      <c r="B54" s="55">
        <v>-3522.9533799999999</v>
      </c>
      <c r="C54" s="55">
        <v>-4172.1093199999996</v>
      </c>
      <c r="D54" s="55">
        <f>IF(OR(-3522.95338="",-4172.10932="",-3522.95338=0),"-",-4172.10932/-3522.95338*100)</f>
        <v>118.42646978200999</v>
      </c>
    </row>
    <row r="55" spans="1:5" x14ac:dyDescent="0.25">
      <c r="A55" s="85" t="s">
        <v>71</v>
      </c>
      <c r="B55" s="55">
        <v>-2041.4831999999999</v>
      </c>
      <c r="C55" s="55">
        <v>-2621.8528200000001</v>
      </c>
      <c r="D55" s="55">
        <f>IF(OR(-2041.4832="",-2621.85282="",-2041.4832=0),"-",-2621.85282/-2041.4832*100)</f>
        <v>128.42882175077415</v>
      </c>
    </row>
    <row r="56" spans="1:5" x14ac:dyDescent="0.25">
      <c r="A56" s="85" t="s">
        <v>67</v>
      </c>
      <c r="B56" s="55">
        <v>-2776.05989</v>
      </c>
      <c r="C56" s="55">
        <v>-2198.8871300000001</v>
      </c>
      <c r="D56" s="55">
        <f>IF(OR(-2776.05989="",-2198.88713="",-2776.05989=0),"-",-2198.88713/-2776.05989*100)</f>
        <v>79.2089226144181</v>
      </c>
    </row>
    <row r="57" spans="1:5" x14ac:dyDescent="0.25">
      <c r="A57" s="85" t="s">
        <v>62</v>
      </c>
      <c r="B57" s="55">
        <v>-330.03476999999998</v>
      </c>
      <c r="C57" s="55">
        <v>-2111.2025699999999</v>
      </c>
      <c r="D57" s="55" t="s">
        <v>286</v>
      </c>
    </row>
    <row r="58" spans="1:5" x14ac:dyDescent="0.25">
      <c r="A58" s="85" t="s">
        <v>123</v>
      </c>
      <c r="B58" s="55">
        <v>-297.41491000000002</v>
      </c>
      <c r="C58" s="55">
        <v>-1872.8429699999999</v>
      </c>
      <c r="D58" s="55" t="s">
        <v>288</v>
      </c>
    </row>
    <row r="59" spans="1:5" x14ac:dyDescent="0.25">
      <c r="A59" s="85" t="s">
        <v>79</v>
      </c>
      <c r="B59" s="55">
        <v>-1778.6142299999999</v>
      </c>
      <c r="C59" s="55">
        <v>-1727.6526100000001</v>
      </c>
      <c r="D59" s="55">
        <f>IF(OR(-1778.61423="",-1727.65261="",-1778.61423=0),"-",-1727.65261/-1778.61423*100)</f>
        <v>97.134756984374306</v>
      </c>
    </row>
    <row r="60" spans="1:5" x14ac:dyDescent="0.25">
      <c r="A60" s="85" t="s">
        <v>72</v>
      </c>
      <c r="B60" s="55">
        <v>-1724.0715</v>
      </c>
      <c r="C60" s="55">
        <v>-1660.6938700000001</v>
      </c>
      <c r="D60" s="55">
        <f>IF(OR(-1724.0715="",-1660.69387="",-1724.0715=0),"-",-1660.69387/-1724.0715*100)</f>
        <v>96.323955822017822</v>
      </c>
    </row>
    <row r="61" spans="1:5" x14ac:dyDescent="0.25">
      <c r="A61" s="85" t="s">
        <v>75</v>
      </c>
      <c r="B61" s="55">
        <v>-1497.90587</v>
      </c>
      <c r="C61" s="55">
        <v>-1479.88777</v>
      </c>
      <c r="D61" s="55">
        <f>IF(OR(-1497.90587="",-1479.88777="",-1497.90587=0),"-",-1479.88777/-1497.90587*100)</f>
        <v>98.797114000227523</v>
      </c>
      <c r="E61" s="1"/>
    </row>
    <row r="62" spans="1:5" x14ac:dyDescent="0.25">
      <c r="A62" s="85" t="s">
        <v>83</v>
      </c>
      <c r="B62" s="55">
        <v>-1287.95921</v>
      </c>
      <c r="C62" s="55">
        <v>-1429.1293499999999</v>
      </c>
      <c r="D62" s="55">
        <f>IF(OR(-1287.95921="",-1429.12935="",-1287.95921=0),"-",-1429.12935/-1287.95921*100)</f>
        <v>110.96076171542731</v>
      </c>
    </row>
    <row r="63" spans="1:5" x14ac:dyDescent="0.25">
      <c r="A63" s="85" t="s">
        <v>86</v>
      </c>
      <c r="B63" s="55">
        <v>-628.74455</v>
      </c>
      <c r="C63" s="55">
        <v>-1298.1963900000001</v>
      </c>
      <c r="D63" s="55" t="s">
        <v>96</v>
      </c>
    </row>
    <row r="64" spans="1:5" x14ac:dyDescent="0.25">
      <c r="A64" s="85" t="s">
        <v>66</v>
      </c>
      <c r="B64" s="55">
        <v>1183.3974800000001</v>
      </c>
      <c r="C64" s="55">
        <v>-1046.6067800000001</v>
      </c>
      <c r="D64" s="55" t="s">
        <v>22</v>
      </c>
    </row>
    <row r="65" spans="1:5" x14ac:dyDescent="0.25">
      <c r="A65" s="85" t="s">
        <v>84</v>
      </c>
      <c r="B65" s="55">
        <v>-1068.6462799999999</v>
      </c>
      <c r="C65" s="55">
        <v>-1026.67138</v>
      </c>
      <c r="D65" s="55">
        <f>IF(OR(-1068.64628="",-1026.67138="",-1068.64628=0),"-",-1026.67138/-1068.64628*100)</f>
        <v>96.072142786105061</v>
      </c>
    </row>
    <row r="66" spans="1:5" x14ac:dyDescent="0.25">
      <c r="A66" s="85" t="s">
        <v>94</v>
      </c>
      <c r="B66" s="55">
        <v>228.05752000000001</v>
      </c>
      <c r="C66" s="55">
        <v>-862.99698999999998</v>
      </c>
      <c r="D66" s="55" t="s">
        <v>22</v>
      </c>
    </row>
    <row r="67" spans="1:5" x14ac:dyDescent="0.25">
      <c r="A67" s="85" t="s">
        <v>85</v>
      </c>
      <c r="B67" s="55">
        <v>-938.61334999999997</v>
      </c>
      <c r="C67" s="55">
        <v>-827.26086999999995</v>
      </c>
      <c r="D67" s="55">
        <f>IF(OR(-938.61335="",-827.26087="",-938.61335=0),"-",-827.26087/-938.61335*100)</f>
        <v>88.136490920356067</v>
      </c>
    </row>
    <row r="68" spans="1:5" x14ac:dyDescent="0.25">
      <c r="A68" s="85" t="s">
        <v>63</v>
      </c>
      <c r="B68" s="55">
        <v>-626.80170999999996</v>
      </c>
      <c r="C68" s="55">
        <v>-817.09609</v>
      </c>
      <c r="D68" s="55">
        <f>IF(OR(-626.80171="",-817.09609="",-626.80171=0),"-",-817.09609/-626.80171*100)</f>
        <v>130.35958213962118</v>
      </c>
      <c r="E68" s="1"/>
    </row>
    <row r="69" spans="1:5" x14ac:dyDescent="0.25">
      <c r="A69" s="85" t="s">
        <v>141</v>
      </c>
      <c r="B69" s="55">
        <v>-351.19898999999998</v>
      </c>
      <c r="C69" s="55">
        <v>-654.66011000000003</v>
      </c>
      <c r="D69" s="55" t="s">
        <v>106</v>
      </c>
    </row>
    <row r="70" spans="1:5" x14ac:dyDescent="0.25">
      <c r="A70" s="85" t="s">
        <v>81</v>
      </c>
      <c r="B70" s="55">
        <v>-1358.3333600000001</v>
      </c>
      <c r="C70" s="55">
        <v>-639.99992999999995</v>
      </c>
      <c r="D70" s="55">
        <f>IF(OR(-1358.33336="",-639.99993="",-1358.33336=0),"-",-639.99993/-1358.33336*100)</f>
        <v>47.116558338816027</v>
      </c>
    </row>
    <row r="71" spans="1:5" x14ac:dyDescent="0.25">
      <c r="A71" s="85" t="s">
        <v>92</v>
      </c>
      <c r="B71" s="55">
        <v>-295.71634</v>
      </c>
      <c r="C71" s="55">
        <v>-528.47101999999995</v>
      </c>
      <c r="D71" s="55" t="s">
        <v>227</v>
      </c>
    </row>
    <row r="72" spans="1:5" x14ac:dyDescent="0.25">
      <c r="A72" s="85" t="s">
        <v>76</v>
      </c>
      <c r="B72" s="55">
        <v>-1220.35176</v>
      </c>
      <c r="C72" s="55">
        <v>-524.29849999999999</v>
      </c>
      <c r="D72" s="55">
        <f>IF(OR(-1220.35176="",-524.2985="",-1220.35176=0),"-",-524.2985/-1220.35176*100)</f>
        <v>42.962899483997958</v>
      </c>
    </row>
    <row r="73" spans="1:5" x14ac:dyDescent="0.25">
      <c r="A73" s="85" t="s">
        <v>87</v>
      </c>
      <c r="B73" s="55">
        <v>-394.29896000000002</v>
      </c>
      <c r="C73" s="55">
        <v>-505.81090999999998</v>
      </c>
      <c r="D73" s="55">
        <f>IF(OR(-394.29896="",-505.81091="",-394.29896=0),"-",-505.81091/-394.29896*100)</f>
        <v>128.28106622447089</v>
      </c>
    </row>
    <row r="74" spans="1:5" x14ac:dyDescent="0.25">
      <c r="A74" s="85" t="s">
        <v>88</v>
      </c>
      <c r="B74" s="55">
        <v>103.90795</v>
      </c>
      <c r="C74" s="55">
        <v>-484.12605000000002</v>
      </c>
      <c r="D74" s="55" t="s">
        <v>22</v>
      </c>
    </row>
    <row r="75" spans="1:5" x14ac:dyDescent="0.25">
      <c r="A75" s="85" t="s">
        <v>90</v>
      </c>
      <c r="B75" s="55">
        <v>-268.55959000000001</v>
      </c>
      <c r="C75" s="55">
        <v>-411.58211</v>
      </c>
      <c r="D75" s="55" t="s">
        <v>281</v>
      </c>
    </row>
    <row r="76" spans="1:5" x14ac:dyDescent="0.25">
      <c r="A76" s="85" t="s">
        <v>74</v>
      </c>
      <c r="B76" s="55">
        <v>-481.94475</v>
      </c>
      <c r="C76" s="55">
        <v>-349.94565</v>
      </c>
      <c r="D76" s="55">
        <f>IF(OR(-481.94475="",-349.94565="",-481.94475=0),"-",-349.94565/-481.94475*100)</f>
        <v>72.611155116846902</v>
      </c>
      <c r="E76" s="12"/>
    </row>
    <row r="77" spans="1:5" x14ac:dyDescent="0.25">
      <c r="A77" s="85" t="s">
        <v>39</v>
      </c>
      <c r="B77" s="55">
        <v>-335.20713999999998</v>
      </c>
      <c r="C77" s="55">
        <v>-321.36685</v>
      </c>
      <c r="D77" s="55">
        <f>IF(OR(-335.20714="",-321.36685="",-335.20714=0),"-",-321.36685/-335.20714*100)</f>
        <v>95.871123150897091</v>
      </c>
    </row>
    <row r="78" spans="1:5" x14ac:dyDescent="0.25">
      <c r="A78" s="85" t="s">
        <v>68</v>
      </c>
      <c r="B78" s="55">
        <v>412.13986999999997</v>
      </c>
      <c r="C78" s="55">
        <v>-269.86237999999997</v>
      </c>
      <c r="D78" s="55" t="s">
        <v>22</v>
      </c>
    </row>
    <row r="79" spans="1:5" x14ac:dyDescent="0.25">
      <c r="A79" s="85" t="s">
        <v>129</v>
      </c>
      <c r="B79" s="55">
        <v>177.02160000000001</v>
      </c>
      <c r="C79" s="55">
        <v>-235.79025999999999</v>
      </c>
      <c r="D79" s="55" t="s">
        <v>22</v>
      </c>
    </row>
    <row r="80" spans="1:5" x14ac:dyDescent="0.25">
      <c r="A80" s="85" t="s">
        <v>162</v>
      </c>
      <c r="B80" s="55">
        <v>-66.596729999999994</v>
      </c>
      <c r="C80" s="55">
        <v>-231.88892000000001</v>
      </c>
      <c r="D80" s="55" t="s">
        <v>289</v>
      </c>
    </row>
    <row r="81" spans="1:5" x14ac:dyDescent="0.25">
      <c r="A81" s="85" t="s">
        <v>99</v>
      </c>
      <c r="B81" s="55">
        <v>-139.54266999999999</v>
      </c>
      <c r="C81" s="55">
        <v>-215.02828</v>
      </c>
      <c r="D81" s="55" t="s">
        <v>281</v>
      </c>
    </row>
    <row r="82" spans="1:5" x14ac:dyDescent="0.25">
      <c r="A82" s="85" t="s">
        <v>98</v>
      </c>
      <c r="B82" s="55">
        <v>-150.03281999999999</v>
      </c>
      <c r="C82" s="55">
        <v>-202.53422</v>
      </c>
      <c r="D82" s="55">
        <f>IF(OR(-150.03282="",-202.53422="",-150.03282=0),"-",-202.53422/-150.03282*100)</f>
        <v>134.99327680436855</v>
      </c>
    </row>
    <row r="83" spans="1:5" x14ac:dyDescent="0.25">
      <c r="A83" s="85" t="s">
        <v>89</v>
      </c>
      <c r="B83" s="55">
        <v>-286.66480999999999</v>
      </c>
      <c r="C83" s="55">
        <v>-181.31967</v>
      </c>
      <c r="D83" s="55">
        <f>IF(OR(-286.66481="",-181.31967="",-286.66481=0),"-",-181.31967/-286.66481*100)</f>
        <v>63.251457337927178</v>
      </c>
    </row>
    <row r="84" spans="1:5" x14ac:dyDescent="0.25">
      <c r="A84" s="85" t="s">
        <v>65</v>
      </c>
      <c r="B84" s="55">
        <v>239.00057000000001</v>
      </c>
      <c r="C84" s="55">
        <v>-165.56809000000001</v>
      </c>
      <c r="D84" s="55" t="s">
        <v>22</v>
      </c>
    </row>
    <row r="85" spans="1:5" x14ac:dyDescent="0.25">
      <c r="A85" s="85" t="s">
        <v>163</v>
      </c>
      <c r="B85" s="55">
        <v>-166.83985000000001</v>
      </c>
      <c r="C85" s="55">
        <v>-156.88140000000001</v>
      </c>
      <c r="D85" s="55">
        <f>IF(OR(-166.83985="",-156.8814="",-166.83985=0),"-",-156.8814/-166.83985*100)</f>
        <v>94.031132250478535</v>
      </c>
    </row>
    <row r="86" spans="1:5" x14ac:dyDescent="0.25">
      <c r="A86" s="85" t="s">
        <v>82</v>
      </c>
      <c r="B86" s="55">
        <v>-619.87585000000001</v>
      </c>
      <c r="C86" s="55">
        <v>-142.47390999999999</v>
      </c>
      <c r="D86" s="55">
        <f>IF(OR(-619.87585="",-142.47391="",-619.87585=0),"-",-142.47391/-619.87585*100)</f>
        <v>22.984265316998556</v>
      </c>
    </row>
    <row r="87" spans="1:5" x14ac:dyDescent="0.25">
      <c r="A87" s="85" t="s">
        <v>91</v>
      </c>
      <c r="B87" s="55">
        <v>-140.80849000000001</v>
      </c>
      <c r="C87" s="55">
        <v>-138.62723</v>
      </c>
      <c r="D87" s="55">
        <f>IF(OR(-140.80849="",-138.62723="",-140.80849=0),"-",-138.62723/-140.80849*100)</f>
        <v>98.450903066995451</v>
      </c>
    </row>
    <row r="88" spans="1:5" x14ac:dyDescent="0.25">
      <c r="A88" s="85" t="s">
        <v>93</v>
      </c>
      <c r="B88" s="55">
        <v>-251.38320999999999</v>
      </c>
      <c r="C88" s="55">
        <v>-130.70887999999999</v>
      </c>
      <c r="D88" s="55">
        <f>IF(OR(-251.38321="",-130.70888="",-251.38321=0),"-",-130.70888/-251.38321*100)</f>
        <v>51.995867186197522</v>
      </c>
    </row>
    <row r="89" spans="1:5" x14ac:dyDescent="0.25">
      <c r="A89" s="85" t="s">
        <v>131</v>
      </c>
      <c r="B89" s="55">
        <v>-53.13973</v>
      </c>
      <c r="C89" s="55">
        <v>-114.13523000000001</v>
      </c>
      <c r="D89" s="55" t="s">
        <v>96</v>
      </c>
    </row>
    <row r="90" spans="1:5" x14ac:dyDescent="0.25">
      <c r="A90" s="85" t="s">
        <v>95</v>
      </c>
      <c r="B90" s="55">
        <v>-257.92198000000002</v>
      </c>
      <c r="C90" s="55">
        <v>-98.589320000000001</v>
      </c>
      <c r="D90" s="55">
        <f>IF(OR(-257.92198="",-98.58932="",-257.92198=0),"-",-98.58932/-257.92198*100)</f>
        <v>38.22447392812353</v>
      </c>
    </row>
    <row r="91" spans="1:5" x14ac:dyDescent="0.25">
      <c r="A91" s="85" t="s">
        <v>145</v>
      </c>
      <c r="B91" s="55">
        <v>-0.93606999999999996</v>
      </c>
      <c r="C91" s="55">
        <v>-76.861369999999994</v>
      </c>
      <c r="D91" s="55" t="s">
        <v>290</v>
      </c>
    </row>
    <row r="92" spans="1:5" x14ac:dyDescent="0.25">
      <c r="A92" s="85" t="s">
        <v>139</v>
      </c>
      <c r="B92" s="55">
        <v>138.16482999999999</v>
      </c>
      <c r="C92" s="55">
        <v>-74.176169999999999</v>
      </c>
      <c r="D92" s="55" t="s">
        <v>22</v>
      </c>
    </row>
    <row r="93" spans="1:5" x14ac:dyDescent="0.25">
      <c r="A93" s="85" t="s">
        <v>224</v>
      </c>
      <c r="B93" s="55">
        <v>-0.61470000000000002</v>
      </c>
      <c r="C93" s="55">
        <v>-66.021079999999998</v>
      </c>
      <c r="D93" s="55" t="s">
        <v>275</v>
      </c>
    </row>
    <row r="94" spans="1:5" x14ac:dyDescent="0.25">
      <c r="A94" s="85" t="s">
        <v>112</v>
      </c>
      <c r="B94" s="55">
        <v>-52.384329999999999</v>
      </c>
      <c r="C94" s="55">
        <v>-49.259369999999997</v>
      </c>
      <c r="D94" s="55">
        <f>IF(OR(-52.38433="",-49.25937="",-52.38433=0),"-",-49.25937/-52.38433*100)</f>
        <v>94.034551935664723</v>
      </c>
    </row>
    <row r="95" spans="1:5" x14ac:dyDescent="0.25">
      <c r="A95" s="85" t="s">
        <v>38</v>
      </c>
      <c r="B95" s="55">
        <v>247.06421</v>
      </c>
      <c r="C95" s="55">
        <v>-43.591549999999998</v>
      </c>
      <c r="D95" s="55" t="s">
        <v>22</v>
      </c>
    </row>
    <row r="96" spans="1:5" x14ac:dyDescent="0.25">
      <c r="A96" s="85" t="s">
        <v>40</v>
      </c>
      <c r="B96" s="55">
        <v>-227.05450999999999</v>
      </c>
      <c r="C96" s="55">
        <v>-37.802819999999997</v>
      </c>
      <c r="D96" s="55">
        <f>IF(OR(-227.05451="",-37.80282="",-227.05451=0),"-",-37.80282/-227.05451*100)</f>
        <v>16.649226654868031</v>
      </c>
      <c r="E96" s="12"/>
    </row>
    <row r="97" spans="1:5" x14ac:dyDescent="0.25">
      <c r="A97" s="85" t="s">
        <v>147</v>
      </c>
      <c r="B97" s="55">
        <v>4.7400000000000003E-3</v>
      </c>
      <c r="C97" s="55">
        <v>-37.134230000000002</v>
      </c>
      <c r="D97" s="55" t="s">
        <v>22</v>
      </c>
    </row>
    <row r="98" spans="1:5" x14ac:dyDescent="0.25">
      <c r="A98" s="85" t="s">
        <v>155</v>
      </c>
      <c r="B98" s="55">
        <v>-5.0466699999999998</v>
      </c>
      <c r="C98" s="55">
        <v>-36.548380000000002</v>
      </c>
      <c r="D98" s="55" t="s">
        <v>276</v>
      </c>
      <c r="E98" s="11"/>
    </row>
    <row r="99" spans="1:5" x14ac:dyDescent="0.25">
      <c r="A99" s="85" t="s">
        <v>235</v>
      </c>
      <c r="B99" s="55">
        <v>-4.5406899999999997</v>
      </c>
      <c r="C99" s="55">
        <v>-34.816290000000002</v>
      </c>
      <c r="D99" s="55" t="s">
        <v>277</v>
      </c>
    </row>
    <row r="100" spans="1:5" x14ac:dyDescent="0.25">
      <c r="A100" s="85" t="s">
        <v>103</v>
      </c>
      <c r="B100" s="55">
        <v>0.90510999999999997</v>
      </c>
      <c r="C100" s="55">
        <v>-27.168970000000002</v>
      </c>
      <c r="D100" s="55" t="s">
        <v>22</v>
      </c>
      <c r="E100" s="11"/>
    </row>
    <row r="101" spans="1:5" x14ac:dyDescent="0.25">
      <c r="A101" s="85" t="s">
        <v>142</v>
      </c>
      <c r="B101" s="55">
        <v>-23.008990000000001</v>
      </c>
      <c r="C101" s="55">
        <v>-24.48085</v>
      </c>
      <c r="D101" s="55">
        <f>IF(OR(-23.00899="",-24.48085="",-23.00899=0),"-",-24.48085/-23.00899*100)</f>
        <v>106.39689095436175</v>
      </c>
      <c r="E101" s="1"/>
    </row>
    <row r="102" spans="1:5" x14ac:dyDescent="0.25">
      <c r="A102" s="85" t="s">
        <v>64</v>
      </c>
      <c r="B102" s="55">
        <v>-1266.75028</v>
      </c>
      <c r="C102" s="55">
        <v>-6.2558499999999997</v>
      </c>
      <c r="D102" s="55">
        <f>IF(OR(-1266.75028="",-6.25585="",-1266.75028=0),"-",-6.25585/-1266.75028*100)</f>
        <v>0.49385029541892023</v>
      </c>
    </row>
    <row r="103" spans="1:5" x14ac:dyDescent="0.25">
      <c r="A103" s="85" t="s">
        <v>108</v>
      </c>
      <c r="B103" s="55">
        <v>-18.84432</v>
      </c>
      <c r="C103" s="55">
        <v>8.6611600000000006</v>
      </c>
      <c r="D103" s="55" t="s">
        <v>22</v>
      </c>
    </row>
    <row r="104" spans="1:5" x14ac:dyDescent="0.25">
      <c r="A104" s="85" t="s">
        <v>146</v>
      </c>
      <c r="B104" s="55">
        <v>-3.4266299999999998</v>
      </c>
      <c r="C104" s="55">
        <v>12.373810000000001</v>
      </c>
      <c r="D104" s="55" t="s">
        <v>22</v>
      </c>
    </row>
    <row r="105" spans="1:5" x14ac:dyDescent="0.25">
      <c r="A105" s="85" t="s">
        <v>266</v>
      </c>
      <c r="B105" s="55">
        <v>11.982100000000001</v>
      </c>
      <c r="C105" s="55">
        <v>13.790279999999999</v>
      </c>
      <c r="D105" s="55">
        <f>IF(OR(11.9821="",13.79028="",11.9821=0),"-",13.79028/11.9821*100)</f>
        <v>115.09067692641521</v>
      </c>
      <c r="E105" s="12"/>
    </row>
    <row r="106" spans="1:5" x14ac:dyDescent="0.25">
      <c r="A106" s="85" t="s">
        <v>140</v>
      </c>
      <c r="B106" s="55">
        <v>-350.40827999999999</v>
      </c>
      <c r="C106" s="55">
        <v>28.818729999999999</v>
      </c>
      <c r="D106" s="55" t="s">
        <v>22</v>
      </c>
      <c r="E106" s="10"/>
    </row>
    <row r="107" spans="1:5" x14ac:dyDescent="0.25">
      <c r="A107" s="85" t="s">
        <v>256</v>
      </c>
      <c r="B107" s="55" t="s">
        <v>231</v>
      </c>
      <c r="C107" s="55">
        <v>39.464750000000002</v>
      </c>
      <c r="D107" s="55" t="str">
        <f>IF(OR(0="",39.46475="",0=0),"-",39.46475/0*100)</f>
        <v>-</v>
      </c>
    </row>
    <row r="108" spans="1:5" x14ac:dyDescent="0.25">
      <c r="A108" s="85" t="s">
        <v>133</v>
      </c>
      <c r="B108" s="55">
        <v>42.761940000000003</v>
      </c>
      <c r="C108" s="55">
        <v>90.25273</v>
      </c>
      <c r="D108" s="55" t="s">
        <v>96</v>
      </c>
    </row>
    <row r="109" spans="1:5" x14ac:dyDescent="0.25">
      <c r="A109" s="85" t="s">
        <v>97</v>
      </c>
      <c r="B109" s="55">
        <v>144.76891000000001</v>
      </c>
      <c r="C109" s="55">
        <v>99.424080000000004</v>
      </c>
      <c r="D109" s="55">
        <f>IF(OR(144.76891="",99.42408="",144.76891=0),"-",99.42408/144.76891*100)</f>
        <v>68.677784477343934</v>
      </c>
    </row>
    <row r="110" spans="1:5" x14ac:dyDescent="0.25">
      <c r="A110" s="85" t="s">
        <v>132</v>
      </c>
      <c r="B110" s="55">
        <v>138.71351999999999</v>
      </c>
      <c r="C110" s="55">
        <v>119.43317999999999</v>
      </c>
      <c r="D110" s="55">
        <f>IF(OR(138.71352="",119.43318="",138.71352=0),"-",119.43318/138.71352*100)</f>
        <v>86.100605045564421</v>
      </c>
    </row>
    <row r="111" spans="1:5" x14ac:dyDescent="0.25">
      <c r="A111" s="85" t="s">
        <v>156</v>
      </c>
      <c r="B111" s="55" t="s">
        <v>231</v>
      </c>
      <c r="C111" s="55">
        <v>128.05065999999999</v>
      </c>
      <c r="D111" s="55" t="str">
        <f>IF(OR(0="",128.05066="",0=0),"-",128.05066/0*100)</f>
        <v>-</v>
      </c>
    </row>
    <row r="112" spans="1:5" x14ac:dyDescent="0.25">
      <c r="A112" s="85" t="s">
        <v>138</v>
      </c>
      <c r="B112" s="55">
        <v>179.95697999999999</v>
      </c>
      <c r="C112" s="55">
        <v>140.72223</v>
      </c>
      <c r="D112" s="55">
        <f>IF(OR(179.95698="",140.72223="",179.95698=0),"-",140.72223/179.95698*100)</f>
        <v>78.19770591838116</v>
      </c>
    </row>
    <row r="113" spans="1:4" x14ac:dyDescent="0.25">
      <c r="A113" s="85" t="s">
        <v>255</v>
      </c>
      <c r="B113" s="55">
        <v>-1.2163200000000001</v>
      </c>
      <c r="C113" s="55">
        <v>156.72684000000001</v>
      </c>
      <c r="D113" s="55" t="s">
        <v>22</v>
      </c>
    </row>
    <row r="114" spans="1:4" x14ac:dyDescent="0.25">
      <c r="A114" s="85" t="s">
        <v>144</v>
      </c>
      <c r="B114" s="55">
        <v>22.02535</v>
      </c>
      <c r="C114" s="55">
        <v>182.67859999999999</v>
      </c>
      <c r="D114" s="55" t="s">
        <v>263</v>
      </c>
    </row>
    <row r="115" spans="1:4" x14ac:dyDescent="0.25">
      <c r="A115" s="85" t="s">
        <v>102</v>
      </c>
      <c r="B115" s="55">
        <v>47.891249999999999</v>
      </c>
      <c r="C115" s="55">
        <v>183.98168999999999</v>
      </c>
      <c r="D115" s="55" t="s">
        <v>262</v>
      </c>
    </row>
    <row r="116" spans="1:4" x14ac:dyDescent="0.25">
      <c r="A116" s="85" t="s">
        <v>161</v>
      </c>
      <c r="B116" s="55" t="s">
        <v>285</v>
      </c>
      <c r="C116" s="55">
        <v>208.64400000000001</v>
      </c>
      <c r="D116" s="55" t="str">
        <f>IF(OR(0="",208.644="",0=0),"-",208.644/0*100)</f>
        <v>-</v>
      </c>
    </row>
    <row r="117" spans="1:4" x14ac:dyDescent="0.25">
      <c r="A117" s="85" t="s">
        <v>164</v>
      </c>
      <c r="B117" s="55">
        <v>-0.70343</v>
      </c>
      <c r="C117" s="55">
        <v>216.96617000000001</v>
      </c>
      <c r="D117" s="55" t="s">
        <v>22</v>
      </c>
    </row>
    <row r="118" spans="1:4" x14ac:dyDescent="0.25">
      <c r="A118" s="85" t="s">
        <v>78</v>
      </c>
      <c r="B118" s="55">
        <v>234.53488999999999</v>
      </c>
      <c r="C118" s="55">
        <v>231.81474</v>
      </c>
      <c r="D118" s="55">
        <f>IF(OR(234.53489="",231.81474="",234.53489=0),"-",231.81474/234.53489*100)</f>
        <v>98.840193883306654</v>
      </c>
    </row>
    <row r="119" spans="1:4" x14ac:dyDescent="0.25">
      <c r="A119" s="85" t="s">
        <v>241</v>
      </c>
      <c r="B119" s="55">
        <v>269.25580000000002</v>
      </c>
      <c r="C119" s="55">
        <v>279.91942</v>
      </c>
      <c r="D119" s="55">
        <f>IF(OR(269.2558="",279.91942="",269.2558=0),"-",279.91942/269.2558*100)</f>
        <v>103.9604049383523</v>
      </c>
    </row>
    <row r="120" spans="1:4" x14ac:dyDescent="0.25">
      <c r="A120" s="85" t="s">
        <v>110</v>
      </c>
      <c r="B120" s="55">
        <v>117.78147</v>
      </c>
      <c r="C120" s="55">
        <v>487.10914000000002</v>
      </c>
      <c r="D120" s="55" t="s">
        <v>261</v>
      </c>
    </row>
    <row r="121" spans="1:4" x14ac:dyDescent="0.25">
      <c r="A121" s="85" t="s">
        <v>58</v>
      </c>
      <c r="B121" s="55">
        <v>1325.3991100000001</v>
      </c>
      <c r="C121" s="55">
        <v>538.69146000000001</v>
      </c>
      <c r="D121" s="55">
        <f>IF(OR(1325.39911="",538.69146="",1325.39911=0),"-",538.69146/1325.39911*100)</f>
        <v>40.643716744309565</v>
      </c>
    </row>
    <row r="122" spans="1:4" x14ac:dyDescent="0.25">
      <c r="A122" s="85" t="s">
        <v>243</v>
      </c>
      <c r="B122" s="55">
        <v>0</v>
      </c>
      <c r="C122" s="55">
        <v>1141.3527799999999</v>
      </c>
      <c r="D122" s="55" t="str">
        <f>IF(OR(0="",1141.35278="",0=0),"-",1141.35278/0*100)</f>
        <v>-</v>
      </c>
    </row>
    <row r="123" spans="1:4" x14ac:dyDescent="0.25">
      <c r="A123" s="85" t="s">
        <v>69</v>
      </c>
      <c r="B123" s="55">
        <v>200.01116999999999</v>
      </c>
      <c r="C123" s="55">
        <v>1206.6029599999999</v>
      </c>
      <c r="D123" s="55" t="s">
        <v>291</v>
      </c>
    </row>
    <row r="124" spans="1:4" x14ac:dyDescent="0.25">
      <c r="A124" s="85" t="s">
        <v>128</v>
      </c>
      <c r="B124" s="55">
        <v>14638.95372</v>
      </c>
      <c r="C124" s="55">
        <v>1827.65183</v>
      </c>
      <c r="D124" s="55">
        <f>IF(OR(14638.95372="",1827.65183="",14638.95372=0),"-",1827.65183/14638.95372*100)</f>
        <v>12.484852845070678</v>
      </c>
    </row>
    <row r="125" spans="1:4" x14ac:dyDescent="0.25">
      <c r="A125" s="85" t="s">
        <v>59</v>
      </c>
      <c r="B125" s="55">
        <v>2407.2473199999999</v>
      </c>
      <c r="C125" s="55">
        <v>2329.6122500000001</v>
      </c>
      <c r="D125" s="55">
        <f>IF(OR(2407.24732="",2329.61225="",2407.24732=0),"-",2329.61225/2407.24732*100)</f>
        <v>96.774944171502923</v>
      </c>
    </row>
    <row r="126" spans="1:4" x14ac:dyDescent="0.25">
      <c r="A126" s="86" t="s">
        <v>61</v>
      </c>
      <c r="B126" s="56">
        <v>3118.6447499999999</v>
      </c>
      <c r="C126" s="56">
        <v>4451.3587100000004</v>
      </c>
      <c r="D126" s="56">
        <f>IF(OR(3118.64475="",4451.35871="",3118.64475=0),"-",4451.35871/3118.64475*100)</f>
        <v>142.73375349981751</v>
      </c>
    </row>
    <row r="127" spans="1:4" x14ac:dyDescent="0.25">
      <c r="A127" s="26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workbookViewId="0">
      <selection activeCell="H17" sqref="H17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87" t="s">
        <v>228</v>
      </c>
      <c r="B1" s="87"/>
      <c r="C1" s="87"/>
      <c r="D1" s="87"/>
      <c r="E1" s="87"/>
    </row>
    <row r="2" spans="1:6" x14ac:dyDescent="0.25">
      <c r="A2" s="9"/>
      <c r="B2" s="9"/>
      <c r="C2" s="9"/>
      <c r="D2" s="9"/>
      <c r="E2" s="9"/>
    </row>
    <row r="3" spans="1:6" ht="18.75" customHeight="1" x14ac:dyDescent="0.25">
      <c r="A3" s="88"/>
      <c r="B3" s="91" t="s">
        <v>249</v>
      </c>
      <c r="C3" s="92"/>
      <c r="D3" s="91" t="s">
        <v>109</v>
      </c>
      <c r="E3" s="107"/>
      <c r="F3" s="1"/>
    </row>
    <row r="4" spans="1:6" ht="18.75" customHeight="1" x14ac:dyDescent="0.25">
      <c r="A4" s="89"/>
      <c r="B4" s="95" t="s">
        <v>122</v>
      </c>
      <c r="C4" s="97" t="s">
        <v>250</v>
      </c>
      <c r="D4" s="99" t="s">
        <v>248</v>
      </c>
      <c r="E4" s="91"/>
      <c r="F4" s="1"/>
    </row>
    <row r="5" spans="1:6" ht="23.25" customHeight="1" x14ac:dyDescent="0.25">
      <c r="A5" s="90"/>
      <c r="B5" s="96"/>
      <c r="C5" s="98"/>
      <c r="D5" s="23">
        <v>2020</v>
      </c>
      <c r="E5" s="22">
        <v>2021</v>
      </c>
      <c r="F5" s="1"/>
    </row>
    <row r="6" spans="1:6" ht="15.75" customHeight="1" x14ac:dyDescent="0.25">
      <c r="A6" s="39" t="s">
        <v>148</v>
      </c>
      <c r="B6" s="75">
        <v>425641.38618999999</v>
      </c>
      <c r="C6" s="53">
        <v>91.575846872153321</v>
      </c>
      <c r="D6" s="76">
        <v>100</v>
      </c>
      <c r="E6" s="76">
        <v>100</v>
      </c>
    </row>
    <row r="7" spans="1:6" ht="15.75" customHeight="1" x14ac:dyDescent="0.25">
      <c r="A7" s="40" t="s">
        <v>134</v>
      </c>
      <c r="B7" s="70"/>
      <c r="C7" s="47"/>
      <c r="D7" s="31"/>
      <c r="E7" s="31"/>
    </row>
    <row r="8" spans="1:6" x14ac:dyDescent="0.25">
      <c r="A8" s="41" t="s">
        <v>113</v>
      </c>
      <c r="B8" s="55">
        <v>18014.734069999999</v>
      </c>
      <c r="C8" s="71">
        <v>38.498688408860779</v>
      </c>
      <c r="D8" s="55">
        <f>IF(46793.11118="","-",46793.11118/464796.56015*100)</f>
        <v>10.06743921790188</v>
      </c>
      <c r="E8" s="55">
        <f>IF(18014.73407="","-",18014.73407/425641.38619*100)</f>
        <v>4.2323736963769987</v>
      </c>
    </row>
    <row r="9" spans="1:6" x14ac:dyDescent="0.25">
      <c r="A9" s="41" t="s">
        <v>114</v>
      </c>
      <c r="B9" s="55">
        <v>4868.3917499999998</v>
      </c>
      <c r="C9" s="71">
        <v>18.463281375358964</v>
      </c>
      <c r="D9" s="55">
        <f>IF(26367.96597="","-",26367.96597/464796.56015*100)</f>
        <v>5.6730122876749531</v>
      </c>
      <c r="E9" s="55">
        <f>IF(4868.39175="","-",4868.39175/425641.38619*100)</f>
        <v>1.1437778157753724</v>
      </c>
    </row>
    <row r="10" spans="1:6" x14ac:dyDescent="0.25">
      <c r="A10" s="41" t="s">
        <v>115</v>
      </c>
      <c r="B10" s="55">
        <v>398929.36479000002</v>
      </c>
      <c r="C10" s="71">
        <v>103.66430871799695</v>
      </c>
      <c r="D10" s="55">
        <f>IF(384828.07605="","-",384828.07605/464796.56015*100)</f>
        <v>82.794949240977076</v>
      </c>
      <c r="E10" s="55">
        <f>IF(398929.36479="","-",398929.36479/425641.38619*100)</f>
        <v>93.724289444899952</v>
      </c>
    </row>
    <row r="11" spans="1:6" x14ac:dyDescent="0.25">
      <c r="A11" s="41" t="s">
        <v>116</v>
      </c>
      <c r="B11" s="55">
        <v>3705.5391199999999</v>
      </c>
      <c r="C11" s="71">
        <v>55.766268256215021</v>
      </c>
      <c r="D11" s="55">
        <f>IF(6644.76795="","-",6644.76795/464796.56015*100)</f>
        <v>1.4296078154828833</v>
      </c>
      <c r="E11" s="55">
        <f>IF(3705.53912="","-",3705.53912/425641.38619*100)</f>
        <v>0.87057773050901177</v>
      </c>
    </row>
    <row r="12" spans="1:6" x14ac:dyDescent="0.25">
      <c r="A12" s="41" t="s">
        <v>117</v>
      </c>
      <c r="B12" s="55">
        <v>69.190849999999998</v>
      </c>
      <c r="C12" s="71">
        <v>47.381552538607203</v>
      </c>
      <c r="D12" s="55">
        <f>IF(146.02909="","-",146.02909/464796.56015*100)</f>
        <v>3.1417850844867097E-2</v>
      </c>
      <c r="E12" s="55">
        <f>IF(69.19085="","-",69.19085/425641.38619*100)</f>
        <v>1.6255667856770448E-2</v>
      </c>
    </row>
    <row r="13" spans="1:6" x14ac:dyDescent="0.25">
      <c r="A13" s="41" t="s">
        <v>118</v>
      </c>
      <c r="B13" s="55">
        <v>0.94872999999999996</v>
      </c>
      <c r="C13" s="71">
        <v>80.703142278704973</v>
      </c>
      <c r="D13" s="55">
        <f>IF(1.17558="","-",1.17558/464796.56015*100)</f>
        <v>2.5292355856089269E-4</v>
      </c>
      <c r="E13" s="55">
        <f>IF(0.94873="","-",0.94873/425641.38619*100)</f>
        <v>2.2289420878271948E-4</v>
      </c>
    </row>
    <row r="14" spans="1:6" x14ac:dyDescent="0.25">
      <c r="A14" s="41" t="s">
        <v>119</v>
      </c>
      <c r="B14" s="55">
        <v>53.216880000000003</v>
      </c>
      <c r="C14" s="71" t="s">
        <v>282</v>
      </c>
      <c r="D14" s="55">
        <f>IF(15.43433="","-",15.43433/464796.56015*100)</f>
        <v>3.3206635597774229E-3</v>
      </c>
      <c r="E14" s="55">
        <f>IF(53.21688="","-",53.21688/425641.38619*100)</f>
        <v>1.2502750373114511E-2</v>
      </c>
    </row>
    <row r="15" spans="1:6" x14ac:dyDescent="0.25">
      <c r="A15" s="37" t="s">
        <v>232</v>
      </c>
      <c r="B15" s="54">
        <v>270269.98132000002</v>
      </c>
      <c r="C15" s="72">
        <v>87.140182855695855</v>
      </c>
      <c r="D15" s="54">
        <f>IF(310155.39842="","-",310155.39842/464796.56015*100)</f>
        <v>66.729280078988978</v>
      </c>
      <c r="E15" s="54">
        <f>IF(270269.98132="","-",270269.98132/425641.38619*100)</f>
        <v>63.497110499343101</v>
      </c>
    </row>
    <row r="16" spans="1:6" x14ac:dyDescent="0.25">
      <c r="A16" s="40" t="s">
        <v>134</v>
      </c>
      <c r="B16" s="54"/>
      <c r="C16" s="72"/>
      <c r="D16" s="35"/>
      <c r="E16" s="35"/>
    </row>
    <row r="17" spans="1:11" x14ac:dyDescent="0.25">
      <c r="A17" s="41" t="s">
        <v>113</v>
      </c>
      <c r="B17" s="55">
        <v>5343.7339099999999</v>
      </c>
      <c r="C17" s="73">
        <v>18.695672048028435</v>
      </c>
      <c r="D17" s="55">
        <f>IF(28582.73239="","-",28582.73239/464796.56015*100)</f>
        <v>6.1495146136141221</v>
      </c>
      <c r="E17" s="55">
        <f>IF(5343.73391="","-",5343.73391/425641.38619*100)</f>
        <v>1.2554544937072065</v>
      </c>
      <c r="K17" s="25"/>
    </row>
    <row r="18" spans="1:11" x14ac:dyDescent="0.25">
      <c r="A18" s="41" t="s">
        <v>114</v>
      </c>
      <c r="B18" s="55">
        <v>1573.61797</v>
      </c>
      <c r="C18" s="73">
        <v>35.070533266775556</v>
      </c>
      <c r="D18" s="55">
        <f>IF(4487.00896="","-",4487.00896/464796.56015*100)</f>
        <v>0.96537051792120498</v>
      </c>
      <c r="E18" s="55">
        <f>IF(1573.61797="","-",1573.61797/425641.38619*100)</f>
        <v>0.36970511351956747</v>
      </c>
    </row>
    <row r="19" spans="1:11" x14ac:dyDescent="0.25">
      <c r="A19" s="41" t="s">
        <v>115</v>
      </c>
      <c r="B19" s="55">
        <v>262551.10311999999</v>
      </c>
      <c r="C19" s="73">
        <v>95.002630501785234</v>
      </c>
      <c r="D19" s="55">
        <f>IF(276361.92991="","-",276361.92991/464796.56015*100)</f>
        <v>59.458686574791344</v>
      </c>
      <c r="E19" s="55">
        <f>IF(262551.10312="","-",262551.10312/425641.38619*100)</f>
        <v>61.683640651146895</v>
      </c>
    </row>
    <row r="20" spans="1:11" x14ac:dyDescent="0.25">
      <c r="A20" s="41" t="s">
        <v>116</v>
      </c>
      <c r="B20" s="55">
        <v>731.66021999999998</v>
      </c>
      <c r="C20" s="73">
        <v>111.97355964169633</v>
      </c>
      <c r="D20" s="55">
        <f>IF(653.42231="","-",653.42231/464796.56015*100)</f>
        <v>0.14058243240636858</v>
      </c>
      <c r="E20" s="55">
        <f>IF(731.66022="","-",731.66022/425641.38619*100)</f>
        <v>0.17189593017474991</v>
      </c>
    </row>
    <row r="21" spans="1:11" x14ac:dyDescent="0.25">
      <c r="A21" s="41" t="s">
        <v>117</v>
      </c>
      <c r="B21" s="55">
        <v>51.828319999999998</v>
      </c>
      <c r="C21" s="73">
        <v>73.719409116156271</v>
      </c>
      <c r="D21" s="55">
        <f>IF(70.30485="","-",70.30485/464796.56015*100)</f>
        <v>1.5125940255950064E-2</v>
      </c>
      <c r="E21" s="55">
        <f>IF(51.82832="","-",51.82832/425641.38619*100)</f>
        <v>1.2176522697645902E-2</v>
      </c>
    </row>
    <row r="22" spans="1:11" x14ac:dyDescent="0.25">
      <c r="A22" s="36" t="s">
        <v>119</v>
      </c>
      <c r="B22" s="55">
        <v>18.037780000000001</v>
      </c>
      <c r="C22" s="73" t="s">
        <v>231</v>
      </c>
      <c r="D22" s="55" t="s">
        <v>231</v>
      </c>
      <c r="E22" s="55">
        <f>IF(18.03778="","-",18.03778/425641.38619*100)</f>
        <v>4.2377880970315713E-3</v>
      </c>
    </row>
    <row r="23" spans="1:11" x14ac:dyDescent="0.25">
      <c r="A23" s="37" t="s">
        <v>233</v>
      </c>
      <c r="B23" s="54">
        <v>67449.188670000003</v>
      </c>
      <c r="C23" s="72">
        <v>112.66557819841059</v>
      </c>
      <c r="D23" s="54">
        <f>IF(59866.72216="","-",59866.72216/464796.56015*100)</f>
        <v>12.880199057557503</v>
      </c>
      <c r="E23" s="54">
        <f>IF(67449.18867="","-",67449.18867/425641.38619*100)</f>
        <v>15.846482710187324</v>
      </c>
    </row>
    <row r="24" spans="1:11" x14ac:dyDescent="0.25">
      <c r="A24" s="40" t="s">
        <v>134</v>
      </c>
      <c r="B24" s="54"/>
      <c r="C24" s="72"/>
      <c r="D24" s="35"/>
      <c r="E24" s="35"/>
    </row>
    <row r="25" spans="1:11" x14ac:dyDescent="0.25">
      <c r="A25" s="41" t="s">
        <v>113</v>
      </c>
      <c r="B25" s="55">
        <v>8157.3675000000003</v>
      </c>
      <c r="C25" s="73" t="s">
        <v>283</v>
      </c>
      <c r="D25" s="55">
        <f>IF(931.58594="","-",931.58594/464796.56015*100)</f>
        <v>0.20042875095705465</v>
      </c>
      <c r="E25" s="55">
        <f>IF(8157.3675="","-",8157.3675/425641.38619*100)</f>
        <v>1.9164883314139645</v>
      </c>
    </row>
    <row r="26" spans="1:11" x14ac:dyDescent="0.25">
      <c r="A26" s="41" t="s">
        <v>114</v>
      </c>
      <c r="B26" s="55">
        <v>483.76002999999997</v>
      </c>
      <c r="C26" s="73">
        <v>37.066041128990349</v>
      </c>
      <c r="D26" s="55">
        <f>IF(1305.13002="","-",1305.13002/464796.56015*100)</f>
        <v>0.28079597223757558</v>
      </c>
      <c r="E26" s="55">
        <f>IF(483.76003="","-",483.76003/425641.38619*100)</f>
        <v>0.11365436860598342</v>
      </c>
      <c r="F26" s="1"/>
      <c r="G26" s="1"/>
    </row>
    <row r="27" spans="1:11" x14ac:dyDescent="0.25">
      <c r="A27" s="41" t="s">
        <v>115</v>
      </c>
      <c r="B27" s="55">
        <v>58176.770109999998</v>
      </c>
      <c r="C27" s="73">
        <v>105.35808157658992</v>
      </c>
      <c r="D27" s="55">
        <f>IF(55218.13727="","-",55218.13727/464796.56015*100)</f>
        <v>11.880065818942356</v>
      </c>
      <c r="E27" s="55">
        <f>IF(58176.77011="","-",58176.77011/425641.38619*100)</f>
        <v>13.668024773331311</v>
      </c>
      <c r="F27" s="12"/>
      <c r="G27" s="12"/>
    </row>
    <row r="28" spans="1:11" x14ac:dyDescent="0.25">
      <c r="A28" s="41" t="s">
        <v>116</v>
      </c>
      <c r="B28" s="55">
        <v>594.36057000000005</v>
      </c>
      <c r="C28" s="73">
        <v>25.074879680054362</v>
      </c>
      <c r="D28" s="55">
        <f>IF(2370.34266="","-",2370.34266/464796.56015*100)</f>
        <v>0.50997422597857411</v>
      </c>
      <c r="E28" s="55">
        <f>IF(594.36057="","-",594.36057/425641.38619*100)</f>
        <v>0.13963881081213431</v>
      </c>
    </row>
    <row r="29" spans="1:11" x14ac:dyDescent="0.25">
      <c r="A29" s="41" t="s">
        <v>117</v>
      </c>
      <c r="B29" s="55">
        <v>0.80262999999999995</v>
      </c>
      <c r="C29" s="73">
        <v>3.2212971718180343</v>
      </c>
      <c r="D29" s="55">
        <f>IF(24.91636="","-",24.91636/464796.56015*100)</f>
        <v>5.3607023236056112E-3</v>
      </c>
      <c r="E29" s="55">
        <f>IF(0.80263="","-",0.80263/425641.38619*100)</f>
        <v>1.8856953906303599E-4</v>
      </c>
    </row>
    <row r="30" spans="1:11" x14ac:dyDescent="0.25">
      <c r="A30" s="41" t="s">
        <v>118</v>
      </c>
      <c r="B30" s="55">
        <v>0.94872999999999996</v>
      </c>
      <c r="C30" s="73">
        <v>80.703142278704973</v>
      </c>
      <c r="D30" s="55">
        <f>IF(1.17558="","-",1.17558/464796.56015*100)</f>
        <v>2.5292355856089269E-4</v>
      </c>
      <c r="E30" s="55">
        <f>IF(0.94873="","-",0.94873/425641.38619*100)</f>
        <v>2.2289420878271948E-4</v>
      </c>
    </row>
    <row r="31" spans="1:11" x14ac:dyDescent="0.25">
      <c r="A31" s="41" t="s">
        <v>119</v>
      </c>
      <c r="B31" s="55">
        <v>35.179099999999998</v>
      </c>
      <c r="C31" s="73" t="s">
        <v>257</v>
      </c>
      <c r="D31" s="55">
        <f>IF(15.43433="","-",15.43433/464796.56015*100)</f>
        <v>3.3206635597774229E-3</v>
      </c>
      <c r="E31" s="55">
        <f>IF(35.1791="","-",35.1791/425641.38619*100)</f>
        <v>8.2649622760829402E-3</v>
      </c>
    </row>
    <row r="32" spans="1:11" x14ac:dyDescent="0.25">
      <c r="A32" s="37" t="s">
        <v>239</v>
      </c>
      <c r="B32" s="54">
        <v>87922.216199999995</v>
      </c>
      <c r="C32" s="72">
        <v>92.7699668802167</v>
      </c>
      <c r="D32" s="54">
        <f>IF(94774.43957="","-",94774.43957/464796.56015*100)</f>
        <v>20.390520863453514</v>
      </c>
      <c r="E32" s="54">
        <f>IF(87922.2162="","-",87922.2162/425641.38619*100)</f>
        <v>20.656406790469578</v>
      </c>
    </row>
    <row r="33" spans="1:5" x14ac:dyDescent="0.25">
      <c r="A33" s="40" t="s">
        <v>134</v>
      </c>
      <c r="B33" s="54"/>
      <c r="C33" s="72"/>
      <c r="D33" s="35"/>
      <c r="E33" s="54"/>
    </row>
    <row r="34" spans="1:5" x14ac:dyDescent="0.25">
      <c r="A34" s="41" t="s">
        <v>113</v>
      </c>
      <c r="B34" s="55">
        <v>4513.6326600000002</v>
      </c>
      <c r="C34" s="73">
        <v>26.122384238202152</v>
      </c>
      <c r="D34" s="55">
        <f>IF(17278.79285="","-",17278.79285/464796.56015*100)</f>
        <v>3.7174958533307043</v>
      </c>
      <c r="E34" s="55">
        <f>IF(4513.63266="","-",4513.63266/425641.38619*100)</f>
        <v>1.0604308712558279</v>
      </c>
    </row>
    <row r="35" spans="1:5" x14ac:dyDescent="0.25">
      <c r="A35" s="41" t="s">
        <v>114</v>
      </c>
      <c r="B35" s="55">
        <v>2811.0137500000001</v>
      </c>
      <c r="C35" s="73">
        <v>13.661729131792239</v>
      </c>
      <c r="D35" s="55">
        <f>IF(20575.82699="","-",20575.82699/464796.56015*100)</f>
        <v>4.4268457975161724</v>
      </c>
      <c r="E35" s="55">
        <f>IF(2811.01375="","-",2811.01375/425641.38619*100)</f>
        <v>0.66041833364982172</v>
      </c>
    </row>
    <row r="36" spans="1:5" x14ac:dyDescent="0.25">
      <c r="A36" s="41" t="s">
        <v>115</v>
      </c>
      <c r="B36" s="55">
        <v>78201.491559999995</v>
      </c>
      <c r="C36" s="73">
        <v>146.86275265413508</v>
      </c>
      <c r="D36" s="55">
        <f>IF(53248.00887="","-",53248.00887/464796.56015*100)</f>
        <v>11.456196847243385</v>
      </c>
      <c r="E36" s="55">
        <f>IF(78201.49156="","-",78201.49156/425641.38619*100)</f>
        <v>18.372624020421739</v>
      </c>
    </row>
    <row r="37" spans="1:5" x14ac:dyDescent="0.25">
      <c r="A37" s="41" t="s">
        <v>116</v>
      </c>
      <c r="B37" s="55">
        <v>2379.5183299999999</v>
      </c>
      <c r="C37" s="73">
        <v>65.714343322633766</v>
      </c>
      <c r="D37" s="55">
        <f>IF(3621.00298="","-",3621.00298/464796.56015*100)</f>
        <v>0.77905115709794059</v>
      </c>
      <c r="E37" s="55">
        <f>IF(2379.51833="","-",2379.51833/425641.38619*100)</f>
        <v>0.5590429895221275</v>
      </c>
    </row>
    <row r="38" spans="1:5" x14ac:dyDescent="0.25">
      <c r="A38" s="42" t="s">
        <v>117</v>
      </c>
      <c r="B38" s="56">
        <v>16.559899999999999</v>
      </c>
      <c r="C38" s="74">
        <v>32.593172555123338</v>
      </c>
      <c r="D38" s="56">
        <f>IF(50.80788="","-",50.80788/464796.56015*100)</f>
        <v>1.0931208265311429E-2</v>
      </c>
      <c r="E38" s="56">
        <f>IF(16.5599="","-",16.5599/425641.38619*100)</f>
        <v>3.8905756200615102E-3</v>
      </c>
    </row>
    <row r="39" spans="1:5" x14ac:dyDescent="0.25">
      <c r="A39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>
      <selection activeCell="I20" sqref="I20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87" t="s">
        <v>229</v>
      </c>
      <c r="B1" s="87"/>
      <c r="C1" s="87"/>
      <c r="D1" s="87"/>
      <c r="E1" s="87"/>
    </row>
    <row r="2" spans="1:6" x14ac:dyDescent="0.25">
      <c r="A2" s="9"/>
      <c r="B2" s="9"/>
      <c r="C2" s="9"/>
      <c r="D2" s="9"/>
      <c r="E2" s="9"/>
    </row>
    <row r="3" spans="1:6" ht="17.25" customHeight="1" x14ac:dyDescent="0.25">
      <c r="A3" s="88"/>
      <c r="B3" s="91" t="s">
        <v>249</v>
      </c>
      <c r="C3" s="92"/>
      <c r="D3" s="91" t="s">
        <v>109</v>
      </c>
      <c r="E3" s="107"/>
      <c r="F3" s="1"/>
    </row>
    <row r="4" spans="1:6" ht="20.25" customHeight="1" x14ac:dyDescent="0.25">
      <c r="A4" s="89"/>
      <c r="B4" s="95" t="s">
        <v>122</v>
      </c>
      <c r="C4" s="97" t="s">
        <v>250</v>
      </c>
      <c r="D4" s="99" t="s">
        <v>248</v>
      </c>
      <c r="E4" s="91"/>
      <c r="F4" s="1"/>
    </row>
    <row r="5" spans="1:6" ht="20.25" customHeight="1" x14ac:dyDescent="0.25">
      <c r="A5" s="90"/>
      <c r="B5" s="96"/>
      <c r="C5" s="98"/>
      <c r="D5" s="30">
        <v>2020</v>
      </c>
      <c r="E5" s="29">
        <v>2021</v>
      </c>
      <c r="F5" s="1"/>
    </row>
    <row r="6" spans="1:6" ht="15.75" customHeight="1" x14ac:dyDescent="0.25">
      <c r="A6" s="39" t="s">
        <v>135</v>
      </c>
      <c r="B6" s="75">
        <v>923234.79735000001</v>
      </c>
      <c r="C6" s="77">
        <v>106.77873160035314</v>
      </c>
      <c r="D6" s="76">
        <v>100</v>
      </c>
      <c r="E6" s="76">
        <v>100</v>
      </c>
    </row>
    <row r="7" spans="1:6" ht="15.75" customHeight="1" x14ac:dyDescent="0.25">
      <c r="A7" s="40" t="s">
        <v>134</v>
      </c>
      <c r="B7" s="79"/>
      <c r="C7" s="78"/>
      <c r="D7" s="79"/>
      <c r="E7" s="79"/>
    </row>
    <row r="8" spans="1:6" x14ac:dyDescent="0.25">
      <c r="A8" s="41" t="s">
        <v>113</v>
      </c>
      <c r="B8" s="55">
        <v>18782.743419999999</v>
      </c>
      <c r="C8" s="71">
        <v>133.58278168259227</v>
      </c>
      <c r="D8" s="55">
        <f>IF(14060.75183="","-",14060.75183/864624.24072*100)</f>
        <v>1.626226881898565</v>
      </c>
      <c r="E8" s="55">
        <f>IF(18782.74342="","-",18782.74342/923234.79735*100)</f>
        <v>2.0344492510369956</v>
      </c>
    </row>
    <row r="9" spans="1:6" x14ac:dyDescent="0.25">
      <c r="A9" s="41" t="s">
        <v>114</v>
      </c>
      <c r="B9" s="55">
        <v>46896.767419999996</v>
      </c>
      <c r="C9" s="71">
        <v>107.5800261490382</v>
      </c>
      <c r="D9" s="55">
        <f>IF(43592.44843="","-",43592.44843/864624.24072*100)</f>
        <v>5.0417795820412321</v>
      </c>
      <c r="E9" s="55">
        <f>IF(46896.76742="","-",46896.76742/923234.79735*100)</f>
        <v>5.0796143683719226</v>
      </c>
    </row>
    <row r="10" spans="1:6" x14ac:dyDescent="0.25">
      <c r="A10" s="41" t="s">
        <v>115</v>
      </c>
      <c r="B10" s="55">
        <v>781473.39690000005</v>
      </c>
      <c r="C10" s="71">
        <v>109.10070184866092</v>
      </c>
      <c r="D10" s="55">
        <f>IF(716286.31499="","-",716286.31499/864624.24072*100)</f>
        <v>82.843654070295983</v>
      </c>
      <c r="E10" s="55">
        <f>IF(781473.3969="","-",781473.3969/923234.79735*100)</f>
        <v>84.645141099869321</v>
      </c>
    </row>
    <row r="11" spans="1:6" x14ac:dyDescent="0.25">
      <c r="A11" s="41" t="s">
        <v>116</v>
      </c>
      <c r="B11" s="55">
        <v>20982.390189999998</v>
      </c>
      <c r="C11" s="71">
        <v>102.01739750717165</v>
      </c>
      <c r="D11" s="55">
        <f>IF(20567.46271="","-",20567.46271/864624.24072*100)</f>
        <v>2.3787747025080885</v>
      </c>
      <c r="E11" s="55">
        <f>IF(20982.39019="","-",20982.39019/923234.79735*100)</f>
        <v>2.2727035690407944</v>
      </c>
    </row>
    <row r="12" spans="1:6" x14ac:dyDescent="0.25">
      <c r="A12" s="41" t="s">
        <v>117</v>
      </c>
      <c r="B12" s="55">
        <v>1453.0280399999999</v>
      </c>
      <c r="C12" s="71">
        <v>103.65132828290271</v>
      </c>
      <c r="D12" s="55">
        <f>IF(1401.84218="","-",1401.84218/864624.24072*100)</f>
        <v>0.16213311100700134</v>
      </c>
      <c r="E12" s="55">
        <f>IF(1453.02804="","-",1453.02804/923234.79735*100)</f>
        <v>0.15738445346413371</v>
      </c>
    </row>
    <row r="13" spans="1:6" x14ac:dyDescent="0.25">
      <c r="A13" s="41" t="s">
        <v>118</v>
      </c>
      <c r="B13" s="55">
        <v>49189.244440000002</v>
      </c>
      <c r="C13" s="71">
        <v>76.659006358443449</v>
      </c>
      <c r="D13" s="55">
        <f>IF(64166.29536="","-",64166.29536/864624.24072*100)</f>
        <v>7.4212926654203786</v>
      </c>
      <c r="E13" s="55">
        <f>IF(49189.24444="","-",49189.24444/923234.79735*100)</f>
        <v>5.327923577099777</v>
      </c>
    </row>
    <row r="14" spans="1:6" x14ac:dyDescent="0.25">
      <c r="A14" s="41" t="s">
        <v>119</v>
      </c>
      <c r="B14" s="55">
        <v>4457.2269399999996</v>
      </c>
      <c r="C14" s="71">
        <v>97.979869193400646</v>
      </c>
      <c r="D14" s="55">
        <f>IF(4549.12522="","-",4549.12522/864624.24072*100)</f>
        <v>0.52613898682875226</v>
      </c>
      <c r="E14" s="55">
        <f>IF(4457.22694="","-",4457.22694/923234.79735*100)</f>
        <v>0.48278368111706438</v>
      </c>
    </row>
    <row r="15" spans="1:6" x14ac:dyDescent="0.25">
      <c r="A15" s="37" t="s">
        <v>232</v>
      </c>
      <c r="B15" s="54">
        <v>426429.55258000002</v>
      </c>
      <c r="C15" s="72">
        <v>106.38354647433117</v>
      </c>
      <c r="D15" s="54">
        <f>IF(400841.64019="","-",400841.64019/864624.24072*100)</f>
        <v>46.360213062752727</v>
      </c>
      <c r="E15" s="54">
        <f>IF(426429.55258="","-",426429.55258/923234.79735*100)</f>
        <v>46.188635199192973</v>
      </c>
    </row>
    <row r="16" spans="1:6" x14ac:dyDescent="0.25">
      <c r="A16" s="40" t="s">
        <v>134</v>
      </c>
      <c r="B16" s="79"/>
      <c r="C16" s="72"/>
      <c r="D16" s="44"/>
      <c r="E16" s="44"/>
    </row>
    <row r="17" spans="1:7" x14ac:dyDescent="0.25">
      <c r="A17" s="41" t="s">
        <v>113</v>
      </c>
      <c r="B17" s="55">
        <v>6287.7289499999997</v>
      </c>
      <c r="C17" s="73">
        <v>107.40281195859905</v>
      </c>
      <c r="D17" s="55">
        <f>IF(5854.34295="","-",5854.34295/864624.24072*100)</f>
        <v>0.67709678659077421</v>
      </c>
      <c r="E17" s="55">
        <f>IF(6287.72895="","-",6287.72895/923234.79735*100)</f>
        <v>0.6810541552428413</v>
      </c>
    </row>
    <row r="18" spans="1:7" x14ac:dyDescent="0.25">
      <c r="A18" s="41" t="s">
        <v>114</v>
      </c>
      <c r="B18" s="55">
        <v>14141.511270000001</v>
      </c>
      <c r="C18" s="73" t="s">
        <v>284</v>
      </c>
      <c r="D18" s="55">
        <f>IF(4457.52392="","-",4457.52392/864624.24072*100)</f>
        <v>0.51554463893911628</v>
      </c>
      <c r="E18" s="55">
        <f>IF(14141.51127="","-",14141.51127/923234.79735*100)</f>
        <v>1.531735080890688</v>
      </c>
    </row>
    <row r="19" spans="1:7" x14ac:dyDescent="0.25">
      <c r="A19" s="41" t="s">
        <v>115</v>
      </c>
      <c r="B19" s="55">
        <v>396626.14260000002</v>
      </c>
      <c r="C19" s="73">
        <v>104.55319909430048</v>
      </c>
      <c r="D19" s="55">
        <f>IF(379353.42585="","-",379353.42585/864624.24072*100)</f>
        <v>43.874946824773318</v>
      </c>
      <c r="E19" s="55">
        <f>IF(396626.1426="","-",396626.1426/923234.79735*100)</f>
        <v>42.960484563455893</v>
      </c>
    </row>
    <row r="20" spans="1:7" x14ac:dyDescent="0.25">
      <c r="A20" s="41" t="s">
        <v>116</v>
      </c>
      <c r="B20" s="55">
        <v>4852.0732900000003</v>
      </c>
      <c r="C20" s="73">
        <v>75.519236480798597</v>
      </c>
      <c r="D20" s="55">
        <f>IF(6424.95014="","-",6424.95014/864624.24072*100)</f>
        <v>0.74309160412270425</v>
      </c>
      <c r="E20" s="55">
        <f>IF(4852.07329="","-",4852.07329/923234.79735*100)</f>
        <v>0.52555138778641275</v>
      </c>
    </row>
    <row r="21" spans="1:7" x14ac:dyDescent="0.25">
      <c r="A21" s="41" t="s">
        <v>117</v>
      </c>
      <c r="B21" s="55">
        <v>777.58096999999998</v>
      </c>
      <c r="C21" s="73">
        <v>101.92222336607901</v>
      </c>
      <c r="D21" s="55">
        <f>IF(762.91602="","-",762.91602/864624.24072*100)</f>
        <v>8.8236714178253392E-2</v>
      </c>
      <c r="E21" s="55">
        <f>IF(777.58097="","-",777.58097/923234.79735*100)</f>
        <v>8.4223533626757094E-2</v>
      </c>
    </row>
    <row r="22" spans="1:7" x14ac:dyDescent="0.25">
      <c r="A22" s="41" t="s">
        <v>119</v>
      </c>
      <c r="B22" s="55">
        <v>3744.5155</v>
      </c>
      <c r="C22" s="73">
        <v>93.883240485837945</v>
      </c>
      <c r="D22" s="55">
        <f>IF(3988.48131="","-",3988.48131/864624.24072*100)</f>
        <v>0.46129649414856394</v>
      </c>
      <c r="E22" s="55">
        <f>IF(3744.5155="","-",3744.5155/923234.79735*100)</f>
        <v>0.40558647819038463</v>
      </c>
    </row>
    <row r="23" spans="1:7" x14ac:dyDescent="0.25">
      <c r="A23" s="37" t="s">
        <v>233</v>
      </c>
      <c r="B23" s="54">
        <v>221339.78979000001</v>
      </c>
      <c r="C23" s="80">
        <v>100.11684758564441</v>
      </c>
      <c r="D23" s="54">
        <f>IF(221081.46144="","-",221081.46144/864624.24072*100)</f>
        <v>25.569658011889473</v>
      </c>
      <c r="E23" s="54">
        <f>IF(221339.78979="","-",221339.78979/923234.79735*100)</f>
        <v>23.974376878484325</v>
      </c>
    </row>
    <row r="24" spans="1:7" x14ac:dyDescent="0.25">
      <c r="A24" s="41" t="s">
        <v>134</v>
      </c>
      <c r="B24" s="79"/>
      <c r="C24" s="81"/>
      <c r="D24" s="44"/>
      <c r="E24" s="44"/>
    </row>
    <row r="25" spans="1:7" x14ac:dyDescent="0.25">
      <c r="A25" s="41" t="s">
        <v>113</v>
      </c>
      <c r="B25" s="55">
        <v>12030.64675</v>
      </c>
      <c r="C25" s="71" t="s">
        <v>237</v>
      </c>
      <c r="D25" s="55">
        <f>IF(4774.62924="","-",4774.62924/864624.24072*100)</f>
        <v>0.55222014548470388</v>
      </c>
      <c r="E25" s="55">
        <f>IF(12030.64675="","-",12030.64675/923234.79735*100)</f>
        <v>1.3030971952673442</v>
      </c>
    </row>
    <row r="26" spans="1:7" x14ac:dyDescent="0.25">
      <c r="A26" s="41" t="s">
        <v>114</v>
      </c>
      <c r="B26" s="55">
        <v>32755.256150000001</v>
      </c>
      <c r="C26" s="71">
        <v>83.93177140826019</v>
      </c>
      <c r="D26" s="55">
        <f>IF(39026.05128="","-",39026.05128/864624.24072*100)</f>
        <v>4.5136429725243152</v>
      </c>
      <c r="E26" s="55">
        <f>IF(32755.25615="","-",32755.25615/923234.79735*100)</f>
        <v>3.5478792874812348</v>
      </c>
      <c r="F26" s="1"/>
      <c r="G26" s="1"/>
    </row>
    <row r="27" spans="1:7" x14ac:dyDescent="0.25">
      <c r="A27" s="41" t="s">
        <v>115</v>
      </c>
      <c r="B27" s="55">
        <v>123726.71733</v>
      </c>
      <c r="C27" s="71">
        <v>111.33344969704686</v>
      </c>
      <c r="D27" s="55">
        <f>IF(111131.66588="","-",111131.66588/864624.24072*100)</f>
        <v>12.853174899128106</v>
      </c>
      <c r="E27" s="55">
        <f>IF(123726.71733="","-",123726.71733/923234.79735*100)</f>
        <v>13.401435657011419</v>
      </c>
      <c r="F27" s="1"/>
      <c r="G27" s="1"/>
    </row>
    <row r="28" spans="1:7" x14ac:dyDescent="0.25">
      <c r="A28" s="41" t="s">
        <v>116</v>
      </c>
      <c r="B28" s="55">
        <v>3605.6671700000002</v>
      </c>
      <c r="C28" s="71" t="s">
        <v>106</v>
      </c>
      <c r="D28" s="55">
        <f>IF(1879.09826="","-",1879.09826/864624.24072*100)</f>
        <v>0.21733120256207661</v>
      </c>
      <c r="E28" s="55">
        <f>IF(3605.66717="","-",3605.66717/923234.79735*100)</f>
        <v>0.39054714795732348</v>
      </c>
      <c r="F28" s="12"/>
      <c r="G28" s="12"/>
    </row>
    <row r="29" spans="1:7" x14ac:dyDescent="0.25">
      <c r="A29" s="41" t="s">
        <v>117</v>
      </c>
      <c r="B29" s="55">
        <v>32.257950000000001</v>
      </c>
      <c r="C29" s="71">
        <v>40.299894746376253</v>
      </c>
      <c r="D29" s="55">
        <f>IF(80.04475="","-",80.04475/864624.24072*100)</f>
        <v>9.2577499253715355E-3</v>
      </c>
      <c r="E29" s="55">
        <f>IF(32.25795="","-",32.25795/923234.79735*100)</f>
        <v>3.4940136672265126E-3</v>
      </c>
    </row>
    <row r="30" spans="1:7" x14ac:dyDescent="0.25">
      <c r="A30" s="41" t="s">
        <v>118</v>
      </c>
      <c r="B30" s="55">
        <v>49189.244440000002</v>
      </c>
      <c r="C30" s="71">
        <v>76.659006358443449</v>
      </c>
      <c r="D30" s="55">
        <f>IF(64166.29536="","-",64166.29536/864624.24072*100)</f>
        <v>7.4212926654203786</v>
      </c>
      <c r="E30" s="55">
        <f>IF(49189.24444="","-",49189.24444/923234.79735*100)</f>
        <v>5.327923577099777</v>
      </c>
    </row>
    <row r="31" spans="1:7" x14ac:dyDescent="0.25">
      <c r="A31" s="41" t="s">
        <v>119</v>
      </c>
      <c r="B31" s="55" t="s">
        <v>231</v>
      </c>
      <c r="C31" s="71" t="s">
        <v>231</v>
      </c>
      <c r="D31" s="55">
        <f>IF(23.67667="","-",23.67667/864624.24072*100)</f>
        <v>2.7383768445219262E-3</v>
      </c>
      <c r="E31" s="55" t="s">
        <v>231</v>
      </c>
    </row>
    <row r="32" spans="1:7" x14ac:dyDescent="0.25">
      <c r="A32" s="37" t="s">
        <v>234</v>
      </c>
      <c r="B32" s="54">
        <v>275465.45497999998</v>
      </c>
      <c r="C32" s="72">
        <v>113.49986078056686</v>
      </c>
      <c r="D32" s="54">
        <f>IF(242701.13909="","-",242701.13909/864624.24072*100)</f>
        <v>28.070128925357807</v>
      </c>
      <c r="E32" s="54">
        <f>IF(275465.45498="","-",275465.45498/923234.79735*100)</f>
        <v>29.836987922322706</v>
      </c>
    </row>
    <row r="33" spans="1:5" x14ac:dyDescent="0.25">
      <c r="A33" s="41" t="s">
        <v>134</v>
      </c>
      <c r="B33" s="79"/>
      <c r="C33" s="72"/>
      <c r="D33" s="45"/>
      <c r="E33" s="45"/>
    </row>
    <row r="34" spans="1:5" x14ac:dyDescent="0.25">
      <c r="A34" s="41" t="s">
        <v>113</v>
      </c>
      <c r="B34" s="57">
        <v>464.36772000000002</v>
      </c>
      <c r="C34" s="73">
        <v>13.531396788635297</v>
      </c>
      <c r="D34" s="55">
        <f>IF(3431.77964="","-",3431.77964/864624.24072*100)</f>
        <v>0.39690994982308719</v>
      </c>
      <c r="E34" s="55">
        <f>IF(464.36772="","-",464.36772/923234.79735*100)</f>
        <v>5.0297900526810123E-2</v>
      </c>
    </row>
    <row r="35" spans="1:5" x14ac:dyDescent="0.25">
      <c r="A35" s="41" t="s">
        <v>114</v>
      </c>
      <c r="B35" s="57" t="s">
        <v>231</v>
      </c>
      <c r="C35" s="73" t="s">
        <v>231</v>
      </c>
      <c r="D35" s="55">
        <f>IF(108.87323="","-",108.87323/864624.24072*100)</f>
        <v>1.2591970577801266E-2</v>
      </c>
      <c r="E35" s="55" t="s">
        <v>231</v>
      </c>
    </row>
    <row r="36" spans="1:5" x14ac:dyDescent="0.25">
      <c r="A36" s="41" t="s">
        <v>115</v>
      </c>
      <c r="B36" s="57">
        <v>261120.53696999999</v>
      </c>
      <c r="C36" s="73">
        <v>115.6417725289873</v>
      </c>
      <c r="D36" s="55">
        <f>IF(225801.22326="","-",225801.22326/864624.24072*100)</f>
        <v>26.115532346394566</v>
      </c>
      <c r="E36" s="55">
        <f>IF(261120.53697="","-",261120.53697/923234.79735*100)</f>
        <v>28.283220879402005</v>
      </c>
    </row>
    <row r="37" spans="1:5" x14ac:dyDescent="0.25">
      <c r="A37" s="41" t="s">
        <v>116</v>
      </c>
      <c r="B37" s="57">
        <v>12524.649729999999</v>
      </c>
      <c r="C37" s="73">
        <v>102.13020137293232</v>
      </c>
      <c r="D37" s="55">
        <f>IF(12263.41431="","-",12263.41431/864624.24072*100)</f>
        <v>1.4183518958233077</v>
      </c>
      <c r="E37" s="55">
        <f>IF(12524.64973="","-",12524.64973/923234.79735*100)</f>
        <v>1.3566050332970587</v>
      </c>
    </row>
    <row r="38" spans="1:5" x14ac:dyDescent="0.25">
      <c r="A38" s="41" t="s">
        <v>117</v>
      </c>
      <c r="B38" s="57">
        <v>643.18912</v>
      </c>
      <c r="C38" s="82">
        <v>115.0850803929943</v>
      </c>
      <c r="D38" s="55">
        <f>IF(558.88141="","-",558.88141/864624.24072*100)</f>
        <v>6.4638646903376396E-2</v>
      </c>
      <c r="E38" s="55">
        <f>IF(643.18912="","-",643.18912/923234.79735*100)</f>
        <v>6.9666906170150117E-2</v>
      </c>
    </row>
    <row r="39" spans="1:5" x14ac:dyDescent="0.25">
      <c r="A39" s="42" t="s">
        <v>119</v>
      </c>
      <c r="B39" s="56">
        <v>712.71144000000004</v>
      </c>
      <c r="C39" s="74">
        <v>132.7290357601704</v>
      </c>
      <c r="D39" s="56">
        <f>IF(536.96724="","-",536.96724/864624.24072*100)</f>
        <v>6.2104115835666406E-2</v>
      </c>
      <c r="E39" s="56">
        <f>IF(712.71144="","-",712.71144/923234.79735*100)</f>
        <v>7.7197202926679739E-2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8"/>
  <sheetViews>
    <sheetView zoomScaleNormal="100" workbookViewId="0">
      <selection activeCell="A21" sqref="A21"/>
    </sheetView>
  </sheetViews>
  <sheetFormatPr defaultRowHeight="15.75" x14ac:dyDescent="0.25"/>
  <cols>
    <col min="1" max="1" width="28.75" customWidth="1"/>
    <col min="2" max="2" width="11.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100" t="s">
        <v>152</v>
      </c>
      <c r="B1" s="100"/>
      <c r="C1" s="100"/>
      <c r="D1" s="100"/>
      <c r="E1" s="100"/>
      <c r="F1" s="100"/>
      <c r="G1" s="100"/>
    </row>
    <row r="2" spans="1:9" x14ac:dyDescent="0.25">
      <c r="A2" s="100" t="s">
        <v>23</v>
      </c>
      <c r="B2" s="100"/>
      <c r="C2" s="100"/>
      <c r="D2" s="100"/>
      <c r="E2" s="100"/>
      <c r="F2" s="100"/>
      <c r="G2" s="100"/>
    </row>
    <row r="3" spans="1:9" x14ac:dyDescent="0.25">
      <c r="A3" s="6"/>
    </row>
    <row r="4" spans="1:9" ht="57" customHeight="1" x14ac:dyDescent="0.25">
      <c r="A4" s="108"/>
      <c r="B4" s="111" t="s">
        <v>249</v>
      </c>
      <c r="C4" s="106"/>
      <c r="D4" s="111" t="s">
        <v>0</v>
      </c>
      <c r="E4" s="106"/>
      <c r="F4" s="103" t="s">
        <v>107</v>
      </c>
      <c r="G4" s="112"/>
    </row>
    <row r="5" spans="1:9" ht="20.25" customHeight="1" x14ac:dyDescent="0.25">
      <c r="A5" s="109"/>
      <c r="B5" s="113" t="s">
        <v>111</v>
      </c>
      <c r="C5" s="101" t="s">
        <v>250</v>
      </c>
      <c r="D5" s="115" t="s">
        <v>248</v>
      </c>
      <c r="E5" s="115"/>
      <c r="F5" s="115" t="s">
        <v>248</v>
      </c>
      <c r="G5" s="111"/>
    </row>
    <row r="6" spans="1:9" ht="38.25" customHeight="1" x14ac:dyDescent="0.25">
      <c r="A6" s="110"/>
      <c r="B6" s="114"/>
      <c r="C6" s="102"/>
      <c r="D6" s="24">
        <v>2020</v>
      </c>
      <c r="E6" s="24">
        <v>2021</v>
      </c>
      <c r="F6" s="24" t="s">
        <v>137</v>
      </c>
      <c r="G6" s="20" t="s">
        <v>251</v>
      </c>
    </row>
    <row r="7" spans="1:9" ht="16.5" customHeight="1" x14ac:dyDescent="0.25">
      <c r="A7" s="49" t="s">
        <v>101</v>
      </c>
      <c r="B7" s="53">
        <v>425641.38618999999</v>
      </c>
      <c r="C7" s="53">
        <f>IF(464796.56015="","-",425641.38619/464796.56015*100)</f>
        <v>91.575846872153321</v>
      </c>
      <c r="D7" s="53">
        <v>100</v>
      </c>
      <c r="E7" s="53">
        <v>100</v>
      </c>
      <c r="F7" s="53">
        <f>IF(475663.92916="","-",(464796.56015-475663.92916)/475663.92916*100)</f>
        <v>-2.284673767294334</v>
      </c>
      <c r="G7" s="53">
        <f>IF(464796.56015="","-",(425641.38619-464796.56015)/464796.56015*100)</f>
        <v>-8.4241531278466777</v>
      </c>
    </row>
    <row r="8" spans="1:9" ht="13.5" customHeight="1" x14ac:dyDescent="0.25">
      <c r="A8" s="36" t="s">
        <v>134</v>
      </c>
      <c r="B8" s="46"/>
      <c r="C8" s="46"/>
      <c r="D8" s="46"/>
      <c r="E8" s="46"/>
      <c r="F8" s="46"/>
      <c r="G8" s="46"/>
    </row>
    <row r="9" spans="1:9" x14ac:dyDescent="0.25">
      <c r="A9" s="58" t="s">
        <v>203</v>
      </c>
      <c r="B9" s="54">
        <f>IF(82779.53386="","-",82779.53386)</f>
        <v>82779.533859999996</v>
      </c>
      <c r="C9" s="54">
        <f>IF(132462.50466="","-",82779.53386/132462.50466*100)</f>
        <v>62.492804339216988</v>
      </c>
      <c r="D9" s="54">
        <f>IF(132462.50466="","-",132462.50466/464796.56015*100)</f>
        <v>28.499028610980137</v>
      </c>
      <c r="E9" s="54">
        <f>IF(82779.53386="","-",82779.53386/425641.38619*100)</f>
        <v>19.448187264160548</v>
      </c>
      <c r="F9" s="54">
        <f>IF(475663.92916="","-",(132462.50466-119158.41518)/475663.92916*100)</f>
        <v>2.7969515164823204</v>
      </c>
      <c r="G9" s="54">
        <f>IF(464796.56015="","-",(82779.53386-132462.50466)/464796.56015*100)</f>
        <v>-10.68918642254285</v>
      </c>
      <c r="I9" s="17"/>
    </row>
    <row r="10" spans="1:9" s="9" customFormat="1" x14ac:dyDescent="0.25">
      <c r="A10" s="50" t="s">
        <v>24</v>
      </c>
      <c r="B10" s="55">
        <f>IF(1874.67949="","-",1874.67949)</f>
        <v>1874.67949</v>
      </c>
      <c r="C10" s="55">
        <f>IF(OR(3842.91655="",1874.67949=""),"-",1874.67949/3842.91655*100)</f>
        <v>48.782727014980324</v>
      </c>
      <c r="D10" s="55">
        <f>IF(3842.91655="","-",3842.91655/464796.56015*100)</f>
        <v>0.82679539382989553</v>
      </c>
      <c r="E10" s="55">
        <f>IF(1874.67949="","-",1874.67949/425641.38619*100)</f>
        <v>0.44043637456888907</v>
      </c>
      <c r="F10" s="55">
        <f>IF(OR(475663.92916="",381.44435="",3842.91655=""),"-",(3842.91655-381.44435)/475663.92916*100)</f>
        <v>0.72771383066880779</v>
      </c>
      <c r="G10" s="55">
        <f>IF(OR(464796.56015="",1874.67949="",3842.91655=""),"-",(1874.67949-3842.91655)/464796.56015*100)</f>
        <v>-0.42346205388542613</v>
      </c>
      <c r="I10" s="17"/>
    </row>
    <row r="11" spans="1:9" s="9" customFormat="1" x14ac:dyDescent="0.25">
      <c r="A11" s="50" t="s">
        <v>204</v>
      </c>
      <c r="B11" s="55">
        <f>IF(774.06046="","-",774.06046)</f>
        <v>774.06046000000003</v>
      </c>
      <c r="C11" s="55">
        <f>IF(OR(528.11897="",774.06046=""),"-",774.06046/528.11897*100)</f>
        <v>146.56933455732525</v>
      </c>
      <c r="D11" s="55">
        <f>IF(528.11897="","-",528.11897/464796.56015*100)</f>
        <v>0.11362368297854109</v>
      </c>
      <c r="E11" s="55">
        <f>IF(774.06046="","-",774.06046/425641.38619*100)</f>
        <v>0.18185742390531334</v>
      </c>
      <c r="F11" s="55">
        <f>IF(OR(475663.92916="",1122.81027="",528.11897=""),"-",(528.11897-1122.81027)/475663.92916*100)</f>
        <v>-0.12502341748935991</v>
      </c>
      <c r="G11" s="55">
        <f>IF(OR(464796.56015="",774.06046="",528.11897=""),"-",(774.06046-528.11897)/464796.56015*100)</f>
        <v>5.2913793062631394E-2</v>
      </c>
      <c r="I11" s="17"/>
    </row>
    <row r="12" spans="1:9" s="9" customFormat="1" x14ac:dyDescent="0.25">
      <c r="A12" s="50" t="s">
        <v>205</v>
      </c>
      <c r="B12" s="55">
        <f>IF(1472.47427="","-",1472.47427)</f>
        <v>1472.4742699999999</v>
      </c>
      <c r="C12" s="55" t="s">
        <v>104</v>
      </c>
      <c r="D12" s="55">
        <f>IF(867.75144="","-",867.75144/464796.56015*100)</f>
        <v>0.18669489286236493</v>
      </c>
      <c r="E12" s="55">
        <f>IF(1472.47427="","-",1472.47427/425641.38619*100)</f>
        <v>0.34594245714224542</v>
      </c>
      <c r="F12" s="55">
        <f>IF(OR(475663.92916="",1881.18203="",867.75144=""),"-",(867.75144-1881.18203)/475663.92916*100)</f>
        <v>-0.21305601032007418</v>
      </c>
      <c r="G12" s="55">
        <f>IF(OR(464796.56015="",1472.47427="",867.75144=""),"-",(1472.47427-867.75144)/464796.56015*100)</f>
        <v>0.13010484195598235</v>
      </c>
      <c r="I12" s="17"/>
    </row>
    <row r="13" spans="1:9" s="9" customFormat="1" x14ac:dyDescent="0.25">
      <c r="A13" s="50" t="s">
        <v>206</v>
      </c>
      <c r="B13" s="55">
        <f>IF(1.03854="","-",1.03854)</f>
        <v>1.03854</v>
      </c>
      <c r="C13" s="55">
        <f>IF(OR(1.92677="",1.03854=""),"-",1.03854/1.92677*100)</f>
        <v>53.900569346626739</v>
      </c>
      <c r="D13" s="55">
        <f>IF(1.92677="","-",1.92677/464796.56015*100)</f>
        <v>4.1454050335015162E-4</v>
      </c>
      <c r="E13" s="55">
        <f>IF(1.03854="","-",1.03854/425641.38619*100)</f>
        <v>2.4399413066858382E-4</v>
      </c>
      <c r="F13" s="55">
        <f>IF(OR(475663.92916="",11.38514="",1.92677=""),"-",(1.92677-11.38514)/475663.92916*100)</f>
        <v>-1.9884564332433266E-3</v>
      </c>
      <c r="G13" s="55">
        <f>IF(OR(464796.56015="",1.03854="",1.92677=""),"-",(1.03854-1.92677)/464796.56015*100)</f>
        <v>-1.911008118720476E-4</v>
      </c>
      <c r="I13" s="17"/>
    </row>
    <row r="14" spans="1:9" s="9" customFormat="1" x14ac:dyDescent="0.25">
      <c r="A14" s="50" t="s">
        <v>207</v>
      </c>
      <c r="B14" s="55">
        <f>IF(22854.40966="","-",22854.40966)</f>
        <v>22854.409660000001</v>
      </c>
      <c r="C14" s="55">
        <f>IF(OR(51337.56666="",22854.40966=""),"-",22854.40966/51337.56666*100)</f>
        <v>44.517905983664718</v>
      </c>
      <c r="D14" s="55">
        <f>IF(51337.56666="","-",51337.56666/464796.56015*100)</f>
        <v>11.045169233488355</v>
      </c>
      <c r="E14" s="55">
        <f>IF(22854.40966="","-",22854.40966/425641.38619*100)</f>
        <v>5.3694049501563583</v>
      </c>
      <c r="F14" s="55">
        <f>IF(OR(475663.92916="",51748.82395="",51337.56666=""),"-",(51337.56666-51748.82395)/475663.92916*100)</f>
        <v>-8.6459633532915206E-2</v>
      </c>
      <c r="G14" s="55">
        <f>IF(OR(464796.56015="",22854.40966="",51337.56666=""),"-",(22854.40966-51337.56666)/464796.56015*100)</f>
        <v>-6.1280911783873488</v>
      </c>
      <c r="I14" s="17"/>
    </row>
    <row r="15" spans="1:9" s="9" customFormat="1" x14ac:dyDescent="0.25">
      <c r="A15" s="50" t="s">
        <v>208</v>
      </c>
      <c r="B15" s="55">
        <f>IF(47896.22626="","-",47896.22626)</f>
        <v>47896.226260000003</v>
      </c>
      <c r="C15" s="55">
        <f>IF(OR(63692.94778="",47896.22626=""),"-",47896.22626/63692.94778*100)</f>
        <v>75.198633332903668</v>
      </c>
      <c r="D15" s="55">
        <f>IF(63692.94778="","-",63692.94778/464796.56015*100)</f>
        <v>13.703403432986875</v>
      </c>
      <c r="E15" s="55">
        <f>IF(47896.22626="","-",47896.22626/425641.38619*100)</f>
        <v>11.252718324392411</v>
      </c>
      <c r="F15" s="55">
        <f>IF(OR(475663.92916="",53955.00158="",63692.94778=""),"-",(63692.94778-53955.00158)/475663.92916*100)</f>
        <v>2.0472324267254738</v>
      </c>
      <c r="G15" s="55">
        <f>IF(OR(464796.56015="",47896.22626="",63692.94778=""),"-",(47896.22626-63692.94778)/464796.56015*100)</f>
        <v>-3.3986313312865426</v>
      </c>
      <c r="I15" s="17"/>
    </row>
    <row r="16" spans="1:9" s="9" customFormat="1" ht="15" customHeight="1" x14ac:dyDescent="0.25">
      <c r="A16" s="50" t="s">
        <v>165</v>
      </c>
      <c r="B16" s="55">
        <f>IF(1525.29546="","-",1525.29546)</f>
        <v>1525.29546</v>
      </c>
      <c r="C16" s="55">
        <f>IF(OR(3679.40021="",1525.29546=""),"-",1525.29546/3679.40021*100)</f>
        <v>41.455002797860907</v>
      </c>
      <c r="D16" s="55">
        <f>IF(3679.40021="","-",3679.40021/464796.56015*100)</f>
        <v>0.79161519801535896</v>
      </c>
      <c r="E16" s="55">
        <f>IF(1525.29546="","-",1525.29546/425641.38619*100)</f>
        <v>0.35835224428085355</v>
      </c>
      <c r="F16" s="55">
        <f>IF(OR(475663.92916="",2107.16711="",3679.40021=""),"-",(3679.40021-2107.16711)/475663.92916*100)</f>
        <v>0.33053443904743612</v>
      </c>
      <c r="G16" s="55">
        <f>IF(OR(464796.56015="",1525.29546="",3679.40021=""),"-",(1525.29546-3679.40021)/464796.56015*100)</f>
        <v>-0.46345109552979974</v>
      </c>
      <c r="I16" s="17"/>
    </row>
    <row r="17" spans="1:9" s="9" customFormat="1" ht="25.5" x14ac:dyDescent="0.25">
      <c r="A17" s="50" t="s">
        <v>209</v>
      </c>
      <c r="B17" s="55">
        <f>IF(1566.22229="","-",1566.22229)</f>
        <v>1566.2222899999999</v>
      </c>
      <c r="C17" s="55">
        <f>IF(OR(1850.0007="",1566.22229=""),"-",1566.22229/1850.0007*100)</f>
        <v>84.660632290571556</v>
      </c>
      <c r="D17" s="55">
        <f>IF(1850.0007="","-",1850.0007/464796.56015*100)</f>
        <v>0.39802375030550241</v>
      </c>
      <c r="E17" s="55">
        <f>IF(1566.22229="","-",1566.22229/425641.38619*100)</f>
        <v>0.36796757571428018</v>
      </c>
      <c r="F17" s="55">
        <f>IF(OR(475663.92916="",1777.67753="",1850.0007=""),"-",(1850.0007-1777.67753)/475663.92916*100)</f>
        <v>1.520467825418661E-2</v>
      </c>
      <c r="G17" s="55">
        <f>IF(OR(464796.56015="",1566.22229="",1850.0007=""),"-",(1566.22229-1850.0007)/464796.56015*100)</f>
        <v>-6.1054326630218314E-2</v>
      </c>
      <c r="I17" s="17"/>
    </row>
    <row r="18" spans="1:9" s="9" customFormat="1" ht="25.5" x14ac:dyDescent="0.25">
      <c r="A18" s="50" t="s">
        <v>166</v>
      </c>
      <c r="B18" s="55">
        <f>IF(4152.34941="","-",4152.34941)</f>
        <v>4152.3494099999998</v>
      </c>
      <c r="C18" s="55">
        <f>IF(OR(6135.62234="",4152.34941=""),"-",4152.34941/6135.62234*100)</f>
        <v>67.676091843684105</v>
      </c>
      <c r="D18" s="55">
        <f>IF(6135.62234="","-",6135.62234/464796.56015*100)</f>
        <v>1.3200662109073917</v>
      </c>
      <c r="E18" s="55">
        <f>IF(4152.34941="","-",4152.34941/425641.38619*100)</f>
        <v>0.97555114345634908</v>
      </c>
      <c r="F18" s="55">
        <f>IF(OR(475663.92916="",5673.77221="",6135.62234=""),"-",(6135.62234-5673.77221)/475663.92916*100)</f>
        <v>9.7095890961420031E-2</v>
      </c>
      <c r="G18" s="55">
        <f>IF(OR(464796.56015="",4152.34941="",6135.62234=""),"-",(4152.34941-6135.62234)/464796.56015*100)</f>
        <v>-0.42669698961626457</v>
      </c>
      <c r="I18" s="17"/>
    </row>
    <row r="19" spans="1:9" s="9" customFormat="1" x14ac:dyDescent="0.25">
      <c r="A19" s="50" t="s">
        <v>210</v>
      </c>
      <c r="B19" s="55">
        <f>IF(662.77802="","-",662.77802)</f>
        <v>662.77801999999997</v>
      </c>
      <c r="C19" s="55">
        <f>IF(OR(526.25324="",662.77802=""),"-",662.77802/526.25324*100)</f>
        <v>125.94279134509461</v>
      </c>
      <c r="D19" s="55">
        <f>IF(526.25324="","-",526.25324/464796.56015*100)</f>
        <v>0.11322227510250218</v>
      </c>
      <c r="E19" s="55">
        <f>IF(662.77802="","-",662.77802/425641.38619*100)</f>
        <v>0.15571277641318124</v>
      </c>
      <c r="F19" s="55">
        <f>IF(OR(475663.92916="",499.15101="",526.25324=""),"-",(526.25324-499.15101)/475663.92916*100)</f>
        <v>5.6977686005876627E-3</v>
      </c>
      <c r="G19" s="55">
        <f>IF(OR(464796.56015="",662.77802="",526.25324=""),"-",(662.77802-526.25324)/464796.56015*100)</f>
        <v>2.9373018586011143E-2</v>
      </c>
    </row>
    <row r="20" spans="1:9" s="9" customFormat="1" x14ac:dyDescent="0.25">
      <c r="A20" s="58" t="s">
        <v>211</v>
      </c>
      <c r="B20" s="54">
        <f>IF(29244.07079="","-",29244.07079)</f>
        <v>29244.070790000002</v>
      </c>
      <c r="C20" s="54">
        <f>IF(30416.38494="","-",29244.07079/30416.38494*100)</f>
        <v>96.145780794422052</v>
      </c>
      <c r="D20" s="54">
        <f>IF(30416.38494="","-",30416.38494/464796.56015*100)</f>
        <v>6.5440210939134253</v>
      </c>
      <c r="E20" s="54">
        <f>IF(29244.07079="","-",29244.07079/425641.38619*100)</f>
        <v>6.8705891247487578</v>
      </c>
      <c r="F20" s="54">
        <f>IF(475663.92916="","-",(30416.38494-31254.29754)/475663.92916*100)</f>
        <v>-0.17615643075557857</v>
      </c>
      <c r="G20" s="54">
        <f>IF(464796.56015="","-",(29244.07079-30416.38494)/464796.56015*100)</f>
        <v>-0.25222091781868328</v>
      </c>
    </row>
    <row r="21" spans="1:9" s="9" customFormat="1" x14ac:dyDescent="0.25">
      <c r="A21" s="50" t="s">
        <v>212</v>
      </c>
      <c r="B21" s="55">
        <f>IF(27441.51439="","-",27441.51439)</f>
        <v>27441.51439</v>
      </c>
      <c r="C21" s="55">
        <f>IF(OR(27624.26282="",27441.51439=""),"-",27441.51439/27624.26282*100)</f>
        <v>99.338449568081543</v>
      </c>
      <c r="D21" s="55">
        <f>IF(27624.26282="","-",27624.26282/464796.56015*100)</f>
        <v>5.9433019063404968</v>
      </c>
      <c r="E21" s="55">
        <f>IF(27441.51439="","-",27441.51439/425641.38619*100)</f>
        <v>6.447097317212128</v>
      </c>
      <c r="F21" s="55">
        <f>IF(OR(475663.92916="",27081.13789="",27624.26282=""),"-",(27624.26282-27081.13789)/475663.92916*100)</f>
        <v>0.11418249244989653</v>
      </c>
      <c r="G21" s="55">
        <f>IF(OR(464796.56015="",27441.51439="",27624.26282=""),"-",(27441.51439-27624.26282)/464796.56015*100)</f>
        <v>-3.9317939431613422E-2</v>
      </c>
    </row>
    <row r="22" spans="1:9" s="9" customFormat="1" x14ac:dyDescent="0.25">
      <c r="A22" s="50" t="s">
        <v>213</v>
      </c>
      <c r="B22" s="55">
        <f>IF(1802.5564="","-",1802.5564)</f>
        <v>1802.5563999999999</v>
      </c>
      <c r="C22" s="55">
        <f>IF(OR(2792.12212="",1802.5564=""),"-",1802.5564/2792.12212*100)</f>
        <v>64.55865189736042</v>
      </c>
      <c r="D22" s="55">
        <f>IF(2792.12212="","-",2792.12212/464796.56015*100)</f>
        <v>0.60071918757292897</v>
      </c>
      <c r="E22" s="55">
        <f>IF(1802.5564="","-",1802.5564/425641.38619*100)</f>
        <v>0.42349180753663024</v>
      </c>
      <c r="F22" s="55">
        <f>IF(OR(475663.92916="",4173.15965="",2792.12212=""),"-",(2792.12212-4173.15965)/475663.92916*100)</f>
        <v>-0.29033892320547544</v>
      </c>
      <c r="G22" s="55">
        <f>IF(OR(464796.56015="",1802.5564="",2792.12212=""),"-",(1802.5564-2792.12212)/464796.56015*100)</f>
        <v>-0.21290297838707015</v>
      </c>
    </row>
    <row r="23" spans="1:9" s="9" customFormat="1" ht="25.5" x14ac:dyDescent="0.25">
      <c r="A23" s="58" t="s">
        <v>25</v>
      </c>
      <c r="B23" s="54">
        <f>IF(51676.05297="","-",51676.05297)</f>
        <v>51676.052969999997</v>
      </c>
      <c r="C23" s="54">
        <f>IF(45548.64138="","-",51676.05297/45548.64138*100)</f>
        <v>113.4524574265139</v>
      </c>
      <c r="D23" s="54">
        <f>IF(45548.64138="","-",45548.64138/464796.56015*100)</f>
        <v>9.7996941641092317</v>
      </c>
      <c r="E23" s="54">
        <f>IF(51676.05297="","-",51676.05297/425641.38619*100)</f>
        <v>12.140749148611356</v>
      </c>
      <c r="F23" s="54">
        <f>IF(475663.92916="","-",(45548.64138-58171.98801)/475663.92916*100)</f>
        <v>-2.6538372695806958</v>
      </c>
      <c r="G23" s="54">
        <f>IF(464796.56015="","-",(51676.05297-45548.64138)/464796.56015*100)</f>
        <v>1.3182996853553621</v>
      </c>
      <c r="H23" s="7"/>
    </row>
    <row r="24" spans="1:9" s="9" customFormat="1" x14ac:dyDescent="0.25">
      <c r="A24" s="50" t="s">
        <v>220</v>
      </c>
      <c r="B24" s="55">
        <f>IF(247.37067="","-",247.37067)</f>
        <v>247.37066999999999</v>
      </c>
      <c r="C24" s="55">
        <f>IF(OR(414.05032="",247.37067=""),"-",247.37067/414.05032*100)</f>
        <v>59.744107914226461</v>
      </c>
      <c r="D24" s="55">
        <f>IF(414.05032="","-",414.05032/464796.56015*100)</f>
        <v>8.9082053418462689E-2</v>
      </c>
      <c r="E24" s="55">
        <f>IF(247.37067="","-",247.37067/425641.38619*100)</f>
        <v>5.8117156372941937E-2</v>
      </c>
      <c r="F24" s="55">
        <f>IF(OR(475663.92916="",182.30469="",414.05032=""),"-",(414.05032-182.30469)/475663.92916*100)</f>
        <v>4.872045488276814E-2</v>
      </c>
      <c r="G24" s="55">
        <f>IF(OR(464796.56015="",247.37067="",414.05032=""),"-",(247.37067-414.05032)/464796.56015*100)</f>
        <v>-3.5860775291927473E-2</v>
      </c>
      <c r="H24" s="8"/>
    </row>
    <row r="25" spans="1:9" s="9" customFormat="1" x14ac:dyDescent="0.25">
      <c r="A25" s="50" t="s">
        <v>214</v>
      </c>
      <c r="B25" s="55">
        <f>IF(39674.53236="","-",39674.53236)</f>
        <v>39674.532359999997</v>
      </c>
      <c r="C25" s="55">
        <f>IF(OR(40216.58119="",39674.53236=""),"-",39674.53236/40216.58119*100)</f>
        <v>98.652175759448241</v>
      </c>
      <c r="D25" s="55">
        <f>IF(40216.58119="","-",40216.58119/464796.56015*100)</f>
        <v>8.6525126556490068</v>
      </c>
      <c r="E25" s="55">
        <f>IF(39674.53236="","-",39674.53236/425641.38619*100)</f>
        <v>9.3211171768644405</v>
      </c>
      <c r="F25" s="55">
        <f>IF(OR(475663.92916="",53054.90579="",40216.58119=""),"-",(40216.58119-53054.90579)/475663.92916*100)</f>
        <v>-2.6990326179813282</v>
      </c>
      <c r="G25" s="55">
        <f>IF(OR(464796.56015="",39674.53236="",40216.58119=""),"-",(39674.53236-40216.58119)/464796.56015*100)</f>
        <v>-0.11662066298964621</v>
      </c>
      <c r="H25" s="8"/>
    </row>
    <row r="26" spans="1:9" s="9" customFormat="1" ht="14.25" customHeight="1" x14ac:dyDescent="0.25">
      <c r="A26" s="50" t="s">
        <v>216</v>
      </c>
      <c r="B26" s="55">
        <f>IF(253.95627="","-",253.95627)</f>
        <v>253.95626999999999</v>
      </c>
      <c r="C26" s="55">
        <f>IF(OR(306.931="",253.95627=""),"-",253.95627/306.931*100)</f>
        <v>82.740508453039936</v>
      </c>
      <c r="D26" s="55">
        <f>IF(306.931="","-",306.931/464796.56015*100)</f>
        <v>6.6035557556825872E-2</v>
      </c>
      <c r="E26" s="55">
        <f>IF(253.95627="","-",253.95627/425641.38619*100)</f>
        <v>5.9664374339443979E-2</v>
      </c>
      <c r="F26" s="55">
        <f>IF(OR(475663.92916="",93.69413="",306.931=""),"-",(306.931-93.69413)/475663.92916*100)</f>
        <v>4.4829312657061512E-2</v>
      </c>
      <c r="G26" s="55">
        <f>IF(OR(464796.56015="",253.95627="",306.931=""),"-",(253.95627-306.931)/464796.56015*100)</f>
        <v>-1.1397401474508309E-2</v>
      </c>
      <c r="H26" s="8"/>
    </row>
    <row r="27" spans="1:9" s="9" customFormat="1" x14ac:dyDescent="0.25">
      <c r="A27" s="50" t="s">
        <v>167</v>
      </c>
      <c r="B27" s="55">
        <f>IF(483.42643="","-",483.42643)</f>
        <v>483.42642999999998</v>
      </c>
      <c r="C27" s="55" t="s">
        <v>105</v>
      </c>
      <c r="D27" s="55">
        <f>IF(301.15483="","-",301.15483/464796.56015*100)</f>
        <v>6.4792826759047184E-2</v>
      </c>
      <c r="E27" s="55">
        <f>IF(483.42643="","-",483.42643/425641.38619*100)</f>
        <v>0.113575992768759</v>
      </c>
      <c r="F27" s="55">
        <f>IF(OR(475663.92916="",421.67116="",301.15483=""),"-",(301.15483-421.67116)/475663.92916*100)</f>
        <v>-2.5336445042790218E-2</v>
      </c>
      <c r="G27" s="55">
        <f>IF(OR(464796.56015="",483.42643="",301.15483=""),"-",(483.42643-301.15483)/464796.56015*100)</f>
        <v>3.9215350462399497E-2</v>
      </c>
      <c r="H27" s="8"/>
    </row>
    <row r="28" spans="1:9" s="9" customFormat="1" ht="38.25" x14ac:dyDescent="0.25">
      <c r="A28" s="50" t="s">
        <v>169</v>
      </c>
      <c r="B28" s="55">
        <f>IF(750.57396="","-",750.57396)</f>
        <v>750.57396000000006</v>
      </c>
      <c r="C28" s="55">
        <f>IF(OR(1212.94652="",750.57396=""),"-",750.57396/1212.94652*100)</f>
        <v>61.88021875853191</v>
      </c>
      <c r="D28" s="55">
        <f>IF(1212.94652="","-",1212.94652/464796.56015*100)</f>
        <v>0.26096288656020938</v>
      </c>
      <c r="E28" s="55">
        <f>IF(750.57396="","-",750.57396/425641.38619*100)</f>
        <v>0.17633951592878117</v>
      </c>
      <c r="F28" s="55">
        <f>IF(OR(475663.92916="",1417.51097="",1212.94652=""),"-",(1212.94652-1417.51097)/475663.92916*100)</f>
        <v>-4.3006088429124997E-2</v>
      </c>
      <c r="G28" s="55">
        <f>IF(OR(464796.56015="",750.57396="",1212.94652=""),"-",(750.57396-1212.94652)/464796.56015*100)</f>
        <v>-9.9478481478172356E-2</v>
      </c>
      <c r="H28" s="8"/>
    </row>
    <row r="29" spans="1:9" s="9" customFormat="1" ht="15.75" customHeight="1" x14ac:dyDescent="0.25">
      <c r="A29" s="50" t="s">
        <v>170</v>
      </c>
      <c r="B29" s="55">
        <f>IF(9836.73631="","-",9836.73631)</f>
        <v>9836.7363100000002</v>
      </c>
      <c r="C29" s="55" t="s">
        <v>259</v>
      </c>
      <c r="D29" s="55">
        <f>IF(2092.96293="","-",2092.96293/464796.56015*100)</f>
        <v>0.45029656186021583</v>
      </c>
      <c r="E29" s="55">
        <f>IF(9836.73631="","-",9836.73631/425641.38619*100)</f>
        <v>2.3110385007554286</v>
      </c>
      <c r="F29" s="55">
        <f>IF(OR(475663.92916="",2383.00358="",2092.96293=""),"-",(2092.96293-2383.00358)/475663.92916*100)</f>
        <v>-6.0975960593059472E-2</v>
      </c>
      <c r="G29" s="55">
        <f>IF(OR(464796.56015="",9836.73631="",2092.96293=""),"-",(9836.73631-2092.96293)/464796.56015*100)</f>
        <v>1.6660565167480836</v>
      </c>
    </row>
    <row r="30" spans="1:9" s="9" customFormat="1" ht="25.5" x14ac:dyDescent="0.25">
      <c r="A30" s="50" t="s">
        <v>171</v>
      </c>
      <c r="B30" s="55">
        <f>IF(429.36781="","-",429.36781)</f>
        <v>429.36781000000002</v>
      </c>
      <c r="C30" s="55">
        <f>IF(OR(991.62338="",429.36781=""),"-",429.36781/991.62338*100)</f>
        <v>43.299484326398193</v>
      </c>
      <c r="D30" s="55">
        <f>IF(991.62338="","-",991.62338/464796.56015*100)</f>
        <v>0.21334567959796893</v>
      </c>
      <c r="E30" s="55">
        <f>IF(429.36781="","-",429.36781/425641.38619*100)</f>
        <v>0.10087548437038889</v>
      </c>
      <c r="F30" s="55">
        <f>IF(OR(475663.92916="",588.46768="",991.62338=""),"-",(991.62338-588.46768)/475663.92916*100)</f>
        <v>8.4756416302567639E-2</v>
      </c>
      <c r="G30" s="55">
        <f>IF(OR(464796.56015="",429.36781="",991.62338=""),"-",(429.36781-991.62338)/464796.56015*100)</f>
        <v>-0.12096810049939868</v>
      </c>
    </row>
    <row r="31" spans="1:9" s="9" customFormat="1" ht="25.5" x14ac:dyDescent="0.25">
      <c r="A31" s="58" t="s">
        <v>172</v>
      </c>
      <c r="B31" s="54">
        <f>IF(9354.0374="","-",9354.0374)</f>
        <v>9354.0373999999993</v>
      </c>
      <c r="C31" s="54" t="s">
        <v>278</v>
      </c>
      <c r="D31" s="54">
        <f>IF(1232.15984="","-",1232.15984/464796.56015*100)</f>
        <v>0.26509659185135864</v>
      </c>
      <c r="E31" s="54">
        <f>IF(9354.0374="","-",9354.0374/425641.38619*100)</f>
        <v>2.1976334312153787</v>
      </c>
      <c r="F31" s="54">
        <f>IF(475663.92916="","-",(1232.15984-2416.47295)/475663.92916*100)</f>
        <v>-0.24898106360333877</v>
      </c>
      <c r="G31" s="54">
        <f>IF(464796.56015="","-",(9354.0374-1232.15984)/464796.56015*100)</f>
        <v>1.7474048339296857</v>
      </c>
    </row>
    <row r="32" spans="1:9" s="9" customFormat="1" x14ac:dyDescent="0.25">
      <c r="A32" s="50" t="s">
        <v>217</v>
      </c>
      <c r="B32" s="55">
        <f>IF(191.67455="","-",191.67455)</f>
        <v>191.67455000000001</v>
      </c>
      <c r="C32" s="55" t="s">
        <v>277</v>
      </c>
      <c r="D32" s="55">
        <f>IF(24.74999="","-",24.74999/464796.56015*100)</f>
        <v>5.3249081688583584E-3</v>
      </c>
      <c r="E32" s="55">
        <f>IF(191.67455="","-",191.67455/425641.38619*100)</f>
        <v>4.5031934445030529E-2</v>
      </c>
      <c r="F32" s="55" t="str">
        <f>IF(OR(475663.92916="",""="",24.74999=""),"-",(24.74999-"")/475663.92916*100)</f>
        <v>-</v>
      </c>
      <c r="G32" s="55">
        <f>IF(OR(464796.56015="",191.67455="",24.74999=""),"-",(191.67455-24.74999)/464796.56015*100)</f>
        <v>3.5913467162091262E-2</v>
      </c>
    </row>
    <row r="33" spans="1:7" s="9" customFormat="1" ht="25.5" x14ac:dyDescent="0.25">
      <c r="A33" s="50" t="s">
        <v>173</v>
      </c>
      <c r="B33" s="55">
        <f>IF(9161.41412="","-",9161.41412)</f>
        <v>9161.4141199999995</v>
      </c>
      <c r="C33" s="55" t="s">
        <v>278</v>
      </c>
      <c r="D33" s="55">
        <f>IF(1206.23427="","-",1206.23427/464796.56015*100)</f>
        <v>0.25951876012393932</v>
      </c>
      <c r="E33" s="55">
        <f>IF(9161.41412="","-",9161.41412/425641.38619*100)</f>
        <v>2.1523786025615657</v>
      </c>
      <c r="F33" s="55">
        <f>IF(OR(475663.92916="",2415.18787="",1206.23427=""),"-",(1206.23427-2415.18787)/475663.92916*100)</f>
        <v>-0.2541612945372913</v>
      </c>
      <c r="G33" s="55">
        <f>IF(OR(464796.56015="",9161.41412="",1206.23427=""),"-",(9161.41412-1206.23427)/464796.56015*100)</f>
        <v>1.7115401730668338</v>
      </c>
    </row>
    <row r="34" spans="1:7" s="9" customFormat="1" x14ac:dyDescent="0.25">
      <c r="A34" s="50" t="s">
        <v>174</v>
      </c>
      <c r="B34" s="55">
        <f>IF(0.94873="","-",0.94873)</f>
        <v>0.94872999999999996</v>
      </c>
      <c r="C34" s="55">
        <f>IF(OR(1.17558="",0.94873=""),"-",0.94873/1.17558*100)</f>
        <v>80.703142278704973</v>
      </c>
      <c r="D34" s="55">
        <f>IF(1.17558="","-",1.17558/464796.56015*100)</f>
        <v>2.5292355856089269E-4</v>
      </c>
      <c r="E34" s="55">
        <f>IF(0.94873="","-",0.94873/425641.38619*100)</f>
        <v>2.2289420878271948E-4</v>
      </c>
      <c r="F34" s="55">
        <f>IF(OR(475663.92916="",1.28508="",1.17558=""),"-",(1.17558-1.28508)/475663.92916*100)</f>
        <v>-2.3020454839485465E-5</v>
      </c>
      <c r="G34" s="55">
        <f>IF(OR(464796.56015="",0.94873="",1.17558=""),"-",(0.94873-1.17558)/464796.56015*100)</f>
        <v>-4.8806299239131771E-5</v>
      </c>
    </row>
    <row r="35" spans="1:7" s="9" customFormat="1" ht="25.5" x14ac:dyDescent="0.25">
      <c r="A35" s="58" t="s">
        <v>175</v>
      </c>
      <c r="B35" s="54">
        <f>IF(7686.31558="","-",7686.31558)</f>
        <v>7686.3155800000004</v>
      </c>
      <c r="C35" s="54">
        <f>IF(22328.39481="","-",7686.31558/22328.39481*100)</f>
        <v>34.423950514156999</v>
      </c>
      <c r="D35" s="54">
        <f>IF(22328.39481="","-",22328.39481/464796.56015*100)</f>
        <v>4.8039070691044152</v>
      </c>
      <c r="E35" s="54">
        <f>IF(7686.31558="","-",7686.31558/425641.38619*100)</f>
        <v>1.8058196005801335</v>
      </c>
      <c r="F35" s="54">
        <f>IF(475663.92916="","-",(22328.39481-11637.73059)/475663.92916*100)</f>
        <v>2.2475246838412173</v>
      </c>
      <c r="G35" s="54">
        <f>IF(464796.56015="","-",(7686.31558-22328.39481)/464796.56015*100)</f>
        <v>-3.1502124768898208</v>
      </c>
    </row>
    <row r="36" spans="1:7" s="9" customFormat="1" x14ac:dyDescent="0.25">
      <c r="A36" s="50" t="s">
        <v>221</v>
      </c>
      <c r="B36" s="55">
        <f>IF(0.89174="","-",0.89174)</f>
        <v>0.89173999999999998</v>
      </c>
      <c r="C36" s="55" t="str">
        <f>IF(OR(""="",0.89174=""),"-",0.89174/""*100)</f>
        <v>-</v>
      </c>
      <c r="D36" s="55" t="str">
        <f>IF(""="","-",""/464796.56015*100)</f>
        <v>-</v>
      </c>
      <c r="E36" s="55">
        <f>IF(0.89174="","-",0.89174/425641.38619*100)</f>
        <v>2.0950500325688269E-4</v>
      </c>
      <c r="F36" s="55" t="str">
        <f>IF(OR(475663.92916="",""="",""=""),"-",(""-"")/475663.92916*100)</f>
        <v>-</v>
      </c>
      <c r="G36" s="55" t="str">
        <f>IF(OR(464796.56015="",0.89174="",""=""),"-",(0.89174-"")/464796.56015*100)</f>
        <v>-</v>
      </c>
    </row>
    <row r="37" spans="1:7" s="9" customFormat="1" ht="25.5" x14ac:dyDescent="0.25">
      <c r="A37" s="50" t="s">
        <v>176</v>
      </c>
      <c r="B37" s="55">
        <f>IF(7681.86151="","-",7681.86151)</f>
        <v>7681.8615099999997</v>
      </c>
      <c r="C37" s="55">
        <f>IF(OR(22319.71858="",7681.86151=""),"-",7681.86151/22319.71858*100)</f>
        <v>34.417376197939497</v>
      </c>
      <c r="D37" s="55">
        <f>IF(22319.71858="","-",22319.71858/464796.56015*100)</f>
        <v>4.8020403965117424</v>
      </c>
      <c r="E37" s="55">
        <f>IF(7681.86151="","-",7681.86151/425641.38619*100)</f>
        <v>1.8047731633340118</v>
      </c>
      <c r="F37" s="55">
        <f>IF(OR(475663.92916="",11637.73059="",22319.71858=""),"-",(22319.71858-11637.73059)/475663.92916*100)</f>
        <v>2.2457006586275918</v>
      </c>
      <c r="G37" s="55">
        <f>IF(OR(464796.56015="",7681.86151="",22319.71858=""),"-",(7681.86151-22319.71858)/464796.56015*100)</f>
        <v>-3.1493040880672707</v>
      </c>
    </row>
    <row r="38" spans="1:7" s="9" customFormat="1" ht="63.75" x14ac:dyDescent="0.25">
      <c r="A38" s="50" t="s">
        <v>219</v>
      </c>
      <c r="B38" s="55">
        <f>IF(3.56233="","-",3.56233)</f>
        <v>3.5623300000000002</v>
      </c>
      <c r="C38" s="55">
        <f>IF(OR(8.67623="",3.56233=""),"-",3.56233/8.67623*100)</f>
        <v>41.05850121538964</v>
      </c>
      <c r="D38" s="55">
        <f>IF(8.67623="","-",8.67623/464796.56015*100)</f>
        <v>1.8666725926715102E-3</v>
      </c>
      <c r="E38" s="55">
        <f>IF(3.56233="","-",3.56233/425641.38619*100)</f>
        <v>8.3693224286461403E-4</v>
      </c>
      <c r="F38" s="55" t="str">
        <f>IF(OR(475663.92916="",""="",8.67623=""),"-",(8.67623-"")/475663.92916*100)</f>
        <v>-</v>
      </c>
      <c r="G38" s="55">
        <f>IF(OR(464796.56015="",3.56233="",8.67623=""),"-",(3.56233-8.67623)/464796.56015*100)</f>
        <v>-1.100244803522133E-3</v>
      </c>
    </row>
    <row r="39" spans="1:7" s="9" customFormat="1" ht="25.5" x14ac:dyDescent="0.25">
      <c r="A39" s="58" t="s">
        <v>177</v>
      </c>
      <c r="B39" s="54">
        <f>IF(17625.00653="","-",17625.00653)</f>
        <v>17625.006529999999</v>
      </c>
      <c r="C39" s="54">
        <f>IF(14263.29254="","-",17625.00653/14263.29254*100)</f>
        <v>123.56898998300989</v>
      </c>
      <c r="D39" s="54">
        <f>IF(14263.29254="","-",14263.29254/464796.56015*100)</f>
        <v>3.0687173191206329</v>
      </c>
      <c r="E39" s="54">
        <f>IF(17625.00653="","-",17625.00653/425641.38619*100)</f>
        <v>4.1408112795996903</v>
      </c>
      <c r="F39" s="54">
        <f>IF(475663.92916="","-",(14263.29254-20053.01185)/475663.92916*100)</f>
        <v>-1.2171869580744474</v>
      </c>
      <c r="G39" s="54">
        <f>IF(464796.56015="","-",(17625.00653-14263.29254)/464796.56015*100)</f>
        <v>0.72326567755043192</v>
      </c>
    </row>
    <row r="40" spans="1:7" s="9" customFormat="1" x14ac:dyDescent="0.25">
      <c r="A40" s="50" t="s">
        <v>26</v>
      </c>
      <c r="B40" s="55">
        <f>IF(4165.42886="","-",4165.42886)</f>
        <v>4165.42886</v>
      </c>
      <c r="C40" s="55">
        <f>IF(OR(5038.06762="",4165.42886=""),"-",4165.42886/5038.06762*100)</f>
        <v>82.679097903810984</v>
      </c>
      <c r="D40" s="55">
        <f>IF(5038.06762="","-",5038.06762/464796.56015*100)</f>
        <v>1.0839296268402041</v>
      </c>
      <c r="E40" s="55">
        <f>IF(4165.42886="","-",4165.42886/425641.38619*100)</f>
        <v>0.97862402368472101</v>
      </c>
      <c r="F40" s="55">
        <f>IF(OR(475663.92916="",3464.8381="",5038.06762=""),"-",(5038.06762-3464.8381)/475663.92916*100)</f>
        <v>0.3307439188795015</v>
      </c>
      <c r="G40" s="55">
        <f>IF(OR(464796.56015="",4165.42886="",5038.06762=""),"-",(4165.42886-5038.06762)/464796.56015*100)</f>
        <v>-0.18774638945657865</v>
      </c>
    </row>
    <row r="41" spans="1:7" s="9" customFormat="1" x14ac:dyDescent="0.25">
      <c r="A41" s="50" t="s">
        <v>27</v>
      </c>
      <c r="B41" s="55">
        <f>IF(116.68014="","-",116.68014)</f>
        <v>116.68013999999999</v>
      </c>
      <c r="C41" s="55">
        <f>IF(OR(158.07754="",116.68014=""),"-",116.68014/158.07754*100)</f>
        <v>73.811965950381051</v>
      </c>
      <c r="D41" s="55">
        <f>IF(158.07754="","-",158.07754/464796.56015*100)</f>
        <v>3.4010049460991044E-2</v>
      </c>
      <c r="E41" s="55">
        <f>IF(116.68014="","-",116.68014/425641.38619*100)</f>
        <v>2.7412780755280152E-2</v>
      </c>
      <c r="F41" s="55">
        <f>IF(OR(475663.92916="",153.00088="",158.07754=""),"-",(158.07754-153.00088)/475663.92916*100)</f>
        <v>1.0672787421499765E-3</v>
      </c>
      <c r="G41" s="55">
        <f>IF(OR(464796.56015="",116.68014="",158.07754=""),"-",(116.68014-158.07754)/464796.56015*100)</f>
        <v>-8.9065633331365801E-3</v>
      </c>
    </row>
    <row r="42" spans="1:7" s="9" customFormat="1" x14ac:dyDescent="0.25">
      <c r="A42" s="50" t="s">
        <v>178</v>
      </c>
      <c r="B42" s="55">
        <f>IF(183.5842="","-",183.5842)</f>
        <v>183.58420000000001</v>
      </c>
      <c r="C42" s="55">
        <f>IF(OR(143.78568="",183.5842=""),"-",183.5842/143.78568*100)</f>
        <v>127.679056773943</v>
      </c>
      <c r="D42" s="55">
        <f>IF(143.78568="","-",143.78568/464796.56015*100)</f>
        <v>3.0935185913079311E-2</v>
      </c>
      <c r="E42" s="55">
        <f>IF(183.5842="","-",183.5842/425641.38619*100)</f>
        <v>4.3131191175580549E-2</v>
      </c>
      <c r="F42" s="55">
        <f>IF(OR(475663.92916="",95.57144="",143.78568=""),"-",(143.78568-95.57144)/475663.92916*100)</f>
        <v>1.013619848895082E-2</v>
      </c>
      <c r="G42" s="55">
        <f>IF(OR(464796.56015="",183.5842="",143.78568=""),"-",(183.5842-143.78568)/464796.56015*100)</f>
        <v>8.5625676720060377E-3</v>
      </c>
    </row>
    <row r="43" spans="1:7" s="9" customFormat="1" x14ac:dyDescent="0.25">
      <c r="A43" s="50" t="s">
        <v>179</v>
      </c>
      <c r="B43" s="55">
        <f>IF(10627.32254="","-",10627.32254)</f>
        <v>10627.322539999999</v>
      </c>
      <c r="C43" s="55" t="s">
        <v>106</v>
      </c>
      <c r="D43" s="55">
        <f>IF(5613.10363="","-",5613.10363/464796.56015*100)</f>
        <v>1.2076474120609948</v>
      </c>
      <c r="E43" s="55">
        <f>IF(10627.32254="","-",10627.32254/425641.38619*100)</f>
        <v>2.4967784817936196</v>
      </c>
      <c r="F43" s="55">
        <f>IF(OR(475663.92916="",12881.06037="",5613.10363=""),"-",(5613.10363-12881.06037)/475663.92916*100)</f>
        <v>-1.5279604557854254</v>
      </c>
      <c r="G43" s="55">
        <f>IF(OR(464796.56015="",10627.32254="",5613.10363=""),"-",(10627.32254-5613.10363)/464796.56015*100)</f>
        <v>1.0787986271632048</v>
      </c>
    </row>
    <row r="44" spans="1:7" s="9" customFormat="1" ht="38.25" x14ac:dyDescent="0.25">
      <c r="A44" s="50" t="s">
        <v>180</v>
      </c>
      <c r="B44" s="55">
        <f>IF(1404.95957="","-",1404.95957)</f>
        <v>1404.95957</v>
      </c>
      <c r="C44" s="55">
        <f>IF(OR(2218.29184="",1404.95957=""),"-",1404.95957/2218.29184*100)</f>
        <v>63.335199844579513</v>
      </c>
      <c r="D44" s="55">
        <f>IF(2218.29184="","-",2218.29184/464796.56015*100)</f>
        <v>0.47726081261963488</v>
      </c>
      <c r="E44" s="55">
        <f>IF(1404.95957="","-",1404.95957/425641.38619*100)</f>
        <v>0.33008058322901124</v>
      </c>
      <c r="F44" s="55">
        <f>IF(OR(475663.92916="",2634.325="",2218.29184=""),"-",(2218.29184-2634.325)/475663.92916*100)</f>
        <v>-8.7463676452131836E-2</v>
      </c>
      <c r="G44" s="55">
        <f>IF(OR(464796.56015="",1404.95957="",2218.29184=""),"-",(1404.95957-2218.29184)/464796.56015*100)</f>
        <v>-0.17498672316712494</v>
      </c>
    </row>
    <row r="45" spans="1:7" s="9" customFormat="1" x14ac:dyDescent="0.25">
      <c r="A45" s="50" t="s">
        <v>181</v>
      </c>
      <c r="B45" s="55">
        <f>IF(46.68694="","-",46.68694)</f>
        <v>46.68694</v>
      </c>
      <c r="C45" s="55" t="str">
        <f>IF(OR(""="",46.68694=""),"-",46.68694/""*100)</f>
        <v>-</v>
      </c>
      <c r="D45" s="55" t="str">
        <f>IF(""="","-",""/464796.56015*100)</f>
        <v>-</v>
      </c>
      <c r="E45" s="55">
        <f>IF(46.68694="","-",46.68694/425641.38619*100)</f>
        <v>1.0968609142523476E-2</v>
      </c>
      <c r="F45" s="55" t="str">
        <f>IF(OR(475663.92916="",""="",""=""),"-",(""-"")/475663.92916*100)</f>
        <v>-</v>
      </c>
      <c r="G45" s="55" t="str">
        <f>IF(OR(464796.56015="",46.68694="",""=""),"-",(46.68694-"")/464796.56015*100)</f>
        <v>-</v>
      </c>
    </row>
    <row r="46" spans="1:7" s="9" customFormat="1" x14ac:dyDescent="0.25">
      <c r="A46" s="50" t="s">
        <v>28</v>
      </c>
      <c r="B46" s="55">
        <f>IF(236.70523="","-",236.70523)</f>
        <v>236.70523</v>
      </c>
      <c r="C46" s="55">
        <f>IF(OR(395.08138="",236.70523=""),"-",236.70523/395.08138*100)</f>
        <v>59.913031082355737</v>
      </c>
      <c r="D46" s="55">
        <f>IF(395.08138="","-",395.08138/464796.56015*100)</f>
        <v>8.5000925969094657E-2</v>
      </c>
      <c r="E46" s="55">
        <f>IF(236.70523="","-",236.70523/425641.38619*100)</f>
        <v>5.561142259186664E-2</v>
      </c>
      <c r="F46" s="55">
        <f>IF(OR(475663.92916="",204.59246="",395.08138=""),"-",(395.08138-204.59246)/475663.92916*100)</f>
        <v>4.004695507107181E-2</v>
      </c>
      <c r="G46" s="55">
        <f>IF(OR(464796.56015="",236.70523="",395.08138=""),"-",(236.70523-395.08138)/464796.56015*100)</f>
        <v>-3.4074294772940786E-2</v>
      </c>
    </row>
    <row r="47" spans="1:7" x14ac:dyDescent="0.25">
      <c r="A47" s="50" t="s">
        <v>29</v>
      </c>
      <c r="B47" s="55">
        <f>IF(459.99763="","-",459.99763)</f>
        <v>459.99763000000002</v>
      </c>
      <c r="C47" s="55">
        <f>IF(OR(340.23729="",459.99763=""),"-",459.99763/340.23729*100)</f>
        <v>135.19906357119174</v>
      </c>
      <c r="D47" s="55">
        <f>IF(340.23729="","-",340.23729/464796.56015*100)</f>
        <v>7.3201335631700448E-2</v>
      </c>
      <c r="E47" s="55">
        <f>IF(459.99763="","-",459.99763/425641.38619*100)</f>
        <v>0.10807164080484033</v>
      </c>
      <c r="F47" s="55">
        <f>IF(OR(475663.92916="",303.21335="",340.23729=""),"-",(340.23729-303.21335)/475663.92916*100)</f>
        <v>7.7836341438339684E-3</v>
      </c>
      <c r="G47" s="55">
        <f>IF(OR(464796.56015="",459.99763="",340.23729=""),"-",(459.99763-340.23729)/464796.56015*100)</f>
        <v>2.5766184663963687E-2</v>
      </c>
    </row>
    <row r="48" spans="1:7" x14ac:dyDescent="0.25">
      <c r="A48" s="50" t="s">
        <v>182</v>
      </c>
      <c r="B48" s="55">
        <f>IF(383.64142="","-",383.64142)</f>
        <v>383.64141999999998</v>
      </c>
      <c r="C48" s="55">
        <f>IF(OR(356.64756="",383.64142=""),"-",383.64142/356.64756*100)</f>
        <v>107.56877742273072</v>
      </c>
      <c r="D48" s="55">
        <f>IF(356.64756="","-",356.64756/464796.56015*100)</f>
        <v>7.6731970624933643E-2</v>
      </c>
      <c r="E48" s="55">
        <f>IF(383.64142="","-",383.64142/425641.38619*100)</f>
        <v>9.0132546422247606E-2</v>
      </c>
      <c r="F48" s="55">
        <f>IF(OR(475663.92916="",316.41025="",356.64756=""),"-",(356.64756-316.41025)/475663.92916*100)</f>
        <v>8.459188837601616E-3</v>
      </c>
      <c r="G48" s="55">
        <f>IF(OR(464796.56015="",383.64142="",356.64756=""),"-",(383.64142-356.64756)/464796.56015*100)</f>
        <v>5.8076720686763422E-3</v>
      </c>
    </row>
    <row r="49" spans="1:7" ht="14.25" customHeight="1" x14ac:dyDescent="0.25">
      <c r="A49" s="58" t="s">
        <v>225</v>
      </c>
      <c r="B49" s="54">
        <f>IF(30630.46838="","-",30630.46838)</f>
        <v>30630.468379999998</v>
      </c>
      <c r="C49" s="54">
        <f>IF(26830.95894="","-",30630.46838/26830.95894*100)</f>
        <v>114.16091556211818</v>
      </c>
      <c r="D49" s="54">
        <f>IF(26830.95894="","-",26830.95894/464796.56015*100)</f>
        <v>5.7726242490566335</v>
      </c>
      <c r="E49" s="54">
        <f>IF(30630.46838="","-",30630.46838/425641.38619*100)</f>
        <v>7.1963087645633719</v>
      </c>
      <c r="F49" s="54">
        <f>IF(475663.92916="","-",(26830.95894-25233.26171)/475663.92916*100)</f>
        <v>0.3358878258482747</v>
      </c>
      <c r="G49" s="54">
        <f>IF(464796.56015="","-",(30630.46838-26830.95894)/464796.56015*100)</f>
        <v>0.81745644562726838</v>
      </c>
    </row>
    <row r="50" spans="1:7" x14ac:dyDescent="0.25">
      <c r="A50" s="50" t="s">
        <v>183</v>
      </c>
      <c r="B50" s="55">
        <f>IF(222.9804="","-",222.9804)</f>
        <v>222.9804</v>
      </c>
      <c r="C50" s="55" t="s">
        <v>226</v>
      </c>
      <c r="D50" s="55">
        <f>IF(102.66342="","-",102.66342/464796.56015*100)</f>
        <v>2.2087818370873546E-2</v>
      </c>
      <c r="E50" s="55">
        <f>IF(222.9804="","-",222.9804/425641.38619*100)</f>
        <v>5.2386917070245807E-2</v>
      </c>
      <c r="F50" s="55">
        <f>IF(OR(475663.92916="",39.58275="",102.66342=""),"-",(102.66342-39.58275)/475663.92916*100)</f>
        <v>1.3261604703009008E-2</v>
      </c>
      <c r="G50" s="55">
        <f>IF(OR(464796.56015="",222.9804="",102.66342=""),"-",(222.9804-102.66342)/464796.56015*100)</f>
        <v>2.5885944586416711E-2</v>
      </c>
    </row>
    <row r="51" spans="1:7" x14ac:dyDescent="0.25">
      <c r="A51" s="50" t="s">
        <v>30</v>
      </c>
      <c r="B51" s="55">
        <f>IF(62.50941="","-",62.50941)</f>
        <v>62.509410000000003</v>
      </c>
      <c r="C51" s="55">
        <f>IF(OR(43.65672="",62.50941=""),"-",62.50941/43.65672*100)</f>
        <v>143.1839359438822</v>
      </c>
      <c r="D51" s="55">
        <f>IF(43.65672="","-",43.65672/464796.56015*100)</f>
        <v>9.3926512678818071E-3</v>
      </c>
      <c r="E51" s="55">
        <f>IF(62.50941="","-",62.50941/425641.38619*100)</f>
        <v>1.4685933282835597E-2</v>
      </c>
      <c r="F51" s="55">
        <f>IF(OR(475663.92916="",61.98275="",43.65672=""),"-",(43.65672-61.98275)/475663.92916*100)</f>
        <v>-3.8527264475073622E-3</v>
      </c>
      <c r="G51" s="55">
        <f>IF(OR(464796.56015="",62.50941="",43.65672=""),"-",(62.50941-43.65672)/464796.56015*100)</f>
        <v>4.0561165069543182E-3</v>
      </c>
    </row>
    <row r="52" spans="1:7" x14ac:dyDescent="0.25">
      <c r="A52" s="50" t="s">
        <v>184</v>
      </c>
      <c r="B52" s="55">
        <f>IF(3594.642="","-",3594.642)</f>
        <v>3594.6419999999998</v>
      </c>
      <c r="C52" s="55">
        <f>IF(OR(3161.48904="",3594.642=""),"-",3594.642/3161.48904*100)</f>
        <v>113.70091607213035</v>
      </c>
      <c r="D52" s="55">
        <f>IF(3161.48904="","-",3161.48904/464796.56015*100)</f>
        <v>0.68018770168602771</v>
      </c>
      <c r="E52" s="55">
        <f>IF(3594.642="","-",3594.642/425641.38619*100)</f>
        <v>0.84452360992814857</v>
      </c>
      <c r="F52" s="55">
        <f>IF(OR(475663.92916="",3234.43949="",3161.48904=""),"-",(3161.48904-3234.43949)/475663.92916*100)</f>
        <v>-1.5336552874384931E-2</v>
      </c>
      <c r="G52" s="55">
        <f>IF(OR(464796.56015="",3594.642="",3161.48904=""),"-",(3594.642-3161.48904)/464796.56015*100)</f>
        <v>9.3191946140955093E-2</v>
      </c>
    </row>
    <row r="53" spans="1:7" ht="15.75" customHeight="1" x14ac:dyDescent="0.25">
      <c r="A53" s="50" t="s">
        <v>185</v>
      </c>
      <c r="B53" s="55">
        <f>IF(1248.65406="","-",1248.65406)</f>
        <v>1248.6540600000001</v>
      </c>
      <c r="C53" s="55">
        <f>IF(OR(1422.03934="",1248.65406=""),"-",1248.65406/1422.03934*100)</f>
        <v>87.807279649520808</v>
      </c>
      <c r="D53" s="55">
        <f>IF(1422.03934="","-",1422.03934/464796.56015*100)</f>
        <v>0.30594876595925685</v>
      </c>
      <c r="E53" s="55">
        <f>IF(1248.65406="","-",1248.65406/425641.38619*100)</f>
        <v>0.29335823548009482</v>
      </c>
      <c r="F53" s="55">
        <f>IF(OR(475663.92916="",1476.33665="",1422.03934=""),"-",(1422.03934-1476.33665)/475663.92916*100)</f>
        <v>-1.1415057285484398E-2</v>
      </c>
      <c r="G53" s="55">
        <f>IF(OR(464796.56015="",1248.65406="",1422.03934=""),"-",(1248.65406-1422.03934)/464796.56015*100)</f>
        <v>-3.7303477449154264E-2</v>
      </c>
    </row>
    <row r="54" spans="1:7" ht="25.5" x14ac:dyDescent="0.25">
      <c r="A54" s="50" t="s">
        <v>186</v>
      </c>
      <c r="B54" s="55">
        <f>IF(12172.45849="","-",12172.45849)</f>
        <v>12172.458490000001</v>
      </c>
      <c r="C54" s="55">
        <f>IF(OR(10662.72205="",12172.45849=""),"-",12172.45849/10662.72205*100)</f>
        <v>114.15901523945287</v>
      </c>
      <c r="D54" s="55">
        <f>IF(10662.72205="","-",10662.72205/464796.56015*100)</f>
        <v>2.2940621691690035</v>
      </c>
      <c r="E54" s="55">
        <f>IF(12172.45849="","-",12172.45849/425641.38619*100)</f>
        <v>2.8597920420657581</v>
      </c>
      <c r="F54" s="55">
        <f>IF(OR(475663.92916="",9889.25609="",10662.72205=""),"-",(10662.72205-9889.25609)/475663.92916*100)</f>
        <v>0.16260765481332667</v>
      </c>
      <c r="G54" s="55">
        <f>IF(OR(464796.56015="",12172.45849="",10662.72205=""),"-",(12172.45849-10662.72205)/464796.56015*100)</f>
        <v>0.32481661213516205</v>
      </c>
    </row>
    <row r="55" spans="1:7" x14ac:dyDescent="0.25">
      <c r="A55" s="50" t="s">
        <v>31</v>
      </c>
      <c r="B55" s="55">
        <f>IF(7345.56337="","-",7345.56337)</f>
        <v>7345.5633699999998</v>
      </c>
      <c r="C55" s="55">
        <f>IF(OR(7217.26045="",7345.56337=""),"-",7345.56337/7217.26045*100)</f>
        <v>101.77772329111387</v>
      </c>
      <c r="D55" s="55">
        <f>IF(7217.26045="","-",7217.26045/464796.56015*100)</f>
        <v>1.5527783698895776</v>
      </c>
      <c r="E55" s="55">
        <f>IF(7345.56337="","-",7345.56337/425641.38619*100)</f>
        <v>1.7257634262851145</v>
      </c>
      <c r="F55" s="55">
        <f>IF(OR(475663.92916="",6554.59212="",7217.26045=""),"-",(7217.26045-6554.59212)/475663.92916*100)</f>
        <v>0.13931439602120774</v>
      </c>
      <c r="G55" s="55">
        <f>IF(OR(464796.56015="",7345.56337="",7217.26045=""),"-",(7345.56337-7217.26045)/464796.56015*100)</f>
        <v>2.7604102740905384E-2</v>
      </c>
    </row>
    <row r="56" spans="1:7" x14ac:dyDescent="0.25">
      <c r="A56" s="50" t="s">
        <v>187</v>
      </c>
      <c r="B56" s="55">
        <f>IF(611.58663="","-",611.58663)</f>
        <v>611.58663000000001</v>
      </c>
      <c r="C56" s="55" t="s">
        <v>245</v>
      </c>
      <c r="D56" s="55">
        <f>IF(115.10279="","-",115.10279/464796.56015*100)</f>
        <v>2.476412260083289E-2</v>
      </c>
      <c r="E56" s="55">
        <f>IF(611.58663="","-",611.58663/425641.38619*100)</f>
        <v>0.14368589376950219</v>
      </c>
      <c r="F56" s="55">
        <f>IF(OR(475663.92916="",323.91378="",115.10279=""),"-",(115.10279-323.91378)/475663.92916*100)</f>
        <v>-4.389884899802058E-2</v>
      </c>
      <c r="G56" s="55">
        <f>IF(OR(464796.56015="",611.58663="",115.10279=""),"-",(611.58663-115.10279)/464796.56015*100)</f>
        <v>0.10681745145441134</v>
      </c>
    </row>
    <row r="57" spans="1:7" ht="15.75" customHeight="1" x14ac:dyDescent="0.25">
      <c r="A57" s="50" t="s">
        <v>32</v>
      </c>
      <c r="B57" s="55">
        <f>IF(119.47394="","-",119.47394)</f>
        <v>119.47394</v>
      </c>
      <c r="C57" s="55">
        <f>IF(OR(169.26283="",119.47394=""),"-",119.47394/169.26283*100)</f>
        <v>70.584864970058689</v>
      </c>
      <c r="D57" s="55">
        <f>IF(169.26283="","-",169.26283/464796.56015*100)</f>
        <v>3.6416541022888639E-2</v>
      </c>
      <c r="E57" s="55">
        <f>IF(119.47394="","-",119.47394/425641.38619*100)</f>
        <v>2.8069154898078593E-2</v>
      </c>
      <c r="F57" s="55">
        <f>IF(OR(475663.92916="",71.8188="",169.26283=""),"-",(169.26283-71.8188)/475663.92916*100)</f>
        <v>2.0485898557008844E-2</v>
      </c>
      <c r="G57" s="55">
        <f>IF(OR(464796.56015="",119.47394="",169.26283=""),"-",(119.47394-169.26283)/464796.56015*100)</f>
        <v>-1.0711974715116663E-2</v>
      </c>
    </row>
    <row r="58" spans="1:7" x14ac:dyDescent="0.25">
      <c r="A58" s="50" t="s">
        <v>33</v>
      </c>
      <c r="B58" s="55">
        <f>IF(5252.60008="","-",5252.60008)</f>
        <v>5252.6000800000002</v>
      </c>
      <c r="C58" s="55">
        <f>IF(OR(3936.7623="",5252.60008=""),"-",5252.60008/3936.7623*100)</f>
        <v>133.42436448347416</v>
      </c>
      <c r="D58" s="55">
        <f>IF(3936.7623="","-",3936.7623/464796.56015*100)</f>
        <v>0.84698610909029126</v>
      </c>
      <c r="E58" s="55">
        <f>IF(5252.60008="","-",5252.60008/425641.38619*100)</f>
        <v>1.2340435517835942</v>
      </c>
      <c r="F58" s="55">
        <f>IF(OR(475663.92916="",3581.33928="",3936.7623=""),"-",(3936.7623-3581.33928)/475663.92916*100)</f>
        <v>7.4721457359119073E-2</v>
      </c>
      <c r="G58" s="55">
        <f>IF(OR(464796.56015="",5252.60008="",3936.7623=""),"-",(5252.60008-3936.7623)/464796.56015*100)</f>
        <v>0.28309972422673496</v>
      </c>
    </row>
    <row r="59" spans="1:7" x14ac:dyDescent="0.25">
      <c r="A59" s="58" t="s">
        <v>188</v>
      </c>
      <c r="B59" s="54">
        <f>IF(107510.11067="","-",107510.11067)</f>
        <v>107510.11066999999</v>
      </c>
      <c r="C59" s="54">
        <f>IF(98817.28712="","-",107510.11067/98817.28712*100)</f>
        <v>108.79686520784948</v>
      </c>
      <c r="D59" s="54">
        <f>IF(98817.28712="","-",98817.28712/464796.56015*100)</f>
        <v>21.260330990425036</v>
      </c>
      <c r="E59" s="54">
        <f>IF(107510.11067="","-",107510.11067/425641.38619*100)</f>
        <v>25.258378099071667</v>
      </c>
      <c r="F59" s="54">
        <f>IF(475663.92916="","-",(98817.28712-123036.32455)/475663.92916*100)</f>
        <v>-5.0916279215810389</v>
      </c>
      <c r="G59" s="54">
        <f>IF(464796.56015="","-",(107510.11067-98817.28712)/464796.56015*100)</f>
        <v>1.8702426599703399</v>
      </c>
    </row>
    <row r="60" spans="1:7" ht="15.75" customHeight="1" x14ac:dyDescent="0.25">
      <c r="A60" s="50" t="s">
        <v>189</v>
      </c>
      <c r="B60" s="55">
        <f>IF(228.26973="","-",228.26973)</f>
        <v>228.26973000000001</v>
      </c>
      <c r="C60" s="55">
        <f>IF(OR(491.84443="",228.26973=""),"-",228.26973/491.84443*100)</f>
        <v>46.410961693720921</v>
      </c>
      <c r="D60" s="55">
        <f>IF(491.84443="","-",491.84443/464796.56015*100)</f>
        <v>0.10581929217403653</v>
      </c>
      <c r="E60" s="55">
        <f>IF(228.26973="","-",228.26973/425641.38619*100)</f>
        <v>5.362958993327397E-2</v>
      </c>
      <c r="F60" s="55">
        <f>IF(OR(475663.92916="",859.6833="",491.84443=""),"-",(491.84443-859.6833)/475663.92916*100)</f>
        <v>-7.7331672100843574E-2</v>
      </c>
      <c r="G60" s="55">
        <f>IF(OR(464796.56015="",228.26973="",491.84443=""),"-",(228.26973-491.84443)/464796.56015*100)</f>
        <v>-5.6707541018577827E-2</v>
      </c>
    </row>
    <row r="61" spans="1:7" ht="25.5" x14ac:dyDescent="0.25">
      <c r="A61" s="50" t="s">
        <v>190</v>
      </c>
      <c r="B61" s="55">
        <f>IF(2473.1538="","-",2473.1538)</f>
        <v>2473.1538</v>
      </c>
      <c r="C61" s="55" t="s">
        <v>244</v>
      </c>
      <c r="D61" s="55">
        <f>IF(926.98788="","-",926.98788/464796.56015*100)</f>
        <v>0.1994394880420029</v>
      </c>
      <c r="E61" s="55">
        <f>IF(2473.1538="","-",2473.1538/425641.38619*100)</f>
        <v>0.58104166564668147</v>
      </c>
      <c r="F61" s="55">
        <f>IF(OR(475663.92916="",2103.64748="",926.98788=""),"-",(926.98788-2103.64748)/475663.92916*100)</f>
        <v>-0.24737204733558948</v>
      </c>
      <c r="G61" s="55">
        <f>IF(OR(464796.56015="",2473.1538="",926.98788=""),"-",(2473.1538-926.98788)/464796.56015*100)</f>
        <v>0.33265433795401117</v>
      </c>
    </row>
    <row r="62" spans="1:7" ht="25.5" x14ac:dyDescent="0.25">
      <c r="A62" s="50" t="s">
        <v>191</v>
      </c>
      <c r="B62" s="55">
        <f>IF(1133.18414="","-",1133.18414)</f>
        <v>1133.1841400000001</v>
      </c>
      <c r="C62" s="55" t="s">
        <v>279</v>
      </c>
      <c r="D62" s="55">
        <f>IF(305.14696="","-",305.14696/464796.56015*100)</f>
        <v>6.5651725112062451E-2</v>
      </c>
      <c r="E62" s="55">
        <f>IF(1133.18414="","-",1133.18414/425641.38619*100)</f>
        <v>0.26622978327914837</v>
      </c>
      <c r="F62" s="55">
        <f>IF(OR(475663.92916="",398.11786="",305.14696=""),"-",(305.14696-398.11786)/475663.92916*100)</f>
        <v>-1.9545501414030331E-2</v>
      </c>
      <c r="G62" s="55">
        <f>IF(OR(464796.56015="",1133.18414="",305.14696=""),"-",(1133.18414-305.14696)/464796.56015*100)</f>
        <v>0.17815045355171613</v>
      </c>
    </row>
    <row r="63" spans="1:7" ht="38.25" x14ac:dyDescent="0.25">
      <c r="A63" s="50" t="s">
        <v>192</v>
      </c>
      <c r="B63" s="55">
        <f>IF(3496.18529="","-",3496.18529)</f>
        <v>3496.1852899999999</v>
      </c>
      <c r="C63" s="55">
        <f>IF(OR(3362.97639="",3496.18529=""),"-",3496.18529/3362.97639*100)</f>
        <v>103.96104178417976</v>
      </c>
      <c r="D63" s="55">
        <f>IF(3362.97639="","-",3362.97639/464796.56015*100)</f>
        <v>0.72353728024895325</v>
      </c>
      <c r="E63" s="55">
        <f>IF(3496.18529="","-",3496.18529/425641.38619*100)</f>
        <v>0.82139223379921866</v>
      </c>
      <c r="F63" s="55">
        <f>IF(OR(475663.92916="",3042.36455="",3362.97639=""),"-",(3362.97639-3042.36455)/475663.92916*100)</f>
        <v>6.7403017202962046E-2</v>
      </c>
      <c r="G63" s="55">
        <f>IF(OR(464796.56015="",3496.18529="",3362.97639=""),"-",(3496.18529-3362.97639)/464796.56015*100)</f>
        <v>2.865961399477885E-2</v>
      </c>
    </row>
    <row r="64" spans="1:7" ht="25.5" x14ac:dyDescent="0.25">
      <c r="A64" s="50" t="s">
        <v>193</v>
      </c>
      <c r="B64" s="55">
        <f>IF(411.83173="","-",411.83173)</f>
        <v>411.83172999999999</v>
      </c>
      <c r="C64" s="55" t="s">
        <v>226</v>
      </c>
      <c r="D64" s="55">
        <f>IF(185.99878="","-",185.99878/464796.56015*100)</f>
        <v>4.0017245381500706E-2</v>
      </c>
      <c r="E64" s="55">
        <f>IF(411.83173="","-",411.83173/425641.38619*100)</f>
        <v>9.6755565450621958E-2</v>
      </c>
      <c r="F64" s="55">
        <f>IF(OR(475663.92916="",138.06338="",185.99878=""),"-",(185.99878-138.06338)/475663.92916*100)</f>
        <v>1.0077577268608881E-2</v>
      </c>
      <c r="G64" s="55">
        <f>IF(OR(464796.56015="",411.83173="",185.99878=""),"-",(411.83173-185.99878)/464796.56015*100)</f>
        <v>4.8587483075846941E-2</v>
      </c>
    </row>
    <row r="65" spans="1:7" ht="38.25" x14ac:dyDescent="0.25">
      <c r="A65" s="50" t="s">
        <v>194</v>
      </c>
      <c r="B65" s="55">
        <f>IF(632.38667="","-",632.38667)</f>
        <v>632.38666999999998</v>
      </c>
      <c r="C65" s="55" t="s">
        <v>20</v>
      </c>
      <c r="D65" s="55">
        <f>IF(318.97348="","-",318.97348/464796.56015*100)</f>
        <v>6.862647174003618E-2</v>
      </c>
      <c r="E65" s="55">
        <f>IF(632.38667="","-",632.38667/425641.38619*100)</f>
        <v>0.14857264601560899</v>
      </c>
      <c r="F65" s="55">
        <f>IF(OR(475663.92916="",784.59968="",318.97348=""),"-",(318.97348-784.59968)/475663.92916*100)</f>
        <v>-9.7889743462842321E-2</v>
      </c>
      <c r="G65" s="55">
        <f>IF(OR(464796.56015="",632.38667="",318.97348=""),"-",(632.38667-318.97348)/464796.56015*100)</f>
        <v>6.7430187069124334E-2</v>
      </c>
    </row>
    <row r="66" spans="1:7" ht="39.75" customHeight="1" x14ac:dyDescent="0.25">
      <c r="A66" s="50" t="s">
        <v>195</v>
      </c>
      <c r="B66" s="55">
        <f>IF(92495.59181="","-",92495.59181)</f>
        <v>92495.591809999998</v>
      </c>
      <c r="C66" s="55">
        <f>IF(OR(88750.56896="",92495.59181=""),"-",92495.59181/88750.56896*100)</f>
        <v>104.21971700450491</v>
      </c>
      <c r="D66" s="55">
        <f>IF(88750.56896="","-",88750.56896/464796.56015*100)</f>
        <v>19.094497801652892</v>
      </c>
      <c r="E66" s="55">
        <f>IF(92495.59181="","-",92495.59181/425641.38619*100)</f>
        <v>21.730873644113014</v>
      </c>
      <c r="F66" s="55">
        <f>IF(OR(475663.92916="",108988.23047="",88750.56896=""),"-",(88750.56896-108988.23047)/475663.92916*100)</f>
        <v>-4.254613450664368</v>
      </c>
      <c r="G66" s="55">
        <f>IF(OR(464796.56015="",92495.59181="",88750.56896=""),"-",(92495.59181-88750.56896)/464796.56015*100)</f>
        <v>0.80573377066116691</v>
      </c>
    </row>
    <row r="67" spans="1:7" ht="28.5" customHeight="1" x14ac:dyDescent="0.25">
      <c r="A67" s="50" t="s">
        <v>196</v>
      </c>
      <c r="B67" s="55">
        <f>IF(6457.40275="","-",6457.40275)</f>
        <v>6457.4027500000002</v>
      </c>
      <c r="C67" s="55">
        <f>IF(OR(4449.45161="",6457.40275=""),"-",6457.40275/4449.45161*100)</f>
        <v>145.1280588261078</v>
      </c>
      <c r="D67" s="55">
        <f>IF(4449.45161="","-",4449.45161/464796.56015*100)</f>
        <v>0.95729013324970924</v>
      </c>
      <c r="E67" s="55">
        <f>IF(6457.40275="","-",6457.40275/425641.38619*100)</f>
        <v>1.5170993609905949</v>
      </c>
      <c r="F67" s="55">
        <f>IF(OR(475663.92916="",4287.92373="",4449.45161=""),"-",(4449.45161-4287.92373)/475663.92916*100)</f>
        <v>3.3958404263541749E-2</v>
      </c>
      <c r="G67" s="55">
        <f>IF(OR(464796.56015="",6457.40275="",4449.45161=""),"-",(6457.40275-4449.45161)/464796.56015*100)</f>
        <v>0.43200645446945451</v>
      </c>
    </row>
    <row r="68" spans="1:7" x14ac:dyDescent="0.25">
      <c r="A68" s="50" t="s">
        <v>34</v>
      </c>
      <c r="B68" s="55">
        <f>IF(182.10475="","-",182.10475)</f>
        <v>182.10475</v>
      </c>
      <c r="C68" s="55" t="s">
        <v>276</v>
      </c>
      <c r="D68" s="55">
        <f>IF(25.33863="","-",25.33863/464796.56015*100)</f>
        <v>5.4515528238467757E-3</v>
      </c>
      <c r="E68" s="55">
        <f>IF(182.10475="","-",182.10475/425641.38619*100)</f>
        <v>4.2783609843501248E-2</v>
      </c>
      <c r="F68" s="55">
        <f>IF(OR(475663.92916="",2433.6941="",25.33863=""),"-",(25.33863-2433.6941)/475663.92916*100)</f>
        <v>-0.50631450533847333</v>
      </c>
      <c r="G68" s="55">
        <f>IF(OR(464796.56015="",182.10475="",25.33863=""),"-",(182.10475-25.33863)/464796.56015*100)</f>
        <v>3.3727900212817442E-2</v>
      </c>
    </row>
    <row r="69" spans="1:7" x14ac:dyDescent="0.25">
      <c r="A69" s="58" t="s">
        <v>35</v>
      </c>
      <c r="B69" s="54">
        <f>IF(89135.79001="","-",89135.79001)</f>
        <v>89135.790009999997</v>
      </c>
      <c r="C69" s="54">
        <f>IF(92709.72105="","-",89135.79001/92709.72105*100)</f>
        <v>96.145030963826855</v>
      </c>
      <c r="D69" s="54">
        <f>IF(92709.72105="","-",92709.72105/464796.56015*100)</f>
        <v>19.946301026857977</v>
      </c>
      <c r="E69" s="54">
        <f>IF(89135.79001="","-",89135.79001/425641.38619*100)</f>
        <v>20.941523287449098</v>
      </c>
      <c r="F69" s="54">
        <f>IF(475663.92916="","-",(92709.72105-84602.86709)/475663.92916*100)</f>
        <v>1.7043238856299894</v>
      </c>
      <c r="G69" s="54">
        <f>IF(464796.56015="","-",(89135.79001-92709.72105)/464796.56015*100)</f>
        <v>-0.76892372844726098</v>
      </c>
    </row>
    <row r="70" spans="1:7" ht="38.25" x14ac:dyDescent="0.25">
      <c r="A70" s="50" t="s">
        <v>222</v>
      </c>
      <c r="B70" s="55">
        <f>IF(2285.94231="","-",2285.94231)</f>
        <v>2285.9423099999999</v>
      </c>
      <c r="C70" s="55" t="s">
        <v>104</v>
      </c>
      <c r="D70" s="55">
        <f>IF(1346.25995="","-",1346.25995/464796.56015*100)</f>
        <v>0.28964498996411087</v>
      </c>
      <c r="E70" s="55">
        <f>IF(2285.94231="","-",2285.94231/425641.38619*100)</f>
        <v>0.53705828055441707</v>
      </c>
      <c r="F70" s="55">
        <f>IF(OR(475663.92916="",1428.16323="",1346.25995=""),"-",(1346.25995-1428.16323)/475663.92916*100)</f>
        <v>-1.7218728387632325E-2</v>
      </c>
      <c r="G70" s="55">
        <f>IF(OR(464796.56015="",2285.94231="",1346.25995=""),"-",(2285.94231-1346.25995)/464796.56015*100)</f>
        <v>0.20217067865062169</v>
      </c>
    </row>
    <row r="71" spans="1:7" x14ac:dyDescent="0.25">
      <c r="A71" s="50" t="s">
        <v>197</v>
      </c>
      <c r="B71" s="55">
        <f>IF(27910.69097="","-",27910.69097)</f>
        <v>27910.69097</v>
      </c>
      <c r="C71" s="55">
        <f>IF(OR(24512.87512="",27910.69097=""),"-",27910.69097/24512.87512*100)</f>
        <v>113.86135177275769</v>
      </c>
      <c r="D71" s="55">
        <f>IF(24512.87512="","-",24512.87512/464796.56015*100)</f>
        <v>5.2738934023283566</v>
      </c>
      <c r="E71" s="55">
        <f>IF(27910.69097="","-",27910.69097/425641.38619*100)</f>
        <v>6.5573254564914611</v>
      </c>
      <c r="F71" s="55">
        <f>IF(OR(475663.92916="",23954.70511="",24512.87512=""),"-",(24512.87512-23954.70511)/475663.92916*100)</f>
        <v>0.11734545669370043</v>
      </c>
      <c r="G71" s="55">
        <f>IF(OR(464796.56015="",27910.69097="",24512.87512=""),"-",(27910.69097-24512.87512)/464796.56015*100)</f>
        <v>0.73103291661699255</v>
      </c>
    </row>
    <row r="72" spans="1:7" x14ac:dyDescent="0.25">
      <c r="A72" s="50" t="s">
        <v>198</v>
      </c>
      <c r="B72" s="55">
        <f>IF(2338.76402="","-",2338.76402)</f>
        <v>2338.7640200000001</v>
      </c>
      <c r="C72" s="55">
        <f>IF(OR(2618.06162="",2338.76402=""),"-",2338.76402/2618.06162*100)</f>
        <v>89.331893570938945</v>
      </c>
      <c r="D72" s="55">
        <f>IF(2618.06162="","-",2618.06162/464796.56015*100)</f>
        <v>0.56327043796432019</v>
      </c>
      <c r="E72" s="55">
        <f>IF(2338.76402="","-",2338.76402/425641.38619*100)</f>
        <v>0.5494681898615964</v>
      </c>
      <c r="F72" s="55">
        <f>IF(OR(475663.92916="",1657.31496="",2618.06162=""),"-",(2618.06162-1657.31496)/475663.92916*100)</f>
        <v>0.20198013788782199</v>
      </c>
      <c r="G72" s="55">
        <f>IF(OR(464796.56015="",2338.76402="",2618.06162=""),"-",(2338.76402-2618.06162)/464796.56015*100)</f>
        <v>-6.0090289805471986E-2</v>
      </c>
    </row>
    <row r="73" spans="1:7" x14ac:dyDescent="0.25">
      <c r="A73" s="50" t="s">
        <v>199</v>
      </c>
      <c r="B73" s="55">
        <f>IF(38560.4623="","-",38560.4623)</f>
        <v>38560.462299999999</v>
      </c>
      <c r="C73" s="55">
        <f>IF(OR(42942.40932="",38560.4623=""),"-",38560.4623/42942.40932*100)</f>
        <v>89.795758809557171</v>
      </c>
      <c r="D73" s="55">
        <f>IF(42942.40932="","-",42942.40932/464796.56015*100)</f>
        <v>9.2389688310390135</v>
      </c>
      <c r="E73" s="55">
        <f>IF(38560.4623="","-",38560.4623/425641.38619*100)</f>
        <v>9.0593780471307799</v>
      </c>
      <c r="F73" s="55">
        <f>IF(OR(475663.92916="",39364.10291="",42942.40932=""),"-",(42942.40932-39364.10291)/475663.92916*100)</f>
        <v>0.75227617455019491</v>
      </c>
      <c r="G73" s="55">
        <f>IF(OR(464796.56015="",38560.4623="",42942.40932=""),"-",(38560.4623-42942.40932)/464796.56015*100)</f>
        <v>-0.94276666302905732</v>
      </c>
    </row>
    <row r="74" spans="1:7" x14ac:dyDescent="0.25">
      <c r="A74" s="50" t="s">
        <v>200</v>
      </c>
      <c r="B74" s="55">
        <f>IF(5395.00381="","-",5395.00381)</f>
        <v>5395.0038100000002</v>
      </c>
      <c r="C74" s="55">
        <f>IF(OR(7050.96535="",5395.00381=""),"-",5395.00381/7050.96535*100)</f>
        <v>76.514399691384099</v>
      </c>
      <c r="D74" s="55">
        <f>IF(7050.96535="","-",7050.96535/464796.56015*100)</f>
        <v>1.5170003297194155</v>
      </c>
      <c r="E74" s="55">
        <f>IF(5395.00381="","-",5395.00381/425641.38619*100)</f>
        <v>1.2674998214557431</v>
      </c>
      <c r="F74" s="55">
        <f>IF(OR(475663.92916="",4639.49208="",7050.96535=""),"-",(7050.96535-4639.49208)/475663.92916*100)</f>
        <v>0.50696996811562911</v>
      </c>
      <c r="G74" s="55">
        <f>IF(OR(464796.56015="",5395.00381="",7050.96535=""),"-",(5395.00381-7050.96535)/464796.56015*100)</f>
        <v>-0.35627663411828725</v>
      </c>
    </row>
    <row r="75" spans="1:7" ht="25.5" x14ac:dyDescent="0.25">
      <c r="A75" s="50" t="s">
        <v>223</v>
      </c>
      <c r="B75" s="55">
        <f>IF(3776.52259="","-",3776.52259)</f>
        <v>3776.52259</v>
      </c>
      <c r="C75" s="55">
        <f>IF(OR(2997.31265="",3776.52259=""),"-",3776.52259/2997.31265*100)</f>
        <v>125.9969523032574</v>
      </c>
      <c r="D75" s="55">
        <f>IF(2997.31265="","-",2997.31265/464796.56015*100)</f>
        <v>0.64486549750555422</v>
      </c>
      <c r="E75" s="55">
        <f>IF(3776.52259="","-",3776.52259/425641.38619*100)</f>
        <v>0.88725455571987466</v>
      </c>
      <c r="F75" s="55">
        <f>IF(OR(475663.92916="",2834.9836="",2997.31265=""),"-",(2997.31265-2834.9836)/475663.92916*100)</f>
        <v>3.412683620695503E-2</v>
      </c>
      <c r="G75" s="55">
        <f>IF(OR(464796.56015="",3776.52259="",2997.31265=""),"-",(3776.52259-2997.31265)/464796.56015*100)</f>
        <v>0.16764537580668243</v>
      </c>
    </row>
    <row r="76" spans="1:7" ht="25.5" x14ac:dyDescent="0.25">
      <c r="A76" s="50" t="s">
        <v>201</v>
      </c>
      <c r="B76" s="55">
        <f>IF(461.12779="","-",461.12779)</f>
        <v>461.12779</v>
      </c>
      <c r="C76" s="55">
        <f>IF(OR(444.91495="",461.12779=""),"-",461.12779/444.91495*100)</f>
        <v>103.64403129182331</v>
      </c>
      <c r="D76" s="55">
        <f>IF(444.91495="","-",444.91495/464796.56015*100)</f>
        <v>9.5722513492013842E-2</v>
      </c>
      <c r="E76" s="55">
        <f>IF(461.12779="","-",461.12779/425641.38619*100)</f>
        <v>0.10833716009799842</v>
      </c>
      <c r="F76" s="55">
        <f>IF(OR(475663.92916="",617.74324="",444.91495=""),"-",(444.91495-617.74324)/475663.92916*100)</f>
        <v>-3.6334117305301374E-2</v>
      </c>
      <c r="G76" s="55">
        <f>IF(OR(464796.56015="",461.12779="",444.91495=""),"-",(461.12779-444.91495)/464796.56015*100)</f>
        <v>3.4881583449687735E-3</v>
      </c>
    </row>
    <row r="77" spans="1:7" x14ac:dyDescent="0.25">
      <c r="A77" s="51" t="s">
        <v>36</v>
      </c>
      <c r="B77" s="56">
        <f>IF(8407.27622="","-",8407.27622)</f>
        <v>8407.2762199999997</v>
      </c>
      <c r="C77" s="56">
        <f>IF(OR(10796.92209="",8407.27622=""),"-",8407.27622/10796.92209*100)</f>
        <v>77.867341728683343</v>
      </c>
      <c r="D77" s="56">
        <f>IF(10796.92209="","-",10796.92209/464796.56015*100)</f>
        <v>2.3229350248451923</v>
      </c>
      <c r="E77" s="56">
        <f>IF(8407.27622="","-",8407.27622/425641.38619*100)</f>
        <v>1.9752017761372285</v>
      </c>
      <c r="F77" s="56">
        <f>IF(OR(475663.92916="",10106.36196="",10796.92209=""),"-",(10796.92209-10106.36196)/475663.92916*100)</f>
        <v>0.14517815786862298</v>
      </c>
      <c r="G77" s="56">
        <f>IF(OR(464796.56015="",8407.27622="",10796.92209=""),"-",(8407.27622-10796.92209)/464796.56015*100)</f>
        <v>-0.51412727091371102</v>
      </c>
    </row>
    <row r="78" spans="1:7" x14ac:dyDescent="0.25">
      <c r="A78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L36" sqref="L36"/>
    </sheetView>
  </sheetViews>
  <sheetFormatPr defaultRowHeight="15.75" x14ac:dyDescent="0.25"/>
  <cols>
    <col min="1" max="1" width="27.625" customWidth="1"/>
    <col min="2" max="2" width="11.87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100" t="s">
        <v>153</v>
      </c>
      <c r="B1" s="100"/>
      <c r="C1" s="100"/>
      <c r="D1" s="100"/>
      <c r="E1" s="100"/>
      <c r="F1" s="100"/>
      <c r="G1" s="100"/>
    </row>
    <row r="2" spans="1:7" x14ac:dyDescent="0.25">
      <c r="A2" s="100" t="s">
        <v>23</v>
      </c>
      <c r="B2" s="100"/>
      <c r="C2" s="100"/>
      <c r="D2" s="100"/>
      <c r="E2" s="100"/>
      <c r="F2" s="100"/>
      <c r="G2" s="100"/>
    </row>
    <row r="3" spans="1:7" x14ac:dyDescent="0.25">
      <c r="A3" s="5"/>
    </row>
    <row r="4" spans="1:7" ht="57" customHeight="1" x14ac:dyDescent="0.25">
      <c r="A4" s="108"/>
      <c r="B4" s="111" t="s">
        <v>249</v>
      </c>
      <c r="C4" s="106"/>
      <c r="D4" s="111" t="s">
        <v>0</v>
      </c>
      <c r="E4" s="106"/>
      <c r="F4" s="103" t="s">
        <v>120</v>
      </c>
      <c r="G4" s="112"/>
    </row>
    <row r="5" spans="1:7" ht="23.25" customHeight="1" x14ac:dyDescent="0.25">
      <c r="A5" s="109"/>
      <c r="B5" s="113" t="s">
        <v>111</v>
      </c>
      <c r="C5" s="101" t="s">
        <v>250</v>
      </c>
      <c r="D5" s="115" t="s">
        <v>248</v>
      </c>
      <c r="E5" s="115"/>
      <c r="F5" s="115" t="s">
        <v>248</v>
      </c>
      <c r="G5" s="111"/>
    </row>
    <row r="6" spans="1:7" ht="32.25" customHeight="1" x14ac:dyDescent="0.25">
      <c r="A6" s="110"/>
      <c r="B6" s="114"/>
      <c r="C6" s="102"/>
      <c r="D6" s="24">
        <v>2020</v>
      </c>
      <c r="E6" s="24">
        <v>2021</v>
      </c>
      <c r="F6" s="24" t="s">
        <v>137</v>
      </c>
      <c r="G6" s="20" t="s">
        <v>251</v>
      </c>
    </row>
    <row r="7" spans="1:7" x14ac:dyDescent="0.25">
      <c r="A7" s="49" t="s">
        <v>130</v>
      </c>
      <c r="B7" s="59">
        <v>923234.79735000001</v>
      </c>
      <c r="C7" s="59">
        <f>IF(864624.24072="","-",923234.79735/864624.24072*100)</f>
        <v>106.77873160035314</v>
      </c>
      <c r="D7" s="59">
        <v>100</v>
      </c>
      <c r="E7" s="59">
        <v>100</v>
      </c>
      <c r="F7" s="59">
        <f>IF(831797.47999="","-",(864624.24072-831797.47999)/831797.47999*100)</f>
        <v>3.9464847537641767</v>
      </c>
      <c r="G7" s="59">
        <f>IF(864624.24072="","-",(923234.79735-864624.24072)/864624.24072*100)</f>
        <v>6.7787316003531357</v>
      </c>
    </row>
    <row r="8" spans="1:7" ht="12" customHeight="1" x14ac:dyDescent="0.25">
      <c r="A8" s="36" t="s">
        <v>134</v>
      </c>
      <c r="B8" s="32"/>
      <c r="C8" s="32"/>
      <c r="D8" s="32"/>
      <c r="E8" s="38"/>
      <c r="F8" s="32"/>
      <c r="G8" s="32"/>
    </row>
    <row r="9" spans="1:7" x14ac:dyDescent="0.25">
      <c r="A9" s="58" t="s">
        <v>203</v>
      </c>
      <c r="B9" s="60">
        <v>116007.17801</v>
      </c>
      <c r="C9" s="60">
        <f>IF(107121.71687="","-",116007.17801/107121.71687*100)</f>
        <v>108.29473369137945</v>
      </c>
      <c r="D9" s="60">
        <f>IF(107121.71687="","-",107121.71687/864624.24072*100)</f>
        <v>12.389395511372243</v>
      </c>
      <c r="E9" s="60">
        <f>IF(116007.17801="","-",116007.17801/923234.79735*100)</f>
        <v>12.565295236160978</v>
      </c>
      <c r="F9" s="60">
        <f>IF(831797.47999="","-",(107121.71687-95208.85167)/831797.47999*100)</f>
        <v>1.4321833723448185</v>
      </c>
      <c r="G9" s="60">
        <f>IF(864624.24072="","-",(116007.17801-107121.71687)/864624.24072*100)</f>
        <v>1.0276673636400473</v>
      </c>
    </row>
    <row r="10" spans="1:7" ht="14.25" customHeight="1" x14ac:dyDescent="0.25">
      <c r="A10" s="50" t="s">
        <v>24</v>
      </c>
      <c r="B10" s="61">
        <v>276.26526000000001</v>
      </c>
      <c r="C10" s="61">
        <f>IF(OR(622.00155="",276.26526=""),"-",276.26526/622.00155*100)</f>
        <v>44.415525974171615</v>
      </c>
      <c r="D10" s="61">
        <f>IF(622.00155="","-",622.00155/864624.24072*100)</f>
        <v>7.1938944191761223E-2</v>
      </c>
      <c r="E10" s="61">
        <f>IF(276.26526="","-",276.26526/923234.79735*100)</f>
        <v>2.9923618649662677E-2</v>
      </c>
      <c r="F10" s="61">
        <f>IF(OR(831797.47999="",480.87361="",622.00155=""),"-",(622.00155-480.87361)/831797.47999*100)</f>
        <v>1.6966622693025787E-2</v>
      </c>
      <c r="G10" s="61">
        <f>IF(OR(864624.24072="",276.26526="",622.00155=""),"-",(276.26526-622.00155)/864624.24072*100)</f>
        <v>-3.9986883748724694E-2</v>
      </c>
    </row>
    <row r="11" spans="1:7" s="9" customFormat="1" x14ac:dyDescent="0.25">
      <c r="A11" s="50" t="s">
        <v>204</v>
      </c>
      <c r="B11" s="61">
        <v>6393.2865700000002</v>
      </c>
      <c r="C11" s="61">
        <f>IF(OR(5305.47127="",6393.28657=""),"-",6393.28657/5305.47127*100)</f>
        <v>120.50365075297071</v>
      </c>
      <c r="D11" s="61">
        <f>IF(5305.47127="","-",5305.47127/864624.24072*100)</f>
        <v>0.61361583681507315</v>
      </c>
      <c r="E11" s="61">
        <f>IF(6393.28657="","-",6393.28657/923234.79735*100)</f>
        <v>0.6924876086073577</v>
      </c>
      <c r="F11" s="61">
        <f>IF(OR(831797.47999="",6334.16845="",5305.47127=""),"-",(5305.47127-6334.16845)/831797.47999*100)</f>
        <v>-0.123671591312391</v>
      </c>
      <c r="G11" s="61">
        <f>IF(OR(864624.24072="",6393.28657="",5305.47127=""),"-",(6393.28657-5305.47127)/864624.24072*100)</f>
        <v>0.12581364814548132</v>
      </c>
    </row>
    <row r="12" spans="1:7" s="9" customFormat="1" x14ac:dyDescent="0.25">
      <c r="A12" s="50" t="s">
        <v>205</v>
      </c>
      <c r="B12" s="61">
        <v>13939.352279999999</v>
      </c>
      <c r="C12" s="61">
        <f>IF(OR(14623.755="",13939.35228=""),"-",13939.35228/14623.755*100)</f>
        <v>95.319924875656085</v>
      </c>
      <c r="D12" s="61">
        <f>IF(14623.755="","-",14623.755/864624.24072*100)</f>
        <v>1.6913422399333073</v>
      </c>
      <c r="E12" s="61">
        <f>IF(13939.35228="","-",13939.35228/923234.79735*100)</f>
        <v>1.5098382686626104</v>
      </c>
      <c r="F12" s="61">
        <f>IF(OR(831797.47999="",10202.02429="",14623.755=""),"-",(14623.755-10202.02429)/831797.47999*100)</f>
        <v>0.53158741356768224</v>
      </c>
      <c r="G12" s="61">
        <f>IF(OR(864624.24072="",13939.35228="",14623.755=""),"-",(13939.35228-14623.755)/864624.24072*100)</f>
        <v>-7.9156087438639958E-2</v>
      </c>
    </row>
    <row r="13" spans="1:7" s="9" customFormat="1" x14ac:dyDescent="0.25">
      <c r="A13" s="50" t="s">
        <v>206</v>
      </c>
      <c r="B13" s="61">
        <v>9959.2334900000005</v>
      </c>
      <c r="C13" s="61">
        <f>IF(OR(9059.19969="",9959.23349=""),"-",9959.23349/9059.19969*100)</f>
        <v>109.93502550775543</v>
      </c>
      <c r="D13" s="61">
        <f>IF(9059.19969="","-",9059.19969/864624.24072*100)</f>
        <v>1.0477614741007164</v>
      </c>
      <c r="E13" s="61">
        <f>IF(9959.23349="","-",9959.23349/923234.79735*100)</f>
        <v>1.0787324653042119</v>
      </c>
      <c r="F13" s="61">
        <f>IF(OR(831797.47999="",7923.36155="",9059.19969=""),"-",(9059.19969-7923.36155)/831797.47999*100)</f>
        <v>0.13655224586802728</v>
      </c>
      <c r="G13" s="61">
        <f>IF(OR(864624.24072="",9959.23349="",9059.19969=""),"-",(9959.23349-9059.19969)/864624.24072*100)</f>
        <v>0.10409536971234053</v>
      </c>
    </row>
    <row r="14" spans="1:7" s="9" customFormat="1" x14ac:dyDescent="0.25">
      <c r="A14" s="50" t="s">
        <v>207</v>
      </c>
      <c r="B14" s="61">
        <v>20976.372790000001</v>
      </c>
      <c r="C14" s="61">
        <f>IF(OR(17213.03349="",20976.37279=""),"-",20976.37279/17213.03349*100)</f>
        <v>121.86331248461424</v>
      </c>
      <c r="D14" s="61">
        <f>IF(17213.03349="","-",17213.03349/864624.24072*100)</f>
        <v>1.9908108840050751</v>
      </c>
      <c r="E14" s="61">
        <f>IF(20976.37279="","-",20976.37279/923234.79735*100)</f>
        <v>2.2720517955139226</v>
      </c>
      <c r="F14" s="61">
        <f>IF(OR(831797.47999="",13311.00752="",17213.03349=""),"-",(17213.03349-13311.00752)/831797.47999*100)</f>
        <v>0.4691076931426762</v>
      </c>
      <c r="G14" s="61">
        <f>IF(OR(864624.24072="",20976.37279="",17213.03349=""),"-",(20976.37279-17213.03349)/864624.24072*100)</f>
        <v>0.43525720454774064</v>
      </c>
    </row>
    <row r="15" spans="1:7" s="9" customFormat="1" x14ac:dyDescent="0.25">
      <c r="A15" s="50" t="s">
        <v>208</v>
      </c>
      <c r="B15" s="61">
        <v>31325.61175</v>
      </c>
      <c r="C15" s="61">
        <f>IF(OR(32189.07425="",31325.61175=""),"-",31325.61175/32189.07425*100)</f>
        <v>97.31752925451093</v>
      </c>
      <c r="D15" s="61">
        <f>IF(32189.07425="","-",32189.07425/864624.24072*100)</f>
        <v>3.7228975009068841</v>
      </c>
      <c r="E15" s="61">
        <f>IF(31325.61175="","-",31325.61175/923234.79735*100)</f>
        <v>3.3930276284987557</v>
      </c>
      <c r="F15" s="61">
        <f>IF(OR(831797.47999="",31729.61827="",32189.07425=""),"-",(32189.07425-31729.61827)/831797.47999*100)</f>
        <v>5.523651983239071E-2</v>
      </c>
      <c r="G15" s="61">
        <f>IF(OR(864624.24072="",31325.61175="",32189.07425=""),"-",(31325.61175-32189.07425)/864624.24072*100)</f>
        <v>-9.9865636346370412E-2</v>
      </c>
    </row>
    <row r="16" spans="1:7" s="9" customFormat="1" ht="14.25" customHeight="1" x14ac:dyDescent="0.25">
      <c r="A16" s="50" t="s">
        <v>165</v>
      </c>
      <c r="B16" s="61">
        <v>4928.1036100000001</v>
      </c>
      <c r="C16" s="61">
        <f>IF(OR(4325.8063="",4928.10361=""),"-",4928.10361/4325.8063*100)</f>
        <v>113.92335366472604</v>
      </c>
      <c r="D16" s="61">
        <f>IF(4325.8063="","-",4325.8063/864624.24072*100)</f>
        <v>0.5003105506731762</v>
      </c>
      <c r="E16" s="61">
        <f>IF(4928.10361="","-",4928.10361/923234.79735*100)</f>
        <v>0.53378659731471834</v>
      </c>
      <c r="F16" s="61">
        <f>IF(OR(831797.47999="",3232.40112="",4325.8063=""),"-",(4325.8063-3232.40112)/831797.47999*100)</f>
        <v>0.13145088874435459</v>
      </c>
      <c r="G16" s="61">
        <f>IF(OR(864624.24072="",4928.10361="",4325.8063=""),"-",(4928.10361-4325.8063)/864624.24072*100)</f>
        <v>6.96600073921647E-2</v>
      </c>
    </row>
    <row r="17" spans="1:7" s="9" customFormat="1" ht="25.5" x14ac:dyDescent="0.25">
      <c r="A17" s="50" t="s">
        <v>209</v>
      </c>
      <c r="B17" s="61">
        <v>8245.8949100000009</v>
      </c>
      <c r="C17" s="61">
        <f>IF(OR(7063.52829="",8245.89491=""),"-",8245.89491/7063.52829*100)</f>
        <v>116.7390370853884</v>
      </c>
      <c r="D17" s="61">
        <f>IF(7063.52829="","-",7063.52829/864624.24072*100)</f>
        <v>0.8169477510968205</v>
      </c>
      <c r="E17" s="61">
        <f>IF(8245.89491="","-",8245.89491/923234.79735*100)</f>
        <v>0.89315252562712566</v>
      </c>
      <c r="F17" s="61">
        <f>IF(OR(831797.47999="",7185.34363="",7063.52829=""),"-",(7063.52829-7185.34363)/831797.47999*100)</f>
        <v>-1.4644831576246731E-2</v>
      </c>
      <c r="G17" s="61">
        <f>IF(OR(864624.24072="",8245.89491="",7063.52829=""),"-",(8245.89491-7063.52829)/864624.24072*100)</f>
        <v>0.13674918702434327</v>
      </c>
    </row>
    <row r="18" spans="1:7" s="9" customFormat="1" ht="25.5" x14ac:dyDescent="0.25">
      <c r="A18" s="50" t="s">
        <v>166</v>
      </c>
      <c r="B18" s="61">
        <v>6653.0185099999999</v>
      </c>
      <c r="C18" s="61">
        <f>IF(OR(5178.51956="",6653.01851=""),"-",6653.01851/5178.51956*100)</f>
        <v>128.47336836167131</v>
      </c>
      <c r="D18" s="61">
        <f>IF(5178.51956="","-",5178.51956/864624.24072*100)</f>
        <v>0.598932960251922</v>
      </c>
      <c r="E18" s="61">
        <f>IF(6653.01851="","-",6653.01851/923234.79735*100)</f>
        <v>0.72062042387228475</v>
      </c>
      <c r="F18" s="61">
        <f>IF(OR(831797.47999="",4500.0176="",5178.51956=""),"-",(5178.51956-4500.0176)/831797.47999*100)</f>
        <v>8.1570571722356822E-2</v>
      </c>
      <c r="G18" s="61">
        <f>IF(OR(864624.24072="",6653.01851="",5178.51956=""),"-",(6653.01851-5178.51956)/864624.24072*100)</f>
        <v>0.17053638801199214</v>
      </c>
    </row>
    <row r="19" spans="1:7" s="9" customFormat="1" x14ac:dyDescent="0.25">
      <c r="A19" s="50" t="s">
        <v>210</v>
      </c>
      <c r="B19" s="61">
        <v>13310.038839999999</v>
      </c>
      <c r="C19" s="61">
        <f>IF(OR(11541.32747="",13310.03884=""),"-",13310.03884/11541.32747*100)</f>
        <v>115.3250254322781</v>
      </c>
      <c r="D19" s="61">
        <f>IF(11541.32747="","-",11541.32747/864624.24072*100)</f>
        <v>1.3348373693975051</v>
      </c>
      <c r="E19" s="61">
        <f>IF(13310.03884="","-",13310.03884/923234.79735*100)</f>
        <v>1.441674304110327</v>
      </c>
      <c r="F19" s="61">
        <f>IF(OR(831797.47999="",10310.03563="",11541.32747=""),"-",(11541.32747-10310.03563)/831797.47999*100)</f>
        <v>0.14802783966294328</v>
      </c>
      <c r="G19" s="61">
        <f>IF(OR(864624.24072="",13310.03884="",11541.32747=""),"-",(13310.03884-11541.32747)/864624.24072*100)</f>
        <v>0.20456416633971969</v>
      </c>
    </row>
    <row r="20" spans="1:7" s="9" customFormat="1" x14ac:dyDescent="0.25">
      <c r="A20" s="58" t="s">
        <v>211</v>
      </c>
      <c r="B20" s="60">
        <v>14629.014300000001</v>
      </c>
      <c r="C20" s="60">
        <f>IF(15425.3662="","-",14629.0143/15425.3662*100)</f>
        <v>94.837387393759258</v>
      </c>
      <c r="D20" s="60">
        <f>IF(15425.3662="","-",15425.3662/864624.24072*100)</f>
        <v>1.7840543294454489</v>
      </c>
      <c r="E20" s="60">
        <f>IF(14629.0143="","-",14629.0143/923234.79735*100)</f>
        <v>1.5845388780828324</v>
      </c>
      <c r="F20" s="60">
        <f>IF(831797.47999="","-",(15425.3662-11662.58975)/831797.47999*100)</f>
        <v>0.45236689705350369</v>
      </c>
      <c r="G20" s="60">
        <f>IF(864624.24072="","-",(14629.0143-15425.3662)/864624.24072*100)</f>
        <v>-9.2103813714134619E-2</v>
      </c>
    </row>
    <row r="21" spans="1:7" s="9" customFormat="1" x14ac:dyDescent="0.25">
      <c r="A21" s="50" t="s">
        <v>212</v>
      </c>
      <c r="B21" s="61">
        <v>9009.8566599999995</v>
      </c>
      <c r="C21" s="61">
        <f>IF(OR(7934.26045="",9009.85666=""),"-",9009.85666/7934.26045*100)</f>
        <v>113.55635117826262</v>
      </c>
      <c r="D21" s="61">
        <f>IF(7934.26045="","-",7934.26045/864624.24072*100)</f>
        <v>0.9176541758062311</v>
      </c>
      <c r="E21" s="61">
        <f>IF(9009.85666="","-",9009.85666/923234.79735*100)</f>
        <v>0.97590089605172725</v>
      </c>
      <c r="F21" s="61">
        <f>IF(OR(831797.47999="",5851.16134="",7934.26045=""),"-",(7934.26045-5851.16134)/831797.47999*100)</f>
        <v>0.25043344805817919</v>
      </c>
      <c r="G21" s="61">
        <f>IF(OR(864624.24072="",9009.85666="",7934.26045=""),"-",(9009.85666-7934.26045)/864624.24072*100)</f>
        <v>0.1244004226742841</v>
      </c>
    </row>
    <row r="22" spans="1:7" s="9" customFormat="1" x14ac:dyDescent="0.25">
      <c r="A22" s="50" t="s">
        <v>213</v>
      </c>
      <c r="B22" s="61">
        <v>5619.1576400000004</v>
      </c>
      <c r="C22" s="61">
        <f>IF(OR(7491.10575="",5619.15764=""),"-",5619.15764/7491.10575*100)</f>
        <v>75.011057479731889</v>
      </c>
      <c r="D22" s="61">
        <f>IF(7491.10575="","-",7491.10575/864624.24072*100)</f>
        <v>0.86640015363921763</v>
      </c>
      <c r="E22" s="61">
        <f>IF(5619.15764="","-",5619.15764/923234.79735*100)</f>
        <v>0.60863798203110486</v>
      </c>
      <c r="F22" s="61">
        <f>IF(OR(831797.47999="",5811.42841="",7491.10575=""),"-",(7491.10575-5811.42841)/831797.47999*100)</f>
        <v>0.20193344899532428</v>
      </c>
      <c r="G22" s="61">
        <f>IF(OR(864624.24072="",5619.15764="",7491.10575=""),"-",(5619.15764-7491.10575)/864624.24072*100)</f>
        <v>-0.21650423638841873</v>
      </c>
    </row>
    <row r="23" spans="1:7" s="9" customFormat="1" ht="25.5" x14ac:dyDescent="0.25">
      <c r="A23" s="58" t="s">
        <v>25</v>
      </c>
      <c r="B23" s="60">
        <v>29462.910919999998</v>
      </c>
      <c r="C23" s="60">
        <f>IF(28716.44377="","-",29462.91092/28716.44377*100)</f>
        <v>102.59944147673268</v>
      </c>
      <c r="D23" s="60">
        <f>IF(28716.44377="","-",28716.44377/864624.24072*100)</f>
        <v>3.3212628581968633</v>
      </c>
      <c r="E23" s="60">
        <f>IF(29462.91092="","-",29462.91092/923234.79735*100)</f>
        <v>3.191269545360361</v>
      </c>
      <c r="F23" s="60">
        <f>IF(831797.47999="","-",(28716.44377-24103.74437)/831797.47999*100)</f>
        <v>0.55454596953761581</v>
      </c>
      <c r="G23" s="60">
        <f>IF(864624.24072="","-",(29462.91092-28716.44377)/864624.24072*100)</f>
        <v>8.6334284287286456E-2</v>
      </c>
    </row>
    <row r="24" spans="1:7" s="9" customFormat="1" x14ac:dyDescent="0.25">
      <c r="A24" s="50" t="s">
        <v>214</v>
      </c>
      <c r="B24" s="61">
        <v>14344.201010000001</v>
      </c>
      <c r="C24" s="61">
        <f>IF(OR(15087.15247="",14344.20101=""),"-",14344.20101/15087.15247*100)</f>
        <v>95.075601830913286</v>
      </c>
      <c r="D24" s="61">
        <f>IF(15087.15247="","-",15087.15247/864624.24072*100)</f>
        <v>1.7449374837601652</v>
      </c>
      <c r="E24" s="61">
        <f>IF(14344.20101="","-",14344.20101/923234.79735*100)</f>
        <v>1.5536893812032182</v>
      </c>
      <c r="F24" s="61">
        <f>IF(OR(831797.47999="",9823.67676="",15087.15247=""),"-",(15087.15247-9823.67676)/831797.47999*100)</f>
        <v>0.63278332005325133</v>
      </c>
      <c r="G24" s="61">
        <f>IF(OR(864624.24072="",14344.20101="",15087.15247=""),"-",(14344.20101-15087.15247)/864624.24072*100)</f>
        <v>-8.5927669501993265E-2</v>
      </c>
    </row>
    <row r="25" spans="1:7" s="9" customFormat="1" ht="25.5" x14ac:dyDescent="0.25">
      <c r="A25" s="50" t="s">
        <v>215</v>
      </c>
      <c r="B25" s="61">
        <v>218.46450999999999</v>
      </c>
      <c r="C25" s="61">
        <f>IF(OR(219.22696="",218.46451=""),"-",218.46451/219.22696*100)</f>
        <v>99.652209746465488</v>
      </c>
      <c r="D25" s="61">
        <f>IF(219.22696="","-",219.22696/864624.24072*100)</f>
        <v>2.535517160812456E-2</v>
      </c>
      <c r="E25" s="61">
        <f>IF(218.46451="","-",218.46451/923234.79735*100)</f>
        <v>2.3662941499504563E-2</v>
      </c>
      <c r="F25" s="61">
        <f>IF(OR(831797.47999="",179.36828="",219.22696=""),"-",(219.22696-179.36828)/831797.47999*100)</f>
        <v>4.7918731372544173E-3</v>
      </c>
      <c r="G25" s="61">
        <f>IF(OR(864624.24072="",218.46451="",219.22696=""),"-",(218.46451-219.22696)/864624.24072*100)</f>
        <v>-8.8182815620006786E-5</v>
      </c>
    </row>
    <row r="26" spans="1:7" s="9" customFormat="1" x14ac:dyDescent="0.25">
      <c r="A26" s="50" t="s">
        <v>216</v>
      </c>
      <c r="B26" s="61">
        <v>3961.1196199999999</v>
      </c>
      <c r="C26" s="61">
        <f>IF(OR(4248.26472="",3961.11962=""),"-",3961.11962/4248.26472*100)</f>
        <v>93.240884951256049</v>
      </c>
      <c r="D26" s="61">
        <f>IF(4248.26472="","-",4248.26472/864624.24072*100)</f>
        <v>0.49134231032689246</v>
      </c>
      <c r="E26" s="61">
        <f>IF(3961.11962="","-",3961.11962/923234.79735*100)</f>
        <v>0.42904791190385905</v>
      </c>
      <c r="F26" s="61">
        <f>IF(OR(831797.47999="",3658.7198="",4248.26472=""),"-",(4248.26472-3658.7198)/831797.47999*100)</f>
        <v>7.0876016600469605E-2</v>
      </c>
      <c r="G26" s="61">
        <f>IF(OR(864624.24072="",3961.11962="",4248.26472=""),"-",(3961.11962-4248.26472)/864624.24072*100)</f>
        <v>-3.3210392038151203E-2</v>
      </c>
    </row>
    <row r="27" spans="1:7" s="9" customFormat="1" ht="14.25" customHeight="1" x14ac:dyDescent="0.25">
      <c r="A27" s="50" t="s">
        <v>167</v>
      </c>
      <c r="B27" s="61">
        <v>57.58005</v>
      </c>
      <c r="C27" s="61">
        <f>IF(OR(43.11882="",57.58005=""),"-",57.58005/43.11882*100)</f>
        <v>133.53809311108236</v>
      </c>
      <c r="D27" s="61">
        <f>IF(43.11882="","-",43.11882/864624.24072*100)</f>
        <v>4.9870010542491378E-3</v>
      </c>
      <c r="E27" s="61">
        <f>IF(57.58005="","-",57.58005/923234.79735*100)</f>
        <v>6.2367720719880212E-3</v>
      </c>
      <c r="F27" s="61">
        <f>IF(OR(831797.47999="",52.70321="",43.11882=""),"-",(43.11882-52.70321)/831797.47999*100)</f>
        <v>-1.1522504252014835E-3</v>
      </c>
      <c r="G27" s="61">
        <f>IF(OR(864624.24072="",57.58005="",43.11882=""),"-",(57.58005-43.11882)/864624.24072*100)</f>
        <v>1.6725450570247344E-3</v>
      </c>
    </row>
    <row r="28" spans="1:7" s="9" customFormat="1" ht="15.75" customHeight="1" x14ac:dyDescent="0.25">
      <c r="A28" s="50" t="s">
        <v>168</v>
      </c>
      <c r="B28" s="61">
        <v>1192.9742100000001</v>
      </c>
      <c r="C28" s="61">
        <f>IF(OR(1104.80865="",1192.97421=""),"-",1192.97421/1104.80865*100)</f>
        <v>107.98016561510448</v>
      </c>
      <c r="D28" s="61">
        <f>IF(1104.80865="","-",1104.80865/864624.24072*100)</f>
        <v>0.12777905105690662</v>
      </c>
      <c r="E28" s="61">
        <f>IF(1192.97421="","-",1192.97421/923234.79735*100)</f>
        <v>0.12921677274559457</v>
      </c>
      <c r="F28" s="61">
        <f>IF(OR(831797.47999="",1233.32056="",1104.80865=""),"-",(1104.80865-1233.32056)/831797.47999*100)</f>
        <v>-1.5449903743582502E-2</v>
      </c>
      <c r="G28" s="61">
        <f>IF(OR(864624.24072="",1192.97421="",1104.80865=""),"-",(1192.97421-1104.80865)/864624.24072*100)</f>
        <v>1.0196979895750075E-2</v>
      </c>
    </row>
    <row r="29" spans="1:7" s="9" customFormat="1" ht="15" customHeight="1" x14ac:dyDescent="0.25">
      <c r="A29" s="50" t="s">
        <v>169</v>
      </c>
      <c r="B29" s="61">
        <v>1930.0605499999999</v>
      </c>
      <c r="C29" s="61">
        <f>IF(OR(1967.88193="",1930.06055=""),"-",1930.06055/1967.88193*100)</f>
        <v>98.078066604331283</v>
      </c>
      <c r="D29" s="61">
        <f>IF(1967.88193="","-",1967.88193/864624.24072*100)</f>
        <v>0.22759967131632608</v>
      </c>
      <c r="E29" s="61">
        <f>IF(1930.06055="","-",1930.06055/923234.79735*100)</f>
        <v>0.20905413829070724</v>
      </c>
      <c r="F29" s="61">
        <f>IF(OR(831797.47999="",2989.78285="",1967.88193=""),"-",(1967.88193-2989.78285)/831797.47999*100)</f>
        <v>-0.12285453425661802</v>
      </c>
      <c r="G29" s="61">
        <f>IF(OR(864624.24072="",1930.06055="",1967.88193=""),"-",(1930.06055-1967.88193)/864624.24072*100)</f>
        <v>-4.3743140914607051E-3</v>
      </c>
    </row>
    <row r="30" spans="1:7" s="9" customFormat="1" ht="15.75" customHeight="1" x14ac:dyDescent="0.25">
      <c r="A30" s="50" t="s">
        <v>170</v>
      </c>
      <c r="B30" s="61">
        <v>143.5172</v>
      </c>
      <c r="C30" s="61">
        <f>IF(OR(167.6464="",143.5172=""),"-",143.5172/167.6464*100)</f>
        <v>85.607087298027267</v>
      </c>
      <c r="D30" s="61">
        <f>IF(167.6464="","-",167.6464/864624.24072*100)</f>
        <v>1.9389509581687826E-2</v>
      </c>
      <c r="E30" s="61">
        <f>IF(143.5172="","-",143.5172/923234.79735*100)</f>
        <v>1.5545037991629377E-2</v>
      </c>
      <c r="F30" s="61">
        <f>IF(OR(831797.47999="",272.74842="",167.6464=""),"-",(167.6464-272.74842)/831797.47999*100)</f>
        <v>-1.2635529985167008E-2</v>
      </c>
      <c r="G30" s="61">
        <f>IF(OR(864624.24072="",143.5172="",167.6464=""),"-",(143.5172-167.6464)/864624.24072*100)</f>
        <v>-2.790715187432965E-3</v>
      </c>
    </row>
    <row r="31" spans="1:7" s="9" customFormat="1" ht="25.5" x14ac:dyDescent="0.25">
      <c r="A31" s="50" t="s">
        <v>171</v>
      </c>
      <c r="B31" s="61">
        <v>7614.99377</v>
      </c>
      <c r="C31" s="61">
        <f>IF(OR(5878.34382="",7614.99377=""),"-",7614.99377/5878.34382*100)</f>
        <v>129.54318432500261</v>
      </c>
      <c r="D31" s="61">
        <f>IF(5878.34382="","-",5878.34382/864624.24072*100)</f>
        <v>0.67987265949251163</v>
      </c>
      <c r="E31" s="61">
        <f>IF(7614.99377="","-",7614.99377/923234.79735*100)</f>
        <v>0.82481658965386051</v>
      </c>
      <c r="F31" s="61">
        <f>IF(OR(831797.47999="",5893.42449="",5878.34382=""),"-",(5878.34382-5893.42449)/831797.47999*100)</f>
        <v>-1.8130218427905771E-3</v>
      </c>
      <c r="G31" s="61">
        <f>IF(OR(864624.24072="",7614.99377="",5878.34382=""),"-",(7614.99377-5878.34382)/864624.24072*100)</f>
        <v>0.2008560329691701</v>
      </c>
    </row>
    <row r="32" spans="1:7" s="9" customFormat="1" ht="25.5" x14ac:dyDescent="0.25">
      <c r="A32" s="58" t="s">
        <v>172</v>
      </c>
      <c r="B32" s="60">
        <v>125676.87181</v>
      </c>
      <c r="C32" s="60">
        <f>IF(148397.81279="","-",125676.87181/148397.81279*100)</f>
        <v>84.689167210198207</v>
      </c>
      <c r="D32" s="60">
        <f>IF(148397.81279="","-",148397.81279/864624.24072*100)</f>
        <v>17.163272298082276</v>
      </c>
      <c r="E32" s="60">
        <f>IF(125676.87181="","-",125676.87181/923234.79735*100)</f>
        <v>13.61266626547609</v>
      </c>
      <c r="F32" s="60">
        <f>IF(831797.47999="","-",(148397.81279-164497.1522)/831797.47999*100)</f>
        <v>-1.9354878798374771</v>
      </c>
      <c r="G32" s="60">
        <f>IF(864624.24072="","-",(125676.87181-148397.81279)/864624.24072*100)</f>
        <v>-2.6278399228177496</v>
      </c>
    </row>
    <row r="33" spans="1:7" s="9" customFormat="1" x14ac:dyDescent="0.25">
      <c r="A33" s="50" t="s">
        <v>217</v>
      </c>
      <c r="B33" s="61">
        <v>1044.50315</v>
      </c>
      <c r="C33" s="61">
        <f>IF(OR(2035.44398="",1044.50315=""),"-",1044.50315/2035.44398*100)</f>
        <v>51.315740460712654</v>
      </c>
      <c r="D33" s="61">
        <f>IF(2035.44398="","-",2035.44398/864624.24072*100)</f>
        <v>0.2354137073817201</v>
      </c>
      <c r="E33" s="61">
        <f>IF(1044.50315="","-",1044.50315/923234.79735*100)</f>
        <v>0.11313515835820766</v>
      </c>
      <c r="F33" s="61">
        <f>IF(OR(831797.47999="",2431.17642="",2035.44398=""),"-",(2035.44398-2431.17642)/831797.47999*100)</f>
        <v>-4.7575575728452231E-2</v>
      </c>
      <c r="G33" s="61">
        <f>IF(OR(864624.24072="",1044.50315="",2035.44398=""),"-",(1044.50315-2035.44398)/864624.24072*100)</f>
        <v>-0.11460942029277506</v>
      </c>
    </row>
    <row r="34" spans="1:7" s="9" customFormat="1" ht="25.5" x14ac:dyDescent="0.25">
      <c r="A34" s="50" t="s">
        <v>173</v>
      </c>
      <c r="B34" s="61">
        <v>70495.958469999998</v>
      </c>
      <c r="C34" s="61">
        <f>IF(OR(77720.70294="",70495.95847=""),"-",70495.95847/77720.70294*100)</f>
        <v>90.704221402143688</v>
      </c>
      <c r="D34" s="61">
        <f>IF(77720.70294="","-",77720.70294/864624.24072*100)</f>
        <v>8.9889572000987972</v>
      </c>
      <c r="E34" s="61">
        <f>IF(70495.95847="","-",70495.95847/923234.79735*100)</f>
        <v>7.6357562206653755</v>
      </c>
      <c r="F34" s="61">
        <f>IF(OR(831797.47999="",65258.43414="",77720.70294=""),"-",(77720.70294-65258.43414)/831797.47999*100)</f>
        <v>1.4982335363831385</v>
      </c>
      <c r="G34" s="61">
        <f>IF(OR(864624.24072="",70495.95847="",77720.70294=""),"-",(70495.95847-77720.70294)/864624.24072*100)</f>
        <v>-0.83559355957724835</v>
      </c>
    </row>
    <row r="35" spans="1:7" s="9" customFormat="1" ht="25.5" x14ac:dyDescent="0.25">
      <c r="A35" s="50" t="s">
        <v>218</v>
      </c>
      <c r="B35" s="61">
        <v>54135.99338</v>
      </c>
      <c r="C35" s="61">
        <f>IF(OR(63141.40791="",54135.99338=""),"-",54135.99338/63141.40791*100)</f>
        <v>85.737703944080451</v>
      </c>
      <c r="D35" s="61">
        <f>IF(63141.40791="","-",63141.40791/864624.24072*100)</f>
        <v>7.302757074844461</v>
      </c>
      <c r="E35" s="61">
        <f>IF(54135.99338="","-",54135.99338/923234.79735*100)</f>
        <v>5.8637297397573009</v>
      </c>
      <c r="F35" s="61">
        <f>IF(OR(831797.47999="",87925.95454="",63141.40791=""),"-",(63141.40791-87925.95454)/831797.47999*100)</f>
        <v>-2.9796371383931057</v>
      </c>
      <c r="G35" s="61">
        <f>IF(OR(864624.24072="",54135.99338="",63141.40791=""),"-",(54135.99338-63141.40791)/864624.24072*100)</f>
        <v>-1.041540834258927</v>
      </c>
    </row>
    <row r="36" spans="1:7" s="9" customFormat="1" x14ac:dyDescent="0.25">
      <c r="A36" s="50" t="s">
        <v>174</v>
      </c>
      <c r="B36" s="61">
        <v>0.41681000000000001</v>
      </c>
      <c r="C36" s="61">
        <f>IF(OR(5500.25796="",0.41681=""),"-",0.41681/5500.25796*100)</f>
        <v>7.5780082140002028E-3</v>
      </c>
      <c r="D36" s="61">
        <f>IF(5500.25796="","-",5500.25796/864624.24072*100)</f>
        <v>0.63614431575730068</v>
      </c>
      <c r="E36" s="61">
        <f>IF(0.41681="","-",0.41681/923234.79735*100)</f>
        <v>4.5146695206505147E-5</v>
      </c>
      <c r="F36" s="61">
        <f>IF(OR(831797.47999="",8881.5871="",5500.25796=""),"-",(5500.25796-8881.5871)/831797.47999*100)</f>
        <v>-0.4065087020990556</v>
      </c>
      <c r="G36" s="61">
        <f>IF(OR(864624.24072="",0.41681="",5500.25796=""),"-",(0.41681-5500.25796)/864624.24072*100)</f>
        <v>-0.63609610868879973</v>
      </c>
    </row>
    <row r="37" spans="1:7" s="9" customFormat="1" ht="25.5" x14ac:dyDescent="0.25">
      <c r="A37" s="58" t="s">
        <v>175</v>
      </c>
      <c r="B37" s="60">
        <v>1667.2778499999999</v>
      </c>
      <c r="C37" s="60">
        <f>IF(1533.7229="","-",1667.27785/1533.7229*100)</f>
        <v>108.70789306203878</v>
      </c>
      <c r="D37" s="60">
        <f>IF(1533.7229="","-",1533.7229/864624.24072*100)</f>
        <v>0.17738606295872764</v>
      </c>
      <c r="E37" s="60">
        <f>IF(1667.27785="","-",1667.27785/923234.79735*100)</f>
        <v>0.18059088054151101</v>
      </c>
      <c r="F37" s="60">
        <f>IF(831797.47999="","-",(1533.7229-1611.30851)/831797.47999*100)</f>
        <v>-9.3274639400125169E-3</v>
      </c>
      <c r="G37" s="60">
        <f>IF(864624.24072="","-",(1667.27785-1533.7229)/864624.24072*100)</f>
        <v>1.5446588669406784E-2</v>
      </c>
    </row>
    <row r="38" spans="1:7" s="9" customFormat="1" x14ac:dyDescent="0.25">
      <c r="A38" s="50" t="s">
        <v>221</v>
      </c>
      <c r="B38" s="61">
        <v>180.50403</v>
      </c>
      <c r="C38" s="61">
        <f>IF(OR(267.89057="",180.50403=""),"-",180.50403/267.89057*100)</f>
        <v>67.379762564990614</v>
      </c>
      <c r="D38" s="61">
        <f>IF(267.89057="","-",267.89057/864624.24072*100)</f>
        <v>3.0983467428222812E-2</v>
      </c>
      <c r="E38" s="61">
        <f>IF(180.50403="","-",180.50403/923234.79735*100)</f>
        <v>1.9551259389064234E-2</v>
      </c>
      <c r="F38" s="61">
        <f>IF(OR(831797.47999="",168.63198="",267.89057=""),"-",(267.89057-168.63198)/831797.47999*100)</f>
        <v>1.1933023649121096E-2</v>
      </c>
      <c r="G38" s="61">
        <f>IF(OR(864624.24072="",180.50403="",267.89057=""),"-",(180.50403-267.89057)/864624.24072*100)</f>
        <v>-1.0106880640685078E-2</v>
      </c>
    </row>
    <row r="39" spans="1:7" s="9" customFormat="1" ht="25.5" x14ac:dyDescent="0.25">
      <c r="A39" s="50" t="s">
        <v>176</v>
      </c>
      <c r="B39" s="61">
        <v>1185.05063</v>
      </c>
      <c r="C39" s="61">
        <f>IF(OR(957.63549="",1185.05063=""),"-",1185.05063/957.63549*100)</f>
        <v>123.74756808563976</v>
      </c>
      <c r="D39" s="61">
        <f>IF(957.63549="","-",957.63549/864624.24072*100)</f>
        <v>0.11075741864495341</v>
      </c>
      <c r="E39" s="61">
        <f>IF(1185.05063="","-",1185.05063/923234.79735*100)</f>
        <v>0.12835853169762459</v>
      </c>
      <c r="F39" s="61">
        <f>IF(OR(831797.47999="",877.14305="",957.63549=""),"-",(957.63549-877.14305)/831797.47999*100)</f>
        <v>9.6769276099475179E-3</v>
      </c>
      <c r="G39" s="61">
        <f>IF(OR(864624.24072="",1185.05063="",957.63549=""),"-",(1185.05063-957.63549)/864624.24072*100)</f>
        <v>2.6302193402607376E-2</v>
      </c>
    </row>
    <row r="40" spans="1:7" s="9" customFormat="1" ht="63.75" x14ac:dyDescent="0.25">
      <c r="A40" s="50" t="s">
        <v>219</v>
      </c>
      <c r="B40" s="61">
        <v>301.72318999999999</v>
      </c>
      <c r="C40" s="61">
        <f>IF(OR(308.19684="",301.72319=""),"-",301.72319/308.19684*100)</f>
        <v>97.899507989763933</v>
      </c>
      <c r="D40" s="61">
        <f>IF(308.19684="","-",308.19684/864624.24072*100)</f>
        <v>3.5645176885551431E-2</v>
      </c>
      <c r="E40" s="61">
        <f>IF(301.72319="","-",301.72319/923234.79735*100)</f>
        <v>3.2681089454822204E-2</v>
      </c>
      <c r="F40" s="61">
        <f>IF(OR(831797.47999="",565.53348="",308.19684=""),"-",(308.19684-565.53348)/831797.47999*100)</f>
        <v>-3.0937415199081122E-2</v>
      </c>
      <c r="G40" s="61">
        <f>IF(OR(864624.24072="",301.72319="",308.19684=""),"-",(301.72319-308.19684)/864624.24072*100)</f>
        <v>-7.4872409251551942E-4</v>
      </c>
    </row>
    <row r="41" spans="1:7" s="9" customFormat="1" ht="25.5" x14ac:dyDescent="0.25">
      <c r="A41" s="58" t="s">
        <v>177</v>
      </c>
      <c r="B41" s="60">
        <v>135232.91589999999</v>
      </c>
      <c r="C41" s="60">
        <f>IF(121560.80217="","-",135232.9159/121560.80217*100)</f>
        <v>111.24714010267871</v>
      </c>
      <c r="D41" s="60">
        <f>IF(121560.80217="","-",121560.80217/864624.24072*100)</f>
        <v>14.059379374879944</v>
      </c>
      <c r="E41" s="60">
        <f>IF(135232.9159="","-",135232.9159/923234.79735*100)</f>
        <v>14.647727348250386</v>
      </c>
      <c r="F41" s="60">
        <f>IF(831797.47999="","-",(121560.80217-108826.91859)/831797.47999*100)</f>
        <v>1.5308874920074396</v>
      </c>
      <c r="G41" s="60">
        <f>IF(864624.24072="","-",(135232.9159-121560.80217)/864624.24072*100)</f>
        <v>1.5812780958598609</v>
      </c>
    </row>
    <row r="42" spans="1:7" s="9" customFormat="1" x14ac:dyDescent="0.25">
      <c r="A42" s="50" t="s">
        <v>26</v>
      </c>
      <c r="B42" s="61">
        <v>1768.8911499999999</v>
      </c>
      <c r="C42" s="61">
        <f>IF(OR(1711.67708="",1768.89115=""),"-",1768.89115/1711.67708*100)</f>
        <v>103.34257382239412</v>
      </c>
      <c r="D42" s="61">
        <f>IF(1711.67708="","-",1711.67708/864624.24072*100)</f>
        <v>0.19796774129009292</v>
      </c>
      <c r="E42" s="61">
        <f>IF(1768.89115="","-",1768.89115/923234.79735*100)</f>
        <v>0.19159710564174176</v>
      </c>
      <c r="F42" s="61">
        <f>IF(OR(831797.47999="",2973.95725="",1711.67708=""),"-",(1711.67708-2973.95725)/831797.47999*100)</f>
        <v>-0.15175330538572626</v>
      </c>
      <c r="G42" s="61">
        <f>IF(OR(864624.24072="",1768.89115="",1711.67708=""),"-",(1768.89115-1711.67708)/864624.24072*100)</f>
        <v>6.6172178971475541E-3</v>
      </c>
    </row>
    <row r="43" spans="1:7" s="9" customFormat="1" x14ac:dyDescent="0.25">
      <c r="A43" s="50" t="s">
        <v>27</v>
      </c>
      <c r="B43" s="61">
        <v>2359.0925900000002</v>
      </c>
      <c r="C43" s="61">
        <f>IF(OR(3125.58001="",2359.09259=""),"-",2359.09259/3125.58001*100)</f>
        <v>75.476954115789866</v>
      </c>
      <c r="D43" s="61">
        <f>IF(3125.58001="","-",3125.58001/864624.24072*100)</f>
        <v>0.36149576461067418</v>
      </c>
      <c r="E43" s="61">
        <f>IF(2359.09259="","-",2359.09259/923234.79735*100)</f>
        <v>0.25552466141564462</v>
      </c>
      <c r="F43" s="61">
        <f>IF(OR(831797.47999="",2009.16676="",3125.58001=""),"-",(3125.58001-2009.16676)/831797.47999*100)</f>
        <v>0.13421695507101339</v>
      </c>
      <c r="G43" s="61">
        <f>IF(OR(864624.24072="",2359.09259="",3125.58001=""),"-",(2359.09259-3125.58001)/864624.24072*100)</f>
        <v>-8.864977222495192E-2</v>
      </c>
    </row>
    <row r="44" spans="1:7" s="9" customFormat="1" x14ac:dyDescent="0.25">
      <c r="A44" s="50" t="s">
        <v>178</v>
      </c>
      <c r="B44" s="61">
        <v>4066.6762600000002</v>
      </c>
      <c r="C44" s="61">
        <f>IF(OR(4124.72225="",4066.67626=""),"-",4066.67626/4124.72225*100)</f>
        <v>98.592729728650212</v>
      </c>
      <c r="D44" s="61">
        <f>IF(4124.72225="","-",4124.72225/864624.24072*100)</f>
        <v>0.47705373684240138</v>
      </c>
      <c r="E44" s="61">
        <f>IF(4066.67626="","-",4066.67626/923234.79735*100)</f>
        <v>0.44048125911986352</v>
      </c>
      <c r="F44" s="61">
        <f>IF(OR(831797.47999="",3233.5557="",4124.72225=""),"-",(4124.72225-3233.5557)/831797.47999*100)</f>
        <v>0.10713744287981176</v>
      </c>
      <c r="G44" s="61">
        <f>IF(OR(864624.24072="",4066.67626="",4124.72225=""),"-",(4066.67626-4124.72225)/864624.24072*100)</f>
        <v>-6.7134354169463128E-3</v>
      </c>
    </row>
    <row r="45" spans="1:7" s="9" customFormat="1" x14ac:dyDescent="0.25">
      <c r="A45" s="50" t="s">
        <v>179</v>
      </c>
      <c r="B45" s="61">
        <v>42981.198020000003</v>
      </c>
      <c r="C45" s="61">
        <f>IF(OR(32948.17011="",42981.19802=""),"-",42981.19802/32948.17011*100)</f>
        <v>130.4509412101005</v>
      </c>
      <c r="D45" s="61">
        <f>IF(32948.17011="","-",32948.17011/864624.24072*100)</f>
        <v>3.8106923861587565</v>
      </c>
      <c r="E45" s="61">
        <f>IF(42981.19802="","-",42981.19802/923234.79735*100)</f>
        <v>4.6555002198109037</v>
      </c>
      <c r="F45" s="61">
        <f>IF(OR(831797.47999="",39518.46158="",32948.17011=""),"-",(32948.17011-39518.46158)/831797.47999*100)</f>
        <v>-0.78989076404499237</v>
      </c>
      <c r="G45" s="61">
        <f>IF(OR(864624.24072="",42981.19802="",32948.17011=""),"-",(42981.19802-32948.17011)/864624.24072*100)</f>
        <v>1.1603916982069786</v>
      </c>
    </row>
    <row r="46" spans="1:7" s="9" customFormat="1" ht="38.25" x14ac:dyDescent="0.25">
      <c r="A46" s="50" t="s">
        <v>180</v>
      </c>
      <c r="B46" s="61">
        <v>19523.330279999998</v>
      </c>
      <c r="C46" s="61">
        <f>IF(OR(17104.13923="",19523.33028=""),"-",19523.33028/17104.13923*100)</f>
        <v>114.14389240796655</v>
      </c>
      <c r="D46" s="61">
        <f>IF(17104.13923="","-",17104.13923/864624.24072*100)</f>
        <v>1.9782164811568133</v>
      </c>
      <c r="E46" s="61">
        <f>IF(19523.33028="","-",19523.33028/923234.79735*100)</f>
        <v>2.1146657747345139</v>
      </c>
      <c r="F46" s="61">
        <f>IF(OR(831797.47999="",15627.69243="",17104.13923=""),"-",(17104.13923-15627.69243)/831797.47999*100)</f>
        <v>0.17750075415205052</v>
      </c>
      <c r="G46" s="61">
        <f>IF(OR(864624.24072="",19523.33028="",17104.13923=""),"-",(19523.33028-17104.13923)/864624.24072*100)</f>
        <v>0.27979681069148149</v>
      </c>
    </row>
    <row r="47" spans="1:7" s="9" customFormat="1" x14ac:dyDescent="0.25">
      <c r="A47" s="50" t="s">
        <v>181</v>
      </c>
      <c r="B47" s="61">
        <v>12955.007449999999</v>
      </c>
      <c r="C47" s="61">
        <f>IF(OR(22544.61358="",12955.00745=""),"-",12955.00745/22544.61358*100)</f>
        <v>57.463870046070667</v>
      </c>
      <c r="D47" s="61">
        <f>IF(22544.61358="","-",22544.61358/864624.24072*100)</f>
        <v>2.6074463932709526</v>
      </c>
      <c r="E47" s="61">
        <f>IF(12955.00745="","-",12955.00745/923234.79735*100)</f>
        <v>1.4032191471969326</v>
      </c>
      <c r="F47" s="61">
        <f>IF(OR(831797.47999="",9698.35309="",22544.61358=""),"-",(22544.61358-9698.35309)/831797.47999*100)</f>
        <v>1.544397620699024</v>
      </c>
      <c r="G47" s="61">
        <f>IF(OR(864624.24072="",12955.00745="",22544.61358=""),"-",(12955.00745-22544.61358)/864624.24072*100)</f>
        <v>-1.109106786320776</v>
      </c>
    </row>
    <row r="48" spans="1:7" s="9" customFormat="1" x14ac:dyDescent="0.25">
      <c r="A48" s="50" t="s">
        <v>28</v>
      </c>
      <c r="B48" s="61">
        <v>6770.2116299999998</v>
      </c>
      <c r="C48" s="61">
        <f>IF(OR(6628.98049="",6770.21163=""),"-",6770.21163/6628.98049*100)</f>
        <v>102.13051072051051</v>
      </c>
      <c r="D48" s="61">
        <f>IF(6628.98049="","-",6628.98049/864624.24072*100)</f>
        <v>0.76668917869800157</v>
      </c>
      <c r="E48" s="61">
        <f>IF(6770.21163="","-",6770.21163/923234.79735*100)</f>
        <v>0.73331417418763079</v>
      </c>
      <c r="F48" s="61">
        <f>IF(OR(831797.47999="",6278.5685="",6628.98049=""),"-",(6628.98049-6278.5685)/831797.47999*100)</f>
        <v>4.212708002003232E-2</v>
      </c>
      <c r="G48" s="61">
        <f>IF(OR(864624.24072="",6770.21163="",6628.98049=""),"-",(6770.21163-6628.98049)/864624.24072*100)</f>
        <v>1.6334395145154876E-2</v>
      </c>
    </row>
    <row r="49" spans="1:7" s="9" customFormat="1" x14ac:dyDescent="0.25">
      <c r="A49" s="50" t="s">
        <v>29</v>
      </c>
      <c r="B49" s="61">
        <v>18819.372619999998</v>
      </c>
      <c r="C49" s="61">
        <f>IF(OR(15424.57549="",18819.37262=""),"-",18819.37262/15424.57549*100)</f>
        <v>122.00901497873249</v>
      </c>
      <c r="D49" s="61">
        <f>IF(15424.57549="","-",15424.57549/864624.24072*100)</f>
        <v>1.7839628781579691</v>
      </c>
      <c r="E49" s="61">
        <f>IF(18819.37262="","-",18819.37262/923234.79735*100)</f>
        <v>2.0384167358095731</v>
      </c>
      <c r="F49" s="61">
        <f>IF(OR(831797.47999="",14542.05994="",15424.57549=""),"-",(15424.57549-14542.05994)/831797.47999*100)</f>
        <v>0.10609740606699239</v>
      </c>
      <c r="G49" s="61">
        <f>IF(OR(864624.24072="",18819.37262="",15424.57549=""),"-",(18819.37262-15424.57549)/864624.24072*100)</f>
        <v>0.39263265706881451</v>
      </c>
    </row>
    <row r="50" spans="1:7" s="9" customFormat="1" x14ac:dyDescent="0.25">
      <c r="A50" s="50" t="s">
        <v>182</v>
      </c>
      <c r="B50" s="61">
        <v>25989.135900000001</v>
      </c>
      <c r="C50" s="61">
        <f>IF(OR(17948.34393="",25989.1359=""),"-",25989.1359/17948.34393*100)</f>
        <v>144.79963166161593</v>
      </c>
      <c r="D50" s="61">
        <f>IF(17948.34393="","-",17948.34393/864624.24072*100)</f>
        <v>2.0758548146942819</v>
      </c>
      <c r="E50" s="61">
        <f>IF(25989.1359="","-",25989.1359/923234.79735*100)</f>
        <v>2.8150082703335837</v>
      </c>
      <c r="F50" s="61">
        <f>IF(OR(831797.47999="",14945.10334="",17948.34393=""),"-",(17948.34393-14945.10334)/831797.47999*100)</f>
        <v>0.3610543025492341</v>
      </c>
      <c r="G50" s="61">
        <f>IF(OR(864624.24072="",25989.1359="",17948.34393=""),"-",(25989.1359-17948.34393)/864624.24072*100)</f>
        <v>0.92997531081295848</v>
      </c>
    </row>
    <row r="51" spans="1:7" s="9" customFormat="1" ht="25.5" x14ac:dyDescent="0.25">
      <c r="A51" s="58" t="s">
        <v>225</v>
      </c>
      <c r="B51" s="60">
        <v>159901.04949</v>
      </c>
      <c r="C51" s="60">
        <f>IF(158805.91798="","-",159901.04949/158805.91798*100)</f>
        <v>100.68960371498115</v>
      </c>
      <c r="D51" s="60">
        <f>IF(158805.91798="","-",158805.91798/864624.24072*100)</f>
        <v>18.367044376150879</v>
      </c>
      <c r="E51" s="60">
        <f>IF(159901.04949="","-",159901.04949/923234.79735*100)</f>
        <v>17.319651506742463</v>
      </c>
      <c r="F51" s="60">
        <f>IF(831797.47999="","-",(158805.91798-141036.14324)/831797.47999*100)</f>
        <v>2.1363102398691596</v>
      </c>
      <c r="G51" s="60">
        <f>IF(864624.24072="","-",(159901.04949-158805.91798)/864624.24072*100)</f>
        <v>0.12665982035017384</v>
      </c>
    </row>
    <row r="52" spans="1:7" s="9" customFormat="1" x14ac:dyDescent="0.25">
      <c r="A52" s="50" t="s">
        <v>183</v>
      </c>
      <c r="B52" s="61">
        <v>9677.8622300000006</v>
      </c>
      <c r="C52" s="61">
        <f>IF(OR(9701.9546="",9677.86223=""),"-",9677.86223/9701.9546*100)</f>
        <v>99.751675090295734</v>
      </c>
      <c r="D52" s="61">
        <f>IF(9701.9546="","-",9701.9546/864624.24072*100)</f>
        <v>1.1221006933510069</v>
      </c>
      <c r="E52" s="61">
        <f>IF(9677.86223="","-",9677.86223/923234.79735*100)</f>
        <v>1.0482557912438719</v>
      </c>
      <c r="F52" s="61">
        <f>IF(OR(831797.47999="",8154.90847="",9701.9546=""),"-",(9701.9546-8154.90847)/831797.47999*100)</f>
        <v>0.18598831653332223</v>
      </c>
      <c r="G52" s="61">
        <f>IF(OR(864624.24072="",9677.86223="",9701.9546=""),"-",(9677.86223-9701.9546)/864624.24072*100)</f>
        <v>-2.7864555335547847E-3</v>
      </c>
    </row>
    <row r="53" spans="1:7" s="9" customFormat="1" x14ac:dyDescent="0.25">
      <c r="A53" s="50" t="s">
        <v>30</v>
      </c>
      <c r="B53" s="61">
        <v>8554.14869</v>
      </c>
      <c r="C53" s="61">
        <f>IF(OR(9520.04643="",8554.14869=""),"-",8554.14869/9520.04643*100)</f>
        <v>89.854064818883444</v>
      </c>
      <c r="D53" s="61">
        <f>IF(9520.04643="","-",9520.04643/864624.24072*100)</f>
        <v>1.1010617076930846</v>
      </c>
      <c r="E53" s="61">
        <f>IF(8554.14869="","-",8554.14869/923234.79735*100)</f>
        <v>0.92654097468524099</v>
      </c>
      <c r="F53" s="61">
        <f>IF(OR(831797.47999="",9210.23109="",9520.04643=""),"-",(9520.04643-9210.23109)/831797.47999*100)</f>
        <v>3.7246486969848197E-2</v>
      </c>
      <c r="G53" s="61">
        <f>IF(OR(864624.24072="",8554.14869="",9520.04643=""),"-",(8554.14869-9520.04643)/864624.24072*100)</f>
        <v>-0.11171300716663539</v>
      </c>
    </row>
    <row r="54" spans="1:7" s="9" customFormat="1" x14ac:dyDescent="0.25">
      <c r="A54" s="50" t="s">
        <v>184</v>
      </c>
      <c r="B54" s="61">
        <v>13381.035309999999</v>
      </c>
      <c r="C54" s="61">
        <f>IF(OR(11822.13957="",13381.03531=""),"-",13381.03531/11822.13957*100)</f>
        <v>113.18624036511862</v>
      </c>
      <c r="D54" s="61">
        <f>IF(11822.13957="","-",11822.13957/864624.24072*100)</f>
        <v>1.3673153045252733</v>
      </c>
      <c r="E54" s="61">
        <f>IF(13381.03531="","-",13381.03531/923234.79735*100)</f>
        <v>1.449364273141367</v>
      </c>
      <c r="F54" s="61">
        <f>IF(OR(831797.47999="",10434.14727="",11822.13957=""),"-",(11822.13957-10434.14727)/831797.47999*100)</f>
        <v>0.16686661517857526</v>
      </c>
      <c r="G54" s="61">
        <f>IF(OR(864624.24072="",13381.03531="",11822.13957=""),"-",(13381.03531-11822.13957)/864624.24072*100)</f>
        <v>0.18029748260375605</v>
      </c>
    </row>
    <row r="55" spans="1:7" s="9" customFormat="1" ht="25.5" x14ac:dyDescent="0.25">
      <c r="A55" s="50" t="s">
        <v>185</v>
      </c>
      <c r="B55" s="61">
        <v>14322.132729999999</v>
      </c>
      <c r="C55" s="61">
        <f>IF(OR(14009.19878="",14322.13273=""),"-",14322.13273/14009.19878*100)</f>
        <v>102.23377478551274</v>
      </c>
      <c r="D55" s="61">
        <f>IF(14009.19878="","-",14009.19878/864624.24072*100)</f>
        <v>1.6202644016011045</v>
      </c>
      <c r="E55" s="61">
        <f>IF(14322.13273="","-",14322.13273/923234.79735*100)</f>
        <v>1.551299059687679</v>
      </c>
      <c r="F55" s="61">
        <f>IF(OR(831797.47999="",15482.93719="",14009.19878=""),"-",(14009.19878-15482.93719)/831797.47999*100)</f>
        <v>-0.17717514725071271</v>
      </c>
      <c r="G55" s="61">
        <f>IF(OR(864624.24072="",14322.13273="",14009.19878=""),"-",(14322.13273-14009.19878)/864624.24072*100)</f>
        <v>3.6193057661604383E-2</v>
      </c>
    </row>
    <row r="56" spans="1:7" s="9" customFormat="1" ht="25.5" x14ac:dyDescent="0.25">
      <c r="A56" s="50" t="s">
        <v>186</v>
      </c>
      <c r="B56" s="61">
        <v>42307.881600000001</v>
      </c>
      <c r="C56" s="61">
        <f>IF(OR(43035.6591="",42307.8816=""),"-",42307.8816/43035.6591*100)</f>
        <v>98.308896586644821</v>
      </c>
      <c r="D56" s="61">
        <f>IF(43035.6591="","-",43035.6591/864624.24072*100)</f>
        <v>4.9773828992075035</v>
      </c>
      <c r="E56" s="61">
        <f>IF(42307.8816="","-",42307.8816/923234.79735*100)</f>
        <v>4.5825700809196217</v>
      </c>
      <c r="F56" s="61">
        <f>IF(OR(831797.47999="",39530.318="",43035.6591=""),"-",(43035.6591-39530.318)/831797.47999*100)</f>
        <v>0.42141761478312484</v>
      </c>
      <c r="G56" s="61">
        <f>IF(OR(864624.24072="",42307.8816="",43035.6591=""),"-",(42307.8816-43035.6591)/864624.24072*100)</f>
        <v>-8.4172692104254807E-2</v>
      </c>
    </row>
    <row r="57" spans="1:7" s="9" customFormat="1" ht="16.5" customHeight="1" x14ac:dyDescent="0.25">
      <c r="A57" s="50" t="s">
        <v>31</v>
      </c>
      <c r="B57" s="61">
        <v>18126.46761</v>
      </c>
      <c r="C57" s="61">
        <f>IF(OR(18494.69213="",18126.46761=""),"-",18126.46761/18494.69213*100)</f>
        <v>98.009025955059244</v>
      </c>
      <c r="D57" s="61">
        <f>IF(18494.69213="","-",18494.69213/864624.24072*100)</f>
        <v>2.1390439058936033</v>
      </c>
      <c r="E57" s="61">
        <f>IF(18126.46761="","-",18126.46761/923234.79735*100)</f>
        <v>1.9633648625495017</v>
      </c>
      <c r="F57" s="61">
        <f>IF(OR(831797.47999="",14958.10067="",18494.69213=""),"-",(18494.69213-14958.10067)/831797.47999*100)</f>
        <v>0.42517458216422066</v>
      </c>
      <c r="G57" s="61">
        <f>IF(OR(864624.24072="",18126.46761="",18494.69213=""),"-",(18126.46761-18494.69213)/864624.24072*100)</f>
        <v>-4.2587808976228513E-2</v>
      </c>
    </row>
    <row r="58" spans="1:7" s="9" customFormat="1" ht="16.5" customHeight="1" x14ac:dyDescent="0.25">
      <c r="A58" s="50" t="s">
        <v>187</v>
      </c>
      <c r="B58" s="61">
        <v>17939.571090000001</v>
      </c>
      <c r="C58" s="61">
        <f>IF(OR(18514.80168="",17939.57109=""),"-",17939.57109/18514.80168*100)</f>
        <v>96.893131236607459</v>
      </c>
      <c r="D58" s="61">
        <f>IF(18514.80168="","-",18514.80168/864624.24072*100)</f>
        <v>2.1413697197041501</v>
      </c>
      <c r="E58" s="61">
        <f>IF(17939.57109="","-",17939.57109/923234.79735*100)</f>
        <v>1.9431212018321573</v>
      </c>
      <c r="F58" s="61">
        <f>IF(OR(831797.47999="",11348.28395="",18514.80168=""),"-",(18514.80168-11348.28395)/831797.47999*100)</f>
        <v>0.86157002183826736</v>
      </c>
      <c r="G58" s="61">
        <f>IF(OR(864624.24072="",17939.57109="",18514.80168=""),"-",(17939.57109-18514.80168)/864624.24072*100)</f>
        <v>-6.6529546930234856E-2</v>
      </c>
    </row>
    <row r="59" spans="1:7" s="9" customFormat="1" ht="16.5" customHeight="1" x14ac:dyDescent="0.25">
      <c r="A59" s="50" t="s">
        <v>32</v>
      </c>
      <c r="B59" s="61">
        <v>9606.4755000000005</v>
      </c>
      <c r="C59" s="61">
        <f>IF(OR(11642.00137="",9606.4755=""),"-",9606.4755/11642.00137*100)</f>
        <v>82.515670585254369</v>
      </c>
      <c r="D59" s="61">
        <f>IF(11642.00137="","-",11642.00137/864624.24072*100)</f>
        <v>1.3464810286032851</v>
      </c>
      <c r="E59" s="61">
        <f>IF(9606.4755="","-",9606.4755/923234.79735*100)</f>
        <v>1.0405235512757831</v>
      </c>
      <c r="F59" s="61">
        <f>IF(OR(831797.47999="",13806.04663="",11642.00137=""),"-",(11642.00137-13806.04663)/831797.47999*100)</f>
        <v>-0.26016492139721525</v>
      </c>
      <c r="G59" s="61">
        <f>IF(OR(864624.24072="",9606.4755="",11642.00137=""),"-",(9606.4755-11642.00137)/864624.24072*100)</f>
        <v>-0.23542317854805375</v>
      </c>
    </row>
    <row r="60" spans="1:7" s="9" customFormat="1" ht="15.75" customHeight="1" x14ac:dyDescent="0.25">
      <c r="A60" s="50" t="s">
        <v>33</v>
      </c>
      <c r="B60" s="61">
        <v>25985.474730000002</v>
      </c>
      <c r="C60" s="61">
        <f>IF(OR(22065.42432="",25985.47473=""),"-",25985.47473/22065.42432*100)</f>
        <v>117.76557909401673</v>
      </c>
      <c r="D60" s="61">
        <f>IF(22065.42432="","-",22065.42432/864624.24072*100)</f>
        <v>2.5520247155718674</v>
      </c>
      <c r="E60" s="61">
        <f>IF(25985.47473="","-",25985.47473/923234.79735*100)</f>
        <v>2.8146117114072404</v>
      </c>
      <c r="F60" s="61">
        <f>IF(OR(831797.47999="",18111.16997="",22065.42432=""),"-",(22065.42432-18111.16997)/831797.47999*100)</f>
        <v>0.47538667104972926</v>
      </c>
      <c r="G60" s="61">
        <f>IF(OR(864624.24072="",25985.47473="",22065.42432=""),"-",(25985.47473-22065.42432)/864624.24072*100)</f>
        <v>0.45338196934377567</v>
      </c>
    </row>
    <row r="61" spans="1:7" s="9" customFormat="1" ht="15" customHeight="1" x14ac:dyDescent="0.25">
      <c r="A61" s="58" t="s">
        <v>188</v>
      </c>
      <c r="B61" s="60">
        <v>236626.53435999999</v>
      </c>
      <c r="C61" s="60">
        <f>IF(192043.5419="","-",236626.53436/192043.5419*100)</f>
        <v>123.21504384834509</v>
      </c>
      <c r="D61" s="60">
        <f>IF(192043.5419="","-",192043.5419/864624.24072*100)</f>
        <v>22.211214173231976</v>
      </c>
      <c r="E61" s="60">
        <f>IF(236626.53436="","-",236626.53436/923234.79735*100)</f>
        <v>25.630157684610584</v>
      </c>
      <c r="F61" s="60">
        <f>IF(831797.47999="","-",(192043.5419-196361.91178)/831797.47999*100)</f>
        <v>-0.5191612121801451</v>
      </c>
      <c r="G61" s="60">
        <f>IF(864624.24072="","-",(236626.53436-192043.5419)/864624.24072*100)</f>
        <v>5.1563431095656433</v>
      </c>
    </row>
    <row r="62" spans="1:7" s="9" customFormat="1" ht="25.5" x14ac:dyDescent="0.25">
      <c r="A62" s="50" t="s">
        <v>189</v>
      </c>
      <c r="B62" s="61">
        <v>3160.9070999999999</v>
      </c>
      <c r="C62" s="61">
        <f>IF(OR(2619.21938="",3160.9071=""),"-",3160.9071/2619.21938*100)</f>
        <v>120.6812657288753</v>
      </c>
      <c r="D62" s="61">
        <f>IF(2619.21938="","-",2619.21938/864624.24072*100)</f>
        <v>0.30293152292594677</v>
      </c>
      <c r="E62" s="61">
        <f>IF(3160.9071="","-",3160.9071/923234.79735*100)</f>
        <v>0.34237304627954729</v>
      </c>
      <c r="F62" s="61">
        <f>IF(OR(831797.47999="",2203.14394="",2619.21938=""),"-",(2619.21938-2203.14394)/831797.47999*100)</f>
        <v>5.0021243152239679E-2</v>
      </c>
      <c r="G62" s="61">
        <f>IF(OR(864624.24072="",3160.9071="",2619.21938=""),"-",(3160.9071-2619.21938)/864624.24072*100)</f>
        <v>6.2650073232843828E-2</v>
      </c>
    </row>
    <row r="63" spans="1:7" s="9" customFormat="1" ht="25.5" x14ac:dyDescent="0.25">
      <c r="A63" s="50" t="s">
        <v>190</v>
      </c>
      <c r="B63" s="61">
        <v>23825.702219999999</v>
      </c>
      <c r="C63" s="61">
        <f>IF(OR(21855.83918="",23825.70222=""),"-",23825.70222/21855.83918*100)</f>
        <v>109.01298286364862</v>
      </c>
      <c r="D63" s="61">
        <f>IF(21855.83918="","-",21855.83918/864624.24072*100)</f>
        <v>2.527784689658938</v>
      </c>
      <c r="E63" s="61">
        <f>IF(23825.70222="","-",23825.70222/923234.79735*100)</f>
        <v>2.5806763662275212</v>
      </c>
      <c r="F63" s="61">
        <f>IF(OR(831797.47999="",25701.9601="",21855.83918=""),"-",(21855.83918-25701.9601)/831797.47999*100)</f>
        <v>-0.46238670019128209</v>
      </c>
      <c r="G63" s="61">
        <f>IF(OR(864624.24072="",23825.70222="",21855.83918=""),"-",(23825.70222-21855.83918)/864624.24072*100)</f>
        <v>0.22782880090889343</v>
      </c>
    </row>
    <row r="64" spans="1:7" s="9" customFormat="1" ht="27" customHeight="1" x14ac:dyDescent="0.25">
      <c r="A64" s="50" t="s">
        <v>191</v>
      </c>
      <c r="B64" s="61">
        <v>1928.2298499999999</v>
      </c>
      <c r="C64" s="61">
        <f>IF(OR(2731.30779="",1928.22985=""),"-",1928.22985/2731.30779*100)</f>
        <v>70.597310821568001</v>
      </c>
      <c r="D64" s="61">
        <f>IF(2731.30779="","-",2731.30779/864624.24072*100)</f>
        <v>0.31589535215038073</v>
      </c>
      <c r="E64" s="61">
        <f>IF(1928.22985="","-",1928.22985/923234.79735*100)</f>
        <v>0.20885584637133259</v>
      </c>
      <c r="F64" s="61">
        <f>IF(OR(831797.47999="",1212.12309="",2731.30779=""),"-",(2731.30779-1212.12309)/831797.47999*100)</f>
        <v>0.18263877164165773</v>
      </c>
      <c r="G64" s="61">
        <f>IF(OR(864624.24072="",1928.22985="",2731.30779=""),"-",(1928.22985-2731.30779)/864624.24072*100)</f>
        <v>-9.2881728521889625E-2</v>
      </c>
    </row>
    <row r="65" spans="1:7" s="9" customFormat="1" ht="38.25" x14ac:dyDescent="0.25">
      <c r="A65" s="50" t="s">
        <v>192</v>
      </c>
      <c r="B65" s="61">
        <v>32962.021769999999</v>
      </c>
      <c r="C65" s="61">
        <f>IF(OR(26384.22822="",32962.02177=""),"-",32962.02177/26384.22822*100)</f>
        <v>124.93077870291404</v>
      </c>
      <c r="D65" s="61">
        <f>IF(26384.22822="","-",26384.22822/864624.24072*100)</f>
        <v>3.0515253884194848</v>
      </c>
      <c r="E65" s="61">
        <f>IF(32962.02177="","-",32962.02177/923234.79735*100)</f>
        <v>3.5702750659542177</v>
      </c>
      <c r="F65" s="61">
        <f>IF(OR(831797.47999="",23692.4149="",26384.22822=""),"-",(26384.22822-23692.4149)/831797.47999*100)</f>
        <v>0.3236140268220532</v>
      </c>
      <c r="G65" s="61">
        <f>IF(OR(864624.24072="",32962.02177="",26384.22822=""),"-",(32962.02177-26384.22822)/864624.24072*100)</f>
        <v>0.76076904165010006</v>
      </c>
    </row>
    <row r="66" spans="1:7" s="9" customFormat="1" ht="25.5" x14ac:dyDescent="0.25">
      <c r="A66" s="50" t="s">
        <v>193</v>
      </c>
      <c r="B66" s="61">
        <v>11571.80769</v>
      </c>
      <c r="C66" s="61" t="s">
        <v>106</v>
      </c>
      <c r="D66" s="61">
        <f>IF(6244.91292="","-",6244.91292/864624.24072*100)</f>
        <v>0.72226900726258414</v>
      </c>
      <c r="E66" s="61">
        <f>IF(11571.80769="","-",11571.80769/923234.79735*100)</f>
        <v>1.2533981304880459</v>
      </c>
      <c r="F66" s="61">
        <f>IF(OR(831797.47999="",7693.85036="",6244.91292=""),"-",(6244.91292-7693.85036)/831797.47999*100)</f>
        <v>-0.17419353566897317</v>
      </c>
      <c r="G66" s="61">
        <f>IF(OR(864624.24072="",11571.80769="",6244.91292=""),"-",(11571.80769-6244.91292)/864624.24072*100)</f>
        <v>0.61609361837509036</v>
      </c>
    </row>
    <row r="67" spans="1:7" s="9" customFormat="1" ht="38.25" x14ac:dyDescent="0.25">
      <c r="A67" s="50" t="s">
        <v>194</v>
      </c>
      <c r="B67" s="61">
        <v>26323.899089999999</v>
      </c>
      <c r="C67" s="61">
        <f>IF(OR(22191.15805="",26323.89909=""),"-",26323.89909/22191.15805*100)</f>
        <v>118.62336805807212</v>
      </c>
      <c r="D67" s="61">
        <f>IF(22191.15805="","-",22191.15805/864624.24072*100)</f>
        <v>2.5665667240049523</v>
      </c>
      <c r="E67" s="61">
        <f>IF(26323.89909="","-",26323.89909/923234.79735*100)</f>
        <v>2.8512680810513862</v>
      </c>
      <c r="F67" s="61">
        <f>IF(OR(831797.47999="",21788.18774="",22191.15805=""),"-",(22191.15805-21788.18774)/831797.47999*100)</f>
        <v>4.8445723832301286E-2</v>
      </c>
      <c r="G67" s="61">
        <f>IF(OR(864624.24072="",26323.89909="",22191.15805=""),"-",(26323.89909-22191.15805)/864624.24072*100)</f>
        <v>0.47798116746744651</v>
      </c>
    </row>
    <row r="68" spans="1:7" s="9" customFormat="1" ht="51" x14ac:dyDescent="0.25">
      <c r="A68" s="50" t="s">
        <v>195</v>
      </c>
      <c r="B68" s="61">
        <v>78456.391260000004</v>
      </c>
      <c r="C68" s="61">
        <f>IF(OR(62352.18288="",78456.39126=""),"-",78456.39126/62352.18288*100)</f>
        <v>125.82781810701542</v>
      </c>
      <c r="D68" s="61">
        <f>IF(62352.18288="","-",62352.18288/864624.24072*100)</f>
        <v>7.2114775348048719</v>
      </c>
      <c r="E68" s="61">
        <f>IF(78456.39126="","-",78456.39126/923234.79735*100)</f>
        <v>8.4979889715158823</v>
      </c>
      <c r="F68" s="61">
        <f>IF(OR(831797.47999="",62629.3930099999="",62352.18288=""),"-",(62352.18288-62629.3930099999)/831797.47999*100)</f>
        <v>-3.3326637392942123E-2</v>
      </c>
      <c r="G68" s="61">
        <f>IF(OR(864624.24072="",78456.39126="",62352.18288=""),"-",(78456.39126-62352.18288)/864624.24072*100)</f>
        <v>1.8625673005176813</v>
      </c>
    </row>
    <row r="69" spans="1:7" s="9" customFormat="1" ht="25.5" x14ac:dyDescent="0.25">
      <c r="A69" s="50" t="s">
        <v>196</v>
      </c>
      <c r="B69" s="61">
        <v>58282.56179</v>
      </c>
      <c r="C69" s="61">
        <f>IF(OR(44683.82155="",58282.56179=""),"-",58282.56179/44683.82155*100)</f>
        <v>130.43325250232542</v>
      </c>
      <c r="D69" s="61">
        <f>IF(44683.82155="","-",44683.82155/864624.24072*100)</f>
        <v>5.1680047176089312</v>
      </c>
      <c r="E69" s="61">
        <f>IF(58282.56179="","-",58282.56179/923234.79735*100)</f>
        <v>6.3128645017812275</v>
      </c>
      <c r="F69" s="61">
        <f>IF(OR(831797.47999="",49950.2798="",44683.82155=""),"-",(44683.82155-49950.2798)/831797.47999*100)</f>
        <v>-0.63314188569834451</v>
      </c>
      <c r="G69" s="61">
        <f>IF(OR(864624.24072="",58282.56179="",44683.82155=""),"-",(58282.56179-44683.82155)/864624.24072*100)</f>
        <v>1.5727919250420157</v>
      </c>
    </row>
    <row r="70" spans="1:7" s="9" customFormat="1" x14ac:dyDescent="0.25">
      <c r="A70" s="50" t="s">
        <v>34</v>
      </c>
      <c r="B70" s="61">
        <v>115.01358999999999</v>
      </c>
      <c r="C70" s="61">
        <f>IF(OR(2980.87193="",115.01359=""),"-",115.01359/2980.87193*100)</f>
        <v>3.8583875020756095</v>
      </c>
      <c r="D70" s="61">
        <f>IF(2980.87193="","-",2980.87193/864624.24072*100)</f>
        <v>0.34475923639588607</v>
      </c>
      <c r="E70" s="61">
        <f>IF(115.01359="","-",115.01359/923234.79735*100)</f>
        <v>1.2457674941426425E-2</v>
      </c>
      <c r="F70" s="61">
        <f>IF(OR(831797.47999="",1490.55884="",2980.87193=""),"-",(2980.87193-1490.55884)/831797.47999*100)</f>
        <v>0.17916778132315533</v>
      </c>
      <c r="G70" s="61">
        <f>IF(OR(864624.24072="",115.01359="",2980.87193=""),"-",(115.01359-2980.87193)/864624.24072*100)</f>
        <v>-0.33145708910653587</v>
      </c>
    </row>
    <row r="71" spans="1:7" s="9" customFormat="1" x14ac:dyDescent="0.25">
      <c r="A71" s="58" t="s">
        <v>35</v>
      </c>
      <c r="B71" s="60">
        <v>103987.14713</v>
      </c>
      <c r="C71" s="60">
        <f>IF(90960.13424="","-",103987.14713/90960.13424*100)</f>
        <v>114.32167289422416</v>
      </c>
      <c r="D71" s="60">
        <f>IF(90960.13424="","-",90960.13424/864624.24072*100)</f>
        <v>10.520192466990586</v>
      </c>
      <c r="E71" s="60">
        <f>IF(103987.14713="","-",103987.14713/923234.79735*100)</f>
        <v>11.263347896816574</v>
      </c>
      <c r="F71" s="60">
        <f>IF(831797.47999="","-",(90960.13424-88396.41269)/831797.47999*100)</f>
        <v>0.30821463296941259</v>
      </c>
      <c r="G71" s="60">
        <f>IF(864624.24072="","-",(103987.14713-90960.13424)/864624.24072*100)</f>
        <v>1.5066675529652038</v>
      </c>
    </row>
    <row r="72" spans="1:7" s="9" customFormat="1" ht="38.25" x14ac:dyDescent="0.25">
      <c r="A72" s="50" t="s">
        <v>222</v>
      </c>
      <c r="B72" s="61">
        <v>7934.8845799999999</v>
      </c>
      <c r="C72" s="61">
        <f>IF(OR(6303.51891="",7934.88458=""),"-",7934.88458/6303.51891*100)</f>
        <v>125.88023758304232</v>
      </c>
      <c r="D72" s="61">
        <f>IF(6303.51891="","-",6303.51891/864624.24072*100)</f>
        <v>0.72904721069939704</v>
      </c>
      <c r="E72" s="61">
        <f>IF(7934.88458="","-",7934.88458/923234.79735*100)</f>
        <v>0.85946550138446209</v>
      </c>
      <c r="F72" s="61">
        <f>IF(OR(831797.47999="",5000.22081="",6303.51891=""),"-",(6303.51891-5000.22081)/831797.47999*100)</f>
        <v>0.15668454537944362</v>
      </c>
      <c r="G72" s="61">
        <f>IF(OR(864624.24072="",7934.88458="",6303.51891=""),"-",(7934.88458-6303.51891)/864624.24072*100)</f>
        <v>0.18867915022154713</v>
      </c>
    </row>
    <row r="73" spans="1:7" x14ac:dyDescent="0.25">
      <c r="A73" s="50" t="s">
        <v>197</v>
      </c>
      <c r="B73" s="61">
        <v>9807.0299900000009</v>
      </c>
      <c r="C73" s="61">
        <f>IF(OR(7355.26418="",9807.02999=""),"-",9807.02999/7355.26418*100)</f>
        <v>133.33348401906076</v>
      </c>
      <c r="D73" s="61">
        <f>IF(7355.26418="","-",7355.26418/864624.24072*100)</f>
        <v>0.85068910095269112</v>
      </c>
      <c r="E73" s="61">
        <f>IF(9807.02999="","-",9807.02999/923234.79735*100)</f>
        <v>1.0622465723941013</v>
      </c>
      <c r="F73" s="61">
        <f>IF(OR(831797.47999="",7954.34178="",7355.26418=""),"-",(7355.26418-7954.34178)/831797.47999*100)</f>
        <v>-7.2022050368222068E-2</v>
      </c>
      <c r="G73" s="61">
        <f>IF(OR(864624.24072="",9807.02999="",7355.26418=""),"-",(9807.02999-7355.26418)/864624.24072*100)</f>
        <v>0.28356431551795697</v>
      </c>
    </row>
    <row r="74" spans="1:7" x14ac:dyDescent="0.25">
      <c r="A74" s="50" t="s">
        <v>198</v>
      </c>
      <c r="B74" s="61">
        <v>1755.49387</v>
      </c>
      <c r="C74" s="61">
        <f>IF(OR(1865.75846="",1755.49387=""),"-",1755.49387/1865.75846*100)</f>
        <v>94.090092990922315</v>
      </c>
      <c r="D74" s="61">
        <f>IF(1865.75846="","-",1865.75846/864624.24072*100)</f>
        <v>0.2157883589345499</v>
      </c>
      <c r="E74" s="61">
        <f>IF(1755.49387="","-",1755.49387/923234.79735*100)</f>
        <v>0.19014598182811876</v>
      </c>
      <c r="F74" s="61">
        <f>IF(OR(831797.47999="",1549.50131="",1865.75846=""),"-",(1865.75846-1549.50131)/831797.47999*100)</f>
        <v>3.8020931489694099E-2</v>
      </c>
      <c r="G74" s="61">
        <f>IF(OR(864624.24072="",1755.49387="",1865.75846=""),"-",(1755.49387-1865.75846)/864624.24072*100)</f>
        <v>-1.2752891349446687E-2</v>
      </c>
    </row>
    <row r="75" spans="1:7" x14ac:dyDescent="0.25">
      <c r="A75" s="50" t="s">
        <v>199</v>
      </c>
      <c r="B75" s="61">
        <v>25312.39112</v>
      </c>
      <c r="C75" s="61">
        <f>IF(OR(22401.65347="",25312.39112=""),"-",25312.39112/22401.65347*100)</f>
        <v>112.99340539258864</v>
      </c>
      <c r="D75" s="61">
        <f>IF(22401.65347="","-",22401.65347/864624.24072*100)</f>
        <v>2.5909120303341755</v>
      </c>
      <c r="E75" s="61">
        <f>IF(25312.39112="","-",25312.39112/923234.79735*100)</f>
        <v>2.7417067892864555</v>
      </c>
      <c r="F75" s="61">
        <f>IF(OR(831797.47999="",20134.81769="",22401.65347=""),"-",(22401.65347-20134.81769)/831797.47999*100)</f>
        <v>0.27252255922045515</v>
      </c>
      <c r="G75" s="61">
        <f>IF(OR(864624.24072="",25312.39112="",22401.65347=""),"-",(25312.39112-22401.65347)/864624.24072*100)</f>
        <v>0.33664770346666845</v>
      </c>
    </row>
    <row r="76" spans="1:7" x14ac:dyDescent="0.25">
      <c r="A76" s="50" t="s">
        <v>200</v>
      </c>
      <c r="B76" s="61">
        <v>7404.1543899999997</v>
      </c>
      <c r="C76" s="61">
        <f>IF(OR(8053.46197="",7404.15439=""),"-",7404.15439/8053.46197*100)</f>
        <v>91.937534660016524</v>
      </c>
      <c r="D76" s="61">
        <f>IF(8053.46197="","-",8053.46197/864624.24072*100)</f>
        <v>0.93144068726243745</v>
      </c>
      <c r="E76" s="61">
        <f>IF(7404.15439="","-",7404.15439/923234.79735*100)</f>
        <v>0.80197956264781811</v>
      </c>
      <c r="F76" s="61">
        <f>IF(OR(831797.47999="",7634.47428="",8053.46197=""),"-",(8053.46197-7634.47428)/831797.47999*100)</f>
        <v>5.0371358423090803E-2</v>
      </c>
      <c r="G76" s="61">
        <f>IF(OR(864624.24072="",7404.15439="",8053.46197=""),"-",(7404.15439-8053.46197)/864624.24072*100)</f>
        <v>-7.5097082573037932E-2</v>
      </c>
    </row>
    <row r="77" spans="1:7" ht="25.5" x14ac:dyDescent="0.25">
      <c r="A77" s="50" t="s">
        <v>223</v>
      </c>
      <c r="B77" s="61">
        <v>11741.28023</v>
      </c>
      <c r="C77" s="61">
        <f>IF(OR(8381.04231="",11741.28023=""),"-",11741.28023/8381.04231*100)</f>
        <v>140.09331770095787</v>
      </c>
      <c r="D77" s="61">
        <f>IF(8381.04231="","-",8381.04231/864624.24072*100)</f>
        <v>0.96932770506420707</v>
      </c>
      <c r="E77" s="61">
        <f>IF(11741.28023="","-",11741.28023/923234.79735*100)</f>
        <v>1.2717545161535826</v>
      </c>
      <c r="F77" s="61">
        <f>IF(OR(831797.47999="",8557.39111="",8381.04231=""),"-",(8381.04231-8557.39111)/831797.47999*100)</f>
        <v>-2.1200929822740005E-2</v>
      </c>
      <c r="G77" s="61">
        <f>IF(OR(864624.24072="",11741.28023="",8381.04231=""),"-",(11741.28023-8381.04231)/864624.24072*100)</f>
        <v>0.38863563635479653</v>
      </c>
    </row>
    <row r="78" spans="1:7" ht="25.5" x14ac:dyDescent="0.25">
      <c r="A78" s="50" t="s">
        <v>201</v>
      </c>
      <c r="B78" s="61">
        <v>1827.7622699999999</v>
      </c>
      <c r="C78" s="61">
        <f>IF(OR(2329.90526="",1827.76227=""),"-",1827.76227/2329.90526*100)</f>
        <v>78.447922384620909</v>
      </c>
      <c r="D78" s="61">
        <f>IF(2329.90526="","-",2329.90526/864624.24072*100)</f>
        <v>0.2694702681548477</v>
      </c>
      <c r="E78" s="61">
        <f>IF(1827.76227="","-",1827.76227/923234.79735*100)</f>
        <v>0.19797371971315458</v>
      </c>
      <c r="F78" s="61">
        <f>IF(OR(831797.47999="",1830.78198="",2329.90526=""),"-",(2329.90526-1830.78198)/831797.47999*100)</f>
        <v>6.0005384965340428E-2</v>
      </c>
      <c r="G78" s="61">
        <f>IF(OR(864624.24072="",1827.76227="",2329.90526=""),"-",(1827.76227-2329.90526)/864624.24072*100)</f>
        <v>-5.8076441343102955E-2</v>
      </c>
    </row>
    <row r="79" spans="1:7" x14ac:dyDescent="0.25">
      <c r="A79" s="50" t="s">
        <v>36</v>
      </c>
      <c r="B79" s="61">
        <v>38204.150679999999</v>
      </c>
      <c r="C79" s="61">
        <f>IF(OR(34269.52968="",38204.15068=""),"-",38204.15068/34269.52968*100)</f>
        <v>111.4813977219427</v>
      </c>
      <c r="D79" s="61">
        <f>IF(34269.52968="","-",34269.52968/864624.24072*100)</f>
        <v>3.9635171055882816</v>
      </c>
      <c r="E79" s="61">
        <f>IF(38204.15068="","-",38204.15068/923234.79735*100)</f>
        <v>4.1380752534088829</v>
      </c>
      <c r="F79" s="61">
        <f>IF(OR(831797.47999="",35734.88373="",34269.52968=""),"-",(34269.52968-35734.88373)/831797.47999*100)</f>
        <v>-0.17616716631764964</v>
      </c>
      <c r="G79" s="61">
        <f>IF(OR(864624.24072="",38204.15068="",34269.52968=""),"-",(38204.15068-34269.52968)/864624.24072*100)</f>
        <v>0.45506716266982239</v>
      </c>
    </row>
    <row r="80" spans="1:7" ht="25.5" x14ac:dyDescent="0.25">
      <c r="A80" s="62" t="s">
        <v>202</v>
      </c>
      <c r="B80" s="63">
        <v>43.897579999999998</v>
      </c>
      <c r="C80" s="63">
        <f>IF(58.7819="","-",43.89758/58.7819*100)</f>
        <v>74.678736141567384</v>
      </c>
      <c r="D80" s="63">
        <f>IF(58.7819="","-",58.7819/864624.24072*100)</f>
        <v>6.7985486910534052E-3</v>
      </c>
      <c r="E80" s="63">
        <f>IF(43.89758="","-",43.89758/923234.79735*100)</f>
        <v>4.7547579582139978E-3</v>
      </c>
      <c r="F80" s="63">
        <f>IF(831797.47999="","-",(58.7819-92.44719)/831797.47999*100)</f>
        <v>-4.0472940601364573E-3</v>
      </c>
      <c r="G80" s="63">
        <f>IF(864624.24072="","-",(43.89758-58.7819)/864624.24072*100)</f>
        <v>-1.7214784526056496E-3</v>
      </c>
    </row>
    <row r="81" spans="1:1" x14ac:dyDescent="0.25">
      <c r="A81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F75" sqref="F75"/>
    </sheetView>
  </sheetViews>
  <sheetFormatPr defaultRowHeight="15.75" x14ac:dyDescent="0.25"/>
  <cols>
    <col min="1" max="1" width="43.5" customWidth="1"/>
    <col min="2" max="3" width="13.25" customWidth="1"/>
    <col min="4" max="4" width="16.75" customWidth="1"/>
    <col min="6" max="6" width="12.125" bestFit="1" customWidth="1"/>
  </cols>
  <sheetData>
    <row r="1" spans="1:6" x14ac:dyDescent="0.25">
      <c r="A1" s="100" t="s">
        <v>154</v>
      </c>
      <c r="B1" s="100"/>
      <c r="C1" s="100"/>
      <c r="D1" s="100"/>
    </row>
    <row r="2" spans="1:6" x14ac:dyDescent="0.25">
      <c r="A2" s="100" t="s">
        <v>23</v>
      </c>
      <c r="B2" s="100"/>
      <c r="C2" s="100"/>
      <c r="D2" s="100"/>
    </row>
    <row r="3" spans="1:6" x14ac:dyDescent="0.25">
      <c r="A3" s="5"/>
    </row>
    <row r="4" spans="1:6" ht="27" customHeight="1" x14ac:dyDescent="0.25">
      <c r="A4" s="101"/>
      <c r="B4" s="105" t="s">
        <v>253</v>
      </c>
      <c r="C4" s="106"/>
      <c r="D4" s="103" t="s">
        <v>254</v>
      </c>
      <c r="E4" s="1"/>
    </row>
    <row r="5" spans="1:6" ht="26.25" customHeight="1" x14ac:dyDescent="0.25">
      <c r="A5" s="102"/>
      <c r="B5" s="21">
        <v>2020</v>
      </c>
      <c r="C5" s="20">
        <v>2021</v>
      </c>
      <c r="D5" s="104"/>
      <c r="E5" s="1"/>
    </row>
    <row r="6" spans="1:6" ht="14.25" customHeight="1" x14ac:dyDescent="0.25">
      <c r="A6" s="49" t="s">
        <v>136</v>
      </c>
      <c r="B6" s="53">
        <v>-399827.68057000003</v>
      </c>
      <c r="C6" s="53">
        <v>-497593.41116000002</v>
      </c>
      <c r="D6" s="66">
        <f>IF(-399827.68057="","-",-497593.41116/-399827.68057*100)</f>
        <v>124.45196651983268</v>
      </c>
      <c r="F6" s="18"/>
    </row>
    <row r="7" spans="1:6" x14ac:dyDescent="0.25">
      <c r="A7" s="36" t="s">
        <v>134</v>
      </c>
      <c r="B7" s="46"/>
      <c r="C7" s="48"/>
      <c r="D7" s="64"/>
    </row>
    <row r="8" spans="1:6" x14ac:dyDescent="0.25">
      <c r="A8" s="58" t="s">
        <v>203</v>
      </c>
      <c r="B8" s="54">
        <v>25340.787789999998</v>
      </c>
      <c r="C8" s="54">
        <v>-33227.64415</v>
      </c>
      <c r="D8" s="67" t="s">
        <v>22</v>
      </c>
    </row>
    <row r="9" spans="1:6" x14ac:dyDescent="0.25">
      <c r="A9" s="50" t="s">
        <v>24</v>
      </c>
      <c r="B9" s="55">
        <v>3220.915</v>
      </c>
      <c r="C9" s="55">
        <v>1598.4142300000001</v>
      </c>
      <c r="D9" s="68">
        <f>IF(OR(3220.915="",1598.41423="",3220.915=0,1598.41423=0),"-",1598.41423/3220.915*100)</f>
        <v>49.626091654079666</v>
      </c>
    </row>
    <row r="10" spans="1:6" x14ac:dyDescent="0.25">
      <c r="A10" s="50" t="s">
        <v>204</v>
      </c>
      <c r="B10" s="55">
        <v>-4777.3522999999996</v>
      </c>
      <c r="C10" s="55">
        <v>-5619.2261099999996</v>
      </c>
      <c r="D10" s="68">
        <f>IF(OR(-4777.3523="",-5619.22611="",-4777.3523=0,-5619.22611=0),"-",-5619.22611/-4777.3523*100)</f>
        <v>117.62218394486001</v>
      </c>
    </row>
    <row r="11" spans="1:6" x14ac:dyDescent="0.25">
      <c r="A11" s="50" t="s">
        <v>205</v>
      </c>
      <c r="B11" s="55">
        <v>-13756.003559999999</v>
      </c>
      <c r="C11" s="55">
        <v>-12466.87801</v>
      </c>
      <c r="D11" s="68">
        <f>IF(OR(-13756.00356="",-12466.87801="",-13756.00356=0,-12466.87801=0),"-",-12466.87801/-13756.00356*100)</f>
        <v>90.628633204570079</v>
      </c>
    </row>
    <row r="12" spans="1:6" x14ac:dyDescent="0.25">
      <c r="A12" s="50" t="s">
        <v>206</v>
      </c>
      <c r="B12" s="55">
        <v>-9057.2729199999994</v>
      </c>
      <c r="C12" s="55">
        <v>-9958.1949499999992</v>
      </c>
      <c r="D12" s="68">
        <f>IF(OR(-9057.27292="",-9958.19495="",-9057.27292=0,-9958.19495=0),"-",-9958.19495/-9057.27292*100)</f>
        <v>109.94694581865376</v>
      </c>
    </row>
    <row r="13" spans="1:6" x14ac:dyDescent="0.25">
      <c r="A13" s="50" t="s">
        <v>207</v>
      </c>
      <c r="B13" s="55">
        <v>34124.533170000002</v>
      </c>
      <c r="C13" s="55">
        <v>1878.0368699999999</v>
      </c>
      <c r="D13" s="68">
        <f>IF(OR(34124.53317="",1878.03687="",34124.53317=0,1878.03687=0),"-",1878.03687/34124.53317*100)</f>
        <v>5.5034800348596233</v>
      </c>
    </row>
    <row r="14" spans="1:6" x14ac:dyDescent="0.25">
      <c r="A14" s="50" t="s">
        <v>208</v>
      </c>
      <c r="B14" s="55">
        <v>31503.873530000001</v>
      </c>
      <c r="C14" s="55">
        <v>16570.614509999999</v>
      </c>
      <c r="D14" s="68">
        <f>IF(OR(31503.87353="",16570.61451="",31503.87353=0,16570.61451=0),"-",16570.61451/31503.87353*100)</f>
        <v>52.598657413414266</v>
      </c>
    </row>
    <row r="15" spans="1:6" x14ac:dyDescent="0.25">
      <c r="A15" s="50" t="s">
        <v>165</v>
      </c>
      <c r="B15" s="55">
        <v>-646.40608999999995</v>
      </c>
      <c r="C15" s="55">
        <v>-3402.8081499999998</v>
      </c>
      <c r="D15" s="68" t="s">
        <v>245</v>
      </c>
    </row>
    <row r="16" spans="1:6" x14ac:dyDescent="0.25">
      <c r="A16" s="50" t="s">
        <v>209</v>
      </c>
      <c r="B16" s="55">
        <v>-5213.5275899999997</v>
      </c>
      <c r="C16" s="55">
        <v>-6679.6726200000003</v>
      </c>
      <c r="D16" s="68">
        <f>IF(OR(-5213.52759="",-6679.67262="",-5213.52759=0,-6679.67262=0),"-",-6679.67262/-5213.52759*100)</f>
        <v>128.12193864308296</v>
      </c>
    </row>
    <row r="17" spans="1:4" x14ac:dyDescent="0.25">
      <c r="A17" s="50" t="s">
        <v>166</v>
      </c>
      <c r="B17" s="55">
        <v>957.10278000000005</v>
      </c>
      <c r="C17" s="55">
        <v>-2500.6691000000001</v>
      </c>
      <c r="D17" s="68" t="s">
        <v>22</v>
      </c>
    </row>
    <row r="18" spans="1:4" x14ac:dyDescent="0.25">
      <c r="A18" s="50" t="s">
        <v>210</v>
      </c>
      <c r="B18" s="55">
        <v>-11015.07423</v>
      </c>
      <c r="C18" s="55">
        <v>-12647.26082</v>
      </c>
      <c r="D18" s="68">
        <f>IF(OR(-11015.07423="",-12647.26082="",-11015.07423=0,-12647.26082=0),"-",-12647.26082/-11015.07423*100)</f>
        <v>114.81775388816422</v>
      </c>
    </row>
    <row r="19" spans="1:4" x14ac:dyDescent="0.25">
      <c r="A19" s="58" t="s">
        <v>211</v>
      </c>
      <c r="B19" s="54">
        <v>14991.01874</v>
      </c>
      <c r="C19" s="54">
        <v>14615.056490000001</v>
      </c>
      <c r="D19" s="67">
        <f>IF(14991.01874="","-",14615.05649/14991.01874*100)</f>
        <v>97.492083383253785</v>
      </c>
    </row>
    <row r="20" spans="1:4" x14ac:dyDescent="0.25">
      <c r="A20" s="50" t="s">
        <v>212</v>
      </c>
      <c r="B20" s="55">
        <v>19690.002369999998</v>
      </c>
      <c r="C20" s="55">
        <v>18431.657729999999</v>
      </c>
      <c r="D20" s="68">
        <f>IF(OR(19690.00237="",18431.65773="",19690.00237=0,18431.65773=0),"-",18431.65773/19690.00237*100)</f>
        <v>93.609220474664681</v>
      </c>
    </row>
    <row r="21" spans="1:4" x14ac:dyDescent="0.25">
      <c r="A21" s="50" t="s">
        <v>213</v>
      </c>
      <c r="B21" s="55">
        <v>-4698.9836299999997</v>
      </c>
      <c r="C21" s="55">
        <v>-3816.60124</v>
      </c>
      <c r="D21" s="68">
        <f>IF(OR(-4698.98363="",-3816.60124="",-4698.98363=0,-3816.60124=0),"-",-3816.60124/-4698.98363*100)</f>
        <v>81.221845839884324</v>
      </c>
    </row>
    <row r="22" spans="1:4" x14ac:dyDescent="0.25">
      <c r="A22" s="58" t="s">
        <v>25</v>
      </c>
      <c r="B22" s="54">
        <v>16832.197609999999</v>
      </c>
      <c r="C22" s="54">
        <v>22213.142049999999</v>
      </c>
      <c r="D22" s="67">
        <f>IF(16832.19761="","-",22213.14205/16832.19761*100)</f>
        <v>131.96816342509658</v>
      </c>
    </row>
    <row r="23" spans="1:4" x14ac:dyDescent="0.25">
      <c r="A23" s="50" t="s">
        <v>220</v>
      </c>
      <c r="B23" s="55">
        <v>414.05032</v>
      </c>
      <c r="C23" s="55">
        <v>247.37066999999999</v>
      </c>
      <c r="D23" s="68">
        <f>IF(OR(414.05032="",247.37067="",414.05032=0,247.37067=0),"-",247.37067/414.05032*100)</f>
        <v>59.744107914226461</v>
      </c>
    </row>
    <row r="24" spans="1:4" x14ac:dyDescent="0.25">
      <c r="A24" s="50" t="s">
        <v>214</v>
      </c>
      <c r="B24" s="55">
        <v>25129.42872</v>
      </c>
      <c r="C24" s="55">
        <v>25330.33135</v>
      </c>
      <c r="D24" s="68">
        <f>IF(OR(25129.42872="",25330.33135="",25129.42872=0,25330.33135=0),"-",25330.33135/25129.42872*100)</f>
        <v>100.79947153689216</v>
      </c>
    </row>
    <row r="25" spans="1:4" x14ac:dyDescent="0.25">
      <c r="A25" s="50" t="s">
        <v>215</v>
      </c>
      <c r="B25" s="55">
        <v>-219.13506000000001</v>
      </c>
      <c r="C25" s="55">
        <v>-218.45997</v>
      </c>
      <c r="D25" s="68">
        <f>IF(OR(-219.13506="",-218.45997="",-219.13506=0,-218.45997=0),"-",-218.45997/-219.13506*100)</f>
        <v>99.691929716769195</v>
      </c>
    </row>
    <row r="26" spans="1:4" x14ac:dyDescent="0.25">
      <c r="A26" s="50" t="s">
        <v>216</v>
      </c>
      <c r="B26" s="55">
        <v>-3941.3337200000001</v>
      </c>
      <c r="C26" s="55">
        <v>-3707.1633499999998</v>
      </c>
      <c r="D26" s="68">
        <f>IF(OR(-3941.33372="",-3707.16335="",-3941.33372=0,-3707.16335=0),"-",-3707.16335/-3941.33372*100)</f>
        <v>94.058600802775956</v>
      </c>
    </row>
    <row r="27" spans="1:4" x14ac:dyDescent="0.25">
      <c r="A27" s="50" t="s">
        <v>167</v>
      </c>
      <c r="B27" s="55">
        <v>258.03600999999998</v>
      </c>
      <c r="C27" s="55">
        <v>425.84638000000001</v>
      </c>
      <c r="D27" s="68" t="s">
        <v>104</v>
      </c>
    </row>
    <row r="28" spans="1:4" ht="25.5" x14ac:dyDescent="0.25">
      <c r="A28" s="50" t="s">
        <v>168</v>
      </c>
      <c r="B28" s="55">
        <v>-1092.5093400000001</v>
      </c>
      <c r="C28" s="55">
        <v>-1192.88959</v>
      </c>
      <c r="D28" s="68">
        <f>IF(OR(-1092.50934="",-1192.88959="",-1092.50934=0,-1192.88959=0),"-",-1192.88959/-1092.50934*100)</f>
        <v>109.18804501936799</v>
      </c>
    </row>
    <row r="29" spans="1:4" ht="25.5" x14ac:dyDescent="0.25">
      <c r="A29" s="50" t="s">
        <v>169</v>
      </c>
      <c r="B29" s="55">
        <v>-754.93541000000005</v>
      </c>
      <c r="C29" s="55">
        <v>-1179.48659</v>
      </c>
      <c r="D29" s="68" t="s">
        <v>105</v>
      </c>
    </row>
    <row r="30" spans="1:4" x14ac:dyDescent="0.25">
      <c r="A30" s="50" t="s">
        <v>170</v>
      </c>
      <c r="B30" s="55">
        <v>1925.3165300000001</v>
      </c>
      <c r="C30" s="55">
        <v>9693.21911</v>
      </c>
      <c r="D30" s="68" t="s">
        <v>280</v>
      </c>
    </row>
    <row r="31" spans="1:4" x14ac:dyDescent="0.25">
      <c r="A31" s="50" t="s">
        <v>171</v>
      </c>
      <c r="B31" s="55">
        <v>-4886.7204400000001</v>
      </c>
      <c r="C31" s="55">
        <v>-7185.6259600000003</v>
      </c>
      <c r="D31" s="68">
        <f>IF(OR(-4886.72044="",-7185.62596="",-4886.72044=0,-7185.62596=0),"-",-7185.62596/-4886.72044*100)</f>
        <v>147.04393362023387</v>
      </c>
    </row>
    <row r="32" spans="1:4" x14ac:dyDescent="0.25">
      <c r="A32" s="58" t="s">
        <v>172</v>
      </c>
      <c r="B32" s="54">
        <v>-147165.65294999999</v>
      </c>
      <c r="C32" s="54">
        <v>-116322.83441</v>
      </c>
      <c r="D32" s="67">
        <f>IF(-147165.65295="","-",-116322.83441/-147165.65295*100)</f>
        <v>79.042108045089194</v>
      </c>
    </row>
    <row r="33" spans="1:4" x14ac:dyDescent="0.25">
      <c r="A33" s="50" t="s">
        <v>217</v>
      </c>
      <c r="B33" s="55">
        <v>-2010.69399</v>
      </c>
      <c r="C33" s="55">
        <v>-852.82860000000005</v>
      </c>
      <c r="D33" s="68">
        <f>IF(OR(-2010.69399="",-852.8286="",-2010.69399=0,-852.8286=0),"-",-852.8286/-2010.69399*100)</f>
        <v>42.414639136609743</v>
      </c>
    </row>
    <row r="34" spans="1:4" x14ac:dyDescent="0.25">
      <c r="A34" s="50" t="s">
        <v>173</v>
      </c>
      <c r="B34" s="55">
        <v>-76514.468670000002</v>
      </c>
      <c r="C34" s="55">
        <v>-61334.544349999996</v>
      </c>
      <c r="D34" s="68">
        <f>IF(OR(-76514.46867="",-61334.54435="",-76514.46867=0,-61334.54435=0),"-",-61334.54435/-76514.46867*100)</f>
        <v>80.160713935726776</v>
      </c>
    </row>
    <row r="35" spans="1:4" x14ac:dyDescent="0.25">
      <c r="A35" s="50" t="s">
        <v>218</v>
      </c>
      <c r="B35" s="55">
        <v>-63141.407910000002</v>
      </c>
      <c r="C35" s="55">
        <v>-54135.99338</v>
      </c>
      <c r="D35" s="68">
        <f>IF(OR(-63141.40791="",-54135.99338="",-63141.40791=0,-54135.99338=0),"-",-54135.99338/-63141.40791*100)</f>
        <v>85.737703944080451</v>
      </c>
    </row>
    <row r="36" spans="1:4" x14ac:dyDescent="0.25">
      <c r="A36" s="50" t="s">
        <v>174</v>
      </c>
      <c r="B36" s="55">
        <v>-5499.0823799999998</v>
      </c>
      <c r="C36" s="55">
        <v>0.53191999999999995</v>
      </c>
      <c r="D36" s="68" t="s">
        <v>22</v>
      </c>
    </row>
    <row r="37" spans="1:4" x14ac:dyDescent="0.25">
      <c r="A37" s="58" t="s">
        <v>175</v>
      </c>
      <c r="B37" s="54">
        <v>20794.671910000001</v>
      </c>
      <c r="C37" s="54">
        <v>6019.03773</v>
      </c>
      <c r="D37" s="67">
        <f>IF(20794.67191="","-",6019.03773/20794.67191*100)</f>
        <v>28.945095917120433</v>
      </c>
    </row>
    <row r="38" spans="1:4" x14ac:dyDescent="0.25">
      <c r="A38" s="50" t="s">
        <v>221</v>
      </c>
      <c r="B38" s="55">
        <v>-267.89057000000003</v>
      </c>
      <c r="C38" s="55">
        <v>-179.61229</v>
      </c>
      <c r="D38" s="68">
        <f>IF(OR(-267.89057="",-179.61229="",-267.89057=0,-179.61229=0),"-",-179.61229/-267.89057*100)</f>
        <v>67.04688783931438</v>
      </c>
    </row>
    <row r="39" spans="1:4" ht="14.25" customHeight="1" x14ac:dyDescent="0.25">
      <c r="A39" s="50" t="s">
        <v>176</v>
      </c>
      <c r="B39" s="55">
        <v>21362.08309</v>
      </c>
      <c r="C39" s="55">
        <v>6496.81088</v>
      </c>
      <c r="D39" s="68">
        <f>IF(OR(21362.08309="",6496.81088="",21362.08309=0,6496.81088=0),"-",6496.81088/21362.08309*100)</f>
        <v>30.41281532624167</v>
      </c>
    </row>
    <row r="40" spans="1:4" ht="38.25" x14ac:dyDescent="0.25">
      <c r="A40" s="50" t="s">
        <v>219</v>
      </c>
      <c r="B40" s="55">
        <v>-299.52060999999998</v>
      </c>
      <c r="C40" s="55">
        <v>-298.16086000000001</v>
      </c>
      <c r="D40" s="68">
        <f>IF(OR(-299.52061="",-298.16086="",-299.52061=0,-298.16086=0),"-",-298.16086/-299.52061*100)</f>
        <v>99.546024562383224</v>
      </c>
    </row>
    <row r="41" spans="1:4" ht="15" customHeight="1" x14ac:dyDescent="0.25">
      <c r="A41" s="58" t="s">
        <v>177</v>
      </c>
      <c r="B41" s="54">
        <v>-107297.50963</v>
      </c>
      <c r="C41" s="54">
        <v>-117607.90936999999</v>
      </c>
      <c r="D41" s="67">
        <f>IF(-107297.50963="","-",-117607.90937/-107297.50963*100)</f>
        <v>109.60916965878698</v>
      </c>
    </row>
    <row r="42" spans="1:4" x14ac:dyDescent="0.25">
      <c r="A42" s="50" t="s">
        <v>26</v>
      </c>
      <c r="B42" s="55">
        <v>3326.3905399999999</v>
      </c>
      <c r="C42" s="55">
        <v>2396.5377100000001</v>
      </c>
      <c r="D42" s="68">
        <f>IF(OR(3326.39054="",2396.53771="",3326.39054=0,2396.53771=0),"-",2396.53771/3326.39054*100)</f>
        <v>72.04619184613243</v>
      </c>
    </row>
    <row r="43" spans="1:4" x14ac:dyDescent="0.25">
      <c r="A43" s="50" t="s">
        <v>27</v>
      </c>
      <c r="B43" s="55">
        <v>-2967.5024699999999</v>
      </c>
      <c r="C43" s="55">
        <v>-2242.4124499999998</v>
      </c>
      <c r="D43" s="68">
        <f>IF(OR(-2967.50247="",-2242.41245="",-2967.50247=0,-2242.41245=0),"-",-2242.41245/-2967.50247*100)</f>
        <v>75.565647296664253</v>
      </c>
    </row>
    <row r="44" spans="1:4" x14ac:dyDescent="0.25">
      <c r="A44" s="50" t="s">
        <v>178</v>
      </c>
      <c r="B44" s="55">
        <v>-3980.9365699999998</v>
      </c>
      <c r="C44" s="55">
        <v>-3883.0920599999999</v>
      </c>
      <c r="D44" s="68">
        <f>IF(OR(-3980.93657="",-3883.09206="",-3980.93657=0,-3883.09206=0),"-",-3883.09206/-3980.93657*100)</f>
        <v>97.542173599616035</v>
      </c>
    </row>
    <row r="45" spans="1:4" x14ac:dyDescent="0.25">
      <c r="A45" s="50" t="s">
        <v>179</v>
      </c>
      <c r="B45" s="55">
        <v>-27335.066480000001</v>
      </c>
      <c r="C45" s="55">
        <v>-32353.875479999999</v>
      </c>
      <c r="D45" s="68">
        <f>IF(OR(-27335.06648="",-32353.87548="",-27335.06648=0,-32353.87548=0),"-",-32353.87548/-27335.06648*100)</f>
        <v>118.36033215310475</v>
      </c>
    </row>
    <row r="46" spans="1:4" ht="25.5" x14ac:dyDescent="0.25">
      <c r="A46" s="50" t="s">
        <v>180</v>
      </c>
      <c r="B46" s="55">
        <v>-14885.847390000001</v>
      </c>
      <c r="C46" s="55">
        <v>-18118.370709999999</v>
      </c>
      <c r="D46" s="68">
        <f>IF(OR(-14885.84739="",-18118.37071="",-14885.84739=0,-18118.37071=0),"-",-18118.37071/-14885.84739*100)</f>
        <v>121.71541354220479</v>
      </c>
    </row>
    <row r="47" spans="1:4" x14ac:dyDescent="0.25">
      <c r="A47" s="50" t="s">
        <v>181</v>
      </c>
      <c r="B47" s="55">
        <v>-22544.613580000001</v>
      </c>
      <c r="C47" s="55">
        <v>-12908.32051</v>
      </c>
      <c r="D47" s="68">
        <f>IF(OR(-22544.61358="",-12908.32051="",-22544.61358=0,-12908.32051=0),"-",-12908.32051/-22544.61358*100)</f>
        <v>57.25678315219097</v>
      </c>
    </row>
    <row r="48" spans="1:4" x14ac:dyDescent="0.25">
      <c r="A48" s="50" t="s">
        <v>28</v>
      </c>
      <c r="B48" s="55">
        <v>-6233.8991100000003</v>
      </c>
      <c r="C48" s="55">
        <v>-6533.5064000000002</v>
      </c>
      <c r="D48" s="68">
        <f>IF(OR(-6233.89911="",-6533.5064="",-6233.89911=0,-6533.5064=0),"-",-6533.5064/-6233.89911*100)</f>
        <v>104.8060978324046</v>
      </c>
    </row>
    <row r="49" spans="1:4" x14ac:dyDescent="0.25">
      <c r="A49" s="50" t="s">
        <v>29</v>
      </c>
      <c r="B49" s="55">
        <v>-15084.3382</v>
      </c>
      <c r="C49" s="55">
        <v>-18359.37499</v>
      </c>
      <c r="D49" s="68">
        <f>IF(OR(-15084.3382="",-18359.37499="",-15084.3382=0,-18359.37499=0),"-",-18359.37499/-15084.3382*100)</f>
        <v>121.7115046518912</v>
      </c>
    </row>
    <row r="50" spans="1:4" x14ac:dyDescent="0.25">
      <c r="A50" s="50" t="s">
        <v>182</v>
      </c>
      <c r="B50" s="55">
        <v>-17591.696370000001</v>
      </c>
      <c r="C50" s="55">
        <v>-25605.494480000001</v>
      </c>
      <c r="D50" s="68">
        <f>IF(OR(-17591.69637="",-25605.49448="",-17591.69637=0,-25605.49448=0),"-",-25605.49448/-17591.69637*100)</f>
        <v>145.55443626042984</v>
      </c>
    </row>
    <row r="51" spans="1:4" ht="25.5" x14ac:dyDescent="0.25">
      <c r="A51" s="58" t="s">
        <v>225</v>
      </c>
      <c r="B51" s="54">
        <v>-131974.95903999999</v>
      </c>
      <c r="C51" s="54">
        <v>-129270.58111</v>
      </c>
      <c r="D51" s="67">
        <f>IF(-131974.95904="","-",-129270.58111/-131974.95904*100)</f>
        <v>97.950840106583911</v>
      </c>
    </row>
    <row r="52" spans="1:4" x14ac:dyDescent="0.25">
      <c r="A52" s="50" t="s">
        <v>183</v>
      </c>
      <c r="B52" s="55">
        <v>-9599.2911800000002</v>
      </c>
      <c r="C52" s="55">
        <v>-9454.8818300000003</v>
      </c>
      <c r="D52" s="68">
        <f>IF(OR(-9599.29118="",-9454.88183="",-9599.29118=0,-9454.88183=0),"-",-9454.88183/-9599.29118*100)</f>
        <v>98.495624861334818</v>
      </c>
    </row>
    <row r="53" spans="1:4" x14ac:dyDescent="0.25">
      <c r="A53" s="50" t="s">
        <v>30</v>
      </c>
      <c r="B53" s="55">
        <v>-9476.3897099999995</v>
      </c>
      <c r="C53" s="55">
        <v>-8491.6392799999994</v>
      </c>
      <c r="D53" s="68">
        <f>IF(OR(-9476.38971="",-8491.63928="",-9476.38971=0,-8491.63928=0),"-",-8491.63928/-9476.38971*100)</f>
        <v>89.608379771878333</v>
      </c>
    </row>
    <row r="54" spans="1:4" x14ac:dyDescent="0.25">
      <c r="A54" s="50" t="s">
        <v>184</v>
      </c>
      <c r="B54" s="55">
        <v>-8660.6505300000008</v>
      </c>
      <c r="C54" s="55">
        <v>-9786.3933099999995</v>
      </c>
      <c r="D54" s="68">
        <f>IF(OR(-8660.65053="",-9786.39331="",-8660.65053=0,-9786.39331=0),"-",-9786.39331/-8660.65053*100)</f>
        <v>112.99836283776247</v>
      </c>
    </row>
    <row r="55" spans="1:4" ht="25.5" x14ac:dyDescent="0.25">
      <c r="A55" s="50" t="s">
        <v>185</v>
      </c>
      <c r="B55" s="55">
        <v>-12587.159439999999</v>
      </c>
      <c r="C55" s="55">
        <v>-13073.47867</v>
      </c>
      <c r="D55" s="68">
        <f>IF(OR(-12587.15944="",-13073.47867="",-12587.15944=0,-13073.47867=0),"-",-13073.47867/-12587.15944*100)</f>
        <v>103.86361380673827</v>
      </c>
    </row>
    <row r="56" spans="1:4" ht="25.5" x14ac:dyDescent="0.25">
      <c r="A56" s="50" t="s">
        <v>186</v>
      </c>
      <c r="B56" s="55">
        <v>-32372.93705</v>
      </c>
      <c r="C56" s="55">
        <v>-30135.42311</v>
      </c>
      <c r="D56" s="68">
        <f>IF(OR(-32372.93705="",-30135.42311="",-32372.93705=0,-30135.42311=0),"-",-30135.42311/-32372.93705*100)</f>
        <v>93.088319615411592</v>
      </c>
    </row>
    <row r="57" spans="1:4" x14ac:dyDescent="0.25">
      <c r="A57" s="50" t="s">
        <v>31</v>
      </c>
      <c r="B57" s="55">
        <v>-11277.43168</v>
      </c>
      <c r="C57" s="55">
        <v>-10780.90424</v>
      </c>
      <c r="D57" s="68">
        <f>IF(OR(-11277.43168="",-10780.90424="",-11277.43168=0,-10780.90424=0),"-",-10780.90424/-11277.43168*100)</f>
        <v>95.597158518986475</v>
      </c>
    </row>
    <row r="58" spans="1:4" x14ac:dyDescent="0.25">
      <c r="A58" s="50" t="s">
        <v>187</v>
      </c>
      <c r="B58" s="55">
        <v>-18399.69889</v>
      </c>
      <c r="C58" s="55">
        <v>-17327.98446</v>
      </c>
      <c r="D58" s="68">
        <f>IF(OR(-18399.69889="",-17327.98446="",-18399.69889=0,-17327.98446=0),"-",-17327.98446/-18399.69889*100)</f>
        <v>94.175369736172897</v>
      </c>
    </row>
    <row r="59" spans="1:4" x14ac:dyDescent="0.25">
      <c r="A59" s="50" t="s">
        <v>32</v>
      </c>
      <c r="B59" s="55">
        <v>-11472.73854</v>
      </c>
      <c r="C59" s="55">
        <v>-9487.0015600000006</v>
      </c>
      <c r="D59" s="68">
        <f>IF(OR(-11472.73854="",-9487.00156="",-11472.73854=0,-9487.00156=0),"-",-9487.00156/-11472.73854*100)</f>
        <v>82.69169149914228</v>
      </c>
    </row>
    <row r="60" spans="1:4" x14ac:dyDescent="0.25">
      <c r="A60" s="50" t="s">
        <v>33</v>
      </c>
      <c r="B60" s="55">
        <v>-18128.66202</v>
      </c>
      <c r="C60" s="55">
        <v>-20732.874650000002</v>
      </c>
      <c r="D60" s="68">
        <f>IF(OR(-18128.66202="",-20732.87465="",-18128.66202=0,-20732.87465=0),"-",-20732.87465/-18128.66202*100)</f>
        <v>114.36516730869033</v>
      </c>
    </row>
    <row r="61" spans="1:4" x14ac:dyDescent="0.25">
      <c r="A61" s="58" t="s">
        <v>188</v>
      </c>
      <c r="B61" s="54">
        <v>-93226.254780000003</v>
      </c>
      <c r="C61" s="54">
        <v>-129116.42369</v>
      </c>
      <c r="D61" s="67">
        <f>IF(-93226.25478="","-",-129116.42369/-93226.25478*100)</f>
        <v>138.49791992040807</v>
      </c>
    </row>
    <row r="62" spans="1:4" x14ac:dyDescent="0.25">
      <c r="A62" s="50" t="s">
        <v>189</v>
      </c>
      <c r="B62" s="55">
        <v>-2127.3749499999999</v>
      </c>
      <c r="C62" s="55">
        <v>-2932.6373699999999</v>
      </c>
      <c r="D62" s="68">
        <f>IF(OR(-2127.37495="",-2932.63737="",-2127.37495=0,-2932.63737=0),"-",-2932.63737/-2127.37495*100)</f>
        <v>137.85239738768195</v>
      </c>
    </row>
    <row r="63" spans="1:4" x14ac:dyDescent="0.25">
      <c r="A63" s="50" t="s">
        <v>190</v>
      </c>
      <c r="B63" s="55">
        <v>-20928.851299999998</v>
      </c>
      <c r="C63" s="55">
        <v>-21352.548419999999</v>
      </c>
      <c r="D63" s="68">
        <f>IF(OR(-20928.8513="",-21352.54842="",-20928.8513=0,-21352.54842=0),"-",-21352.54842/-20928.8513*100)</f>
        <v>102.02446428581582</v>
      </c>
    </row>
    <row r="64" spans="1:4" x14ac:dyDescent="0.25">
      <c r="A64" s="50" t="s">
        <v>191</v>
      </c>
      <c r="B64" s="55">
        <v>-2426.1608299999998</v>
      </c>
      <c r="C64" s="55">
        <v>-795.04570999999999</v>
      </c>
      <c r="D64" s="68">
        <f>IF(OR(-2426.16083="",-795.04571="",-2426.16083=0,-795.04571=0),"-",-795.04571/-2426.16083*100)</f>
        <v>32.769703482518096</v>
      </c>
    </row>
    <row r="65" spans="1:4" ht="25.5" x14ac:dyDescent="0.25">
      <c r="A65" s="50" t="s">
        <v>192</v>
      </c>
      <c r="B65" s="55">
        <v>-23021.251830000001</v>
      </c>
      <c r="C65" s="55">
        <v>-29465.836480000002</v>
      </c>
      <c r="D65" s="68">
        <f>IF(OR(-23021.25183="",-29465.83648="",-23021.25183=0,-29465.83648=0),"-",-29465.83648/-23021.25183*100)</f>
        <v>127.99406694992051</v>
      </c>
    </row>
    <row r="66" spans="1:4" ht="25.5" x14ac:dyDescent="0.25">
      <c r="A66" s="50" t="s">
        <v>193</v>
      </c>
      <c r="B66" s="55">
        <v>-6058.9141399999999</v>
      </c>
      <c r="C66" s="55">
        <v>-11159.97596</v>
      </c>
      <c r="D66" s="68" t="s">
        <v>227</v>
      </c>
    </row>
    <row r="67" spans="1:4" ht="25.5" x14ac:dyDescent="0.25">
      <c r="A67" s="50" t="s">
        <v>194</v>
      </c>
      <c r="B67" s="55">
        <v>-21872.184570000001</v>
      </c>
      <c r="C67" s="55">
        <v>-25691.512419999999</v>
      </c>
      <c r="D67" s="68">
        <f>IF(OR(-21872.18457="",-25691.51242="",-21872.18457=0,-25691.51242=0),"-",-25691.51242/-21872.18457*100)</f>
        <v>117.46203191444629</v>
      </c>
    </row>
    <row r="68" spans="1:4" ht="26.25" customHeight="1" x14ac:dyDescent="0.25">
      <c r="A68" s="50" t="s">
        <v>195</v>
      </c>
      <c r="B68" s="55">
        <v>26398.38608</v>
      </c>
      <c r="C68" s="55">
        <v>14039.20055</v>
      </c>
      <c r="D68" s="68">
        <f>IF(OR(26398.38608="",14039.20055="",26398.38608=0,14039.20055=0),"-",14039.20055/26398.38608*100)</f>
        <v>53.182041157570644</v>
      </c>
    </row>
    <row r="69" spans="1:4" x14ac:dyDescent="0.25">
      <c r="A69" s="50" t="s">
        <v>196</v>
      </c>
      <c r="B69" s="55">
        <v>-40234.369939999997</v>
      </c>
      <c r="C69" s="55">
        <v>-51825.159039999999</v>
      </c>
      <c r="D69" s="68">
        <f>IF(OR(-40234.36994="",-51825.15904="",-40234.36994=0,-51825.15904=0),"-",-51825.15904/-40234.36994*100)</f>
        <v>128.80817847349147</v>
      </c>
    </row>
    <row r="70" spans="1:4" x14ac:dyDescent="0.25">
      <c r="A70" s="50" t="s">
        <v>34</v>
      </c>
      <c r="B70" s="55">
        <v>-2955.5333000000001</v>
      </c>
      <c r="C70" s="55">
        <v>67.091160000000002</v>
      </c>
      <c r="D70" s="68" t="s">
        <v>22</v>
      </c>
    </row>
    <row r="71" spans="1:4" x14ac:dyDescent="0.25">
      <c r="A71" s="58" t="s">
        <v>35</v>
      </c>
      <c r="B71" s="54">
        <v>1749.58681</v>
      </c>
      <c r="C71" s="54">
        <v>-14851.357120000001</v>
      </c>
      <c r="D71" s="67" t="s">
        <v>22</v>
      </c>
    </row>
    <row r="72" spans="1:4" ht="25.5" x14ac:dyDescent="0.25">
      <c r="A72" s="50" t="s">
        <v>222</v>
      </c>
      <c r="B72" s="55">
        <v>-4957.2589600000001</v>
      </c>
      <c r="C72" s="55">
        <v>-5648.9422699999895</v>
      </c>
      <c r="D72" s="68">
        <f>IF(OR(-4957.25896="",-5648.94226999999="",-4957.25896=0,-5648.94226999999=0),"-",-5648.94226999999/-4957.25896*100)</f>
        <v>113.9529388232724</v>
      </c>
    </row>
    <row r="73" spans="1:4" x14ac:dyDescent="0.25">
      <c r="A73" s="50" t="s">
        <v>197</v>
      </c>
      <c r="B73" s="55">
        <v>17157.610939999999</v>
      </c>
      <c r="C73" s="55">
        <v>18103.660980000001</v>
      </c>
      <c r="D73" s="68">
        <f>IF(OR(17157.61094="",18103.66098="",17157.61094=0,18103.66098=0),"-",18103.66098/17157.61094*100)</f>
        <v>105.51387977795004</v>
      </c>
    </row>
    <row r="74" spans="1:4" x14ac:dyDescent="0.25">
      <c r="A74" s="50" t="s">
        <v>198</v>
      </c>
      <c r="B74" s="55">
        <v>752.30316000000005</v>
      </c>
      <c r="C74" s="55">
        <v>583.27014999999994</v>
      </c>
      <c r="D74" s="68">
        <f>IF(OR(752.30316="",583.27015="",752.30316=0,583.27015=0),"-",583.27015/752.30316*100)</f>
        <v>77.531264124957275</v>
      </c>
    </row>
    <row r="75" spans="1:4" x14ac:dyDescent="0.25">
      <c r="A75" s="50" t="s">
        <v>199</v>
      </c>
      <c r="B75" s="55">
        <v>20540.755850000001</v>
      </c>
      <c r="C75" s="55">
        <v>13248.071180000001</v>
      </c>
      <c r="D75" s="68">
        <f>IF(OR(20540.75585="",13248.07118="",20540.75585=0,13248.07118=0),"-",13248.07118/20540.75585*100)</f>
        <v>64.496512575996562</v>
      </c>
    </row>
    <row r="76" spans="1:4" x14ac:dyDescent="0.25">
      <c r="A76" s="50" t="s">
        <v>200</v>
      </c>
      <c r="B76" s="55">
        <v>-1002.49662</v>
      </c>
      <c r="C76" s="55">
        <v>-2009.15058</v>
      </c>
      <c r="D76" s="68" t="s">
        <v>20</v>
      </c>
    </row>
    <row r="77" spans="1:4" x14ac:dyDescent="0.25">
      <c r="A77" s="50" t="s">
        <v>223</v>
      </c>
      <c r="B77" s="55">
        <v>-5383.72966</v>
      </c>
      <c r="C77" s="55">
        <v>-7964.7576399999998</v>
      </c>
      <c r="D77" s="68">
        <f>IF(OR(-5383.72966="",-7964.75764="",-5383.72966=0,-7964.75764=0),"-",-7964.75764/-5383.72966*100)</f>
        <v>147.94126271191709</v>
      </c>
    </row>
    <row r="78" spans="1:4" ht="25.5" x14ac:dyDescent="0.25">
      <c r="A78" s="50" t="s">
        <v>201</v>
      </c>
      <c r="B78" s="55">
        <v>-1884.9903099999999</v>
      </c>
      <c r="C78" s="55">
        <v>-1366.6344799999999</v>
      </c>
      <c r="D78" s="68">
        <f>IF(OR(-1884.99031="",-1366.63448="",-1884.99031=0,-1366.63448=0),"-",-1366.63448/-1884.99031*100)</f>
        <v>72.50087561458075</v>
      </c>
    </row>
    <row r="79" spans="1:4" x14ac:dyDescent="0.25">
      <c r="A79" s="50" t="s">
        <v>36</v>
      </c>
      <c r="B79" s="55">
        <v>-23472.60759</v>
      </c>
      <c r="C79" s="55">
        <v>-29796.874459999999</v>
      </c>
      <c r="D79" s="68">
        <f>IF(OR(-23472.60759="",-29796.87446="",-23472.60759=0,-29796.87446=0),"-",-29796.87446/-23472.60759*100)</f>
        <v>126.94317981396459</v>
      </c>
    </row>
    <row r="80" spans="1:4" x14ac:dyDescent="0.25">
      <c r="A80" s="62" t="s">
        <v>202</v>
      </c>
      <c r="B80" s="65">
        <v>128.43297000000001</v>
      </c>
      <c r="C80" s="65">
        <v>-43.897579999999998</v>
      </c>
      <c r="D80" s="69" t="s">
        <v>22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Comerciala_Tari'!Заголовки_для_печати</vt:lpstr>
      <vt:lpstr>Balanta_Comerciala_Gr_Marf_CSCI!Заголовки_для_печати</vt:lpstr>
      <vt:lpstr>Export_Grupe_Marfuri_CSCI!Заголовки_для_печати</vt:lpstr>
      <vt:lpstr>Export_Tari!Заголовки_для_печати</vt:lpstr>
      <vt:lpstr>Import_Grupe_Marfuri_CSCI!Заголовки_для_печати</vt:lpstr>
      <vt:lpstr>Import_Tari!Заголовки_для_печати</vt:lpstr>
    </vt:vector>
  </TitlesOfParts>
  <Company>BNS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Mariana Eni</cp:lastModifiedBy>
  <cp:lastPrinted>2021-04-13T13:48:28Z</cp:lastPrinted>
  <dcterms:created xsi:type="dcterms:W3CDTF">2016-09-01T07:59:47Z</dcterms:created>
  <dcterms:modified xsi:type="dcterms:W3CDTF">2021-04-13T13:48:36Z</dcterms:modified>
</cp:coreProperties>
</file>