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_Ext_01-08_2021_REV\"/>
    </mc:Choice>
  </mc:AlternateContent>
  <bookViews>
    <workbookView xWindow="0" yWindow="0" windowWidth="11280" windowHeight="9510"/>
  </bookViews>
  <sheets>
    <sheet name="Export_Tari" sheetId="1" r:id="rId1"/>
    <sheet name="Import_Tari" sheetId="2" r:id="rId2"/>
    <sheet name="Balanta Comerciala_Tari" sheetId="3" r:id="rId3"/>
    <sheet name="Export_Moduri_Transport" sheetId="7" r:id="rId4"/>
    <sheet name="Import_Moduri_Transport" sheetId="8" r:id="rId5"/>
    <sheet name="Export_Grupe_Marfuri_CSCI" sheetId="5" r:id="rId6"/>
    <sheet name="Import_Grupe_Marfuri_CSCI" sheetId="6" r:id="rId7"/>
    <sheet name="Balanta_Comerciala_Gr_Marf_CSCI" sheetId="4" r:id="rId8"/>
  </sheets>
  <definedNames>
    <definedName name="_xlnm.Print_Titles" localSheetId="2">'Balanta Comerciala_Tari'!$3:$4</definedName>
    <definedName name="_xlnm.Print_Titles" localSheetId="7">Balanta_Comerciala_Gr_Marf_CSCI!$4:$5</definedName>
    <definedName name="_xlnm.Print_Titles" localSheetId="5">Export_Grupe_Marfuri_CSCI!$4:$6</definedName>
    <definedName name="_xlnm.Print_Titles" localSheetId="0">Export_Tari!$3:$5</definedName>
    <definedName name="_xlnm.Print_Titles" localSheetId="6">Import_Grupe_Marfuri_CSCI!$4:$6</definedName>
    <definedName name="_xlnm.Print_Titles" localSheetId="1">Import_Tari!$3:$5</definedName>
  </definedNames>
  <calcPr calcId="152511" iterate="1"/>
</workbook>
</file>

<file path=xl/calcChain.xml><?xml version="1.0" encoding="utf-8"?>
<calcChain xmlns="http://schemas.openxmlformats.org/spreadsheetml/2006/main">
  <c r="D22" i="8" l="1"/>
  <c r="D21" i="8"/>
  <c r="D20" i="8"/>
  <c r="D19" i="8"/>
  <c r="D18" i="8"/>
  <c r="D17" i="8"/>
  <c r="D23" i="8"/>
  <c r="D14" i="2" l="1"/>
  <c r="E80" i="4" l="1"/>
  <c r="E75" i="4"/>
  <c r="E74" i="4"/>
  <c r="E73" i="4"/>
  <c r="E72" i="4"/>
  <c r="E70" i="4"/>
  <c r="E68" i="4"/>
  <c r="E67" i="4"/>
  <c r="E65" i="4"/>
  <c r="E64" i="4"/>
  <c r="E63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3" i="4"/>
  <c r="E32" i="4"/>
  <c r="E28" i="4"/>
  <c r="E26" i="4"/>
  <c r="E24" i="4"/>
  <c r="E23" i="4"/>
  <c r="E21" i="4"/>
  <c r="E20" i="4"/>
  <c r="E19" i="4"/>
  <c r="E18" i="4"/>
  <c r="E16" i="4"/>
  <c r="E14" i="4"/>
  <c r="E13" i="4"/>
  <c r="E12" i="4"/>
  <c r="E11" i="4"/>
  <c r="E9" i="4"/>
  <c r="E6" i="4"/>
  <c r="H80" i="6" l="1"/>
  <c r="G80" i="6"/>
  <c r="F80" i="6"/>
  <c r="E80" i="6"/>
  <c r="D80" i="6"/>
  <c r="H79" i="6"/>
  <c r="G79" i="6"/>
  <c r="F79" i="6"/>
  <c r="E79" i="6"/>
  <c r="D79" i="6"/>
  <c r="H78" i="6"/>
  <c r="G78" i="6"/>
  <c r="F78" i="6"/>
  <c r="E78" i="6"/>
  <c r="H77" i="6"/>
  <c r="G77" i="6"/>
  <c r="F77" i="6"/>
  <c r="E77" i="6"/>
  <c r="H76" i="6"/>
  <c r="G76" i="6"/>
  <c r="F76" i="6"/>
  <c r="E76" i="6"/>
  <c r="D76" i="6"/>
  <c r="H75" i="6"/>
  <c r="G75" i="6"/>
  <c r="F75" i="6"/>
  <c r="E75" i="6"/>
  <c r="H74" i="6"/>
  <c r="G74" i="6"/>
  <c r="F74" i="6"/>
  <c r="E74" i="6"/>
  <c r="D74" i="6"/>
  <c r="H73" i="6"/>
  <c r="G73" i="6"/>
  <c r="F73" i="6"/>
  <c r="E73" i="6"/>
  <c r="D73" i="6"/>
  <c r="H72" i="6"/>
  <c r="G72" i="6"/>
  <c r="F72" i="6"/>
  <c r="E72" i="6"/>
  <c r="D72" i="6"/>
  <c r="H71" i="6"/>
  <c r="G71" i="6"/>
  <c r="F71" i="6"/>
  <c r="E71" i="6"/>
  <c r="H70" i="6"/>
  <c r="G70" i="6"/>
  <c r="F70" i="6"/>
  <c r="E70" i="6"/>
  <c r="D70" i="6"/>
  <c r="H69" i="6"/>
  <c r="G69" i="6"/>
  <c r="F69" i="6"/>
  <c r="E69" i="6"/>
  <c r="H68" i="6"/>
  <c r="G68" i="6"/>
  <c r="F68" i="6"/>
  <c r="E68" i="6"/>
  <c r="D68" i="6"/>
  <c r="H67" i="6"/>
  <c r="G67" i="6"/>
  <c r="F67" i="6"/>
  <c r="E67" i="6"/>
  <c r="D67" i="6"/>
  <c r="H66" i="6"/>
  <c r="G66" i="6"/>
  <c r="F66" i="6"/>
  <c r="E66" i="6"/>
  <c r="H65" i="6"/>
  <c r="G65" i="6"/>
  <c r="F65" i="6"/>
  <c r="E65" i="6"/>
  <c r="D65" i="6"/>
  <c r="H64" i="6"/>
  <c r="G64" i="6"/>
  <c r="F64" i="6"/>
  <c r="E64" i="6"/>
  <c r="D64" i="6"/>
  <c r="H63" i="6"/>
  <c r="G63" i="6"/>
  <c r="F63" i="6"/>
  <c r="E63" i="6"/>
  <c r="D63" i="6"/>
  <c r="H62" i="6"/>
  <c r="G62" i="6"/>
  <c r="F62" i="6"/>
  <c r="E62" i="6"/>
  <c r="H61" i="6"/>
  <c r="G61" i="6"/>
  <c r="F61" i="6"/>
  <c r="E61" i="6"/>
  <c r="D61" i="6"/>
  <c r="H60" i="6"/>
  <c r="G60" i="6"/>
  <c r="F60" i="6"/>
  <c r="E60" i="6"/>
  <c r="D60" i="6"/>
  <c r="H59" i="6"/>
  <c r="G59" i="6"/>
  <c r="F59" i="6"/>
  <c r="E59" i="6"/>
  <c r="D59" i="6"/>
  <c r="H58" i="6"/>
  <c r="G58" i="6"/>
  <c r="F58" i="6"/>
  <c r="E58" i="6"/>
  <c r="D58" i="6"/>
  <c r="H57" i="6"/>
  <c r="G57" i="6"/>
  <c r="F57" i="6"/>
  <c r="E57" i="6"/>
  <c r="D57" i="6"/>
  <c r="H56" i="6"/>
  <c r="G56" i="6"/>
  <c r="F56" i="6"/>
  <c r="E56" i="6"/>
  <c r="D56" i="6"/>
  <c r="H55" i="6"/>
  <c r="G55" i="6"/>
  <c r="F55" i="6"/>
  <c r="E55" i="6"/>
  <c r="D55" i="6"/>
  <c r="H54" i="6"/>
  <c r="G54" i="6"/>
  <c r="F54" i="6"/>
  <c r="E54" i="6"/>
  <c r="D54" i="6"/>
  <c r="H53" i="6"/>
  <c r="G53" i="6"/>
  <c r="F53" i="6"/>
  <c r="E53" i="6"/>
  <c r="D53" i="6"/>
  <c r="H52" i="6"/>
  <c r="G52" i="6"/>
  <c r="F52" i="6"/>
  <c r="E52" i="6"/>
  <c r="D52" i="6"/>
  <c r="H51" i="6"/>
  <c r="G51" i="6"/>
  <c r="F51" i="6"/>
  <c r="E51" i="6"/>
  <c r="D51" i="6"/>
  <c r="H50" i="6"/>
  <c r="G50" i="6"/>
  <c r="F50" i="6"/>
  <c r="E50" i="6"/>
  <c r="D50" i="6"/>
  <c r="H49" i="6"/>
  <c r="G49" i="6"/>
  <c r="F49" i="6"/>
  <c r="E49" i="6"/>
  <c r="D49" i="6"/>
  <c r="H48" i="6"/>
  <c r="G48" i="6"/>
  <c r="F48" i="6"/>
  <c r="E48" i="6"/>
  <c r="D48" i="6"/>
  <c r="H47" i="6"/>
  <c r="G47" i="6"/>
  <c r="F47" i="6"/>
  <c r="E47" i="6"/>
  <c r="D47" i="6"/>
  <c r="H46" i="6"/>
  <c r="G46" i="6"/>
  <c r="F46" i="6"/>
  <c r="E46" i="6"/>
  <c r="D46" i="6"/>
  <c r="H45" i="6"/>
  <c r="G45" i="6"/>
  <c r="F45" i="6"/>
  <c r="E45" i="6"/>
  <c r="D45" i="6"/>
  <c r="H44" i="6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D42" i="6"/>
  <c r="H41" i="6"/>
  <c r="G41" i="6"/>
  <c r="F41" i="6"/>
  <c r="E41" i="6"/>
  <c r="D41" i="6"/>
  <c r="H40" i="6"/>
  <c r="G40" i="6"/>
  <c r="F40" i="6"/>
  <c r="E40" i="6"/>
  <c r="D40" i="6"/>
  <c r="H39" i="6"/>
  <c r="G39" i="6"/>
  <c r="F39" i="6"/>
  <c r="E39" i="6"/>
  <c r="H38" i="6"/>
  <c r="G38" i="6"/>
  <c r="F38" i="6"/>
  <c r="E38" i="6"/>
  <c r="D38" i="6"/>
  <c r="H37" i="6"/>
  <c r="G37" i="6"/>
  <c r="F37" i="6"/>
  <c r="E37" i="6"/>
  <c r="D37" i="6"/>
  <c r="H36" i="6"/>
  <c r="G36" i="6"/>
  <c r="F36" i="6"/>
  <c r="E36" i="6"/>
  <c r="D36" i="6"/>
  <c r="H35" i="6"/>
  <c r="G35" i="6"/>
  <c r="F35" i="6"/>
  <c r="E35" i="6"/>
  <c r="D35" i="6"/>
  <c r="H34" i="6"/>
  <c r="G34" i="6"/>
  <c r="F34" i="6"/>
  <c r="E34" i="6"/>
  <c r="H33" i="6"/>
  <c r="G33" i="6"/>
  <c r="F33" i="6"/>
  <c r="E33" i="6"/>
  <c r="D33" i="6"/>
  <c r="H32" i="6"/>
  <c r="G32" i="6"/>
  <c r="F32" i="6"/>
  <c r="E32" i="6"/>
  <c r="D32" i="6"/>
  <c r="H31" i="6"/>
  <c r="G31" i="6"/>
  <c r="F31" i="6"/>
  <c r="E31" i="6"/>
  <c r="D31" i="6"/>
  <c r="H30" i="6"/>
  <c r="G30" i="6"/>
  <c r="F30" i="6"/>
  <c r="E30" i="6"/>
  <c r="D30" i="6"/>
  <c r="H29" i="6"/>
  <c r="G29" i="6"/>
  <c r="F29" i="6"/>
  <c r="E29" i="6"/>
  <c r="D29" i="6"/>
  <c r="H28" i="6"/>
  <c r="G28" i="6"/>
  <c r="F28" i="6"/>
  <c r="E28" i="6"/>
  <c r="D28" i="6"/>
  <c r="H27" i="6"/>
  <c r="G27" i="6"/>
  <c r="F27" i="6"/>
  <c r="E27" i="6"/>
  <c r="D27" i="6"/>
  <c r="H26" i="6"/>
  <c r="G26" i="6"/>
  <c r="F26" i="6"/>
  <c r="E26" i="6"/>
  <c r="D26" i="6"/>
  <c r="H25" i="6"/>
  <c r="G25" i="6"/>
  <c r="F25" i="6"/>
  <c r="E25" i="6"/>
  <c r="H24" i="6"/>
  <c r="G24" i="6"/>
  <c r="F24" i="6"/>
  <c r="E24" i="6"/>
  <c r="D24" i="6"/>
  <c r="H23" i="6"/>
  <c r="G23" i="6"/>
  <c r="F23" i="6"/>
  <c r="E23" i="6"/>
  <c r="D23" i="6"/>
  <c r="H22" i="6"/>
  <c r="G22" i="6"/>
  <c r="F22" i="6"/>
  <c r="E22" i="6"/>
  <c r="D22" i="6"/>
  <c r="H21" i="6"/>
  <c r="G21" i="6"/>
  <c r="F21" i="6"/>
  <c r="E21" i="6"/>
  <c r="D21" i="6"/>
  <c r="H20" i="6"/>
  <c r="G20" i="6"/>
  <c r="F20" i="6"/>
  <c r="E20" i="6"/>
  <c r="H19" i="6"/>
  <c r="G19" i="6"/>
  <c r="F19" i="6"/>
  <c r="E19" i="6"/>
  <c r="D19" i="6"/>
  <c r="H18" i="6"/>
  <c r="G18" i="6"/>
  <c r="F18" i="6"/>
  <c r="E18" i="6"/>
  <c r="D18" i="6"/>
  <c r="H17" i="6"/>
  <c r="G17" i="6"/>
  <c r="F17" i="6"/>
  <c r="E17" i="6"/>
  <c r="D17" i="6"/>
  <c r="H16" i="6"/>
  <c r="G16" i="6"/>
  <c r="F16" i="6"/>
  <c r="E16" i="6"/>
  <c r="D16" i="6"/>
  <c r="H15" i="6"/>
  <c r="G15" i="6"/>
  <c r="F15" i="6"/>
  <c r="E15" i="6"/>
  <c r="D15" i="6"/>
  <c r="H14" i="6"/>
  <c r="G14" i="6"/>
  <c r="F14" i="6"/>
  <c r="E14" i="6"/>
  <c r="D14" i="6"/>
  <c r="H13" i="6"/>
  <c r="G13" i="6"/>
  <c r="F13" i="6"/>
  <c r="E13" i="6"/>
  <c r="D13" i="6"/>
  <c r="H12" i="6"/>
  <c r="G12" i="6"/>
  <c r="F12" i="6"/>
  <c r="E12" i="6"/>
  <c r="D12" i="6"/>
  <c r="H11" i="6"/>
  <c r="G11" i="6"/>
  <c r="F11" i="6"/>
  <c r="E11" i="6"/>
  <c r="D11" i="6"/>
  <c r="H10" i="6"/>
  <c r="G10" i="6"/>
  <c r="F10" i="6"/>
  <c r="E10" i="6"/>
  <c r="H9" i="6"/>
  <c r="G9" i="6"/>
  <c r="F9" i="6"/>
  <c r="E9" i="6"/>
  <c r="D9" i="6"/>
  <c r="H8" i="6"/>
  <c r="G8" i="6"/>
  <c r="F8" i="6"/>
  <c r="E8" i="6"/>
  <c r="D8" i="6"/>
  <c r="H7" i="6"/>
  <c r="G7" i="6"/>
  <c r="D7" i="6"/>
  <c r="H79" i="5"/>
  <c r="G79" i="5"/>
  <c r="F79" i="5"/>
  <c r="E79" i="5"/>
  <c r="D79" i="5"/>
  <c r="H78" i="5"/>
  <c r="G78" i="5"/>
  <c r="F78" i="5"/>
  <c r="E78" i="5"/>
  <c r="D78" i="5"/>
  <c r="H77" i="5"/>
  <c r="G77" i="5"/>
  <c r="F77" i="5"/>
  <c r="E77" i="5"/>
  <c r="D77" i="5"/>
  <c r="H76" i="5"/>
  <c r="G76" i="5"/>
  <c r="F76" i="5"/>
  <c r="E76" i="5"/>
  <c r="D76" i="5"/>
  <c r="H75" i="5"/>
  <c r="G75" i="5"/>
  <c r="F75" i="5"/>
  <c r="E75" i="5"/>
  <c r="D75" i="5"/>
  <c r="H74" i="5"/>
  <c r="G74" i="5"/>
  <c r="F74" i="5"/>
  <c r="E74" i="5"/>
  <c r="D74" i="5"/>
  <c r="H73" i="5"/>
  <c r="G73" i="5"/>
  <c r="F73" i="5"/>
  <c r="E73" i="5"/>
  <c r="D73" i="5"/>
  <c r="H72" i="5"/>
  <c r="G72" i="5"/>
  <c r="F72" i="5"/>
  <c r="E72" i="5"/>
  <c r="D72" i="5"/>
  <c r="H71" i="5"/>
  <c r="G71" i="5"/>
  <c r="F71" i="5"/>
  <c r="E71" i="5"/>
  <c r="H70" i="5"/>
  <c r="G70" i="5"/>
  <c r="F70" i="5"/>
  <c r="E70" i="5"/>
  <c r="D70" i="5"/>
  <c r="H69" i="5"/>
  <c r="G69" i="5"/>
  <c r="F69" i="5"/>
  <c r="E69" i="5"/>
  <c r="H68" i="5"/>
  <c r="G68" i="5"/>
  <c r="F68" i="5"/>
  <c r="E68" i="5"/>
  <c r="H67" i="5"/>
  <c r="G67" i="5"/>
  <c r="F67" i="5"/>
  <c r="E67" i="5"/>
  <c r="D67" i="5"/>
  <c r="H66" i="5"/>
  <c r="G66" i="5"/>
  <c r="F66" i="5"/>
  <c r="E66" i="5"/>
  <c r="D66" i="5"/>
  <c r="H65" i="5"/>
  <c r="G65" i="5"/>
  <c r="F65" i="5"/>
  <c r="E65" i="5"/>
  <c r="D65" i="5"/>
  <c r="H64" i="5"/>
  <c r="G64" i="5"/>
  <c r="F64" i="5"/>
  <c r="E64" i="5"/>
  <c r="D64" i="5"/>
  <c r="H63" i="5"/>
  <c r="G63" i="5"/>
  <c r="F63" i="5"/>
  <c r="E63" i="5"/>
  <c r="H62" i="5"/>
  <c r="G62" i="5"/>
  <c r="F62" i="5"/>
  <c r="E62" i="5"/>
  <c r="D62" i="5"/>
  <c r="H61" i="5"/>
  <c r="G61" i="5"/>
  <c r="F61" i="5"/>
  <c r="E61" i="5"/>
  <c r="D61" i="5"/>
  <c r="H60" i="5"/>
  <c r="G60" i="5"/>
  <c r="F60" i="5"/>
  <c r="E60" i="5"/>
  <c r="D60" i="5"/>
  <c r="H59" i="5"/>
  <c r="G59" i="5"/>
  <c r="F59" i="5"/>
  <c r="E59" i="5"/>
  <c r="H58" i="5"/>
  <c r="G58" i="5"/>
  <c r="F58" i="5"/>
  <c r="E58" i="5"/>
  <c r="D58" i="5"/>
  <c r="H57" i="5"/>
  <c r="G57" i="5"/>
  <c r="F57" i="5"/>
  <c r="E57" i="5"/>
  <c r="H56" i="5"/>
  <c r="G56" i="5"/>
  <c r="F56" i="5"/>
  <c r="E56" i="5"/>
  <c r="D56" i="5"/>
  <c r="H55" i="5"/>
  <c r="G55" i="5"/>
  <c r="F55" i="5"/>
  <c r="E55" i="5"/>
  <c r="D55" i="5"/>
  <c r="H54" i="5"/>
  <c r="G54" i="5"/>
  <c r="F54" i="5"/>
  <c r="E54" i="5"/>
  <c r="D54" i="5"/>
  <c r="H53" i="5"/>
  <c r="G53" i="5"/>
  <c r="F53" i="5"/>
  <c r="E53" i="5"/>
  <c r="D53" i="5"/>
  <c r="H52" i="5"/>
  <c r="G52" i="5"/>
  <c r="F52" i="5"/>
  <c r="E52" i="5"/>
  <c r="D52" i="5"/>
  <c r="H51" i="5"/>
  <c r="G51" i="5"/>
  <c r="F51" i="5"/>
  <c r="E51" i="5"/>
  <c r="H50" i="5"/>
  <c r="G50" i="5"/>
  <c r="F50" i="5"/>
  <c r="E50" i="5"/>
  <c r="D50" i="5"/>
  <c r="H49" i="5"/>
  <c r="G49" i="5"/>
  <c r="F49" i="5"/>
  <c r="E49" i="5"/>
  <c r="H48" i="5"/>
  <c r="G48" i="5"/>
  <c r="F48" i="5"/>
  <c r="E48" i="5"/>
  <c r="H47" i="5"/>
  <c r="G47" i="5"/>
  <c r="F47" i="5"/>
  <c r="E47" i="5"/>
  <c r="D47" i="5"/>
  <c r="H46" i="5"/>
  <c r="G46" i="5"/>
  <c r="F46" i="5"/>
  <c r="E46" i="5"/>
  <c r="H45" i="5"/>
  <c r="G45" i="5"/>
  <c r="F45" i="5"/>
  <c r="E45" i="5"/>
  <c r="D45" i="5"/>
  <c r="H44" i="5"/>
  <c r="G44" i="5"/>
  <c r="F44" i="5"/>
  <c r="E44" i="5"/>
  <c r="D44" i="5"/>
  <c r="H43" i="5"/>
  <c r="G43" i="5"/>
  <c r="F43" i="5"/>
  <c r="E43" i="5"/>
  <c r="H42" i="5"/>
  <c r="G42" i="5"/>
  <c r="F42" i="5"/>
  <c r="E42" i="5"/>
  <c r="D42" i="5"/>
  <c r="H41" i="5"/>
  <c r="G41" i="5"/>
  <c r="F41" i="5"/>
  <c r="E41" i="5"/>
  <c r="D41" i="5"/>
  <c r="H40" i="5"/>
  <c r="G40" i="5"/>
  <c r="F40" i="5"/>
  <c r="E40" i="5"/>
  <c r="D40" i="5"/>
  <c r="H39" i="5"/>
  <c r="G39" i="5"/>
  <c r="F39" i="5"/>
  <c r="E39" i="5"/>
  <c r="D39" i="5"/>
  <c r="H38" i="5"/>
  <c r="G38" i="5"/>
  <c r="F38" i="5"/>
  <c r="E38" i="5"/>
  <c r="D38" i="5"/>
  <c r="H37" i="5"/>
  <c r="G37" i="5"/>
  <c r="F37" i="5"/>
  <c r="E37" i="5"/>
  <c r="H36" i="5"/>
  <c r="G36" i="5"/>
  <c r="F36" i="5"/>
  <c r="E36" i="5"/>
  <c r="D36" i="5"/>
  <c r="H35" i="5"/>
  <c r="G35" i="5"/>
  <c r="F35" i="5"/>
  <c r="E35" i="5"/>
  <c r="D35" i="5"/>
  <c r="H34" i="5"/>
  <c r="G34" i="5"/>
  <c r="F34" i="5"/>
  <c r="E34" i="5"/>
  <c r="H33" i="5"/>
  <c r="G33" i="5"/>
  <c r="F33" i="5"/>
  <c r="E33" i="5"/>
  <c r="H32" i="5"/>
  <c r="G32" i="5"/>
  <c r="F32" i="5"/>
  <c r="E32" i="5"/>
  <c r="H31" i="5"/>
  <c r="G31" i="5"/>
  <c r="F31" i="5"/>
  <c r="E31" i="5"/>
  <c r="D31" i="5"/>
  <c r="H30" i="5"/>
  <c r="G30" i="5"/>
  <c r="F30" i="5"/>
  <c r="E30" i="5"/>
  <c r="H29" i="5"/>
  <c r="G29" i="5"/>
  <c r="F29" i="5"/>
  <c r="E29" i="5"/>
  <c r="D29" i="5"/>
  <c r="H28" i="5"/>
  <c r="G28" i="5"/>
  <c r="F28" i="5"/>
  <c r="E28" i="5"/>
  <c r="D28" i="5"/>
  <c r="H27" i="5"/>
  <c r="G27" i="5"/>
  <c r="F27" i="5"/>
  <c r="E27" i="5"/>
  <c r="H26" i="5"/>
  <c r="G26" i="5"/>
  <c r="F26" i="5"/>
  <c r="E26" i="5"/>
  <c r="H25" i="5"/>
  <c r="G25" i="5"/>
  <c r="F25" i="5"/>
  <c r="E25" i="5"/>
  <c r="H24" i="5"/>
  <c r="G24" i="5"/>
  <c r="F24" i="5"/>
  <c r="E24" i="5"/>
  <c r="D24" i="5"/>
  <c r="H23" i="5"/>
  <c r="G23" i="5"/>
  <c r="F23" i="5"/>
  <c r="E23" i="5"/>
  <c r="D23" i="5"/>
  <c r="H22" i="5"/>
  <c r="G22" i="5"/>
  <c r="F22" i="5"/>
  <c r="E22" i="5"/>
  <c r="D22" i="5"/>
  <c r="H21" i="5"/>
  <c r="G21" i="5"/>
  <c r="F21" i="5"/>
  <c r="E21" i="5"/>
  <c r="D21" i="5"/>
  <c r="H20" i="5"/>
  <c r="G20" i="5"/>
  <c r="F20" i="5"/>
  <c r="E20" i="5"/>
  <c r="D20" i="5"/>
  <c r="H19" i="5"/>
  <c r="G19" i="5"/>
  <c r="F19" i="5"/>
  <c r="E19" i="5"/>
  <c r="D19" i="5"/>
  <c r="H18" i="5"/>
  <c r="G18" i="5"/>
  <c r="F18" i="5"/>
  <c r="E18" i="5"/>
  <c r="H17" i="5"/>
  <c r="G17" i="5"/>
  <c r="F17" i="5"/>
  <c r="E17" i="5"/>
  <c r="D17" i="5"/>
  <c r="H16" i="5"/>
  <c r="G16" i="5"/>
  <c r="F16" i="5"/>
  <c r="E16" i="5"/>
  <c r="D16" i="5"/>
  <c r="H15" i="5"/>
  <c r="G15" i="5"/>
  <c r="F15" i="5"/>
  <c r="E15" i="5"/>
  <c r="D15" i="5"/>
  <c r="H14" i="5"/>
  <c r="G14" i="5"/>
  <c r="F14" i="5"/>
  <c r="E14" i="5"/>
  <c r="D14" i="5"/>
  <c r="H13" i="5"/>
  <c r="G13" i="5"/>
  <c r="F13" i="5"/>
  <c r="E13" i="5"/>
  <c r="D13" i="5"/>
  <c r="H12" i="5"/>
  <c r="G12" i="5"/>
  <c r="F12" i="5"/>
  <c r="E12" i="5"/>
  <c r="H11" i="5"/>
  <c r="G11" i="5"/>
  <c r="F11" i="5"/>
  <c r="E11" i="5"/>
  <c r="D11" i="5"/>
  <c r="H10" i="5"/>
  <c r="G10" i="5"/>
  <c r="F10" i="5"/>
  <c r="E10" i="5"/>
  <c r="H9" i="5"/>
  <c r="G9" i="5"/>
  <c r="F9" i="5"/>
  <c r="E9" i="5"/>
  <c r="D9" i="5"/>
  <c r="H8" i="5"/>
  <c r="G8" i="5"/>
  <c r="F8" i="5"/>
  <c r="E8" i="5"/>
  <c r="D8" i="5"/>
  <c r="H7" i="5"/>
  <c r="G7" i="5"/>
  <c r="D7" i="5"/>
  <c r="E39" i="8" l="1"/>
  <c r="D39" i="8"/>
  <c r="E38" i="8"/>
  <c r="D38" i="8"/>
  <c r="E37" i="8"/>
  <c r="D37" i="8"/>
  <c r="E36" i="8"/>
  <c r="D36" i="8"/>
  <c r="E35" i="8"/>
  <c r="D35" i="8"/>
  <c r="E34" i="8"/>
  <c r="D34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E25" i="8"/>
  <c r="D25" i="8"/>
  <c r="E23" i="8"/>
  <c r="E22" i="8"/>
  <c r="E21" i="8"/>
  <c r="E20" i="8"/>
  <c r="E19" i="8"/>
  <c r="E18" i="8"/>
  <c r="E17" i="8"/>
  <c r="E15" i="8"/>
  <c r="D15" i="8"/>
  <c r="E14" i="8"/>
  <c r="D14" i="8"/>
  <c r="E13" i="8"/>
  <c r="D13" i="8"/>
  <c r="E12" i="8"/>
  <c r="D12" i="8"/>
  <c r="E11" i="8"/>
  <c r="D11" i="8"/>
  <c r="E10" i="8"/>
  <c r="D10" i="8"/>
  <c r="E9" i="8"/>
  <c r="D9" i="8"/>
  <c r="E8" i="8"/>
  <c r="D8" i="8"/>
  <c r="E39" i="7"/>
  <c r="E38" i="7"/>
  <c r="D38" i="7"/>
  <c r="E37" i="7"/>
  <c r="D37" i="7"/>
  <c r="E36" i="7"/>
  <c r="D36" i="7"/>
  <c r="E35" i="7"/>
  <c r="D35" i="7"/>
  <c r="E34" i="7"/>
  <c r="D34" i="7"/>
  <c r="E32" i="7"/>
  <c r="D32" i="7"/>
  <c r="E31" i="7"/>
  <c r="D31" i="7"/>
  <c r="E30" i="7"/>
  <c r="D30" i="7"/>
  <c r="E29" i="7"/>
  <c r="D29" i="7"/>
  <c r="E28" i="7"/>
  <c r="D28" i="7"/>
  <c r="E27" i="7"/>
  <c r="D27" i="7"/>
  <c r="E26" i="7"/>
  <c r="D26" i="7"/>
  <c r="E25" i="7"/>
  <c r="D25" i="7"/>
  <c r="E23" i="7"/>
  <c r="D23" i="7"/>
  <c r="B23" i="7"/>
  <c r="E22" i="7"/>
  <c r="D22" i="7"/>
  <c r="E21" i="7"/>
  <c r="D21" i="7"/>
  <c r="E20" i="7"/>
  <c r="D20" i="7"/>
  <c r="E19" i="7"/>
  <c r="D19" i="7"/>
  <c r="E18" i="7"/>
  <c r="D18" i="7"/>
  <c r="E17" i="7"/>
  <c r="D17" i="7"/>
  <c r="E15" i="7"/>
  <c r="D15" i="7"/>
  <c r="E14" i="7"/>
  <c r="D14" i="7"/>
  <c r="E13" i="7"/>
  <c r="D13" i="7"/>
  <c r="E12" i="7"/>
  <c r="D12" i="7"/>
  <c r="E11" i="7"/>
  <c r="D11" i="7"/>
  <c r="E10" i="7"/>
  <c r="D10" i="7"/>
  <c r="E9" i="7"/>
  <c r="D9" i="7"/>
  <c r="E8" i="7"/>
  <c r="D8" i="7"/>
  <c r="D154" i="3" l="1"/>
  <c r="D152" i="3"/>
  <c r="D150" i="3"/>
  <c r="D147" i="3"/>
  <c r="D141" i="3"/>
  <c r="D140" i="3"/>
  <c r="D139" i="3"/>
  <c r="D137" i="3"/>
  <c r="D133" i="3"/>
  <c r="D128" i="3"/>
  <c r="D126" i="3"/>
  <c r="D124" i="3"/>
  <c r="D118" i="3"/>
  <c r="D116" i="3"/>
  <c r="D112" i="3"/>
  <c r="D110" i="3"/>
  <c r="D109" i="3"/>
  <c r="D107" i="3"/>
  <c r="D105" i="3"/>
  <c r="D102" i="3"/>
  <c r="D99" i="3"/>
  <c r="D96" i="3"/>
  <c r="D91" i="3"/>
  <c r="D90" i="3"/>
  <c r="D89" i="3"/>
  <c r="D86" i="3"/>
  <c r="D83" i="3"/>
  <c r="D81" i="3"/>
  <c r="D79" i="3"/>
  <c r="D78" i="3"/>
  <c r="D75" i="3"/>
  <c r="D73" i="3"/>
  <c r="D72" i="3"/>
  <c r="D70" i="3"/>
  <c r="D65" i="3"/>
  <c r="D64" i="3"/>
  <c r="D63" i="3"/>
  <c r="D62" i="3"/>
  <c r="D58" i="3"/>
  <c r="D57" i="3"/>
  <c r="D55" i="3"/>
  <c r="D54" i="3"/>
  <c r="D53" i="3"/>
  <c r="D52" i="3"/>
  <c r="D51" i="3"/>
  <c r="D49" i="3"/>
  <c r="D48" i="3"/>
  <c r="D47" i="3"/>
  <c r="D44" i="3"/>
  <c r="D43" i="3"/>
  <c r="D42" i="3"/>
  <c r="D41" i="3"/>
  <c r="D38" i="3"/>
  <c r="D36" i="3"/>
  <c r="D35" i="3"/>
  <c r="D34" i="3"/>
  <c r="D33" i="3"/>
  <c r="D32" i="3"/>
  <c r="D28" i="3"/>
  <c r="D27" i="3"/>
  <c r="D24" i="3"/>
  <c r="D23" i="3"/>
  <c r="D22" i="3"/>
  <c r="D21" i="3"/>
  <c r="D20" i="3"/>
  <c r="D19" i="3"/>
  <c r="D12" i="3"/>
  <c r="D8" i="3"/>
  <c r="D7" i="3"/>
  <c r="D5" i="3"/>
  <c r="G124" i="2" l="1"/>
  <c r="F124" i="2"/>
  <c r="E124" i="2"/>
  <c r="D124" i="2"/>
  <c r="C124" i="2"/>
  <c r="G123" i="2"/>
  <c r="F123" i="2"/>
  <c r="E123" i="2"/>
  <c r="D123" i="2"/>
  <c r="G122" i="2"/>
  <c r="F122" i="2"/>
  <c r="E122" i="2"/>
  <c r="D122" i="2"/>
  <c r="C122" i="2"/>
  <c r="G121" i="2"/>
  <c r="F121" i="2"/>
  <c r="E121" i="2"/>
  <c r="D121" i="2"/>
  <c r="G120" i="2"/>
  <c r="F120" i="2"/>
  <c r="E120" i="2"/>
  <c r="D120" i="2"/>
  <c r="C120" i="2"/>
  <c r="G119" i="2"/>
  <c r="F119" i="2"/>
  <c r="E119" i="2"/>
  <c r="D119" i="2"/>
  <c r="G118" i="2"/>
  <c r="F118" i="2"/>
  <c r="E118" i="2"/>
  <c r="D118" i="2"/>
  <c r="C118" i="2"/>
  <c r="G117" i="2"/>
  <c r="F117" i="2"/>
  <c r="E117" i="2"/>
  <c r="D117" i="2"/>
  <c r="G116" i="2"/>
  <c r="F116" i="2"/>
  <c r="E116" i="2"/>
  <c r="D116" i="2"/>
  <c r="C116" i="2"/>
  <c r="G115" i="2"/>
  <c r="F115" i="2"/>
  <c r="E115" i="2"/>
  <c r="D115" i="2"/>
  <c r="C115" i="2"/>
  <c r="G114" i="2"/>
  <c r="F114" i="2"/>
  <c r="E114" i="2"/>
  <c r="D114" i="2"/>
  <c r="G113" i="2"/>
  <c r="F113" i="2"/>
  <c r="E113" i="2"/>
  <c r="D113" i="2"/>
  <c r="G112" i="2"/>
  <c r="F112" i="2"/>
  <c r="E112" i="2"/>
  <c r="D112" i="2"/>
  <c r="C112" i="2"/>
  <c r="G111" i="2"/>
  <c r="F111" i="2"/>
  <c r="E111" i="2"/>
  <c r="D111" i="2"/>
  <c r="G110" i="2"/>
  <c r="F110" i="2"/>
  <c r="E110" i="2"/>
  <c r="D110" i="2"/>
  <c r="G109" i="2"/>
  <c r="F109" i="2"/>
  <c r="E109" i="2"/>
  <c r="D109" i="2"/>
  <c r="C109" i="2"/>
  <c r="G108" i="2"/>
  <c r="F108" i="2"/>
  <c r="E108" i="2"/>
  <c r="D108" i="2"/>
  <c r="G107" i="2"/>
  <c r="F107" i="2"/>
  <c r="E107" i="2"/>
  <c r="D107" i="2"/>
  <c r="G106" i="2"/>
  <c r="F106" i="2"/>
  <c r="E106" i="2"/>
  <c r="D106" i="2"/>
  <c r="C106" i="2"/>
  <c r="G105" i="2"/>
  <c r="F105" i="2"/>
  <c r="E105" i="2"/>
  <c r="D105" i="2"/>
  <c r="G104" i="2"/>
  <c r="F104" i="2"/>
  <c r="E104" i="2"/>
  <c r="D104" i="2"/>
  <c r="C104" i="2"/>
  <c r="G103" i="2"/>
  <c r="F103" i="2"/>
  <c r="E103" i="2"/>
  <c r="D103" i="2"/>
  <c r="C103" i="2"/>
  <c r="G102" i="2"/>
  <c r="F102" i="2"/>
  <c r="E102" i="2"/>
  <c r="D102" i="2"/>
  <c r="C102" i="2"/>
  <c r="G101" i="2"/>
  <c r="F101" i="2"/>
  <c r="E101" i="2"/>
  <c r="D101" i="2"/>
  <c r="G100" i="2"/>
  <c r="F100" i="2"/>
  <c r="E100" i="2"/>
  <c r="D100" i="2"/>
  <c r="G99" i="2"/>
  <c r="F99" i="2"/>
  <c r="E99" i="2"/>
  <c r="D99" i="2"/>
  <c r="C99" i="2"/>
  <c r="G98" i="2"/>
  <c r="F98" i="2"/>
  <c r="E98" i="2"/>
  <c r="D98" i="2"/>
  <c r="G97" i="2"/>
  <c r="F97" i="2"/>
  <c r="E97" i="2"/>
  <c r="D97" i="2"/>
  <c r="C97" i="2"/>
  <c r="G96" i="2"/>
  <c r="F96" i="2"/>
  <c r="E96" i="2"/>
  <c r="D96" i="2"/>
  <c r="G95" i="2"/>
  <c r="F95" i="2"/>
  <c r="E95" i="2"/>
  <c r="D95" i="2"/>
  <c r="C95" i="2"/>
  <c r="G94" i="2"/>
  <c r="F94" i="2"/>
  <c r="E94" i="2"/>
  <c r="D94" i="2"/>
  <c r="C94" i="2"/>
  <c r="G93" i="2"/>
  <c r="F93" i="2"/>
  <c r="E93" i="2"/>
  <c r="D93" i="2"/>
  <c r="G92" i="2"/>
  <c r="F92" i="2"/>
  <c r="E92" i="2"/>
  <c r="D92" i="2"/>
  <c r="G91" i="2"/>
  <c r="F91" i="2"/>
  <c r="E91" i="2"/>
  <c r="D91" i="2"/>
  <c r="C91" i="2"/>
  <c r="G90" i="2"/>
  <c r="F90" i="2"/>
  <c r="E90" i="2"/>
  <c r="D90" i="2"/>
  <c r="C90" i="2"/>
  <c r="G89" i="2"/>
  <c r="F89" i="2"/>
  <c r="E89" i="2"/>
  <c r="D89" i="2"/>
  <c r="C89" i="2"/>
  <c r="G88" i="2"/>
  <c r="F88" i="2"/>
  <c r="E88" i="2"/>
  <c r="D88" i="2"/>
  <c r="G87" i="2"/>
  <c r="F87" i="2"/>
  <c r="E87" i="2"/>
  <c r="D87" i="2"/>
  <c r="C87" i="2"/>
  <c r="G86" i="2"/>
  <c r="F86" i="2"/>
  <c r="E86" i="2"/>
  <c r="D86" i="2"/>
  <c r="C86" i="2"/>
  <c r="G85" i="2"/>
  <c r="F85" i="2"/>
  <c r="E85" i="2"/>
  <c r="D85" i="2"/>
  <c r="G84" i="2"/>
  <c r="F84" i="2"/>
  <c r="E84" i="2"/>
  <c r="D84" i="2"/>
  <c r="C84" i="2"/>
  <c r="G83" i="2"/>
  <c r="F83" i="2"/>
  <c r="E83" i="2"/>
  <c r="D83" i="2"/>
  <c r="G82" i="2"/>
  <c r="F82" i="2"/>
  <c r="E82" i="2"/>
  <c r="D82" i="2"/>
  <c r="C82" i="2"/>
  <c r="G81" i="2"/>
  <c r="F81" i="2"/>
  <c r="E81" i="2"/>
  <c r="D81" i="2"/>
  <c r="C81" i="2"/>
  <c r="G80" i="2"/>
  <c r="F80" i="2"/>
  <c r="E80" i="2"/>
  <c r="D80" i="2"/>
  <c r="G79" i="2"/>
  <c r="F79" i="2"/>
  <c r="E79" i="2"/>
  <c r="D79" i="2"/>
  <c r="C79" i="2"/>
  <c r="G78" i="2"/>
  <c r="F78" i="2"/>
  <c r="E78" i="2"/>
  <c r="D78" i="2"/>
  <c r="C78" i="2"/>
  <c r="G77" i="2"/>
  <c r="F77" i="2"/>
  <c r="E77" i="2"/>
  <c r="D77" i="2"/>
  <c r="G76" i="2"/>
  <c r="F76" i="2"/>
  <c r="E76" i="2"/>
  <c r="D76" i="2"/>
  <c r="C76" i="2"/>
  <c r="G75" i="2"/>
  <c r="F75" i="2"/>
  <c r="E75" i="2"/>
  <c r="D75" i="2"/>
  <c r="G74" i="2"/>
  <c r="F74" i="2"/>
  <c r="E74" i="2"/>
  <c r="D74" i="2"/>
  <c r="C74" i="2"/>
  <c r="G73" i="2"/>
  <c r="F73" i="2"/>
  <c r="E73" i="2"/>
  <c r="D73" i="2"/>
  <c r="C73" i="2"/>
  <c r="G72" i="2"/>
  <c r="F72" i="2"/>
  <c r="E72" i="2"/>
  <c r="D72" i="2"/>
  <c r="G71" i="2"/>
  <c r="F71" i="2"/>
  <c r="E71" i="2"/>
  <c r="D71" i="2"/>
  <c r="C71" i="2"/>
  <c r="G70" i="2"/>
  <c r="F70" i="2"/>
  <c r="E70" i="2"/>
  <c r="D70" i="2"/>
  <c r="C70" i="2"/>
  <c r="G69" i="2"/>
  <c r="F69" i="2"/>
  <c r="E69" i="2"/>
  <c r="D69" i="2"/>
  <c r="C69" i="2"/>
  <c r="G68" i="2"/>
  <c r="F68" i="2"/>
  <c r="E68" i="2"/>
  <c r="D68" i="2"/>
  <c r="C68" i="2"/>
  <c r="G67" i="2"/>
  <c r="F67" i="2"/>
  <c r="E67" i="2"/>
  <c r="D67" i="2"/>
  <c r="C67" i="2"/>
  <c r="G66" i="2"/>
  <c r="F66" i="2"/>
  <c r="E66" i="2"/>
  <c r="D66" i="2"/>
  <c r="G65" i="2"/>
  <c r="F65" i="2"/>
  <c r="E65" i="2"/>
  <c r="D65" i="2"/>
  <c r="C65" i="2"/>
  <c r="G64" i="2"/>
  <c r="F64" i="2"/>
  <c r="E64" i="2"/>
  <c r="D64" i="2"/>
  <c r="C64" i="2"/>
  <c r="G63" i="2"/>
  <c r="F63" i="2"/>
  <c r="E63" i="2"/>
  <c r="D63" i="2"/>
  <c r="C63" i="2"/>
  <c r="G62" i="2"/>
  <c r="F62" i="2"/>
  <c r="E62" i="2"/>
  <c r="D62" i="2"/>
  <c r="C62" i="2"/>
  <c r="G61" i="2"/>
  <c r="F61" i="2"/>
  <c r="E61" i="2"/>
  <c r="D61" i="2"/>
  <c r="G60" i="2"/>
  <c r="F60" i="2"/>
  <c r="E60" i="2"/>
  <c r="D60" i="2"/>
  <c r="C60" i="2"/>
  <c r="G59" i="2"/>
  <c r="F59" i="2"/>
  <c r="E59" i="2"/>
  <c r="D59" i="2"/>
  <c r="C59" i="2"/>
  <c r="G58" i="2"/>
  <c r="F58" i="2"/>
  <c r="E58" i="2"/>
  <c r="D58" i="2"/>
  <c r="C58" i="2"/>
  <c r="G57" i="2"/>
  <c r="F57" i="2"/>
  <c r="E57" i="2"/>
  <c r="D57" i="2"/>
  <c r="C57" i="2"/>
  <c r="G56" i="2"/>
  <c r="F56" i="2"/>
  <c r="E56" i="2"/>
  <c r="D56" i="2"/>
  <c r="C56" i="2"/>
  <c r="G55" i="2"/>
  <c r="F55" i="2"/>
  <c r="E55" i="2"/>
  <c r="D55" i="2"/>
  <c r="C55" i="2"/>
  <c r="G54" i="2"/>
  <c r="F54" i="2"/>
  <c r="E54" i="2"/>
  <c r="D54" i="2"/>
  <c r="C54" i="2"/>
  <c r="G53" i="2"/>
  <c r="F53" i="2"/>
  <c r="E53" i="2"/>
  <c r="D53" i="2"/>
  <c r="C53" i="2"/>
  <c r="G52" i="2"/>
  <c r="F52" i="2"/>
  <c r="E52" i="2"/>
  <c r="D52" i="2"/>
  <c r="C52" i="2"/>
  <c r="G51" i="2"/>
  <c r="F51" i="2"/>
  <c r="E51" i="2"/>
  <c r="D51" i="2"/>
  <c r="G50" i="2"/>
  <c r="F50" i="2"/>
  <c r="E50" i="2"/>
  <c r="D50" i="2"/>
  <c r="C50" i="2"/>
  <c r="G49" i="2"/>
  <c r="F49" i="2"/>
  <c r="E49" i="2"/>
  <c r="D49" i="2"/>
  <c r="C49" i="2"/>
  <c r="G48" i="2"/>
  <c r="F48" i="2"/>
  <c r="E48" i="2"/>
  <c r="D48" i="2"/>
  <c r="C48" i="2"/>
  <c r="G47" i="2"/>
  <c r="F47" i="2"/>
  <c r="E47" i="2"/>
  <c r="D47" i="2"/>
  <c r="G46" i="2"/>
  <c r="F46" i="2"/>
  <c r="E46" i="2"/>
  <c r="D46" i="2"/>
  <c r="G45" i="2"/>
  <c r="F45" i="2"/>
  <c r="E45" i="2"/>
  <c r="D45" i="2"/>
  <c r="C45" i="2"/>
  <c r="G44" i="2"/>
  <c r="F44" i="2"/>
  <c r="E44" i="2"/>
  <c r="D44" i="2"/>
  <c r="C44" i="2"/>
  <c r="G43" i="2"/>
  <c r="F43" i="2"/>
  <c r="E43" i="2"/>
  <c r="D43" i="2"/>
  <c r="G42" i="2"/>
  <c r="F42" i="2"/>
  <c r="E42" i="2"/>
  <c r="D42" i="2"/>
  <c r="G41" i="2"/>
  <c r="F41" i="2"/>
  <c r="E41" i="2"/>
  <c r="D41" i="2"/>
  <c r="C41" i="2"/>
  <c r="G40" i="2"/>
  <c r="F40" i="2"/>
  <c r="E40" i="2"/>
  <c r="D40" i="2"/>
  <c r="C40" i="2"/>
  <c r="G39" i="2"/>
  <c r="F39" i="2"/>
  <c r="E39" i="2"/>
  <c r="D39" i="2"/>
  <c r="C39" i="2"/>
  <c r="G38" i="2"/>
  <c r="F38" i="2"/>
  <c r="E38" i="2"/>
  <c r="D38" i="2"/>
  <c r="C38" i="2"/>
  <c r="G37" i="2"/>
  <c r="F37" i="2"/>
  <c r="E37" i="2"/>
  <c r="D37" i="2"/>
  <c r="C37" i="2"/>
  <c r="G36" i="2"/>
  <c r="F36" i="2"/>
  <c r="E36" i="2"/>
  <c r="D36" i="2"/>
  <c r="C36" i="2"/>
  <c r="G35" i="2"/>
  <c r="F35" i="2"/>
  <c r="E35" i="2"/>
  <c r="D35" i="2"/>
  <c r="C35" i="2"/>
  <c r="G34" i="2"/>
  <c r="F34" i="2"/>
  <c r="E34" i="2"/>
  <c r="D34" i="2"/>
  <c r="G33" i="2"/>
  <c r="F33" i="2"/>
  <c r="E33" i="2"/>
  <c r="D33" i="2"/>
  <c r="G32" i="2"/>
  <c r="F32" i="2"/>
  <c r="E32" i="2"/>
  <c r="D32" i="2"/>
  <c r="G31" i="2"/>
  <c r="F31" i="2"/>
  <c r="E31" i="2"/>
  <c r="D31" i="2"/>
  <c r="C31" i="2"/>
  <c r="G30" i="2"/>
  <c r="F30" i="2"/>
  <c r="E30" i="2"/>
  <c r="D30" i="2"/>
  <c r="C30" i="2"/>
  <c r="G29" i="2"/>
  <c r="F29" i="2"/>
  <c r="E29" i="2"/>
  <c r="D29" i="2"/>
  <c r="C29" i="2"/>
  <c r="G28" i="2"/>
  <c r="F28" i="2"/>
  <c r="E28" i="2"/>
  <c r="D28" i="2"/>
  <c r="C28" i="2"/>
  <c r="G27" i="2"/>
  <c r="F27" i="2"/>
  <c r="E27" i="2"/>
  <c r="D27" i="2"/>
  <c r="C27" i="2"/>
  <c r="G26" i="2"/>
  <c r="F26" i="2"/>
  <c r="E26" i="2"/>
  <c r="D26" i="2"/>
  <c r="C26" i="2"/>
  <c r="G25" i="2"/>
  <c r="F25" i="2"/>
  <c r="E25" i="2"/>
  <c r="D25" i="2"/>
  <c r="C25" i="2"/>
  <c r="G24" i="2"/>
  <c r="F24" i="2"/>
  <c r="E24" i="2"/>
  <c r="D24" i="2"/>
  <c r="G23" i="2"/>
  <c r="F23" i="2"/>
  <c r="E23" i="2"/>
  <c r="D23" i="2"/>
  <c r="C23" i="2"/>
  <c r="G22" i="2"/>
  <c r="F22" i="2"/>
  <c r="E22" i="2"/>
  <c r="D22" i="2"/>
  <c r="C22" i="2"/>
  <c r="G21" i="2"/>
  <c r="F21" i="2"/>
  <c r="E21" i="2"/>
  <c r="D21" i="2"/>
  <c r="C21" i="2"/>
  <c r="G20" i="2"/>
  <c r="F20" i="2"/>
  <c r="E20" i="2"/>
  <c r="D20" i="2"/>
  <c r="C20" i="2"/>
  <c r="G19" i="2"/>
  <c r="F19" i="2"/>
  <c r="E19" i="2"/>
  <c r="D19" i="2"/>
  <c r="C19" i="2"/>
  <c r="G18" i="2"/>
  <c r="F18" i="2"/>
  <c r="E18" i="2"/>
  <c r="D18" i="2"/>
  <c r="G17" i="2"/>
  <c r="F17" i="2"/>
  <c r="E17" i="2"/>
  <c r="D17" i="2"/>
  <c r="C17" i="2"/>
  <c r="G16" i="2"/>
  <c r="F16" i="2"/>
  <c r="E16" i="2"/>
  <c r="D16" i="2"/>
  <c r="G15" i="2"/>
  <c r="F15" i="2"/>
  <c r="E15" i="2"/>
  <c r="D15" i="2"/>
  <c r="C15" i="2"/>
  <c r="G14" i="2"/>
  <c r="F14" i="2"/>
  <c r="E14" i="2"/>
  <c r="C14" i="2"/>
  <c r="G13" i="2"/>
  <c r="F13" i="2"/>
  <c r="E13" i="2"/>
  <c r="D13" i="2"/>
  <c r="C13" i="2"/>
  <c r="G12" i="2"/>
  <c r="F12" i="2"/>
  <c r="E12" i="2"/>
  <c r="D12" i="2"/>
  <c r="C12" i="2"/>
  <c r="G11" i="2"/>
  <c r="F11" i="2"/>
  <c r="E11" i="2"/>
  <c r="D11" i="2"/>
  <c r="C11" i="2"/>
  <c r="G10" i="2"/>
  <c r="F10" i="2"/>
  <c r="E10" i="2"/>
  <c r="D10" i="2"/>
  <c r="C10" i="2"/>
  <c r="G9" i="2"/>
  <c r="F9" i="2"/>
  <c r="E9" i="2"/>
  <c r="D9" i="2"/>
  <c r="C9" i="2"/>
  <c r="G8" i="2"/>
  <c r="F8" i="2"/>
  <c r="E8" i="2"/>
  <c r="D8" i="2"/>
  <c r="C8" i="2"/>
  <c r="G6" i="2"/>
  <c r="F6" i="2"/>
  <c r="C6" i="2"/>
  <c r="C23" i="1" l="1"/>
  <c r="G117" i="1"/>
  <c r="F117" i="1"/>
  <c r="E117" i="1"/>
  <c r="D117" i="1"/>
  <c r="G116" i="1"/>
  <c r="F116" i="1"/>
  <c r="E116" i="1"/>
  <c r="D116" i="1"/>
  <c r="C116" i="1"/>
  <c r="G115" i="1"/>
  <c r="F115" i="1"/>
  <c r="E115" i="1"/>
  <c r="D115" i="1"/>
  <c r="G114" i="1"/>
  <c r="F114" i="1"/>
  <c r="E114" i="1"/>
  <c r="D114" i="1"/>
  <c r="C114" i="1"/>
  <c r="G113" i="1"/>
  <c r="F113" i="1"/>
  <c r="E113" i="1"/>
  <c r="D113" i="1"/>
  <c r="C113" i="1"/>
  <c r="G112" i="1"/>
  <c r="F112" i="1"/>
  <c r="E112" i="1"/>
  <c r="D112" i="1"/>
  <c r="G111" i="1"/>
  <c r="F111" i="1"/>
  <c r="E111" i="1"/>
  <c r="D111" i="1"/>
  <c r="C111" i="1"/>
  <c r="G110" i="1"/>
  <c r="F110" i="1"/>
  <c r="E110" i="1"/>
  <c r="D110" i="1"/>
  <c r="C110" i="1"/>
  <c r="G109" i="1"/>
  <c r="F109" i="1"/>
  <c r="E109" i="1"/>
  <c r="D109" i="1"/>
  <c r="C109" i="1"/>
  <c r="G108" i="1"/>
  <c r="F108" i="1"/>
  <c r="E108" i="1"/>
  <c r="D108" i="1"/>
  <c r="C108" i="1"/>
  <c r="G107" i="1"/>
  <c r="F107" i="1"/>
  <c r="E107" i="1"/>
  <c r="D107" i="1"/>
  <c r="C107" i="1"/>
  <c r="G106" i="1"/>
  <c r="F106" i="1"/>
  <c r="E106" i="1"/>
  <c r="D106" i="1"/>
  <c r="G105" i="1"/>
  <c r="F105" i="1"/>
  <c r="E105" i="1"/>
  <c r="D105" i="1"/>
  <c r="C105" i="1"/>
  <c r="G104" i="1"/>
  <c r="F104" i="1"/>
  <c r="E104" i="1"/>
  <c r="D104" i="1"/>
  <c r="C104" i="1"/>
  <c r="G103" i="1"/>
  <c r="F103" i="1"/>
  <c r="E103" i="1"/>
  <c r="D103" i="1"/>
  <c r="C103" i="1"/>
  <c r="G102" i="1"/>
  <c r="F102" i="1"/>
  <c r="E102" i="1"/>
  <c r="D102" i="1"/>
  <c r="C102" i="1"/>
  <c r="G101" i="1"/>
  <c r="F101" i="1"/>
  <c r="E101" i="1"/>
  <c r="D101" i="1"/>
  <c r="G100" i="1"/>
  <c r="F100" i="1"/>
  <c r="E100" i="1"/>
  <c r="D100" i="1"/>
  <c r="C100" i="1"/>
  <c r="G99" i="1"/>
  <c r="F99" i="1"/>
  <c r="E99" i="1"/>
  <c r="D99" i="1"/>
  <c r="C99" i="1"/>
  <c r="G98" i="1"/>
  <c r="F98" i="1"/>
  <c r="E98" i="1"/>
  <c r="D98" i="1"/>
  <c r="G97" i="1"/>
  <c r="F97" i="1"/>
  <c r="E97" i="1"/>
  <c r="D97" i="1"/>
  <c r="C97" i="1"/>
  <c r="G96" i="1"/>
  <c r="F96" i="1"/>
  <c r="E96" i="1"/>
  <c r="D96" i="1"/>
  <c r="G95" i="1"/>
  <c r="F95" i="1"/>
  <c r="E95" i="1"/>
  <c r="D95" i="1"/>
  <c r="C95" i="1"/>
  <c r="G94" i="1"/>
  <c r="F94" i="1"/>
  <c r="E94" i="1"/>
  <c r="D94" i="1"/>
  <c r="G93" i="1"/>
  <c r="F93" i="1"/>
  <c r="E93" i="1"/>
  <c r="D93" i="1"/>
  <c r="C93" i="1"/>
  <c r="G92" i="1"/>
  <c r="F92" i="1"/>
  <c r="E92" i="1"/>
  <c r="D92" i="1"/>
  <c r="G91" i="1"/>
  <c r="F91" i="1"/>
  <c r="E91" i="1"/>
  <c r="D91" i="1"/>
  <c r="G90" i="1"/>
  <c r="F90" i="1"/>
  <c r="E90" i="1"/>
  <c r="D90" i="1"/>
  <c r="C90" i="1"/>
  <c r="G89" i="1"/>
  <c r="F89" i="1"/>
  <c r="E89" i="1"/>
  <c r="D89" i="1"/>
  <c r="C89" i="1"/>
  <c r="G88" i="1"/>
  <c r="F88" i="1"/>
  <c r="E88" i="1"/>
  <c r="D88" i="1"/>
  <c r="C88" i="1"/>
  <c r="G87" i="1"/>
  <c r="F87" i="1"/>
  <c r="E87" i="1"/>
  <c r="D87" i="1"/>
  <c r="G86" i="1"/>
  <c r="F86" i="1"/>
  <c r="E86" i="1"/>
  <c r="D86" i="1"/>
  <c r="G85" i="1"/>
  <c r="F85" i="1"/>
  <c r="E85" i="1"/>
  <c r="D85" i="1"/>
  <c r="G84" i="1"/>
  <c r="F84" i="1"/>
  <c r="E84" i="1"/>
  <c r="D84" i="1"/>
  <c r="C84" i="1"/>
  <c r="G83" i="1"/>
  <c r="F83" i="1"/>
  <c r="E83" i="1"/>
  <c r="D83" i="1"/>
  <c r="C83" i="1"/>
  <c r="G82" i="1"/>
  <c r="F82" i="1"/>
  <c r="E82" i="1"/>
  <c r="D82" i="1"/>
  <c r="G81" i="1"/>
  <c r="F81" i="1"/>
  <c r="E81" i="1"/>
  <c r="D81" i="1"/>
  <c r="C81" i="1"/>
  <c r="G80" i="1"/>
  <c r="F80" i="1"/>
  <c r="E80" i="1"/>
  <c r="D80" i="1"/>
  <c r="C80" i="1"/>
  <c r="G79" i="1"/>
  <c r="F79" i="1"/>
  <c r="E79" i="1"/>
  <c r="D79" i="1"/>
  <c r="G78" i="1"/>
  <c r="F78" i="1"/>
  <c r="E78" i="1"/>
  <c r="D78" i="1"/>
  <c r="G77" i="1"/>
  <c r="F77" i="1"/>
  <c r="E77" i="1"/>
  <c r="D77" i="1"/>
  <c r="C77" i="1"/>
  <c r="G76" i="1"/>
  <c r="F76" i="1"/>
  <c r="E76" i="1"/>
  <c r="D76" i="1"/>
  <c r="C76" i="1"/>
  <c r="G75" i="1"/>
  <c r="F75" i="1"/>
  <c r="E75" i="1"/>
  <c r="D75" i="1"/>
  <c r="C75" i="1"/>
  <c r="G74" i="1"/>
  <c r="F74" i="1"/>
  <c r="E74" i="1"/>
  <c r="D74" i="1"/>
  <c r="C74" i="1"/>
  <c r="G73" i="1"/>
  <c r="F73" i="1"/>
  <c r="E73" i="1"/>
  <c r="D73" i="1"/>
  <c r="C73" i="1"/>
  <c r="G72" i="1"/>
  <c r="F72" i="1"/>
  <c r="E72" i="1"/>
  <c r="D72" i="1"/>
  <c r="G71" i="1"/>
  <c r="F71" i="1"/>
  <c r="E71" i="1"/>
  <c r="D71" i="1"/>
  <c r="G70" i="1"/>
  <c r="F70" i="1"/>
  <c r="E70" i="1"/>
  <c r="D70" i="1"/>
  <c r="G69" i="1"/>
  <c r="F69" i="1"/>
  <c r="E69" i="1"/>
  <c r="D69" i="1"/>
  <c r="G68" i="1"/>
  <c r="F68" i="1"/>
  <c r="E68" i="1"/>
  <c r="D68" i="1"/>
  <c r="G67" i="1"/>
  <c r="F67" i="1"/>
  <c r="E67" i="1"/>
  <c r="D67" i="1"/>
  <c r="C67" i="1"/>
  <c r="G66" i="1"/>
  <c r="F66" i="1"/>
  <c r="E66" i="1"/>
  <c r="D66" i="1"/>
  <c r="G65" i="1"/>
  <c r="F65" i="1"/>
  <c r="E65" i="1"/>
  <c r="D65" i="1"/>
  <c r="G64" i="1"/>
  <c r="F64" i="1"/>
  <c r="E64" i="1"/>
  <c r="D64" i="1"/>
  <c r="G63" i="1"/>
  <c r="F63" i="1"/>
  <c r="E63" i="1"/>
  <c r="D63" i="1"/>
  <c r="C63" i="1"/>
  <c r="G62" i="1"/>
  <c r="F62" i="1"/>
  <c r="E62" i="1"/>
  <c r="D62" i="1"/>
  <c r="C62" i="1"/>
  <c r="G61" i="1"/>
  <c r="F61" i="1"/>
  <c r="E61" i="1"/>
  <c r="D61" i="1"/>
  <c r="C61" i="1"/>
  <c r="G60" i="1"/>
  <c r="F60" i="1"/>
  <c r="E60" i="1"/>
  <c r="D60" i="1"/>
  <c r="G59" i="1"/>
  <c r="F59" i="1"/>
  <c r="E59" i="1"/>
  <c r="D59" i="1"/>
  <c r="C59" i="1"/>
  <c r="G58" i="1"/>
  <c r="F58" i="1"/>
  <c r="E58" i="1"/>
  <c r="D58" i="1"/>
  <c r="C58" i="1"/>
  <c r="G57" i="1"/>
  <c r="F57" i="1"/>
  <c r="E57" i="1"/>
  <c r="D57" i="1"/>
  <c r="C57" i="1"/>
  <c r="G56" i="1"/>
  <c r="F56" i="1"/>
  <c r="E56" i="1"/>
  <c r="D56" i="1"/>
  <c r="C56" i="1"/>
  <c r="G55" i="1"/>
  <c r="F55" i="1"/>
  <c r="E55" i="1"/>
  <c r="D55" i="1"/>
  <c r="G54" i="1"/>
  <c r="F54" i="1"/>
  <c r="E54" i="1"/>
  <c r="D54" i="1"/>
  <c r="G53" i="1"/>
  <c r="F53" i="1"/>
  <c r="E53" i="1"/>
  <c r="D53" i="1"/>
  <c r="C53" i="1"/>
  <c r="G52" i="1"/>
  <c r="F52" i="1"/>
  <c r="E52" i="1"/>
  <c r="D52" i="1"/>
  <c r="G51" i="1"/>
  <c r="F51" i="1"/>
  <c r="E51" i="1"/>
  <c r="D51" i="1"/>
  <c r="C51" i="1"/>
  <c r="G50" i="1"/>
  <c r="F50" i="1"/>
  <c r="E50" i="1"/>
  <c r="D50" i="1"/>
  <c r="C50" i="1"/>
  <c r="G49" i="1"/>
  <c r="F49" i="1"/>
  <c r="E49" i="1"/>
  <c r="D49" i="1"/>
  <c r="C49" i="1"/>
  <c r="G48" i="1"/>
  <c r="F48" i="1"/>
  <c r="E48" i="1"/>
  <c r="D48" i="1"/>
  <c r="G47" i="1"/>
  <c r="F47" i="1"/>
  <c r="E47" i="1"/>
  <c r="D47" i="1"/>
  <c r="C47" i="1"/>
  <c r="G46" i="1"/>
  <c r="F46" i="1"/>
  <c r="E46" i="1"/>
  <c r="D46" i="1"/>
  <c r="C46" i="1"/>
  <c r="G45" i="1"/>
  <c r="F45" i="1"/>
  <c r="E45" i="1"/>
  <c r="D45" i="1"/>
  <c r="C45" i="1"/>
  <c r="G44" i="1"/>
  <c r="F44" i="1"/>
  <c r="E44" i="1"/>
  <c r="D44" i="1"/>
  <c r="C44" i="1"/>
  <c r="G43" i="1"/>
  <c r="F43" i="1"/>
  <c r="E43" i="1"/>
  <c r="D43" i="1"/>
  <c r="G42" i="1"/>
  <c r="F42" i="1"/>
  <c r="E42" i="1"/>
  <c r="D42" i="1"/>
  <c r="C42" i="1"/>
  <c r="G41" i="1"/>
  <c r="F41" i="1"/>
  <c r="E41" i="1"/>
  <c r="D41" i="1"/>
  <c r="G40" i="1"/>
  <c r="F40" i="1"/>
  <c r="E40" i="1"/>
  <c r="D40" i="1"/>
  <c r="C40" i="1"/>
  <c r="G39" i="1"/>
  <c r="F39" i="1"/>
  <c r="E39" i="1"/>
  <c r="D39" i="1"/>
  <c r="C39" i="1"/>
  <c r="G38" i="1"/>
  <c r="F38" i="1"/>
  <c r="E38" i="1"/>
  <c r="D38" i="1"/>
  <c r="C38" i="1"/>
  <c r="G37" i="1"/>
  <c r="F37" i="1"/>
  <c r="E37" i="1"/>
  <c r="D37" i="1"/>
  <c r="C37" i="1"/>
  <c r="G36" i="1"/>
  <c r="F36" i="1"/>
  <c r="E36" i="1"/>
  <c r="D36" i="1"/>
  <c r="C36" i="1"/>
  <c r="G35" i="1"/>
  <c r="F35" i="1"/>
  <c r="E35" i="1"/>
  <c r="D35" i="1"/>
  <c r="C35" i="1"/>
  <c r="G34" i="1"/>
  <c r="F34" i="1"/>
  <c r="E34" i="1"/>
  <c r="D34" i="1"/>
  <c r="C34" i="1"/>
  <c r="G33" i="1"/>
  <c r="F33" i="1"/>
  <c r="E33" i="1"/>
  <c r="D33" i="1"/>
  <c r="G32" i="1"/>
  <c r="F32" i="1"/>
  <c r="E32" i="1"/>
  <c r="D32" i="1"/>
  <c r="G31" i="1"/>
  <c r="F31" i="1"/>
  <c r="E31" i="1"/>
  <c r="D31" i="1"/>
  <c r="G30" i="1"/>
  <c r="F30" i="1"/>
  <c r="E30" i="1"/>
  <c r="D30" i="1"/>
  <c r="C30" i="1"/>
  <c r="G29" i="1"/>
  <c r="F29" i="1"/>
  <c r="E29" i="1"/>
  <c r="D29" i="1"/>
  <c r="G28" i="1"/>
  <c r="F28" i="1"/>
  <c r="E28" i="1"/>
  <c r="D28" i="1"/>
  <c r="C28" i="1"/>
  <c r="G27" i="1"/>
  <c r="F27" i="1"/>
  <c r="E27" i="1"/>
  <c r="D27" i="1"/>
  <c r="C27" i="1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C24" i="1"/>
  <c r="G23" i="1"/>
  <c r="F23" i="1"/>
  <c r="E23" i="1"/>
  <c r="D23" i="1"/>
  <c r="G22" i="1"/>
  <c r="F22" i="1"/>
  <c r="E22" i="1"/>
  <c r="D22" i="1"/>
  <c r="C22" i="1"/>
  <c r="G21" i="1"/>
  <c r="F21" i="1"/>
  <c r="E21" i="1"/>
  <c r="D21" i="1"/>
  <c r="G20" i="1"/>
  <c r="F20" i="1"/>
  <c r="E20" i="1"/>
  <c r="D20" i="1"/>
  <c r="G19" i="1"/>
  <c r="F19" i="1"/>
  <c r="E19" i="1"/>
  <c r="D19" i="1"/>
  <c r="C19" i="1"/>
  <c r="G18" i="1"/>
  <c r="F18" i="1"/>
  <c r="E18" i="1"/>
  <c r="D18" i="1"/>
  <c r="C18" i="1"/>
  <c r="G17" i="1"/>
  <c r="F17" i="1"/>
  <c r="E17" i="1"/>
  <c r="D17" i="1"/>
  <c r="C17" i="1"/>
  <c r="G16" i="1"/>
  <c r="F16" i="1"/>
  <c r="E16" i="1"/>
  <c r="D16" i="1"/>
  <c r="C16" i="1"/>
  <c r="G15" i="1"/>
  <c r="F15" i="1"/>
  <c r="E15" i="1"/>
  <c r="D15" i="1"/>
  <c r="G14" i="1"/>
  <c r="F14" i="1"/>
  <c r="E14" i="1"/>
  <c r="D14" i="1"/>
  <c r="C14" i="1"/>
  <c r="G13" i="1"/>
  <c r="F13" i="1"/>
  <c r="E13" i="1"/>
  <c r="D13" i="1"/>
  <c r="C13" i="1"/>
  <c r="G12" i="1"/>
  <c r="F12" i="1"/>
  <c r="E12" i="1"/>
  <c r="D12" i="1"/>
  <c r="C12" i="1"/>
  <c r="G11" i="1"/>
  <c r="F11" i="1"/>
  <c r="E11" i="1"/>
  <c r="D11" i="1"/>
  <c r="C11" i="1"/>
  <c r="G10" i="1"/>
  <c r="F10" i="1"/>
  <c r="E10" i="1"/>
  <c r="D10" i="1"/>
  <c r="C10" i="1"/>
  <c r="G9" i="1"/>
  <c r="F9" i="1"/>
  <c r="E9" i="1"/>
  <c r="D9" i="1"/>
  <c r="C9" i="1"/>
  <c r="G8" i="1"/>
  <c r="F8" i="1"/>
  <c r="E8" i="1"/>
  <c r="D8" i="1"/>
  <c r="C8" i="1"/>
  <c r="G6" i="1"/>
  <c r="F6" i="1"/>
  <c r="C6" i="1"/>
</calcChain>
</file>

<file path=xl/sharedStrings.xml><?xml version="1.0" encoding="utf-8"?>
<sst xmlns="http://schemas.openxmlformats.org/spreadsheetml/2006/main" count="1185" uniqueCount="417">
  <si>
    <t>Structura, %</t>
  </si>
  <si>
    <t>Gradul de influenţă a ţărilor, grupelor de ţări  la creşterea (+),  scăderea (-) exporturilor, %</t>
  </si>
  <si>
    <t>România</t>
  </si>
  <si>
    <t>Italia</t>
  </si>
  <si>
    <t>Germania</t>
  </si>
  <si>
    <t>Polonia</t>
  </si>
  <si>
    <t>Bulgaria</t>
  </si>
  <si>
    <t>Republica Cehă</t>
  </si>
  <si>
    <t>Austria</t>
  </si>
  <si>
    <t>Grecia</t>
  </si>
  <si>
    <t>Olanda</t>
  </si>
  <si>
    <t>Belarus</t>
  </si>
  <si>
    <t>Ucraina</t>
  </si>
  <si>
    <t>Kazahstan</t>
  </si>
  <si>
    <t>Azerbaidjan</t>
  </si>
  <si>
    <t>Uzbekistan</t>
  </si>
  <si>
    <t>Turkmenistan</t>
  </si>
  <si>
    <t>Armenia</t>
  </si>
  <si>
    <t>Tadjikistan</t>
  </si>
  <si>
    <t>Statele Unite ale Americii</t>
  </si>
  <si>
    <t>de 2,0 ori</t>
  </si>
  <si>
    <t>¹ În preţuri curente</t>
  </si>
  <si>
    <t>x</t>
  </si>
  <si>
    <t>Animale vii</t>
  </si>
  <si>
    <t>Materiale brute necomestibile, exclusiv combustibili</t>
  </si>
  <si>
    <t>Produse chimice organice</t>
  </si>
  <si>
    <t>Produse chimice anorganice</t>
  </si>
  <si>
    <t>Materiale plastice sub forme primare</t>
  </si>
  <si>
    <t>Materiale plastice prelucrate</t>
  </si>
  <si>
    <t>Cauciuc prelucrat</t>
  </si>
  <si>
    <t>Articole din minerale nemetalice</t>
  </si>
  <si>
    <t>Metale neferoase</t>
  </si>
  <si>
    <t>Articole prelucrate din metal</t>
  </si>
  <si>
    <t>Alte echipamente de transport</t>
  </si>
  <si>
    <t>Articole manufacturate diverse</t>
  </si>
  <si>
    <t>Alte articole diverse</t>
  </si>
  <si>
    <t>Coreea de Sud</t>
  </si>
  <si>
    <t>Arabia Saudită</t>
  </si>
  <si>
    <t>Hong Kong, RAS a Chinei</t>
  </si>
  <si>
    <t>Africa de Sud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</si>
  <si>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</si>
  <si>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</si>
  <si>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</si>
  <si>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</si>
  <si>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</si>
  <si>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</si>
  <si>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</si>
  <si>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</si>
  <si>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</si>
  <si>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</si>
  <si>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</si>
  <si>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</si>
  <si>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</si>
  <si>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</si>
  <si>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</si>
  <si>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</si>
  <si>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</si>
  <si>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</si>
  <si>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</si>
  <si>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</si>
  <si>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</si>
  <si>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</si>
  <si>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</si>
  <si>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Egipt</t>
  </si>
  <si>
    <t>Myanmar</t>
  </si>
  <si>
    <t>Indonezia</t>
  </si>
  <si>
    <t>Serbia</t>
  </si>
  <si>
    <t>Iordania</t>
  </si>
  <si>
    <t>Canada</t>
  </si>
  <si>
    <t>India</t>
  </si>
  <si>
    <t>Taiwan,  provincie a Chinei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</si>
  <si>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</si>
  <si>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</si>
  <si>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</si>
  <si>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</si>
  <si>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</si>
  <si>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</si>
  <si>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</si>
  <si>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</si>
  <si>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</si>
  <si>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</si>
  <si>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</si>
  <si>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</si>
  <si>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</si>
  <si>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</si>
  <si>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</si>
  <si>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</si>
  <si>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</si>
  <si>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</si>
  <si>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</si>
  <si>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Uruguay</t>
  </si>
  <si>
    <t>Tunisia</t>
  </si>
  <si>
    <t>Columbia</t>
  </si>
  <si>
    <t>Australia</t>
  </si>
  <si>
    <t>Noua Zeelandă</t>
  </si>
  <si>
    <t>de 2,1 ori</t>
  </si>
  <si>
    <t>Mongolia</t>
  </si>
  <si>
    <t>Peru</t>
  </si>
  <si>
    <t>Kenya</t>
  </si>
  <si>
    <t>mii dolari        SUA</t>
  </si>
  <si>
    <t>EXPORT - total</t>
  </si>
  <si>
    <t>Oman</t>
  </si>
  <si>
    <t>Albania</t>
  </si>
  <si>
    <t>de 1,7 ori</t>
  </si>
  <si>
    <t>de 1,6 ori</t>
  </si>
  <si>
    <t>de 1,9 ori</t>
  </si>
  <si>
    <t>Gradul de influenţă a grupelor de mărfuri  la creşterea (+),  scăderea (-) exporturilor, %</t>
  </si>
  <si>
    <t>Qatar</t>
  </si>
  <si>
    <t>Ponderea, %</t>
  </si>
  <si>
    <t>Swaziland</t>
  </si>
  <si>
    <t>mii dolari         SUA</t>
  </si>
  <si>
    <t>Belize</t>
  </si>
  <si>
    <t>Transport maritim</t>
  </si>
  <si>
    <t>Transport feroviar</t>
  </si>
  <si>
    <t>Transport rutier</t>
  </si>
  <si>
    <t>Transport aerian</t>
  </si>
  <si>
    <t>Expedieri poștale</t>
  </si>
  <si>
    <t>Instalații fixe de transport</t>
  </si>
  <si>
    <t>Autopropulsie</t>
  </si>
  <si>
    <t>Gradul de influenţă a grupelor de mărfuri  la creşterea (+),  scăderea (-) importurilor, %</t>
  </si>
  <si>
    <t>Gradul de influenţă a ţărilor, grupelor de ţări  la creşterea (+),  scăderea (-) importurilor, %</t>
  </si>
  <si>
    <t>mii dolari             SUA</t>
  </si>
  <si>
    <t>Siria</t>
  </si>
  <si>
    <t>IMPORT - total</t>
  </si>
  <si>
    <t>Etiopia</t>
  </si>
  <si>
    <t>Bahrain</t>
  </si>
  <si>
    <t>Senegal</t>
  </si>
  <si>
    <t xml:space="preserve">   din care:</t>
  </si>
  <si>
    <t xml:space="preserve">IMPORT - total      </t>
  </si>
  <si>
    <t>Burkina Faso</t>
  </si>
  <si>
    <t>Macedonia de Nord</t>
  </si>
  <si>
    <t>Cote D'Ivoire</t>
  </si>
  <si>
    <t>Laos</t>
  </si>
  <si>
    <t xml:space="preserve">     din care:</t>
  </si>
  <si>
    <t>Zimbabwe</t>
  </si>
  <si>
    <t>Camerun</t>
  </si>
  <si>
    <t xml:space="preserve">EXPORT - total      </t>
  </si>
  <si>
    <r>
      <rPr>
        <b/>
        <sz val="12"/>
        <rFont val="Times New Roman"/>
        <family val="1"/>
        <charset val="204"/>
      </rPr>
      <t xml:space="preserve">Anexa 1.  </t>
    </r>
    <r>
      <rPr>
        <b/>
        <i/>
        <sz val="12"/>
        <rFont val="Times New Roman"/>
        <family val="1"/>
        <charset val="204"/>
      </rPr>
      <t>Exporturile structurate pe principalele ţări de destinaţie a mărfurilor şi grupe de ţări</t>
    </r>
  </si>
  <si>
    <r>
      <rPr>
        <b/>
        <sz val="12"/>
        <color indexed="8"/>
        <rFont val="Times New Roman"/>
        <family val="1"/>
        <charset val="204"/>
      </rPr>
      <t xml:space="preserve">Anexa 2.  </t>
    </r>
    <r>
      <rPr>
        <b/>
        <i/>
        <sz val="12"/>
        <color indexed="8"/>
        <rFont val="Times New Roman"/>
        <family val="1"/>
        <charset val="204"/>
      </rPr>
      <t>Importurile structurate pe principalele ţări de origine a mărfurilor şi grupe de ţări</t>
    </r>
  </si>
  <si>
    <r>
      <rPr>
        <b/>
        <sz val="12"/>
        <color indexed="8"/>
        <rFont val="Times New Roman"/>
        <family val="1"/>
        <charset val="204"/>
      </rPr>
      <t xml:space="preserve">Anexa 3.  </t>
    </r>
    <r>
      <rPr>
        <b/>
        <i/>
        <sz val="12"/>
        <color indexed="8"/>
        <rFont val="Times New Roman"/>
        <family val="1"/>
        <charset val="204"/>
      </rPr>
      <t>Balanţa comercială structurată pe principalele ţări şi grupe de ţări</t>
    </r>
  </si>
  <si>
    <r>
      <rPr>
        <b/>
        <sz val="12"/>
        <color indexed="8"/>
        <rFont val="Times New Roman"/>
        <family val="1"/>
        <charset val="204"/>
      </rPr>
      <t>Anexa 6.</t>
    </r>
    <r>
      <rPr>
        <b/>
        <i/>
        <sz val="12"/>
        <color indexed="8"/>
        <rFont val="Times New Roman"/>
        <family val="1"/>
        <charset val="204"/>
      </rPr>
      <t xml:space="preserve">  Exporturile structurate pe grupe de mărfuri, </t>
    </r>
  </si>
  <si>
    <r>
      <rPr>
        <b/>
        <sz val="12"/>
        <color indexed="8"/>
        <rFont val="Times New Roman"/>
        <family val="1"/>
        <charset val="204"/>
      </rPr>
      <t>Anexa 7.</t>
    </r>
    <r>
      <rPr>
        <b/>
        <i/>
        <sz val="12"/>
        <color indexed="8"/>
        <rFont val="Times New Roman"/>
        <family val="1"/>
        <charset val="204"/>
      </rPr>
      <t xml:space="preserve">  Importurile structurate pe grupe de mărfuri, </t>
    </r>
  </si>
  <si>
    <r>
      <rPr>
        <b/>
        <sz val="12"/>
        <color indexed="8"/>
        <rFont val="Times New Roman"/>
        <family val="1"/>
        <charset val="204"/>
      </rPr>
      <t xml:space="preserve">Anexa 8.  </t>
    </r>
    <r>
      <rPr>
        <b/>
        <i/>
        <sz val="12"/>
        <color indexed="8"/>
        <rFont val="Times New Roman"/>
        <family val="1"/>
        <charset val="204"/>
      </rPr>
      <t xml:space="preserve">Balanţa comercială structurată pe grupe de mărfuri, </t>
    </r>
  </si>
  <si>
    <t>Liechtenstein</t>
  </si>
  <si>
    <t>Mali</t>
  </si>
  <si>
    <t>Ţările Uniunii Europene (UE-27) - total</t>
  </si>
  <si>
    <t>Celelalte țări ale lumii - total</t>
  </si>
  <si>
    <t>Ţările CSI - total</t>
  </si>
  <si>
    <t>Celelalte ţări ale lumii - total</t>
  </si>
  <si>
    <t>Liberia</t>
  </si>
  <si>
    <t>Cambodgia</t>
  </si>
  <si>
    <t>Ghana</t>
  </si>
  <si>
    <t>Zahăr, preparate pe bază de zahăr; miere</t>
  </si>
  <si>
    <t>Hrană destinată animalelor (exclusiv cereale nemăcinate)</t>
  </si>
  <si>
    <t>Pastă de hârtie şi deşeuri de hârtie</t>
  </si>
  <si>
    <t>Fibre textile (cu excepţia lânii în fuior şi a lânii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</si>
  <si>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</si>
  <si>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</si>
  <si>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</si>
  <si>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</si>
  <si>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Petrol, produse petroliere şi produse înrudite</t>
  </si>
  <si>
    <t>Uleiuri, grăsimi şi ceruri de origine animală sau vegetală</t>
  </si>
  <si>
    <t>Grăsimi şi uleiuri vegetale fixate, brute, rafinate sau fracţionate</t>
  </si>
  <si>
    <t>Produse chimice şi produse derivate nespecificate în altă parte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</si>
  <si>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</si>
  <si>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</si>
  <si>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</si>
  <si>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</si>
  <si>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Alte materiale şi produse chimice</t>
  </si>
  <si>
    <t>Piele, altă piele şi blană prelucrate</t>
  </si>
  <si>
    <t>Articole din lemn (exclusiv mobilă)</t>
  </si>
  <si>
    <t>Hârtie, carton şi articole din pastă de celuloză, din hârtie sau din carton</t>
  </si>
  <si>
    <t>Fire, tesături, articole textile necuprinse în altă parte şi produse conexe</t>
  </si>
  <si>
    <t>Fier şi oţel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</si>
  <si>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</si>
  <si>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</si>
  <si>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</si>
  <si>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</si>
  <si>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</si>
  <si>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</si>
  <si>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</si>
  <si>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</si>
  <si>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</si>
  <si>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Mobilă şi părţile ei</t>
  </si>
  <si>
    <t>Articole de voiaj; sacoşe şi similare</t>
  </si>
  <si>
    <t>Îmbrăcăminte şi accesorii</t>
  </si>
  <si>
    <t>Încălţăminte</t>
  </si>
  <si>
    <t>Aparate fotografice, echipamente şi furnituri de optică; ceasuri şi orologii</t>
  </si>
  <si>
    <t>Bunuri neclasificate în altă secţiune din CSCI</t>
  </si>
  <si>
    <t>Produse alimentare şi 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</si>
  <si>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</si>
  <si>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</si>
  <si>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</si>
  <si>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</si>
  <si>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</si>
  <si>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Cafea, ceai, cacao, condimente şi înlocuitori ai acestora</t>
  </si>
  <si>
    <t>Produse şi preparate alimentare diverse</t>
  </si>
  <si>
    <t>Băuturi şi tutun</t>
  </si>
  <si>
    <t>Băuturi (alcoolice şi nealcoolice)</t>
  </si>
  <si>
    <t>Tutun brut şi prelucrat</t>
  </si>
  <si>
    <t>Seminţe şi fructe oleaginoase</t>
  </si>
  <si>
    <t>Cauciuc brut (inclusiv cauciuc sintetic şi regenerat)</t>
  </si>
  <si>
    <t>Lemn şi plută</t>
  </si>
  <si>
    <t>Cărbune, cocs şi brichete</t>
  </si>
  <si>
    <t>Gaz şi produse industriale obţinute din gaz</t>
  </si>
  <si>
    <t>Alte uleiuri şi grăsimi animale sau vegetale prelucrate; ceară de origine animală sau vegetală, amestecuri sau preparate necomestibile din uleiuri animale sau vegetale</t>
  </si>
  <si>
    <t>Piei crude, piei tăbăcite şi blănuri brute</t>
  </si>
  <si>
    <t>Uleiuri şi grăsimi de origine animală</t>
  </si>
  <si>
    <t>Construcţii prefabricate; alte instalaţii şi accesorii pentru instalaţii sanitare, de încalzit şi de iluminat</t>
  </si>
  <si>
    <t>Instrumente şi aparate, profesionale, ştiinţifice şi de control</t>
  </si>
  <si>
    <t>Uganda</t>
  </si>
  <si>
    <t>de 2,2 ori</t>
  </si>
  <si>
    <t>de 1,8 ori</t>
  </si>
  <si>
    <t>Țările CSI - total</t>
  </si>
  <si>
    <t xml:space="preserve"> -</t>
  </si>
  <si>
    <t>Țările Uniunii Europene (UE-27)</t>
  </si>
  <si>
    <t xml:space="preserve">Țările CSI </t>
  </si>
  <si>
    <t xml:space="preserve">Celelalte țări ale lumii </t>
  </si>
  <si>
    <t>Cuba</t>
  </si>
  <si>
    <t>BALANŢA COMERCIALĂ – total, mii dolari SUA</t>
  </si>
  <si>
    <t>de 2,5 ori</t>
  </si>
  <si>
    <t>Libia</t>
  </si>
  <si>
    <t>Statul Palestina</t>
  </si>
  <si>
    <t>de 2,3 ori</t>
  </si>
  <si>
    <t>de 1,5 ori</t>
  </si>
  <si>
    <t>Kosovo</t>
  </si>
  <si>
    <t>Afganistan</t>
  </si>
  <si>
    <t>Tanzania</t>
  </si>
  <si>
    <t>Nicaragua</t>
  </si>
  <si>
    <t>Cod           CSCI</t>
  </si>
  <si>
    <t>0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</si>
  <si>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</si>
  <si>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</si>
  <si>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</si>
  <si>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</si>
  <si>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</si>
  <si>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</si>
  <si>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</si>
  <si>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</si>
  <si>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</si>
  <si>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</si>
  <si>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</t>
  </si>
  <si>
    <t>11</t>
  </si>
  <si>
    <t>12</t>
  </si>
  <si>
    <t>2</t>
  </si>
  <si>
    <t>21</t>
  </si>
  <si>
    <t>22</t>
  </si>
  <si>
    <t>24</t>
  </si>
  <si>
    <t>25</t>
  </si>
  <si>
    <t>26</t>
  </si>
  <si>
    <t>27</t>
  </si>
  <si>
    <t>28</t>
  </si>
  <si>
    <t>29</t>
  </si>
  <si>
    <t>3</t>
  </si>
  <si>
    <t>32</t>
  </si>
  <si>
    <t>33</t>
  </si>
  <si>
    <t>4</t>
  </si>
  <si>
    <t>41</t>
  </si>
  <si>
    <t>42</t>
  </si>
  <si>
    <t>43</t>
  </si>
  <si>
    <t>5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</si>
  <si>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</si>
  <si>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</si>
  <si>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</si>
  <si>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</si>
  <si>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</si>
  <si>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</si>
  <si>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</si>
  <si>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</si>
  <si>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</si>
  <si>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</si>
  <si>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</si>
  <si>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</si>
  <si>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</si>
  <si>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</si>
  <si>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</si>
  <si>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</si>
  <si>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</si>
  <si>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</si>
  <si>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</si>
  <si>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</si>
  <si>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</si>
  <si>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</si>
  <si>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</si>
  <si>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</si>
  <si>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</si>
  <si>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</si>
  <si>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</si>
  <si>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</si>
  <si>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</si>
  <si>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</t>
  </si>
  <si>
    <t>81</t>
  </si>
  <si>
    <t>82</t>
  </si>
  <si>
    <t>83</t>
  </si>
  <si>
    <t>84</t>
  </si>
  <si>
    <t>85</t>
  </si>
  <si>
    <t>87</t>
  </si>
  <si>
    <t>88</t>
  </si>
  <si>
    <t>89</t>
  </si>
  <si>
    <t>de 2,6 ori</t>
  </si>
  <si>
    <t>23</t>
  </si>
  <si>
    <t>34</t>
  </si>
  <si>
    <t>9</t>
  </si>
  <si>
    <t>Cod CSCI</t>
  </si>
  <si>
    <t>conform Clasificării Standard de Comerţ Internaţional (CSCI)</t>
  </si>
  <si>
    <t xml:space="preserve">  ¹ În preţuri curente</t>
  </si>
  <si>
    <t>Sierra Leone</t>
  </si>
  <si>
    <t>de 2,9 ori</t>
  </si>
  <si>
    <t>-</t>
  </si>
  <si>
    <t>de 2,7 ori</t>
  </si>
  <si>
    <t>de 2,4 ori</t>
  </si>
  <si>
    <t>35</t>
  </si>
  <si>
    <t>Energie electrica</t>
  </si>
  <si>
    <t>de 4,3 ori</t>
  </si>
  <si>
    <t>Energie electrică</t>
  </si>
  <si>
    <t>BALANŢA COMERCIALĂ - total, mii dolari SUA</t>
  </si>
  <si>
    <t>mii dolari                 SUA</t>
  </si>
  <si>
    <r>
      <rPr>
        <b/>
        <sz val="12"/>
        <rFont val="Times New Roman"/>
        <family val="1"/>
        <charset val="204"/>
      </rPr>
      <t>Anexa 5.</t>
    </r>
    <r>
      <rPr>
        <b/>
        <i/>
        <sz val="12"/>
        <rFont val="Times New Roman"/>
        <family val="1"/>
        <charset val="204"/>
      </rPr>
      <t xml:space="preserve">  Importurile structurate după modul de transport al mărfurilor </t>
    </r>
  </si>
  <si>
    <r>
      <rPr>
        <b/>
        <sz val="12"/>
        <rFont val="Times New Roman"/>
        <family val="1"/>
        <charset val="204"/>
      </rPr>
      <t xml:space="preserve">Anexa 4.  </t>
    </r>
    <r>
      <rPr>
        <b/>
        <i/>
        <sz val="12"/>
        <rFont val="Times New Roman"/>
        <family val="1"/>
        <charset val="204"/>
      </rPr>
      <t xml:space="preserve">Exporturile structurate după modul de transport al mărfurilor </t>
    </r>
  </si>
  <si>
    <r>
      <t xml:space="preserve">  </t>
    </r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 xml:space="preserve"> Faţă de perioada corespunzătoare din anul precedent</t>
    </r>
  </si>
  <si>
    <t>de 131,7 ori</t>
  </si>
  <si>
    <t>de 4,2 ori</t>
  </si>
  <si>
    <t>Andorra</t>
  </si>
  <si>
    <t>Mauritius</t>
  </si>
  <si>
    <t>Republica Dominicană</t>
  </si>
  <si>
    <t>de 3,0 ori</t>
  </si>
  <si>
    <t xml:space="preserve">      din care:</t>
  </si>
  <si>
    <t>de 3,1 ori</t>
  </si>
  <si>
    <t>de 5,8 ori</t>
  </si>
  <si>
    <t>Celelalte țări ale lumii</t>
  </si>
  <si>
    <t>de 3,4 ori</t>
  </si>
  <si>
    <t>Țările Uniunii Europene - total</t>
  </si>
  <si>
    <t>Trinidad Tobago</t>
  </si>
  <si>
    <t>Congo</t>
  </si>
  <si>
    <t>Angola</t>
  </si>
  <si>
    <t>Madagascar</t>
  </si>
  <si>
    <t>Nepal</t>
  </si>
  <si>
    <t>Togo</t>
  </si>
  <si>
    <t>de 4,5 ori</t>
  </si>
  <si>
    <t>de 5,3 ori</t>
  </si>
  <si>
    <t>de 9,3 ori</t>
  </si>
  <si>
    <t>San Marino</t>
  </si>
  <si>
    <t>Malawi</t>
  </si>
  <si>
    <t>de 75,8 ori</t>
  </si>
  <si>
    <t>de 4,6 ori</t>
  </si>
  <si>
    <t>de 3,6 ori</t>
  </si>
  <si>
    <t>de 13,4 ori</t>
  </si>
  <si>
    <t>de 3,7 ori</t>
  </si>
  <si>
    <t>de 4,9 ori</t>
  </si>
  <si>
    <t>de 6,7 ori</t>
  </si>
  <si>
    <t>de 7,2 ori</t>
  </si>
  <si>
    <t>Barbados</t>
  </si>
  <si>
    <t>Guatemala</t>
  </si>
  <si>
    <t>Coreea de Nord</t>
  </si>
  <si>
    <t>Honduras</t>
  </si>
  <si>
    <t>Bolivia</t>
  </si>
  <si>
    <t>Mauritania</t>
  </si>
  <si>
    <t>Groenlanda</t>
  </si>
  <si>
    <t>Paraguay</t>
  </si>
  <si>
    <t>Montenegro</t>
  </si>
  <si>
    <t>Panama</t>
  </si>
  <si>
    <t>Djibouti</t>
  </si>
  <si>
    <t>Ianuarie - august 2021</t>
  </si>
  <si>
    <t>în % faţă de ianuarie - august 2020 ¹</t>
  </si>
  <si>
    <t>ianuarie - august</t>
  </si>
  <si>
    <t>ianuarie - august 1,2</t>
  </si>
  <si>
    <t>în % faţă de ianuarie-august 2020 ¹</t>
  </si>
  <si>
    <t>Ianuarie - august</t>
  </si>
  <si>
    <t>Ianuarie - august 2021        în % faţă de            ianuarie - august 2020 ¹</t>
  </si>
  <si>
    <t>Ianuarie - august 2021 în % faţă de            ianuarie - august 2020 ¹</t>
  </si>
  <si>
    <r>
      <t xml:space="preserve">ianuarie - august </t>
    </r>
    <r>
      <rPr>
        <b/>
        <vertAlign val="superscript"/>
        <sz val="10"/>
        <rFont val="Times New Roman"/>
        <family val="1"/>
        <charset val="204"/>
      </rPr>
      <t>1,2</t>
    </r>
  </si>
  <si>
    <t>Franța</t>
  </si>
  <si>
    <t>Croația</t>
  </si>
  <si>
    <t>Federația Rusă</t>
  </si>
  <si>
    <t>Elveția</t>
  </si>
  <si>
    <t>Regatul Unit al Marii Britanii și Irlandei de Nord</t>
  </si>
  <si>
    <t>Bosnia și Herțegovina</t>
  </si>
  <si>
    <t>de 26,1 ori</t>
  </si>
  <si>
    <t>de 18,3 ori</t>
  </si>
  <si>
    <t>de 22,7 ori</t>
  </si>
  <si>
    <t>de 68,5 ori</t>
  </si>
  <si>
    <t>de 6,3 ori</t>
  </si>
  <si>
    <t>de 22,4 ori</t>
  </si>
  <si>
    <t>de 358,2 ori</t>
  </si>
  <si>
    <t>de 5,1 ori</t>
  </si>
  <si>
    <t xml:space="preserve">Țări cu codul țării de origine a mărfii "EU" </t>
  </si>
  <si>
    <t>Șri Lanka</t>
  </si>
  <si>
    <t>Algeria</t>
  </si>
  <si>
    <t>Papua-Noua Guinee</t>
  </si>
  <si>
    <t>de 23,6 ori</t>
  </si>
  <si>
    <t>de 2327,8 ori</t>
  </si>
  <si>
    <t>de 8,4 ori</t>
  </si>
  <si>
    <t>de 404,0 ori</t>
  </si>
  <si>
    <t>de 3,2 ori</t>
  </si>
  <si>
    <t xml:space="preserve">Tări cu codul ţării de origine a mărfii "EU" </t>
  </si>
  <si>
    <t>de 7,9 ori</t>
  </si>
  <si>
    <t>de 5,2 ori</t>
  </si>
  <si>
    <t>de 3,5 ori</t>
  </si>
  <si>
    <t>de 3,8 ori</t>
  </si>
  <si>
    <t>de 14,1 ori</t>
  </si>
  <si>
    <t>de 95,0 ori</t>
  </si>
  <si>
    <r>
      <t>ianuarie - august</t>
    </r>
    <r>
      <rPr>
        <b/>
        <vertAlign val="superscript"/>
        <sz val="10"/>
        <color indexed="8"/>
        <rFont val="Times New Roman"/>
        <family val="1"/>
        <charset val="204"/>
      </rPr>
      <t xml:space="preserve"> 1,2</t>
    </r>
  </si>
  <si>
    <t>de 4,7 ori</t>
  </si>
  <si>
    <t>de 246,8 ori</t>
  </si>
  <si>
    <t>de 8,0 ori</t>
  </si>
  <si>
    <t>de 5,0 ori</t>
  </si>
  <si>
    <t>Mărfuri manufacturate, clasificate mai ales după materia primă</t>
  </si>
  <si>
    <t>Republica Yemen</t>
  </si>
  <si>
    <t>Insulele Turks și Caicos</t>
  </si>
  <si>
    <t>Kârgâzstan</t>
  </si>
  <si>
    <t>Insulele Feroe</t>
  </si>
  <si>
    <t>Sri Lanka</t>
  </si>
  <si>
    <t>Insulele Georgia și Sandwich de Sud</t>
  </si>
  <si>
    <t>Insulele Seychelles</t>
  </si>
  <si>
    <t>de 4,4 ori</t>
  </si>
  <si>
    <t>de 6,2 ori</t>
  </si>
  <si>
    <t>de 2,8 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</si>
</sst>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2"/>
      <color indexed="8"/>
      <name val="Times New Roman"/>
      <family val="2"/>
      <charset val="238"/>
    </font>
    <font>
      <b/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6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Times New Roman"/>
      <family val="2"/>
      <charset val="238"/>
    </font>
    <font>
      <sz val="10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color indexed="8"/>
      <name val="Times New Roman"/>
      <family val="2"/>
      <charset val="238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9"/>
      <color indexed="8"/>
      <name val="Times New Roman"/>
      <family val="2"/>
      <charset val="238"/>
    </font>
    <font>
      <b/>
      <vertAlign val="superscript"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3" fillId="0" borderId="0"/>
    <xf numFmtId="0" fontId="14" fillId="0" borderId="0"/>
    <xf numFmtId="0" fontId="13" fillId="0" borderId="0"/>
    <xf numFmtId="0" fontId="19" fillId="0" borderId="0"/>
    <xf numFmtId="0" fontId="13" fillId="0" borderId="0"/>
  </cellStyleXfs>
  <cellXfs count="132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12" fillId="0" borderId="0" xfId="0" applyFont="1"/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8" fillId="0" borderId="0" xfId="0" applyFont="1"/>
    <xf numFmtId="4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ill="1"/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" fontId="23" fillId="0" borderId="0" xfId="0" applyNumberFormat="1" applyFont="1" applyFill="1" applyAlignment="1" applyProtection="1">
      <alignment horizontal="right" vertical="top" indent="1"/>
    </xf>
    <xf numFmtId="4" fontId="23" fillId="0" borderId="0" xfId="0" applyNumberFormat="1" applyFont="1" applyFill="1" applyAlignment="1" applyProtection="1">
      <alignment horizontal="right" vertical="top" wrapText="1" indent="1"/>
    </xf>
    <xf numFmtId="4" fontId="23" fillId="0" borderId="0" xfId="0" applyNumberFormat="1" applyFont="1" applyFill="1" applyBorder="1" applyAlignment="1" applyProtection="1">
      <alignment horizontal="right" vertical="top" wrapText="1" indent="1"/>
    </xf>
    <xf numFmtId="4" fontId="25" fillId="0" borderId="0" xfId="0" applyNumberFormat="1" applyFont="1" applyAlignment="1">
      <alignment horizontal="right" vertical="top" indent="2"/>
    </xf>
    <xf numFmtId="4" fontId="23" fillId="0" borderId="0" xfId="0" applyNumberFormat="1" applyFont="1" applyFill="1" applyBorder="1" applyAlignment="1" applyProtection="1">
      <alignment horizontal="right" vertical="top"/>
    </xf>
    <xf numFmtId="4" fontId="25" fillId="0" borderId="0" xfId="0" applyNumberFormat="1" applyFont="1" applyAlignment="1">
      <alignment horizontal="right" vertical="top"/>
    </xf>
    <xf numFmtId="4" fontId="11" fillId="0" borderId="0" xfId="0" applyNumberFormat="1" applyFont="1" applyFill="1" applyAlignment="1" applyProtection="1">
      <alignment horizontal="right" vertical="top"/>
    </xf>
    <xf numFmtId="4" fontId="9" fillId="0" borderId="0" xfId="0" applyNumberFormat="1" applyFont="1" applyFill="1" applyAlignment="1" applyProtection="1">
      <alignment horizontal="right" vertical="top"/>
    </xf>
    <xf numFmtId="38" fontId="11" fillId="0" borderId="0" xfId="0" applyNumberFormat="1" applyFont="1" applyFill="1" applyAlignment="1" applyProtection="1">
      <alignment horizontal="center" vertical="top"/>
    </xf>
    <xf numFmtId="38" fontId="11" fillId="0" borderId="0" xfId="0" applyNumberFormat="1" applyFont="1" applyFill="1" applyAlignment="1" applyProtection="1">
      <alignment horizontal="left" vertical="top" wrapText="1"/>
    </xf>
    <xf numFmtId="38" fontId="9" fillId="0" borderId="0" xfId="0" applyNumberFormat="1" applyFont="1" applyFill="1" applyAlignment="1" applyProtection="1">
      <alignment horizontal="center" vertical="top"/>
    </xf>
    <xf numFmtId="38" fontId="9" fillId="0" borderId="0" xfId="0" applyNumberFormat="1" applyFont="1" applyFill="1" applyAlignment="1" applyProtection="1">
      <alignment horizontal="left" vertical="top" wrapText="1"/>
    </xf>
    <xf numFmtId="0" fontId="24" fillId="0" borderId="0" xfId="0" applyFont="1" applyAlignment="1">
      <alignment horizontal="center" vertical="top"/>
    </xf>
    <xf numFmtId="0" fontId="28" fillId="0" borderId="0" xfId="0" applyFont="1" applyAlignment="1">
      <alignment horizontal="left"/>
    </xf>
    <xf numFmtId="38" fontId="28" fillId="0" borderId="0" xfId="0" applyNumberFormat="1" applyFont="1" applyFill="1" applyBorder="1" applyAlignment="1" applyProtection="1">
      <alignment horizontal="left" wrapText="1"/>
    </xf>
    <xf numFmtId="0" fontId="2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32" fillId="0" borderId="5" xfId="0" applyNumberFormat="1" applyFont="1" applyFill="1" applyBorder="1" applyAlignment="1" applyProtection="1">
      <alignment horizontal="center" vertical="top"/>
    </xf>
    <xf numFmtId="38" fontId="11" fillId="0" borderId="3" xfId="0" applyNumberFormat="1" applyFont="1" applyFill="1" applyBorder="1" applyAlignment="1" applyProtection="1">
      <alignment horizontal="center" vertical="top"/>
    </xf>
    <xf numFmtId="0" fontId="9" fillId="0" borderId="0" xfId="0" applyNumberFormat="1" applyFont="1" applyFill="1" applyBorder="1" applyAlignment="1" applyProtection="1">
      <alignment horizontal="left" vertical="top" wrapText="1"/>
    </xf>
    <xf numFmtId="4" fontId="31" fillId="0" borderId="5" xfId="0" applyNumberFormat="1" applyFont="1" applyFill="1" applyBorder="1" applyAlignment="1" applyProtection="1">
      <alignment horizontal="right" vertical="top"/>
    </xf>
    <xf numFmtId="4" fontId="31" fillId="0" borderId="5" xfId="0" applyNumberFormat="1" applyFont="1" applyFill="1" applyBorder="1" applyAlignment="1" applyProtection="1">
      <alignment horizontal="right" vertical="top" indent="1"/>
    </xf>
    <xf numFmtId="0" fontId="11" fillId="0" borderId="0" xfId="0" applyNumberFormat="1" applyFont="1" applyFill="1" applyAlignment="1" applyProtection="1">
      <alignment horizontal="left" vertical="top" wrapText="1" indent="1"/>
    </xf>
    <xf numFmtId="4" fontId="11" fillId="0" borderId="0" xfId="0" applyNumberFormat="1" applyFont="1" applyFill="1" applyAlignment="1" applyProtection="1">
      <alignment horizontal="right" vertical="top" indent="1"/>
    </xf>
    <xf numFmtId="38" fontId="9" fillId="0" borderId="0" xfId="0" applyNumberFormat="1" applyFont="1" applyFill="1" applyAlignment="1" applyProtection="1">
      <alignment horizontal="left" vertical="top" wrapText="1" indent="1"/>
    </xf>
    <xf numFmtId="4" fontId="9" fillId="0" borderId="0" xfId="0" applyNumberFormat="1" applyFont="1" applyFill="1" applyAlignment="1" applyProtection="1">
      <alignment horizontal="right" vertical="top" indent="1"/>
    </xf>
    <xf numFmtId="38" fontId="9" fillId="0" borderId="3" xfId="0" applyNumberFormat="1" applyFont="1" applyFill="1" applyBorder="1" applyAlignment="1" applyProtection="1">
      <alignment horizontal="left" vertical="top" wrapText="1" indent="1"/>
    </xf>
    <xf numFmtId="4" fontId="9" fillId="0" borderId="3" xfId="0" applyNumberFormat="1" applyFont="1" applyFill="1" applyBorder="1" applyAlignment="1" applyProtection="1">
      <alignment horizontal="right" vertical="top"/>
    </xf>
    <xf numFmtId="4" fontId="9" fillId="0" borderId="3" xfId="0" applyNumberFormat="1" applyFont="1" applyFill="1" applyBorder="1" applyAlignment="1" applyProtection="1">
      <alignment horizontal="right" vertical="top" indent="1"/>
    </xf>
    <xf numFmtId="0" fontId="31" fillId="0" borderId="5" xfId="0" applyNumberFormat="1" applyFont="1" applyFill="1" applyBorder="1" applyAlignment="1" applyProtection="1">
      <alignment horizontal="left" vertical="top" wrapText="1" indent="1"/>
    </xf>
    <xf numFmtId="0" fontId="9" fillId="0" borderId="0" xfId="0" applyNumberFormat="1" applyFont="1" applyFill="1" applyBorder="1" applyAlignment="1" applyProtection="1">
      <alignment horizontal="left" vertical="top" wrapText="1" indent="1"/>
    </xf>
    <xf numFmtId="0" fontId="31" fillId="0" borderId="5" xfId="0" applyNumberFormat="1" applyFont="1" applyFill="1" applyBorder="1" applyAlignment="1" applyProtection="1">
      <alignment horizontal="left" vertical="top" wrapText="1"/>
    </xf>
    <xf numFmtId="38" fontId="11" fillId="0" borderId="3" xfId="0" applyNumberFormat="1" applyFont="1" applyFill="1" applyBorder="1" applyAlignment="1" applyProtection="1">
      <alignment horizontal="left" vertical="top" wrapText="1"/>
    </xf>
    <xf numFmtId="4" fontId="11" fillId="0" borderId="3" xfId="0" applyNumberFormat="1" applyFont="1" applyFill="1" applyBorder="1" applyAlignment="1" applyProtection="1">
      <alignment horizontal="right" vertical="top"/>
    </xf>
    <xf numFmtId="4" fontId="11" fillId="0" borderId="3" xfId="0" applyNumberFormat="1" applyFont="1" applyFill="1" applyBorder="1" applyAlignment="1" applyProtection="1">
      <alignment horizontal="right" vertical="top" indent="1"/>
    </xf>
    <xf numFmtId="38" fontId="11" fillId="0" borderId="0" xfId="0" applyNumberFormat="1" applyFont="1" applyFill="1" applyBorder="1" applyAlignment="1" applyProtection="1">
      <alignment horizontal="center" vertical="top"/>
    </xf>
    <xf numFmtId="38" fontId="9" fillId="0" borderId="0" xfId="0" applyNumberFormat="1" applyFont="1" applyFill="1" applyBorder="1" applyAlignment="1" applyProtection="1">
      <alignment horizontal="center" vertical="top"/>
    </xf>
    <xf numFmtId="4" fontId="9" fillId="0" borderId="0" xfId="0" applyNumberFormat="1" applyFont="1" applyFill="1" applyBorder="1" applyAlignment="1" applyProtection="1">
      <alignment horizontal="right" vertical="top"/>
    </xf>
    <xf numFmtId="4" fontId="9" fillId="0" borderId="0" xfId="0" applyNumberFormat="1" applyFont="1" applyFill="1" applyBorder="1" applyAlignment="1" applyProtection="1">
      <alignment horizontal="right" vertical="top" indent="1"/>
    </xf>
    <xf numFmtId="4" fontId="31" fillId="0" borderId="0" xfId="0" applyNumberFormat="1" applyFont="1" applyFill="1" applyAlignment="1" applyProtection="1">
      <alignment horizontal="right" vertical="top" indent="1"/>
    </xf>
    <xf numFmtId="4" fontId="31" fillId="0" borderId="0" xfId="0" applyNumberFormat="1" applyFont="1" applyFill="1" applyAlignment="1" applyProtection="1">
      <alignment horizontal="right" vertical="top" wrapText="1" indent="1"/>
    </xf>
    <xf numFmtId="4" fontId="33" fillId="0" borderId="0" xfId="0" applyNumberFormat="1" applyFont="1" applyAlignment="1">
      <alignment horizontal="right" vertical="top" wrapText="1" indent="1"/>
    </xf>
    <xf numFmtId="4" fontId="9" fillId="0" borderId="0" xfId="0" applyNumberFormat="1" applyFont="1" applyAlignment="1">
      <alignment horizontal="right" vertical="top" wrapText="1" indent="1"/>
    </xf>
    <xf numFmtId="4" fontId="11" fillId="0" borderId="0" xfId="0" applyNumberFormat="1" applyFont="1" applyAlignment="1">
      <alignment horizontal="right" vertical="top" indent="1"/>
    </xf>
    <xf numFmtId="4" fontId="9" fillId="0" borderId="0" xfId="0" applyNumberFormat="1" applyFont="1" applyAlignment="1">
      <alignment horizontal="right" vertical="top" indent="1"/>
    </xf>
    <xf numFmtId="4" fontId="9" fillId="0" borderId="0" xfId="0" applyNumberFormat="1" applyFont="1" applyBorder="1" applyAlignment="1">
      <alignment horizontal="right" vertical="top" indent="1"/>
    </xf>
    <xf numFmtId="0" fontId="31" fillId="0" borderId="0" xfId="0" applyFont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0" fontId="9" fillId="0" borderId="0" xfId="0" applyNumberFormat="1" applyFont="1" applyFill="1" applyAlignment="1" applyProtection="1">
      <alignment horizontal="left" vertical="top" wrapText="1" indent="1"/>
    </xf>
    <xf numFmtId="0" fontId="9" fillId="0" borderId="3" xfId="0" applyNumberFormat="1" applyFont="1" applyFill="1" applyBorder="1" applyAlignment="1" applyProtection="1">
      <alignment horizontal="left" vertical="top" wrapText="1" indent="1"/>
    </xf>
    <xf numFmtId="4" fontId="31" fillId="0" borderId="0" xfId="0" applyNumberFormat="1" applyFont="1" applyFill="1" applyBorder="1" applyAlignment="1" applyProtection="1">
      <alignment horizontal="right" vertical="top" indent="1"/>
    </xf>
    <xf numFmtId="4" fontId="11" fillId="0" borderId="0" xfId="0" applyNumberFormat="1" applyFont="1" applyFill="1" applyBorder="1" applyAlignment="1" applyProtection="1">
      <alignment horizontal="right" vertical="top" indent="1"/>
    </xf>
    <xf numFmtId="4" fontId="11" fillId="0" borderId="0" xfId="0" applyNumberFormat="1" applyFont="1" applyAlignment="1">
      <alignment horizontal="right" vertical="top" wrapText="1" indent="1"/>
    </xf>
    <xf numFmtId="4" fontId="9" fillId="0" borderId="3" xfId="0" applyNumberFormat="1" applyFont="1" applyBorder="1" applyAlignment="1">
      <alignment horizontal="right" vertical="top" indent="1"/>
    </xf>
    <xf numFmtId="0" fontId="11" fillId="0" borderId="0" xfId="0" applyNumberFormat="1" applyFont="1" applyFill="1" applyBorder="1" applyAlignment="1" applyProtection="1">
      <alignment horizontal="left" vertical="top" wrapText="1" indent="1"/>
    </xf>
    <xf numFmtId="4" fontId="34" fillId="0" borderId="0" xfId="0" applyNumberFormat="1" applyFont="1" applyAlignment="1">
      <alignment horizontal="right" vertical="top" indent="1"/>
    </xf>
    <xf numFmtId="4" fontId="22" fillId="0" borderId="0" xfId="0" applyNumberFormat="1" applyFont="1" applyFill="1" applyBorder="1" applyAlignment="1" applyProtection="1">
      <alignment horizontal="right" vertical="top"/>
    </xf>
    <xf numFmtId="4" fontId="34" fillId="0" borderId="0" xfId="0" applyNumberFormat="1" applyFont="1" applyAlignment="1">
      <alignment horizontal="right" vertical="top"/>
    </xf>
    <xf numFmtId="4" fontId="9" fillId="0" borderId="0" xfId="0" applyNumberFormat="1" applyFont="1" applyAlignment="1">
      <alignment horizontal="right" vertical="top"/>
    </xf>
    <xf numFmtId="4" fontId="9" fillId="0" borderId="3" xfId="0" applyNumberFormat="1" applyFont="1" applyBorder="1" applyAlignment="1">
      <alignment horizontal="right" vertical="top"/>
    </xf>
    <xf numFmtId="4" fontId="26" fillId="0" borderId="0" xfId="0" applyNumberFormat="1" applyFont="1" applyAlignment="1">
      <alignment horizontal="right" vertical="top" indent="1"/>
    </xf>
    <xf numFmtId="0" fontId="35" fillId="0" borderId="0" xfId="0" applyFont="1"/>
    <xf numFmtId="4" fontId="22" fillId="0" borderId="0" xfId="0" applyNumberFormat="1" applyFont="1" applyFill="1" applyBorder="1" applyAlignment="1" applyProtection="1">
      <alignment horizontal="right" vertical="top" indent="1"/>
    </xf>
    <xf numFmtId="4" fontId="24" fillId="0" borderId="0" xfId="0" applyNumberFormat="1" applyFont="1" applyAlignment="1">
      <alignment horizontal="right" vertical="top" indent="1"/>
    </xf>
    <xf numFmtId="4" fontId="31" fillId="0" borderId="5" xfId="0" applyNumberFormat="1" applyFont="1" applyFill="1" applyBorder="1" applyAlignment="1" applyProtection="1">
      <alignment horizontal="right" vertical="top" indent="2"/>
    </xf>
    <xf numFmtId="4" fontId="24" fillId="0" borderId="0" xfId="0" applyNumberFormat="1" applyFont="1" applyAlignment="1">
      <alignment horizontal="right" vertical="top" indent="2"/>
    </xf>
    <xf numFmtId="4" fontId="11" fillId="0" borderId="0" xfId="0" applyNumberFormat="1" applyFont="1" applyFill="1" applyAlignment="1" applyProtection="1">
      <alignment horizontal="right" vertical="top" indent="2"/>
    </xf>
    <xf numFmtId="4" fontId="9" fillId="0" borderId="0" xfId="0" applyNumberFormat="1" applyFont="1" applyFill="1" applyAlignment="1" applyProtection="1">
      <alignment horizontal="right" vertical="top" indent="2"/>
    </xf>
    <xf numFmtId="4" fontId="9" fillId="0" borderId="3" xfId="0" applyNumberFormat="1" applyFont="1" applyFill="1" applyBorder="1" applyAlignment="1" applyProtection="1">
      <alignment horizontal="right" vertical="top" indent="2"/>
    </xf>
    <xf numFmtId="4" fontId="9" fillId="0" borderId="3" xfId="0" applyNumberFormat="1" applyFont="1" applyBorder="1" applyAlignment="1">
      <alignment horizontal="right" vertical="top" wrapText="1" indent="1"/>
    </xf>
    <xf numFmtId="4" fontId="11" fillId="0" borderId="3" xfId="0" applyNumberFormat="1" applyFont="1" applyFill="1" applyBorder="1" applyAlignment="1" applyProtection="1">
      <alignment horizontal="right" vertical="top" indent="2"/>
    </xf>
    <xf numFmtId="0" fontId="28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9" fillId="0" borderId="6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6">
    <cellStyle name="Normal 2" xfId="4"/>
    <cellStyle name="Normal 3" xfId="3"/>
    <cellStyle name="Обычный" xfId="0" builtinId="0"/>
    <cellStyle name="Обычный 2" xfId="1"/>
    <cellStyle name="Обычный 3" xfId="2"/>
    <cellStyle name="Обычный 3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19"/>
  <sheetViews>
    <sheetView tabSelected="1" zoomScale="99" zoomScaleNormal="99" workbookViewId="0">
      <selection activeCell="K8" sqref="K8"/>
    </sheetView>
  </sheetViews>
  <sheetFormatPr defaultRowHeight="15.75" x14ac:dyDescent="0.25"/>
  <cols>
    <col min="1" max="1" width="29.75" style="7" customWidth="1"/>
    <col min="2" max="2" width="11.75" style="7" customWidth="1"/>
    <col min="3" max="3" width="10.5" style="7" customWidth="1"/>
    <col min="4" max="4" width="9" style="7" customWidth="1"/>
    <col min="5" max="5" width="8.75" style="7" customWidth="1"/>
    <col min="6" max="7" width="9.875" style="7" customWidth="1"/>
  </cols>
  <sheetData>
    <row r="1" spans="1:7" x14ac:dyDescent="0.25">
      <c r="A1" s="100" t="s">
        <v>137</v>
      </c>
      <c r="B1" s="100"/>
      <c r="C1" s="100"/>
      <c r="D1" s="100"/>
      <c r="E1" s="100"/>
      <c r="F1" s="100"/>
      <c r="G1" s="100"/>
    </row>
    <row r="3" spans="1:7" ht="54" customHeight="1" x14ac:dyDescent="0.25">
      <c r="A3" s="101"/>
      <c r="B3" s="104" t="s">
        <v>362</v>
      </c>
      <c r="C3" s="105"/>
      <c r="D3" s="104" t="s">
        <v>108</v>
      </c>
      <c r="E3" s="105"/>
      <c r="F3" s="106" t="s">
        <v>1</v>
      </c>
      <c r="G3" s="107"/>
    </row>
    <row r="4" spans="1:7" ht="22.5" customHeight="1" x14ac:dyDescent="0.25">
      <c r="A4" s="102"/>
      <c r="B4" s="108" t="s">
        <v>99</v>
      </c>
      <c r="C4" s="110" t="s">
        <v>363</v>
      </c>
      <c r="D4" s="112" t="s">
        <v>364</v>
      </c>
      <c r="E4" s="112"/>
      <c r="F4" s="112" t="s">
        <v>370</v>
      </c>
      <c r="G4" s="104"/>
    </row>
    <row r="5" spans="1:7" ht="18" customHeight="1" x14ac:dyDescent="0.25">
      <c r="A5" s="103"/>
      <c r="B5" s="109"/>
      <c r="C5" s="111"/>
      <c r="D5" s="20">
        <v>2020</v>
      </c>
      <c r="E5" s="20">
        <v>2021</v>
      </c>
      <c r="F5" s="20">
        <v>2020</v>
      </c>
      <c r="G5" s="16">
        <v>2021</v>
      </c>
    </row>
    <row r="6" spans="1:7" ht="15.75" customHeight="1" x14ac:dyDescent="0.25">
      <c r="A6" s="57" t="s">
        <v>100</v>
      </c>
      <c r="B6" s="48">
        <v>1808733.4933800001</v>
      </c>
      <c r="C6" s="49">
        <f>IF(1525216.45469="","-",1808733.49338/1525216.45469*100)</f>
        <v>118.58864280005588</v>
      </c>
      <c r="D6" s="49">
        <v>100</v>
      </c>
      <c r="E6" s="49">
        <v>100</v>
      </c>
      <c r="F6" s="49">
        <f>IF(1787183.4192="","-",(1525216.45469-1787183.4192)/1787183.4192*100)</f>
        <v>-14.658090585199396</v>
      </c>
      <c r="G6" s="49">
        <f>IF(1525216.45469="","-",(1808733.49338-1525216.45469)/1525216.45469*100)</f>
        <v>18.588642800055869</v>
      </c>
    </row>
    <row r="7" spans="1:7" x14ac:dyDescent="0.25">
      <c r="A7" s="47" t="s">
        <v>326</v>
      </c>
      <c r="B7" s="84"/>
      <c r="C7" s="90"/>
      <c r="D7" s="90"/>
      <c r="E7" s="90"/>
      <c r="F7" s="90"/>
      <c r="G7" s="90"/>
    </row>
    <row r="8" spans="1:7" x14ac:dyDescent="0.25">
      <c r="A8" s="50" t="s">
        <v>145</v>
      </c>
      <c r="B8" s="33">
        <v>1132022.9469999999</v>
      </c>
      <c r="C8" s="51">
        <f>IF(991055.31629="","-",1132022.947/991055.31629*100)</f>
        <v>114.22399218216295</v>
      </c>
      <c r="D8" s="51">
        <f>IF(991055.31629="","-",991055.31629/1525216.45469*100)</f>
        <v>64.978011038533651</v>
      </c>
      <c r="E8" s="51">
        <f>IF(1132022.947="","-",1132022.947/1808733.49338*100)</f>
        <v>62.586497742383052</v>
      </c>
      <c r="F8" s="51">
        <f>IF(1787183.4192="","-",(991055.31629-1138072.46499)/1787183.4192*100)</f>
        <v>-8.2261925172632573</v>
      </c>
      <c r="G8" s="51">
        <f>IF(1525216.45469="","-",(1132022.947-991055.31629)/1525216.45469*100)</f>
        <v>9.2424672102460104</v>
      </c>
    </row>
    <row r="9" spans="1:7" ht="15.75" customHeight="1" x14ac:dyDescent="0.25">
      <c r="A9" s="52" t="s">
        <v>2</v>
      </c>
      <c r="B9" s="34">
        <v>495385.98139999999</v>
      </c>
      <c r="C9" s="53">
        <f>IF(OR(414068.16234="",495385.9814=""),"-",495385.9814/414068.16234*100)</f>
        <v>119.63875189061946</v>
      </c>
      <c r="D9" s="53">
        <f>IF(414068.16234="","-",414068.16234/1525216.45469*100)</f>
        <v>27.14815730362411</v>
      </c>
      <c r="E9" s="53">
        <f>IF(495385.9814="","-",495385.9814/1808733.49338*100)</f>
        <v>27.388555760874802</v>
      </c>
      <c r="F9" s="53">
        <f>IF(OR(1787183.4192="",507799.77685="",414068.16234=""),"-",(414068.16234-507799.77685)/1787183.4192*100)</f>
        <v>-5.2446555570640472</v>
      </c>
      <c r="G9" s="53">
        <f>IF(OR(1525216.45469="",495385.9814="",414068.16234=""),"-",(495385.9814-414068.16234)/1525216.45469*100)</f>
        <v>5.3315592557338256</v>
      </c>
    </row>
    <row r="10" spans="1:7" ht="15.75" customHeight="1" x14ac:dyDescent="0.25">
      <c r="A10" s="52" t="s">
        <v>4</v>
      </c>
      <c r="B10" s="34">
        <v>169043.55048000001</v>
      </c>
      <c r="C10" s="53">
        <f>IF(OR(138067.93702="",169043.55048=""),"-",169043.55048/138067.93702*100)</f>
        <v>122.43505199582505</v>
      </c>
      <c r="D10" s="53">
        <f>IF(138067.93702="","-",138067.93702/1525216.45469*100)</f>
        <v>9.0523503464340926</v>
      </c>
      <c r="E10" s="53">
        <f>IF(169043.55048="","-",169043.55048/1808733.49338*100)</f>
        <v>9.3459623044911098</v>
      </c>
      <c r="F10" s="53">
        <f>IF(OR(1787183.4192="",160901.24785="",138067.93702=""),"-",(138067.93702-160901.24785)/1787183.4192*100)</f>
        <v>-1.2776142943526703</v>
      </c>
      <c r="G10" s="53">
        <f>IF(OR(1525216.45469="",169043.55048="",138067.93702=""),"-",(169043.55048-138067.93702)/1525216.45469*100)</f>
        <v>2.0308995070667386</v>
      </c>
    </row>
    <row r="11" spans="1:7" ht="13.5" customHeight="1" x14ac:dyDescent="0.25">
      <c r="A11" s="52" t="s">
        <v>3</v>
      </c>
      <c r="B11" s="34">
        <v>138661.17694999999</v>
      </c>
      <c r="C11" s="53">
        <f>IF(OR(138598.84888="",138661.17695=""),"-",138661.17695/138598.84888*100)</f>
        <v>100.04497012096685</v>
      </c>
      <c r="D11" s="53">
        <f>IF(138598.84888="","-",138598.84888/1525216.45469*100)</f>
        <v>9.0871592981974612</v>
      </c>
      <c r="E11" s="53">
        <f>IF(138661.17695="","-",138661.17695/1808733.49338*100)</f>
        <v>7.6662027577585432</v>
      </c>
      <c r="F11" s="53">
        <f>IF(OR(1787183.4192="",185030.51636="",138598.84888=""),"-",(138598.84888-185030.51636)/1787183.4192*100)</f>
        <v>-2.5980359363889072</v>
      </c>
      <c r="G11" s="53">
        <f>IF(OR(1525216.45469="",138661.17695="",138598.84888=""),"-",(138661.17695-138598.84888)/1525216.45469*100)</f>
        <v>4.0865065288491677E-3</v>
      </c>
    </row>
    <row r="12" spans="1:7" ht="15.75" customHeight="1" x14ac:dyDescent="0.25">
      <c r="A12" s="52" t="s">
        <v>5</v>
      </c>
      <c r="B12" s="34">
        <v>66305.692299999995</v>
      </c>
      <c r="C12" s="53">
        <f>IF(OR(63168.76583="",66305.6923=""),"-",66305.6923/63168.76583*100)</f>
        <v>104.96594547761484</v>
      </c>
      <c r="D12" s="53">
        <f>IF(63168.76583="","-",63168.76583/1525216.45469*100)</f>
        <v>4.1416263006970402</v>
      </c>
      <c r="E12" s="53">
        <f>IF(66305.6923="","-",66305.6923/1808733.49338*100)</f>
        <v>3.665863021980857</v>
      </c>
      <c r="F12" s="53">
        <f>IF(OR(1787183.4192="",69163.57169="",63168.76583=""),"-",(63168.76583-69163.57169)/1787183.4192*100)</f>
        <v>-0.33543316234902548</v>
      </c>
      <c r="G12" s="53">
        <f>IF(OR(1525216.45469="",66305.6923="",63168.76583=""),"-",(66305.6923-63168.76583)/1525216.45469*100)</f>
        <v>0.20567090397917179</v>
      </c>
    </row>
    <row r="13" spans="1:7" s="12" customFormat="1" x14ac:dyDescent="0.25">
      <c r="A13" s="52" t="s">
        <v>7</v>
      </c>
      <c r="B13" s="34">
        <v>54329.483130000001</v>
      </c>
      <c r="C13" s="53">
        <f>IF(OR(51162.64291="",54329.48313=""),"-",54329.48313/51162.64291*100)</f>
        <v>106.18975103684689</v>
      </c>
      <c r="D13" s="53">
        <f>IF(51162.64291="","-",51162.64291/1525216.45469*100)</f>
        <v>3.3544512815001593</v>
      </c>
      <c r="E13" s="53">
        <f>IF(54329.48313="","-",54329.48313/1808733.49338*100)</f>
        <v>3.0037306949225502</v>
      </c>
      <c r="F13" s="53">
        <f>IF(OR(1787183.4192="",35346.32434="",51162.64291=""),"-",(51162.64291-35346.32434)/1787183.4192*100)</f>
        <v>0.88498574908891492</v>
      </c>
      <c r="G13" s="53">
        <f>IF(OR(1525216.45469="",54329.48313="",51162.64291=""),"-",(54329.48313-51162.64291)/1525216.45469*100)</f>
        <v>0.20763218297717997</v>
      </c>
    </row>
    <row r="14" spans="1:7" s="12" customFormat="1" x14ac:dyDescent="0.25">
      <c r="A14" s="52" t="s">
        <v>6</v>
      </c>
      <c r="B14" s="34">
        <v>28158.42324</v>
      </c>
      <c r="C14" s="53">
        <f>IF(OR(23259.39528="",28158.42324=""),"-",28158.42324/23259.39528*100)</f>
        <v>121.06257665354059</v>
      </c>
      <c r="D14" s="53">
        <f>IF(23259.39528="","-",23259.39528/1525216.45469*100)</f>
        <v>1.5249897946273774</v>
      </c>
      <c r="E14" s="53">
        <f>IF(28158.42324="","-",28158.42324/1808733.49338*100)</f>
        <v>1.5568033291283863</v>
      </c>
      <c r="F14" s="53">
        <f>IF(OR(1787183.4192="",26849.87302="",23259.39528=""),"-",(23259.39528-26849.87302)/1787183.4192*100)</f>
        <v>-0.20090146883788851</v>
      </c>
      <c r="G14" s="53">
        <f>IF(OR(1525216.45469="",28158.42324="",23259.39528=""),"-",(28158.42324-23259.39528)/1525216.45469*100)</f>
        <v>0.32120214445206247</v>
      </c>
    </row>
    <row r="15" spans="1:7" s="12" customFormat="1" x14ac:dyDescent="0.25">
      <c r="A15" s="52" t="s">
        <v>42</v>
      </c>
      <c r="B15" s="34">
        <v>25329.290580000001</v>
      </c>
      <c r="C15" s="53" t="s">
        <v>105</v>
      </c>
      <c r="D15" s="53">
        <f>IF(12999.28927="","-",12999.28927/1525216.45469*100)</f>
        <v>0.85229143903001636</v>
      </c>
      <c r="E15" s="53">
        <f>IF(25329.29058="","-",25329.29058/1808733.49338*100)</f>
        <v>1.4003882093578572</v>
      </c>
      <c r="F15" s="53">
        <f>IF(OR(1787183.4192="",5536.91966="",12999.28927=""),"-",(12999.28927-5536.91966)/1787183.4192*100)</f>
        <v>0.41754917429462246</v>
      </c>
      <c r="G15" s="53">
        <f>IF(OR(1525216.45469="",25329.29058="",12999.28927=""),"-",(25329.29058-12999.28927)/1525216.45469*100)</f>
        <v>0.80840993237947145</v>
      </c>
    </row>
    <row r="16" spans="1:7" s="12" customFormat="1" x14ac:dyDescent="0.25">
      <c r="A16" s="52" t="s">
        <v>10</v>
      </c>
      <c r="B16" s="34">
        <v>23221.153320000001</v>
      </c>
      <c r="C16" s="53">
        <f>IF(OR(22797.84012="",23221.15332=""),"-",23221.15332/22797.84012*100)</f>
        <v>101.85681274090803</v>
      </c>
      <c r="D16" s="53">
        <f>IF(22797.84012="","-",22797.84012/1525216.45469*100)</f>
        <v>1.4947281777545245</v>
      </c>
      <c r="E16" s="53">
        <f>IF(23221.15332="","-",23221.15332/1808733.49338*100)</f>
        <v>1.2838349820462702</v>
      </c>
      <c r="F16" s="53">
        <f>IF(OR(1787183.4192="",23820.61778="",22797.84012=""),"-",(22797.84012-23820.61778)/1787183.4192*100)</f>
        <v>-5.722846625657637E-2</v>
      </c>
      <c r="G16" s="53">
        <f>IF(OR(1525216.45469="",23221.15332="",22797.84012=""),"-",(23221.15332-22797.84012)/1525216.45469*100)</f>
        <v>2.7754303246488303E-2</v>
      </c>
    </row>
    <row r="17" spans="1:7" s="12" customFormat="1" x14ac:dyDescent="0.25">
      <c r="A17" s="52" t="s">
        <v>371</v>
      </c>
      <c r="B17" s="34">
        <v>21562.978200000001</v>
      </c>
      <c r="C17" s="53">
        <f>IF(OR(21506.17834="",21562.9782=""),"-",21562.9782/21506.17834*100)</f>
        <v>100.26410949961462</v>
      </c>
      <c r="D17" s="53">
        <f>IF(21506.17834="","-",21506.17834/1525216.45469*100)</f>
        <v>1.4100410649169874</v>
      </c>
      <c r="E17" s="53">
        <f>IF(21562.9782="","-",21562.9782/1808733.49338*100)</f>
        <v>1.1921589487296456</v>
      </c>
      <c r="F17" s="53">
        <f>IF(OR(1787183.4192="",23005.98346="",21506.17834=""),"-",(21506.17834-23005.98346)/1787183.4192*100)</f>
        <v>-8.3920044461433141E-2</v>
      </c>
      <c r="G17" s="53">
        <f>IF(OR(1525216.45469="",21562.9782="",21506.17834=""),"-",(21562.9782-21506.17834)/1525216.45469*100)</f>
        <v>3.7240524009129819E-3</v>
      </c>
    </row>
    <row r="18" spans="1:7" s="12" customFormat="1" x14ac:dyDescent="0.25">
      <c r="A18" s="52" t="s">
        <v>40</v>
      </c>
      <c r="B18" s="34">
        <v>20057.65553</v>
      </c>
      <c r="C18" s="53">
        <f>IF(OR(23082.78459="",20057.65553=""),"-",20057.65553/23082.78459*100)</f>
        <v>86.894436205454355</v>
      </c>
      <c r="D18" s="53">
        <f>IF(23082.78459="","-",23082.78459/1525216.45469*100)</f>
        <v>1.5134104093239389</v>
      </c>
      <c r="E18" s="53">
        <f>IF(20057.65553="","-",20057.65553/1808733.49338*100)</f>
        <v>1.1089337154097831</v>
      </c>
      <c r="F18" s="53">
        <f>IF(OR(1787183.4192="",21365.10907="",23082.78459=""),"-",(23082.78459-21365.10907)/1787183.4192*100)</f>
        <v>9.6110757382075918E-2</v>
      </c>
      <c r="G18" s="53">
        <f>IF(OR(1525216.45469="",20057.65553="",23082.78459=""),"-",(20057.65553-23082.78459)/1525216.45469*100)</f>
        <v>-0.19834096666724305</v>
      </c>
    </row>
    <row r="19" spans="1:7" s="14" customFormat="1" x14ac:dyDescent="0.25">
      <c r="A19" s="52" t="s">
        <v>9</v>
      </c>
      <c r="B19" s="34">
        <v>18448.496419999999</v>
      </c>
      <c r="C19" s="53">
        <f>IF(OR(23080.49045="",18448.49642=""),"-",18448.49642/23080.49045*100)</f>
        <v>79.931128239954703</v>
      </c>
      <c r="D19" s="53">
        <f>IF(23080.49045="","-",23080.49045/1525216.45469*100)</f>
        <v>1.5132599952634991</v>
      </c>
      <c r="E19" s="53">
        <f>IF(18448.49642="","-",18448.49642/1808733.49338*100)</f>
        <v>1.0199676451794506</v>
      </c>
      <c r="F19" s="53">
        <f>IF(OR(1787183.4192="",18451.73903="",23080.49045=""),"-",(23080.49045-18451.73903)/1787183.4192*100)</f>
        <v>0.25899699886830735</v>
      </c>
      <c r="G19" s="53">
        <f>IF(OR(1525216.45469="",18448.49642="",23080.49045=""),"-",(18448.49642-23080.49045)/1525216.45469*100)</f>
        <v>-0.30369420784549911</v>
      </c>
    </row>
    <row r="20" spans="1:7" s="12" customFormat="1" x14ac:dyDescent="0.25">
      <c r="A20" s="52" t="s">
        <v>51</v>
      </c>
      <c r="B20" s="34">
        <v>16154.27511</v>
      </c>
      <c r="C20" s="53" t="s">
        <v>212</v>
      </c>
      <c r="D20" s="53">
        <f>IF(9049.47396="","-",9049.47396/1525216.45469*100)</f>
        <v>0.59332391361062942</v>
      </c>
      <c r="E20" s="53">
        <f>IF(16154.27511="","-",16154.27511/1808733.49338*100)</f>
        <v>0.89312633227199933</v>
      </c>
      <c r="F20" s="53">
        <f>IF(OR(1787183.4192="",89.34737="",9049.47396=""),"-",(9049.47396-89.34737)/1787183.4192*100)</f>
        <v>0.50135461720044594</v>
      </c>
      <c r="G20" s="53">
        <f>IF(OR(1525216.45469="",16154.27511="",9049.47396=""),"-",(16154.27511-9049.47396)/1525216.45469*100)</f>
        <v>0.46582248232065204</v>
      </c>
    </row>
    <row r="21" spans="1:7" s="12" customFormat="1" x14ac:dyDescent="0.25">
      <c r="A21" s="52" t="s">
        <v>41</v>
      </c>
      <c r="B21" s="34">
        <v>15306.74461</v>
      </c>
      <c r="C21" s="53" t="s">
        <v>95</v>
      </c>
      <c r="D21" s="53">
        <f>IF(7146.59311="","-",7146.59311/1525216.45469*100)</f>
        <v>0.46856254979576278</v>
      </c>
      <c r="E21" s="53">
        <f>IF(15306.74461="","-",15306.74461/1808733.49338*100)</f>
        <v>0.84626865516799366</v>
      </c>
      <c r="F21" s="53">
        <f>IF(OR(1787183.4192="",9833.03455="",7146.59311=""),"-",(7146.59311-9833.03455)/1787183.4192*100)</f>
        <v>-0.15031705258336253</v>
      </c>
      <c r="G21" s="53">
        <f>IF(OR(1525216.45469="",15306.74461="",7146.59311=""),"-",(15306.74461-7146.59311)/1525216.45469*100)</f>
        <v>0.53501596281024577</v>
      </c>
    </row>
    <row r="22" spans="1:7" s="12" customFormat="1" x14ac:dyDescent="0.25">
      <c r="A22" s="52" t="s">
        <v>8</v>
      </c>
      <c r="B22" s="34">
        <v>12721.417439999999</v>
      </c>
      <c r="C22" s="53">
        <f>IF(OR(11920.12224="",12721.41744=""),"-",12721.41744/11920.12224*100)</f>
        <v>106.72220623133475</v>
      </c>
      <c r="D22" s="53">
        <f>IF(11920.12224="","-",11920.12224/1525216.45469*100)</f>
        <v>0.7815364306715904</v>
      </c>
      <c r="E22" s="53">
        <f>IF(12721.41744="","-",12721.41744/1808733.49338*100)</f>
        <v>0.70333288384168458</v>
      </c>
      <c r="F22" s="53">
        <f>IF(OR(1787183.4192="",18522.65353="",11920.12224=""),"-",(11920.12224-18522.65353)/1787183.4192*100)</f>
        <v>-0.36943781030351669</v>
      </c>
      <c r="G22" s="53">
        <f>IF(OR(1525216.45469="",12721.41744="",11920.12224=""),"-",(12721.41744-11920.12224)/1525216.45469*100)</f>
        <v>5.2536490642756783E-2</v>
      </c>
    </row>
    <row r="23" spans="1:7" s="12" customFormat="1" x14ac:dyDescent="0.25">
      <c r="A23" s="52" t="s">
        <v>44</v>
      </c>
      <c r="B23" s="34">
        <v>8294.6136999999999</v>
      </c>
      <c r="C23" s="53">
        <f>IF(OR(5596.8271="",8294.6137=""),"-",8294.6137/5596.8271*100)</f>
        <v>148.20207149154206</v>
      </c>
      <c r="D23" s="53">
        <f>IF(5596.8271="","-",5596.8271/1525216.45469*100)</f>
        <v>0.36695297134973243</v>
      </c>
      <c r="E23" s="53">
        <f>IF(8294.6137="","-",8294.6137/1808733.49338*100)</f>
        <v>0.45858683605729905</v>
      </c>
      <c r="F23" s="53">
        <f>IF(OR(1787183.4192="",8268.17912="",5596.8271=""),"-",(5596.8271-8268.17912)/1787183.4192*100)</f>
        <v>-0.14947273969203353</v>
      </c>
      <c r="G23" s="53">
        <f>IF(OR(1525216.45469="",8294.6137="",5596.8271=""),"-",(8294.6137-5596.8271)/1525216.45469*100)</f>
        <v>0.1768789335903358</v>
      </c>
    </row>
    <row r="24" spans="1:7" s="12" customFormat="1" x14ac:dyDescent="0.25">
      <c r="A24" s="52" t="s">
        <v>43</v>
      </c>
      <c r="B24" s="34">
        <v>4438.5737399999998</v>
      </c>
      <c r="C24" s="53">
        <f>IF(OR(4339.30666="",4438.57374=""),"-",4438.57374/4339.30666*100)</f>
        <v>102.28762536916437</v>
      </c>
      <c r="D24" s="53">
        <f>IF(4339.30666="","-",4339.30666/1525216.45469*100)</f>
        <v>0.28450431718440672</v>
      </c>
      <c r="E24" s="53">
        <f>IF(4438.57374="","-",4438.57374/1808733.49338*100)</f>
        <v>0.2453967793622038</v>
      </c>
      <c r="F24" s="53">
        <f>IF(OR(1787183.4192="",5338.40937="",4339.30666=""),"-",(4339.30666-5338.40937)/1787183.4192*100)</f>
        <v>-5.5903758912850161E-2</v>
      </c>
      <c r="G24" s="53">
        <f>IF(OR(1525216.45469="",4438.57374="",4339.30666=""),"-",(4438.57374-4339.30666)/1525216.45469*100)</f>
        <v>6.5083929362783873E-3</v>
      </c>
    </row>
    <row r="25" spans="1:7" s="12" customFormat="1" x14ac:dyDescent="0.25">
      <c r="A25" s="52" t="s">
        <v>47</v>
      </c>
      <c r="B25" s="34">
        <v>4346.0208199999997</v>
      </c>
      <c r="C25" s="53">
        <f>IF(OR(9994.89822="",4346.02082=""),"-",4346.02082/9994.89822*100)</f>
        <v>43.482391959765252</v>
      </c>
      <c r="D25" s="53">
        <f>IF(9994.89822="","-",9994.89822/1525216.45469*100)</f>
        <v>0.65531014888188188</v>
      </c>
      <c r="E25" s="53">
        <f>IF(4346.02082="","-",4346.02082/1808733.49338*100)</f>
        <v>0.24027977786149926</v>
      </c>
      <c r="F25" s="53">
        <f>IF(OR(1787183.4192="",8273.17087="",9994.89822=""),"-",(9994.89822-8273.17087)/1787183.4192*100)</f>
        <v>9.6337473339513133E-2</v>
      </c>
      <c r="G25" s="53">
        <f>IF(OR(1525216.45469="",4346.02082="",9994.89822=""),"-",(4346.02082-9994.89822)/1525216.45469*100)</f>
        <v>-0.37036562139294077</v>
      </c>
    </row>
    <row r="26" spans="1:7" s="7" customFormat="1" x14ac:dyDescent="0.25">
      <c r="A26" s="52" t="s">
        <v>45</v>
      </c>
      <c r="B26" s="34">
        <v>3636.8162600000001</v>
      </c>
      <c r="C26" s="53">
        <f>IF(OR(4715.46279="",3636.81626=""),"-",3636.81626/4715.46279*100)</f>
        <v>77.125330470479653</v>
      </c>
      <c r="D26" s="53">
        <f>IF(4715.46279="","-",4715.46279/1525216.45469*100)</f>
        <v>0.30916679239199635</v>
      </c>
      <c r="E26" s="53">
        <f>IF(3636.81626="","-",3636.81626/1808733.49338*100)</f>
        <v>0.20106976916780822</v>
      </c>
      <c r="F26" s="53">
        <f>IF(OR(1787183.4192="",5210.95855="",4715.46279=""),"-",(4715.46279-5210.95855)/1787183.4192*100)</f>
        <v>-2.7724952832306398E-2</v>
      </c>
      <c r="G26" s="53">
        <f>IF(OR(1525216.45469="",3636.81626="",4715.46279=""),"-",(3636.81626-4715.46279)/1525216.45469*100)</f>
        <v>-7.0720882054687392E-2</v>
      </c>
    </row>
    <row r="27" spans="1:7" s="7" customFormat="1" x14ac:dyDescent="0.25">
      <c r="A27" s="52" t="s">
        <v>46</v>
      </c>
      <c r="B27" s="34">
        <v>2324.0074500000001</v>
      </c>
      <c r="C27" s="53">
        <f>IF(OR(3594.55751="",2324.00745=""),"-",2324.00745/3594.55751*100)</f>
        <v>64.653505849736703</v>
      </c>
      <c r="D27" s="53">
        <f>IF(3594.55751="","-",3594.55751/1525216.45469*100)</f>
        <v>0.2356752380258442</v>
      </c>
      <c r="E27" s="53">
        <f>IF(2324.00745="","-",2324.00745/1808733.49338*100)</f>
        <v>0.12848810830926241</v>
      </c>
      <c r="F27" s="53">
        <f>IF(OR(1787183.4192="",2377.59671="",3594.55751=""),"-",(3594.55751-2377.59671)/1787183.4192*100)</f>
        <v>6.8093783040173383E-2</v>
      </c>
      <c r="G27" s="53">
        <f>IF(OR(1525216.45469="",2324.00745="",3594.55751=""),"-",(2324.00745-3594.55751)/1525216.45469*100)</f>
        <v>-8.330293422242413E-2</v>
      </c>
    </row>
    <row r="28" spans="1:7" s="12" customFormat="1" x14ac:dyDescent="0.25">
      <c r="A28" s="52" t="s">
        <v>49</v>
      </c>
      <c r="B28" s="34">
        <v>1236.9809399999999</v>
      </c>
      <c r="C28" s="53">
        <f>IF(OR(919.28934="",1236.98094=""),"-",1236.98094/919.28934*100)</f>
        <v>134.55839050630129</v>
      </c>
      <c r="D28" s="53">
        <f>IF(919.28934="","-",919.28934/1525216.45469*100)</f>
        <v>6.0272713238387225E-2</v>
      </c>
      <c r="E28" s="53">
        <f>IF(1236.98094="","-",1236.98094/1808733.49338*100)</f>
        <v>6.8389342295444536E-2</v>
      </c>
      <c r="F28" s="53">
        <f>IF(OR(1787183.4192="",716.98941="",919.28934=""),"-",(919.28934-716.98941)/1787183.4192*100)</f>
        <v>1.1319483374043158E-2</v>
      </c>
      <c r="G28" s="53">
        <f>IF(OR(1525216.45469="",1236.98094="",919.28934=""),"-",(1236.98094-919.28934)/1525216.45469*100)</f>
        <v>2.0829279609665019E-2</v>
      </c>
    </row>
    <row r="29" spans="1:7" s="12" customFormat="1" x14ac:dyDescent="0.25">
      <c r="A29" s="52" t="s">
        <v>48</v>
      </c>
      <c r="B29" s="34">
        <v>974.53272000000004</v>
      </c>
      <c r="C29" s="53" t="s">
        <v>20</v>
      </c>
      <c r="D29" s="53">
        <f>IF(484.77653="","-",484.77653/1525216.45469*100)</f>
        <v>3.1784113560362204E-2</v>
      </c>
      <c r="E29" s="53">
        <f>IF(974.53272="","-",974.53272/1808733.49338*100)</f>
        <v>5.3879287554900089E-2</v>
      </c>
      <c r="F29" s="53">
        <f>IF(OR(1787183.4192="",494.45881="",484.77653=""),"-",(484.77653-494.45881)/1787183.4192*100)</f>
        <v>-5.4176196443978561E-4</v>
      </c>
      <c r="G29" s="53">
        <f>IF(OR(1525216.45469="",974.53272="",484.77653=""),"-",(974.53272-484.77653)/1525216.45469*100)</f>
        <v>3.2110602301333217E-2</v>
      </c>
    </row>
    <row r="30" spans="1:7" s="7" customFormat="1" x14ac:dyDescent="0.25">
      <c r="A30" s="52" t="s">
        <v>372</v>
      </c>
      <c r="B30" s="34">
        <v>653.24415999999997</v>
      </c>
      <c r="C30" s="53">
        <f>IF(OR(806.90419="",653.24416=""),"-",653.24416/806.90419*100)</f>
        <v>80.956843215797406</v>
      </c>
      <c r="D30" s="53">
        <f>IF(806.90419="","-",806.90419/1525216.45469*100)</f>
        <v>5.2904241068131089E-2</v>
      </c>
      <c r="E30" s="53">
        <f>IF(653.24416="","-",653.24416/1808733.49338*100)</f>
        <v>3.6116109000628692E-2</v>
      </c>
      <c r="F30" s="53">
        <f>IF(OR(1787183.4192="",549.53786="",806.90419=""),"-",(806.90419-549.53786)/1787183.4192*100)</f>
        <v>1.4400666838952953E-2</v>
      </c>
      <c r="G30" s="53">
        <f>IF(OR(1525216.45469="",653.24416="",806.90419=""),"-",(653.24416-806.90419)/1525216.45469*100)</f>
        <v>-1.0074637572096701E-2</v>
      </c>
    </row>
    <row r="31" spans="1:7" s="7" customFormat="1" x14ac:dyDescent="0.25">
      <c r="A31" s="52" t="s">
        <v>50</v>
      </c>
      <c r="B31" s="34">
        <v>631.55510000000004</v>
      </c>
      <c r="C31" s="53" t="s">
        <v>20</v>
      </c>
      <c r="D31" s="53">
        <f>IF(311.10724="","-",311.10724/1525216.45469*100)</f>
        <v>2.0397579572614333E-2</v>
      </c>
      <c r="E31" s="53">
        <f>IF(631.5551="","-",631.5551/1808733.49338*100)</f>
        <v>3.491697932898926E-2</v>
      </c>
      <c r="F31" s="53">
        <f>IF(OR(1787183.4192="",519.87144="",311.10724=""),"-",(311.10724-519.87144)/1787183.4192*100)</f>
        <v>-1.168118491684807E-2</v>
      </c>
      <c r="G31" s="53">
        <f>IF(OR(1525216.45469="",631.5551="",311.10724=""),"-",(631.5551-311.10724)/1525216.45469*100)</f>
        <v>2.1009992320410089E-2</v>
      </c>
    </row>
    <row r="32" spans="1:7" s="7" customFormat="1" x14ac:dyDescent="0.25">
      <c r="A32" s="52" t="s">
        <v>53</v>
      </c>
      <c r="B32" s="34">
        <v>494.07828999999998</v>
      </c>
      <c r="C32" s="53" t="s">
        <v>223</v>
      </c>
      <c r="D32" s="53">
        <f>IF(211.70042="","-",211.70042/1525216.45469*100)</f>
        <v>1.3880024658075703E-2</v>
      </c>
      <c r="E32" s="53">
        <f>IF(494.07829="","-",494.07829/1808733.49338*100)</f>
        <v>2.7316257027822848E-2</v>
      </c>
      <c r="F32" s="53">
        <f>IF(OR(1787183.4192="",39.83452="",211.70042=""),"-",(211.70042-39.83452)/1787183.4192*100)</f>
        <v>9.616578698840696E-3</v>
      </c>
      <c r="G32" s="53">
        <f>IF(OR(1525216.45469="",494.07829="",211.70042=""),"-",(494.07829-211.70042)/1525216.45469*100)</f>
        <v>1.8513953814994294E-2</v>
      </c>
    </row>
    <row r="33" spans="1:7" s="7" customFormat="1" x14ac:dyDescent="0.25">
      <c r="A33" s="52" t="s">
        <v>52</v>
      </c>
      <c r="B33" s="34">
        <v>295.25684000000001</v>
      </c>
      <c r="C33" s="53" t="s">
        <v>95</v>
      </c>
      <c r="D33" s="53">
        <f>IF(140.88572="","-",140.88572/1525216.45469*100)</f>
        <v>9.2370967784133288E-3</v>
      </c>
      <c r="E33" s="53">
        <f>IF(295.25684="","-",295.25684/1808733.49338*100)</f>
        <v>1.6323954915450273E-2</v>
      </c>
      <c r="F33" s="53">
        <f>IF(OR(1787183.4192="",43.96991="",140.88572=""),"-",(140.88572-43.96991)/1787183.4192*100)</f>
        <v>5.4228239227612461E-3</v>
      </c>
      <c r="G33" s="53">
        <f>IF(OR(1525216.45469="",295.25684="",140.88572=""),"-",(295.25684-140.88572)/1525216.45469*100)</f>
        <v>1.0121259807112159E-2</v>
      </c>
    </row>
    <row r="34" spans="1:7" s="7" customFormat="1" x14ac:dyDescent="0.25">
      <c r="A34" s="52" t="s">
        <v>54</v>
      </c>
      <c r="B34" s="34">
        <v>9.4542000000000002</v>
      </c>
      <c r="C34" s="53">
        <f>IF(OR(28.70659="",9.4542=""),"-",9.4542/28.70659*100)</f>
        <v>32.933901240098528</v>
      </c>
      <c r="D34" s="53">
        <f>IF(28.70659="","-",28.70659/1525216.45469*100)</f>
        <v>1.882132199120197E-3</v>
      </c>
      <c r="E34" s="53">
        <f>IF(9.4542="","-",9.4542/1808733.49338*100)</f>
        <v>5.2269723729905803E-4</v>
      </c>
      <c r="F34" s="53">
        <f>IF(OR(1787183.4192="",61.68467="",28.70659=""),"-",(28.70659-61.68467)/1787183.4192*100)</f>
        <v>-1.8452543620151778E-3</v>
      </c>
      <c r="G34" s="53">
        <f>IF(OR(1525216.45469="",9.4542="",28.70659=""),"-",(9.4542-28.70659)/1525216.45469*100)</f>
        <v>-1.2622726394538567E-3</v>
      </c>
    </row>
    <row r="35" spans="1:7" s="7" customFormat="1" x14ac:dyDescent="0.25">
      <c r="A35" s="52" t="s">
        <v>55</v>
      </c>
      <c r="B35" s="34">
        <v>1.49407</v>
      </c>
      <c r="C35" s="53">
        <f>IF(OR(2.36964="",1.49407=""),"-",1.49407/2.36964*100)</f>
        <v>63.050505562026302</v>
      </c>
      <c r="D35" s="53">
        <f>IF(2.36964="","-",2.36964/1525216.45469*100)</f>
        <v>1.5536417750499739E-4</v>
      </c>
      <c r="E35" s="53">
        <f>IF(1.49407="","-",1.49407/1808733.49338*100)</f>
        <v>8.2603103523450265E-5</v>
      </c>
      <c r="F35" s="53">
        <f>IF(OR(1787183.4192="",461.08919="",2.36964=""),"-",(2.36964-461.08919)/1787183.4192*100)</f>
        <v>-2.5667178033989223E-2</v>
      </c>
      <c r="G35" s="53">
        <f>IF(OR(1525216.45469="",1.49407="",2.36964=""),"-",(1.49407-2.36964)/1525216.45469*100)</f>
        <v>-5.7406278125812602E-5</v>
      </c>
    </row>
    <row r="36" spans="1:7" s="7" customFormat="1" x14ac:dyDescent="0.25">
      <c r="A36" s="50" t="s">
        <v>147</v>
      </c>
      <c r="B36" s="33">
        <v>282408.59406999999</v>
      </c>
      <c r="C36" s="51">
        <f>IF(247022.36364="","-",282408.59407/247022.36364*100)</f>
        <v>114.32511207024577</v>
      </c>
      <c r="D36" s="51">
        <f>IF(247022.36364="","-",247022.36364/1525216.45469*100)</f>
        <v>16.1958889756541</v>
      </c>
      <c r="E36" s="51">
        <f>IF(282408.59407="","-",282408.59407/1808733.49338*100)</f>
        <v>15.613610026221163</v>
      </c>
      <c r="F36" s="51">
        <f>IF(1787183.4192="","-",(247022.36364-261575.49994)/1787183.4192*100)</f>
        <v>-0.81430569149497034</v>
      </c>
      <c r="G36" s="51">
        <f>IF(1525216.45469="","-",(282408.59407-247022.36364)/1525216.45469*100)</f>
        <v>2.3200792465350264</v>
      </c>
    </row>
    <row r="37" spans="1:7" s="7" customFormat="1" x14ac:dyDescent="0.25">
      <c r="A37" s="52" t="s">
        <v>373</v>
      </c>
      <c r="B37" s="34">
        <v>168922.78547999999</v>
      </c>
      <c r="C37" s="53">
        <f>IF(OR(150604.40687="",168922.78548=""),"-",168922.78548/150604.40687*100)</f>
        <v>112.1632420927843</v>
      </c>
      <c r="D37" s="53">
        <f>IF(150604.40687="","-",150604.40687/1525216.45469*100)</f>
        <v>9.874297278061448</v>
      </c>
      <c r="E37" s="53">
        <f>IF(168922.78548="","-",168922.78548/1808733.49338*100)</f>
        <v>9.3392855331236291</v>
      </c>
      <c r="F37" s="53">
        <f>IF(OR(1787183.4192="",147796.11404="",150604.40687=""),"-",(150604.40687-147796.11404)/1787183.4192*100)</f>
        <v>0.15713512109781666</v>
      </c>
      <c r="G37" s="53">
        <f>IF(OR(1525216.45469="",168922.78548="",150604.40687=""),"-",(168922.78548-150604.40687)/1525216.45469*100)</f>
        <v>1.2010346828918255</v>
      </c>
    </row>
    <row r="38" spans="1:7" s="7" customFormat="1" x14ac:dyDescent="0.25">
      <c r="A38" s="52" t="s">
        <v>12</v>
      </c>
      <c r="B38" s="34">
        <v>55957.028539999999</v>
      </c>
      <c r="C38" s="53">
        <f>IF(OR(38862.21319="",55957.02854=""),"-",55957.02854/38862.21319*100)</f>
        <v>143.98827021616677</v>
      </c>
      <c r="D38" s="53">
        <f>IF(38862.21319="","-",38862.21319/1525216.45469*100)</f>
        <v>2.5479801945815446</v>
      </c>
      <c r="E38" s="53">
        <f>IF(55957.02854="","-",55957.02854/1808733.49338*100)</f>
        <v>3.0937132941256307</v>
      </c>
      <c r="F38" s="53">
        <f>IF(OR(1787183.4192="",46509.82247="",38862.21319=""),"-",(38862.21319-46509.82247)/1787183.4192*100)</f>
        <v>-0.42791406846328678</v>
      </c>
      <c r="G38" s="53">
        <f>IF(OR(1525216.45469="",55957.02854="",38862.21319=""),"-",(55957.02854-38862.21319)/1525216.45469*100)</f>
        <v>1.1208124130469412</v>
      </c>
    </row>
    <row r="39" spans="1:7" s="7" customFormat="1" ht="14.25" customHeight="1" x14ac:dyDescent="0.25">
      <c r="A39" s="52" t="s">
        <v>11</v>
      </c>
      <c r="B39" s="34">
        <v>40820.77061</v>
      </c>
      <c r="C39" s="53">
        <f>IF(OR(42482.22502="",40820.77061=""),"-",40820.77061/42482.22502*100)</f>
        <v>96.08905981450404</v>
      </c>
      <c r="D39" s="53">
        <f>IF(42482.22502="","-",42482.22502/1525216.45469*100)</f>
        <v>2.785324331465759</v>
      </c>
      <c r="E39" s="53">
        <f>IF(40820.77061="","-",40820.77061/1808733.49338*100)</f>
        <v>2.2568703880038057</v>
      </c>
      <c r="F39" s="53">
        <f>IF(OR(1787183.4192="",53744.81118="",42482.22502=""),"-",(42482.22502-53744.81118)/1787183.4192*100)</f>
        <v>-0.63018636134401307</v>
      </c>
      <c r="G39" s="53">
        <f>IF(OR(1525216.45469="",40820.77061="",42482.22502=""),"-",(40820.77061-42482.22502)/1525216.45469*100)</f>
        <v>-0.10893236857569104</v>
      </c>
    </row>
    <row r="40" spans="1:7" s="13" customFormat="1" ht="14.25" customHeight="1" x14ac:dyDescent="0.2">
      <c r="A40" s="52" t="s">
        <v>13</v>
      </c>
      <c r="B40" s="34">
        <v>7910.3273900000004</v>
      </c>
      <c r="C40" s="53">
        <f>IF(OR(9763.12026="",7910.32739=""),"-",7910.32739/9763.12026*100)</f>
        <v>81.022533568586823</v>
      </c>
      <c r="D40" s="53">
        <f>IF(9763.12026="","-",9763.12026/1525216.45469*100)</f>
        <v>0.64011375106652335</v>
      </c>
      <c r="E40" s="53">
        <f>IF(7910.32739="","-",7910.32739/1808733.49338*100)</f>
        <v>0.43734068169533841</v>
      </c>
      <c r="F40" s="53">
        <f>IF(OR(1787183.4192="",5650.3732="",9763.12026=""),"-",(9763.12026-5650.3732)/1787183.4192*100)</f>
        <v>0.23012450853203392</v>
      </c>
      <c r="G40" s="53">
        <f>IF(OR(1525216.45469="",7910.32739="",9763.12026=""),"-",(7910.32739-9763.12026)/1525216.45469*100)</f>
        <v>-0.1214773722315092</v>
      </c>
    </row>
    <row r="41" spans="1:7" s="13" customFormat="1" ht="14.25" customHeight="1" x14ac:dyDescent="0.2">
      <c r="A41" s="52" t="s">
        <v>15</v>
      </c>
      <c r="B41" s="34">
        <v>4453.1344399999998</v>
      </c>
      <c r="C41" s="53" t="s">
        <v>95</v>
      </c>
      <c r="D41" s="53">
        <f>IF(2161.97109="","-",2161.97109/1525216.45469*100)</f>
        <v>0.14174847664093815</v>
      </c>
      <c r="E41" s="53">
        <f>IF(4453.13444="","-",4453.13444/1808733.49338*100)</f>
        <v>0.24620180122160387</v>
      </c>
      <c r="F41" s="53">
        <f>IF(OR(1787183.4192="",1893.57535="",2161.97109=""),"-",(2161.97109-1893.57535)/1787183.4192*100)</f>
        <v>1.5017806069404022E-2</v>
      </c>
      <c r="G41" s="53">
        <f>IF(OR(1525216.45469="",4453.13444="",2161.97109=""),"-",(4453.13444-2161.97109)/1525216.45469*100)</f>
        <v>0.15021889797705326</v>
      </c>
    </row>
    <row r="42" spans="1:7" s="13" customFormat="1" ht="14.25" customHeight="1" x14ac:dyDescent="0.2">
      <c r="A42" s="52" t="s">
        <v>14</v>
      </c>
      <c r="B42" s="34">
        <v>2144.6118000000001</v>
      </c>
      <c r="C42" s="53">
        <f>IF(OR(1473.12545="",2144.6118=""),"-",2144.6118/1473.12545*100)</f>
        <v>145.58242816319549</v>
      </c>
      <c r="D42" s="53">
        <f>IF(1473.12545="","-",1473.12545/1525216.45469*100)</f>
        <v>9.6584681175591727E-2</v>
      </c>
      <c r="E42" s="53">
        <f>IF(2144.6118="","-",2144.6118/1808733.49338*100)</f>
        <v>0.11856980632300564</v>
      </c>
      <c r="F42" s="53">
        <f>IF(OR(1787183.4192="",3164.29303="",1473.12545=""),"-",(1473.12545-3164.29303)/1787183.4192*100)</f>
        <v>-9.4627533012645121E-2</v>
      </c>
      <c r="G42" s="53">
        <f>IF(OR(1525216.45469="",2144.6118="",1473.12545=""),"-",(2144.6118-1473.12545)/1525216.45469*100)</f>
        <v>4.4025642913515482E-2</v>
      </c>
    </row>
    <row r="43" spans="1:7" s="11" customFormat="1" ht="14.25" customHeight="1" x14ac:dyDescent="0.2">
      <c r="A43" s="52" t="s">
        <v>409</v>
      </c>
      <c r="B43" s="34">
        <v>893.49423999999999</v>
      </c>
      <c r="C43" s="53" t="s">
        <v>223</v>
      </c>
      <c r="D43" s="53">
        <f>IF(386.90615="","-",386.90615/1525216.45469*100)</f>
        <v>2.5367294511560889E-2</v>
      </c>
      <c r="E43" s="53">
        <f>IF(893.49424="","-",893.49424/1808733.49338*100)</f>
        <v>4.9398888408392183E-2</v>
      </c>
      <c r="F43" s="53">
        <f>IF(OR(1787183.4192="",633.41592="",386.90615=""),"-",(386.90615-633.41592)/1787183.4192*100)</f>
        <v>-1.3793199251498517E-2</v>
      </c>
      <c r="G43" s="53">
        <f>IF(OR(1525216.45469="",893.49424="",386.90615=""),"-",(893.49424-386.90615)/1525216.45469*100)</f>
        <v>3.3214176810265526E-2</v>
      </c>
    </row>
    <row r="44" spans="1:7" s="13" customFormat="1" ht="14.25" customHeight="1" x14ac:dyDescent="0.2">
      <c r="A44" s="52" t="s">
        <v>17</v>
      </c>
      <c r="B44" s="34">
        <v>647.32172000000003</v>
      </c>
      <c r="C44" s="53">
        <f>IF(OR(780.72652="",647.32172=""),"-",647.32172/780.72652*100)</f>
        <v>82.912736203709329</v>
      </c>
      <c r="D44" s="53">
        <f>IF(780.72652="","-",780.72652/1525216.45469*100)</f>
        <v>5.1187916154411185E-2</v>
      </c>
      <c r="E44" s="53">
        <f>IF(647.32172="","-",647.32172/1808733.49338*100)</f>
        <v>3.5788673255026798E-2</v>
      </c>
      <c r="F44" s="53">
        <f>IF(OR(1787183.4192="",1720.98111="",780.72652=""),"-",(780.72652-1720.98111)/1787183.4192*100)</f>
        <v>-5.2610973216217938E-2</v>
      </c>
      <c r="G44" s="53">
        <f>IF(OR(1525216.45469="",647.32172="",780.72652=""),"-",(647.32172-780.72652)/1525216.45469*100)</f>
        <v>-8.7466142651283236E-3</v>
      </c>
    </row>
    <row r="45" spans="1:7" s="11" customFormat="1" ht="14.25" customHeight="1" x14ac:dyDescent="0.2">
      <c r="A45" s="52" t="s">
        <v>16</v>
      </c>
      <c r="B45" s="34">
        <v>448.37146000000001</v>
      </c>
      <c r="C45" s="53">
        <f>IF(OR(326.59073="",448.37146=""),"-",448.37146/326.59073*100)</f>
        <v>137.28848335652393</v>
      </c>
      <c r="D45" s="53">
        <f>IF(326.59073="","-",326.59073/1525216.45469*100)</f>
        <v>2.1412746302057143E-2</v>
      </c>
      <c r="E45" s="53">
        <f>IF(448.37146="","-",448.37146/1808733.49338*100)</f>
        <v>2.4789249584919411E-2</v>
      </c>
      <c r="F45" s="53">
        <f>IF(OR(1787183.4192="",338.21863="",326.59073=""),"-",(326.59073-338.21863)/1787183.4192*100)</f>
        <v>-6.5062711947076084E-4</v>
      </c>
      <c r="G45" s="53">
        <f>IF(OR(1525216.45469="",448.37146="",326.59073=""),"-",(448.37146-326.59073)/1525216.45469*100)</f>
        <v>7.9844883410172696E-3</v>
      </c>
    </row>
    <row r="46" spans="1:7" s="11" customFormat="1" ht="14.25" customHeight="1" x14ac:dyDescent="0.2">
      <c r="A46" s="52" t="s">
        <v>18</v>
      </c>
      <c r="B46" s="34">
        <v>210.74839</v>
      </c>
      <c r="C46" s="53">
        <f>IF(OR(181.07836="",210.74839=""),"-",210.74839/181.07836*100)</f>
        <v>116.38518815831998</v>
      </c>
      <c r="D46" s="53">
        <f>IF(181.07836="","-",181.07836/1525216.45469*100)</f>
        <v>1.187230569426319E-2</v>
      </c>
      <c r="E46" s="53">
        <f>IF(210.74839="","-",210.74839/1808733.49338*100)</f>
        <v>1.1651710479810498E-2</v>
      </c>
      <c r="F46" s="53">
        <f>IF(OR(1787183.4192="",123.89501="",181.07836=""),"-",(181.07836-123.89501)/1787183.4192*100)</f>
        <v>3.1996352129093214E-3</v>
      </c>
      <c r="G46" s="53">
        <f>IF(OR(1525216.45469="",210.74839="",181.07836=""),"-",(210.74839-181.07836)/1525216.45469*100)</f>
        <v>1.9452996267359591E-3</v>
      </c>
    </row>
    <row r="47" spans="1:7" s="11" customFormat="1" ht="14.25" customHeight="1" x14ac:dyDescent="0.2">
      <c r="A47" s="50" t="s">
        <v>148</v>
      </c>
      <c r="B47" s="33">
        <v>394301.95231000002</v>
      </c>
      <c r="C47" s="51">
        <f>IF(287138.77476="","-",394301.95231/287138.77476*100)</f>
        <v>137.32104019722539</v>
      </c>
      <c r="D47" s="51">
        <f>IF(287138.77476="","-",287138.77476/1525216.45469*100)</f>
        <v>18.826099985812235</v>
      </c>
      <c r="E47" s="51">
        <f>IF(394301.95231="","-",394301.95231/1808733.49338*100)</f>
        <v>21.799892231395773</v>
      </c>
      <c r="F47" s="51">
        <f>IF(1787183.4192="","-",(287138.77476-387535.45427)/1787183.4192*100)</f>
        <v>-5.6175923764411788</v>
      </c>
      <c r="G47" s="51">
        <f>IF(1525216.45469="","-",(394301.95231-287138.77476)/1525216.45469*100)</f>
        <v>7.0260963432748254</v>
      </c>
    </row>
    <row r="48" spans="1:7" s="11" customFormat="1" ht="12.75" x14ac:dyDescent="0.2">
      <c r="A48" s="52" t="s">
        <v>56</v>
      </c>
      <c r="B48" s="85">
        <v>162103.81662999999</v>
      </c>
      <c r="C48" s="53" t="s">
        <v>104</v>
      </c>
      <c r="D48" s="53">
        <f>IF(103062.19451="","-",103062.19451/1525216.45469*100)</f>
        <v>6.7572175865980526</v>
      </c>
      <c r="E48" s="53">
        <f>IF(162103.81663="","-",162103.81663/1808733.49338*100)</f>
        <v>8.9622831237052409</v>
      </c>
      <c r="F48" s="53">
        <f>IF(OR(1787183.4192="",132831.03339="",103062.19451=""),"-",(103062.19451-132831.03339)/1787183.4192*100)</f>
        <v>-1.665684593992343</v>
      </c>
      <c r="G48" s="53">
        <f>IF(OR(1525216.45469="",162103.81663="",103062.19451=""),"-",(162103.81663-103062.19451)/1525216.45469*100)</f>
        <v>3.8710323337024439</v>
      </c>
    </row>
    <row r="49" spans="1:7" s="7" customFormat="1" x14ac:dyDescent="0.25">
      <c r="A49" s="52" t="s">
        <v>374</v>
      </c>
      <c r="B49" s="34">
        <v>44189.644489999999</v>
      </c>
      <c r="C49" s="53">
        <f>IF(OR(42732.16752="",44189.64449=""),"-",44189.64449/42732.16752*100)</f>
        <v>103.4107255835264</v>
      </c>
      <c r="D49" s="53">
        <f>IF(42732.16752="","-",42732.16752/1525216.45469*100)</f>
        <v>2.801711677617936</v>
      </c>
      <c r="E49" s="53">
        <f>IF(44189.64449="","-",44189.64449/1808733.49338*100)</f>
        <v>2.443126345132379</v>
      </c>
      <c r="F49" s="53">
        <f>IF(OR(1787183.4192="",53231.2027="",42732.16752=""),"-",(42732.16752-53231.2027)/1787183.4192*100)</f>
        <v>-0.58746265588675284</v>
      </c>
      <c r="G49" s="53">
        <f>IF(OR(1525216.45469="",44189.64449="",42732.16752=""),"-",(44189.64449-42732.16752)/1525216.45469*100)</f>
        <v>9.5558696965161449E-2</v>
      </c>
    </row>
    <row r="50" spans="1:7" s="7" customFormat="1" ht="25.5" x14ac:dyDescent="0.25">
      <c r="A50" s="52" t="s">
        <v>375</v>
      </c>
      <c r="B50" s="85">
        <v>39230.664949999998</v>
      </c>
      <c r="C50" s="53">
        <f>IF(OR(26275.86633="",39230.66495=""),"-",39230.66495/26275.86633*100)</f>
        <v>149.30303137221051</v>
      </c>
      <c r="D50" s="53">
        <f>IF(26275.86633="","-",26275.86633/1525216.45469*100)</f>
        <v>1.7227631035058932</v>
      </c>
      <c r="E50" s="53">
        <f>IF(39230.66495="","-",39230.66495/1808733.49338*100)</f>
        <v>2.1689577316716364</v>
      </c>
      <c r="F50" s="53">
        <f>IF(OR(1787183.4192="",35611.19338="",26275.86633=""),"-",(26275.86633-35611.19338)/1787183.4192*100)</f>
        <v>-0.52234857092501363</v>
      </c>
      <c r="G50" s="53">
        <f>IF(OR(1525216.45469="",39230.66495="",26275.86633=""),"-",(39230.66495-26275.86633)/1525216.45469*100)</f>
        <v>0.84937443339037788</v>
      </c>
    </row>
    <row r="51" spans="1:7" s="12" customFormat="1" x14ac:dyDescent="0.25">
      <c r="A51" s="52" t="s">
        <v>19</v>
      </c>
      <c r="B51" s="85">
        <v>15814.99725</v>
      </c>
      <c r="C51" s="53">
        <f>IF(OR(16849.31254="",15814.99725=""),"-",15814.99725/16849.31254*100)</f>
        <v>93.861379877994722</v>
      </c>
      <c r="D51" s="53">
        <f>IF(16849.31254="","-",16849.31254/1525216.45469*100)</f>
        <v>1.104716152791875</v>
      </c>
      <c r="E51" s="53">
        <f>IF(15814.99725="","-",15814.99725/1808733.49338*100)</f>
        <v>0.87436857380499655</v>
      </c>
      <c r="F51" s="53">
        <f>IF(OR(1787183.4192="",14530.80149="",16849.31254=""),"-",(16849.31254-14530.80149)/1787183.4192*100)</f>
        <v>0.12972988810727878</v>
      </c>
      <c r="G51" s="53">
        <f>IF(OR(1525216.45469="",15814.99725="",16849.31254=""),"-",(15814.99725-16849.31254)/1525216.45469*100)</f>
        <v>-6.7814328046324618E-2</v>
      </c>
    </row>
    <row r="52" spans="1:7" s="7" customFormat="1" x14ac:dyDescent="0.25">
      <c r="A52" s="52" t="s">
        <v>60</v>
      </c>
      <c r="B52" s="85">
        <v>14629.00065</v>
      </c>
      <c r="C52" s="53" t="s">
        <v>224</v>
      </c>
      <c r="D52" s="53">
        <f>IF(9515.48221="","-",9515.48221/1525216.45469*100)</f>
        <v>0.62387749494441558</v>
      </c>
      <c r="E52" s="53">
        <f>IF(14629.00065="","-",14629.00065/1808733.49338*100)</f>
        <v>0.80879801825655506</v>
      </c>
      <c r="F52" s="53">
        <f>IF(OR(1787183.4192="",9520.08056="",9515.48221=""),"-",(9515.48221-9520.08056)/1787183.4192*100)</f>
        <v>-2.5729591885194282E-4</v>
      </c>
      <c r="G52" s="53">
        <f>IF(OR(1525216.45469="",14629.00065="",9515.48221=""),"-",(14629.00065-9515.48221)/1525216.45469*100)</f>
        <v>0.33526509789978115</v>
      </c>
    </row>
    <row r="53" spans="1:7" s="14" customFormat="1" x14ac:dyDescent="0.25">
      <c r="A53" s="52" t="s">
        <v>58</v>
      </c>
      <c r="B53" s="34">
        <v>13409.68715</v>
      </c>
      <c r="C53" s="53">
        <f>IF(OR(13394.27644="",13409.68715=""),"-",13409.68715/13394.27644*100)</f>
        <v>100.11505444186577</v>
      </c>
      <c r="D53" s="53">
        <f>IF(13394.27644="","-",13394.27644/1525216.45469*100)</f>
        <v>0.87818856128997014</v>
      </c>
      <c r="E53" s="53">
        <f>IF(13409.68715="","-",13409.68715/1808733.49338*100)</f>
        <v>0.74138546110191006</v>
      </c>
      <c r="F53" s="53">
        <f>IF(OR(1787183.4192="",13147.61614="",13394.27644=""),"-",(13394.27644-13147.61614)/1787183.4192*100)</f>
        <v>1.3801622001977421E-2</v>
      </c>
      <c r="G53" s="53">
        <f>IF(OR(1525216.45469="",13409.68715="",13394.27644=""),"-",(13409.68715-13394.27644)/1525216.45469*100)</f>
        <v>1.0103949477211962E-3</v>
      </c>
    </row>
    <row r="54" spans="1:7" s="12" customFormat="1" x14ac:dyDescent="0.25">
      <c r="A54" s="52" t="s">
        <v>75</v>
      </c>
      <c r="B54" s="34">
        <v>12442.789570000001</v>
      </c>
      <c r="C54" s="53" t="s">
        <v>377</v>
      </c>
      <c r="D54" s="53">
        <f>IF(476.1796="","-",476.1796/1525216.45469*100)</f>
        <v>3.1220460449122509E-2</v>
      </c>
      <c r="E54" s="53">
        <f>IF(12442.78957="","-",12442.78957/1808733.49338*100)</f>
        <v>0.68792829985958981</v>
      </c>
      <c r="F54" s="53">
        <f>IF(OR(1787183.4192="",1604.30861="",476.1796=""),"-",(476.1796-1604.30861)/1787183.4192*100)</f>
        <v>-6.3123292096397499E-2</v>
      </c>
      <c r="G54" s="53">
        <f>IF(OR(1525216.45469="",12442.78957="",476.1796=""),"-",(12442.78957-476.1796)/1525216.45469*100)</f>
        <v>0.78458437379186374</v>
      </c>
    </row>
    <row r="55" spans="1:7" s="7" customFormat="1" x14ac:dyDescent="0.25">
      <c r="A55" s="52" t="s">
        <v>62</v>
      </c>
      <c r="B55" s="34">
        <v>8204.7982400000001</v>
      </c>
      <c r="C55" s="53" t="s">
        <v>309</v>
      </c>
      <c r="D55" s="53">
        <f>IF(3039.27115="","-",3039.27115/1525216.45469*100)</f>
        <v>0.19926818522409212</v>
      </c>
      <c r="E55" s="53">
        <f>IF(8204.79824="","-",8204.79824/1808733.49338*100)</f>
        <v>0.45362118134206736</v>
      </c>
      <c r="F55" s="53">
        <f>IF(OR(1787183.4192="",5044.72358="",3039.27115=""),"-",(3039.27115-5044.72358)/1787183.4192*100)</f>
        <v>-0.11221301677573217</v>
      </c>
      <c r="G55" s="53">
        <f>IF(OR(1525216.45469="",8204.79824="",3039.27115=""),"-",(8204.79824-3039.27115)/1525216.45469*100)</f>
        <v>0.33867501718304577</v>
      </c>
    </row>
    <row r="56" spans="1:7" s="7" customFormat="1" x14ac:dyDescent="0.25">
      <c r="A56" s="52" t="s">
        <v>59</v>
      </c>
      <c r="B56" s="34">
        <v>7951.1110099999996</v>
      </c>
      <c r="C56" s="53">
        <f>IF(OR(6452.81694="",7951.11101=""),"-",7951.11101/6452.81694*100)</f>
        <v>123.21922478092179</v>
      </c>
      <c r="D56" s="53">
        <f>IF(6452.81694="","-",6452.81694/1525216.45469*100)</f>
        <v>0.42307548677158313</v>
      </c>
      <c r="E56" s="53">
        <f>IF(7951.11101="","-",7951.11101/1808733.49338*100)</f>
        <v>0.43959549812624249</v>
      </c>
      <c r="F56" s="53">
        <f>IF(OR(1787183.4192="",10720.09287="",6452.81694=""),"-",(6452.81694-10720.09287)/1787183.4192*100)</f>
        <v>-0.23877101164636863</v>
      </c>
      <c r="G56" s="53">
        <f>IF(OR(1525216.45469="",7951.11101="",6452.81694=""),"-",(7951.11101-6452.81694)/1525216.45469*100)</f>
        <v>9.8234848266472968E-2</v>
      </c>
    </row>
    <row r="57" spans="1:7" s="14" customFormat="1" x14ac:dyDescent="0.25">
      <c r="A57" s="52" t="s">
        <v>66</v>
      </c>
      <c r="B57" s="85">
        <v>6485.69607</v>
      </c>
      <c r="C57" s="53">
        <f>IF(OR(5652.59781="",6485.69607=""),"-",6485.69607/5652.59781*100)</f>
        <v>114.73832542138709</v>
      </c>
      <c r="D57" s="53">
        <f>IF(5652.59781="","-",5652.59781/1525216.45469*100)</f>
        <v>0.37060954808207142</v>
      </c>
      <c r="E57" s="53">
        <f>IF(6485.69607="","-",6485.69607/1808733.49338*100)</f>
        <v>0.3585766556398593</v>
      </c>
      <c r="F57" s="53">
        <f>IF(OR(1787183.4192="",6257.75684="",5652.59781=""),"-",(5652.59781-6257.75684)/1787183.4192*100)</f>
        <v>-3.3861047696541871E-2</v>
      </c>
      <c r="G57" s="53">
        <f>IF(OR(1525216.45469="",6485.69607="",5652.59781=""),"-",(6485.69607-5652.59781)/1525216.45469*100)</f>
        <v>5.4621641239067723E-2</v>
      </c>
    </row>
    <row r="58" spans="1:7" s="7" customFormat="1" x14ac:dyDescent="0.25">
      <c r="A58" s="52" t="s">
        <v>68</v>
      </c>
      <c r="B58" s="34">
        <v>4901.5060999999996</v>
      </c>
      <c r="C58" s="53">
        <f>IF(OR(3295.46615="",4901.5061=""),"-",4901.5061/3295.46615*100)</f>
        <v>148.734833765475</v>
      </c>
      <c r="D58" s="53">
        <f>IF(3295.46615="","-",3295.46615/1525216.45469*100)</f>
        <v>0.21606547319015143</v>
      </c>
      <c r="E58" s="53">
        <f>IF(4901.5061="","-",4901.5061/1808733.49338*100)</f>
        <v>0.27099106186398425</v>
      </c>
      <c r="F58" s="53">
        <f>IF(OR(1787183.4192="",5562.8127="",3295.46615=""),"-",(3295.46615-5562.8127)/1787183.4192*100)</f>
        <v>-0.12686703142170694</v>
      </c>
      <c r="G58" s="53">
        <f>IF(OR(1525216.45469="",4901.5061="",3295.46615=""),"-",(4901.5061-3295.46615)/1525216.45469*100)</f>
        <v>0.10529914918380727</v>
      </c>
    </row>
    <row r="59" spans="1:7" s="12" customFormat="1" x14ac:dyDescent="0.25">
      <c r="A59" s="52" t="s">
        <v>57</v>
      </c>
      <c r="B59" s="86">
        <v>3801.46819</v>
      </c>
      <c r="C59" s="53">
        <f>IF(OR(4928.3009="",3801.46819=""),"-",3801.46819/4928.3009*100)</f>
        <v>77.13547259259272</v>
      </c>
      <c r="D59" s="53">
        <f>IF(4928.3009="","-",4928.3009/1525216.45469*100)</f>
        <v>0.32312140908561571</v>
      </c>
      <c r="E59" s="53">
        <f>IF(3801.46819="","-",3801.46819/1808733.49338*100)</f>
        <v>0.21017293061213541</v>
      </c>
      <c r="F59" s="53">
        <f>IF(OR(1787183.4192="",7356.67121="",4928.3009=""),"-",(4928.3009-7356.67121)/1787183.4192*100)</f>
        <v>-0.13587694938928069</v>
      </c>
      <c r="G59" s="53">
        <f>IF(OR(1525216.45469="",3801.46819="",4928.3009=""),"-",(3801.46819-4928.3009)/1525216.45469*100)</f>
        <v>-7.3880183139581238E-2</v>
      </c>
    </row>
    <row r="60" spans="1:7" s="7" customFormat="1" x14ac:dyDescent="0.25">
      <c r="A60" s="52" t="s">
        <v>63</v>
      </c>
      <c r="B60" s="86">
        <v>3533.3447099999998</v>
      </c>
      <c r="C60" s="53" t="s">
        <v>378</v>
      </c>
      <c r="D60" s="53">
        <f>IF(193.44042="","-",193.44042/1525216.45469*100)</f>
        <v>1.2682817537483014E-2</v>
      </c>
      <c r="E60" s="53">
        <f>IF(3533.34471="","-",3533.34471/1808733.49338*100)</f>
        <v>0.19534910604199629</v>
      </c>
      <c r="F60" s="53">
        <f>IF(OR(1787183.4192="",1993.50948="",193.44042=""),"-",(193.44042-1993.50948)/1787183.4192*100)</f>
        <v>-0.10072100270523818</v>
      </c>
      <c r="G60" s="53">
        <f>IF(OR(1525216.45469="",3533.34471="",193.44042=""),"-",(3533.34471-193.44042)/1525216.45469*100)</f>
        <v>0.21897903603976229</v>
      </c>
    </row>
    <row r="61" spans="1:7" s="12" customFormat="1" x14ac:dyDescent="0.25">
      <c r="A61" s="52" t="s">
        <v>65</v>
      </c>
      <c r="B61" s="86">
        <v>3322.8589299999999</v>
      </c>
      <c r="C61" s="53">
        <f>IF(OR(4635.8806="",3322.85893=""),"-",3322.85893/4635.8806*100)</f>
        <v>71.676973949674192</v>
      </c>
      <c r="D61" s="53">
        <f>IF(4635.8806="","-",4635.8806/1525216.45469*100)</f>
        <v>0.30394902872604024</v>
      </c>
      <c r="E61" s="53">
        <f>IF(3322.85893="","-",3322.85893/1808733.49338*100)</f>
        <v>0.18371191456130648</v>
      </c>
      <c r="F61" s="53">
        <f>IF(OR(1787183.4192="",8700.05314="",4635.8806=""),"-",(4635.8806-8700.05314)/1787183.4192*100)</f>
        <v>-0.2274065714989261</v>
      </c>
      <c r="G61" s="53">
        <f>IF(OR(1525216.45469="",3322.85893="",4635.8806=""),"-",(3322.85893-4635.8806)/1525216.45469*100)</f>
        <v>-8.6087562585788646E-2</v>
      </c>
    </row>
    <row r="62" spans="1:7" s="7" customFormat="1" x14ac:dyDescent="0.25">
      <c r="A62" s="52" t="s">
        <v>61</v>
      </c>
      <c r="B62" s="85">
        <v>2749.4474599999999</v>
      </c>
      <c r="C62" s="53">
        <f>IF(OR(2418.09408="",2749.44746=""),"-",2749.44746/2418.09408*100)</f>
        <v>113.70308056831271</v>
      </c>
      <c r="D62" s="53">
        <f>IF(2418.09408="","-",2418.09408/1525216.45469*100)</f>
        <v>0.15854104330991348</v>
      </c>
      <c r="E62" s="53">
        <f>IF(2749.44746="","-",2749.44746/1808733.49338*100)</f>
        <v>0.15200953982789789</v>
      </c>
      <c r="F62" s="53">
        <f>IF(OR(1787183.4192="",4953.71044="",2418.09408=""),"-",(2418.09408-4953.71044)/1787183.4192*100)</f>
        <v>-0.14187779120819186</v>
      </c>
      <c r="G62" s="53">
        <f>IF(OR(1525216.45469="",2749.44746="",2418.09408=""),"-",(2749.44746-2418.09408)/1525216.45469*100)</f>
        <v>2.1725006898600994E-2</v>
      </c>
    </row>
    <row r="63" spans="1:7" s="12" customFormat="1" x14ac:dyDescent="0.25">
      <c r="A63" s="52" t="s">
        <v>37</v>
      </c>
      <c r="B63" s="34">
        <v>2718.20147</v>
      </c>
      <c r="C63" s="53">
        <f>IF(OR(2973.80438="",2718.20147=""),"-",2718.20147/2973.80438*100)</f>
        <v>91.404851249832376</v>
      </c>
      <c r="D63" s="53">
        <f>IF(2973.80438="","-",2973.80438/1525216.45469*100)</f>
        <v>0.1949758915107184</v>
      </c>
      <c r="E63" s="53">
        <f>IF(2718.20147="","-",2718.20147/1808733.49338*100)</f>
        <v>0.15028203325413447</v>
      </c>
      <c r="F63" s="53">
        <f>IF(OR(1787183.4192="",2112.12529="",2973.80438=""),"-",(2973.80438-2112.12529)/1787183.4192*100)</f>
        <v>4.8214362372817621E-2</v>
      </c>
      <c r="G63" s="53">
        <f>IF(OR(1525216.45469="",2718.20147="",2973.80438=""),"-",(2718.20147-2973.80438)/1525216.45469*100)</f>
        <v>-1.6758467902311697E-2</v>
      </c>
    </row>
    <row r="64" spans="1:7" s="7" customFormat="1" x14ac:dyDescent="0.25">
      <c r="A64" s="52" t="s">
        <v>221</v>
      </c>
      <c r="B64" s="85">
        <v>2085.5038500000001</v>
      </c>
      <c r="C64" s="53" t="s">
        <v>320</v>
      </c>
      <c r="D64" s="53">
        <f>IF(15.83932="","-",15.83932/1525216.45469*100)</f>
        <v>1.0384965328228994E-3</v>
      </c>
      <c r="E64" s="53">
        <f>IF(2085.50385="","-",2085.50385/1808733.49338*100)</f>
        <v>0.11530188707363383</v>
      </c>
      <c r="F64" s="53">
        <f>IF(OR(1787183.4192="",390.55589="",15.83932=""),"-",(15.83932-390.55589)/1787183.4192*100)</f>
        <v>-2.0966878160034355E-2</v>
      </c>
      <c r="G64" s="53">
        <f>IF(OR(1525216.45469="",2085.50385="",15.83932=""),"-",(2085.50385-15.83932)/1525216.45469*100)</f>
        <v>0.13569644647065252</v>
      </c>
    </row>
    <row r="65" spans="1:7" s="7" customFormat="1" x14ac:dyDescent="0.25">
      <c r="A65" s="52" t="s">
        <v>76</v>
      </c>
      <c r="B65" s="86">
        <v>2043.1936599999999</v>
      </c>
      <c r="C65" s="53" t="s">
        <v>224</v>
      </c>
      <c r="D65" s="53">
        <f>IF(1355.98493="","-",1355.98493/1525216.45469*100)</f>
        <v>8.890442571809283E-2</v>
      </c>
      <c r="E65" s="53">
        <f>IF(2043.19366="","-",2043.19366/1808733.49338*100)</f>
        <v>0.11296267070179927</v>
      </c>
      <c r="F65" s="53">
        <f>IF(OR(1787183.4192="",1181.79461="",1355.98493=""),"-",(1355.98493-1181.79461)/1787183.4192*100)</f>
        <v>9.7466392161344746E-3</v>
      </c>
      <c r="G65" s="53">
        <f>IF(OR(1525216.45469="",2043.19366="",1355.98493=""),"-",(2043.19366-1355.98493)/1525216.45469*100)</f>
        <v>4.5056472337867276E-2</v>
      </c>
    </row>
    <row r="66" spans="1:7" s="12" customFormat="1" x14ac:dyDescent="0.25">
      <c r="A66" s="52" t="s">
        <v>91</v>
      </c>
      <c r="B66" s="85">
        <v>2003.1297199999999</v>
      </c>
      <c r="C66" s="53" t="s">
        <v>350</v>
      </c>
      <c r="D66" s="53">
        <f>IF(278.65409="","-",278.65409/1525216.45469*100)</f>
        <v>1.8269806173618577E-2</v>
      </c>
      <c r="E66" s="53">
        <f>IF(2003.12972="","-",2003.12972/1808733.49338*100)</f>
        <v>0.11074764343843324</v>
      </c>
      <c r="F66" s="53">
        <f>IF(OR(1787183.4192="",1175.53676="",278.65409=""),"-",(278.65409-1175.53676)/1787183.4192*100)</f>
        <v>-5.018414228582499E-2</v>
      </c>
      <c r="G66" s="53">
        <f>IF(OR(1525216.45469="",2003.12972="",278.65409=""),"-",(2003.12972-278.65409)/1525216.45469*100)</f>
        <v>0.11306432111306453</v>
      </c>
    </row>
    <row r="67" spans="1:7" s="14" customFormat="1" x14ac:dyDescent="0.25">
      <c r="A67" s="52" t="s">
        <v>122</v>
      </c>
      <c r="B67" s="85">
        <v>1866.4531400000001</v>
      </c>
      <c r="C67" s="53">
        <f>IF(OR(3314.59665="",1866.45314=""),"-",1866.45314/3314.59665*100)</f>
        <v>56.310113630266301</v>
      </c>
      <c r="D67" s="53">
        <f>IF(3314.59665="","-",3314.59665/1525216.45469*100)</f>
        <v>0.2173197541770352</v>
      </c>
      <c r="E67" s="53">
        <f>IF(1866.45314="","-",1866.45314/1808733.49338*100)</f>
        <v>0.10319116369720885</v>
      </c>
      <c r="F67" s="53">
        <f>IF(OR(1787183.4192="",8945.0687="",3314.59665=""),"-",(3314.59665-8945.0687)/1787183.4192*100)</f>
        <v>-0.3150472407874273</v>
      </c>
      <c r="G67" s="53">
        <f>IF(OR(1525216.45469="",1866.45314="",3314.59665=""),"-",(1866.45314-3314.59665)/1525216.45469*100)</f>
        <v>-9.4946753658931293E-2</v>
      </c>
    </row>
    <row r="68" spans="1:7" s="7" customFormat="1" x14ac:dyDescent="0.25">
      <c r="A68" s="52" t="s">
        <v>77</v>
      </c>
      <c r="B68" s="85">
        <v>1857.2922599999999</v>
      </c>
      <c r="C68" s="53" t="s">
        <v>223</v>
      </c>
      <c r="D68" s="53">
        <f>IF(794.8234="","-",794.8234/1525216.45469*100)</f>
        <v>5.2112170541823037E-2</v>
      </c>
      <c r="E68" s="53">
        <f>IF(1857.29226="","-",1857.29226/1808733.49338*100)</f>
        <v>0.10268468333216176</v>
      </c>
      <c r="F68" s="53">
        <f>IF(OR(1787183.4192="",985.4148="",794.8234=""),"-",(794.8234-985.4148)/1787183.4192*100)</f>
        <v>-1.0664344686306166E-2</v>
      </c>
      <c r="G68" s="53">
        <f>IF(OR(1525216.45469="",1857.29226="",794.8234=""),"-",(1857.29226-794.8234)/1525216.45469*100)</f>
        <v>6.9660201785322756E-2</v>
      </c>
    </row>
    <row r="69" spans="1:7" s="7" customFormat="1" x14ac:dyDescent="0.25">
      <c r="A69" s="52" t="s">
        <v>130</v>
      </c>
      <c r="B69" s="85">
        <v>1786.13013</v>
      </c>
      <c r="C69" s="53" t="s">
        <v>103</v>
      </c>
      <c r="D69" s="53">
        <f>IF(1027.38013="","-",1027.38013/1525216.45469*100)</f>
        <v>6.7359627995150023E-2</v>
      </c>
      <c r="E69" s="53">
        <f>IF(1786.13013="","-",1786.13013/1808733.49338*100)</f>
        <v>9.8750320958685786E-2</v>
      </c>
      <c r="F69" s="53">
        <f>IF(OR(1787183.4192="",810.36033="",1027.38013=""),"-",(1027.38013-810.36033)/1787183.4192*100)</f>
        <v>1.2143118477293449E-2</v>
      </c>
      <c r="G69" s="53">
        <f>IF(OR(1525216.45469="",1786.13013="",1027.38013=""),"-",(1786.13013-1027.38013)/1525216.45469*100)</f>
        <v>4.9747037390454572E-2</v>
      </c>
    </row>
    <row r="70" spans="1:7" s="7" customFormat="1" x14ac:dyDescent="0.25">
      <c r="A70" s="52" t="s">
        <v>71</v>
      </c>
      <c r="B70" s="34">
        <v>1667.77169</v>
      </c>
      <c r="C70" s="53" t="s">
        <v>339</v>
      </c>
      <c r="D70" s="53">
        <f>IF(312.37617="","-",312.37617/1525216.45469*100)</f>
        <v>2.0480776288470504E-2</v>
      </c>
      <c r="E70" s="53">
        <f>IF(1667.77169="","-",1667.77169/1808733.49338*100)</f>
        <v>9.2206601807512112E-2</v>
      </c>
      <c r="F70" s="53">
        <f>IF(OR(1787183.4192="",909.80421="",312.37617=""),"-",(312.37617-909.80421)/1787183.4192*100)</f>
        <v>-3.3428468146119432E-2</v>
      </c>
      <c r="G70" s="53">
        <f>IF(OR(1525216.45469="",1667.77169="",312.37617=""),"-",(1667.77169-312.37617)/1525216.45469*100)</f>
        <v>8.8865781367109889E-2</v>
      </c>
    </row>
    <row r="71" spans="1:7" s="7" customFormat="1" x14ac:dyDescent="0.25">
      <c r="A71" s="52" t="s">
        <v>88</v>
      </c>
      <c r="B71" s="34">
        <v>910.87986999999998</v>
      </c>
      <c r="C71" s="53" t="s">
        <v>379</v>
      </c>
      <c r="D71" s="53">
        <f>IF(40.1874="","-",40.1874/1525216.45469*100)</f>
        <v>2.6348653580562159E-3</v>
      </c>
      <c r="E71" s="53">
        <f>IF(910.87987="","-",910.87987/1808733.49338*100)</f>
        <v>5.0360093033818311E-2</v>
      </c>
      <c r="F71" s="53">
        <f>IF(OR(1787183.4192="",3.99636="",40.1874=""),"-",(40.1874-3.99636)/1787183.4192*100)</f>
        <v>2.0250322161225204E-3</v>
      </c>
      <c r="G71" s="53">
        <f>IF(OR(1525216.45469="",910.87987="",40.1874=""),"-",(910.87987-40.1874)/1525216.45469*100)</f>
        <v>5.7086485483594393E-2</v>
      </c>
    </row>
    <row r="72" spans="1:7" s="7" customFormat="1" x14ac:dyDescent="0.25">
      <c r="A72" s="52" t="s">
        <v>109</v>
      </c>
      <c r="B72" s="85">
        <v>889.48889999999994</v>
      </c>
      <c r="C72" s="53" t="s">
        <v>104</v>
      </c>
      <c r="D72" s="53">
        <f>IF(557.97836="","-",557.97836/1525216.45469*100)</f>
        <v>3.6583552340012551E-2</v>
      </c>
      <c r="E72" s="53">
        <f>IF(889.4889="","-",889.4889/1808733.49338*100)</f>
        <v>4.9177443954874868E-2</v>
      </c>
      <c r="F72" s="53">
        <f>IF(OR(1787183.4192="",962.50047="",557.97836=""),"-",(557.97836-962.50047)/1787183.4192*100)</f>
        <v>-2.263461632724172E-2</v>
      </c>
      <c r="G72" s="53">
        <f>IF(OR(1525216.45469="",889.4889="",557.97836=""),"-",(889.4889-557.97836)/1525216.45469*100)</f>
        <v>2.1735311009831681E-2</v>
      </c>
    </row>
    <row r="73" spans="1:7" s="7" customFormat="1" x14ac:dyDescent="0.25">
      <c r="A73" s="52" t="s">
        <v>376</v>
      </c>
      <c r="B73" s="86">
        <v>871.14715999999999</v>
      </c>
      <c r="C73" s="53">
        <f>IF(OR(886.41168="",871.14716=""),"-",871.14716/886.41168*100)</f>
        <v>98.277942366463407</v>
      </c>
      <c r="D73" s="53">
        <f>IF(886.41168="","-",886.41168/1525216.45469*100)</f>
        <v>5.8117107068593951E-2</v>
      </c>
      <c r="E73" s="53">
        <f>IF(871.14716="","-",871.14716/1808733.49338*100)</f>
        <v>4.816337858443024E-2</v>
      </c>
      <c r="F73" s="53">
        <f>IF(OR(1787183.4192="",928.35807="",886.41168=""),"-",(886.41168-928.35807)/1787183.4192*100)</f>
        <v>-2.347066873459272E-3</v>
      </c>
      <c r="G73" s="53">
        <f>IF(OR(1525216.45469="",871.14716="",886.41168=""),"-",(871.14716-886.41168)/1525216.45469*100)</f>
        <v>-1.0008100786653637E-3</v>
      </c>
    </row>
    <row r="74" spans="1:7" s="7" customFormat="1" x14ac:dyDescent="0.25">
      <c r="A74" s="52" t="s">
        <v>67</v>
      </c>
      <c r="B74" s="34">
        <v>801.66318999999999</v>
      </c>
      <c r="C74" s="53">
        <f>IF(OR(3143.24012="",801.66319=""),"-",801.66319/3143.24012*100)</f>
        <v>25.504357268130057</v>
      </c>
      <c r="D74" s="53">
        <f>IF(3143.24012="","-",3143.24012/1525216.45469*100)</f>
        <v>0.20608485506005528</v>
      </c>
      <c r="E74" s="53">
        <f>IF(801.66319="","-",801.66319/1808733.49338*100)</f>
        <v>4.4321797154423408E-2</v>
      </c>
      <c r="F74" s="53">
        <f>IF(OR(1787183.4192="",22.26872="",3143.24012=""),"-",(3143.24012-22.26872)/1787183.4192*100)</f>
        <v>0.17463072712464209</v>
      </c>
      <c r="G74" s="53">
        <f>IF(OR(1525216.45469="",801.66319="",3143.24012=""),"-",(801.66319-3143.24012)/1525216.45469*100)</f>
        <v>-0.15352423735003076</v>
      </c>
    </row>
    <row r="75" spans="1:7" s="7" customFormat="1" x14ac:dyDescent="0.25">
      <c r="A75" s="52" t="s">
        <v>70</v>
      </c>
      <c r="B75" s="85">
        <v>754.08253000000002</v>
      </c>
      <c r="C75" s="53">
        <f>IF(OR(835.37138="",754.08253=""),"-",754.08253/835.37138*100)</f>
        <v>90.269136345082828</v>
      </c>
      <c r="D75" s="53">
        <f>IF(835.37138="","-",835.37138/1525216.45469*100)</f>
        <v>5.4770677134465429E-2</v>
      </c>
      <c r="E75" s="53">
        <f>IF(754.08253="","-",754.08253/1808733.49338*100)</f>
        <v>4.1691190701115273E-2</v>
      </c>
      <c r="F75" s="53">
        <f>IF(OR(1787183.4192="",2001.14567="",835.37138=""),"-",(835.37138-2001.14567)/1787183.4192*100)</f>
        <v>-6.5229694807813168E-2</v>
      </c>
      <c r="G75" s="53">
        <f>IF(OR(1525216.45469="",754.08253="",835.37138=""),"-",(754.08253-835.37138)/1525216.45469*100)</f>
        <v>-5.3296599148297263E-3</v>
      </c>
    </row>
    <row r="76" spans="1:7" s="7" customFormat="1" x14ac:dyDescent="0.25">
      <c r="A76" s="52" t="s">
        <v>36</v>
      </c>
      <c r="B76" s="86">
        <v>645.06518000000005</v>
      </c>
      <c r="C76" s="53">
        <f>IF(OR(437.58829="",645.06518=""),"-",645.06518/437.58829*100)</f>
        <v>147.41372078306762</v>
      </c>
      <c r="D76" s="53">
        <f>IF(437.58829="","-",437.58829/1525216.45469*100)</f>
        <v>2.8690241877107187E-2</v>
      </c>
      <c r="E76" s="53">
        <f>IF(645.06518="","-",645.06518/1808733.49338*100)</f>
        <v>3.5663915240191614E-2</v>
      </c>
      <c r="F76" s="53">
        <f>IF(OR(1787183.4192="",180.58266="",437.58829=""),"-",(437.58829-180.58266)/1787183.4192*100)</f>
        <v>1.4380484243471992E-2</v>
      </c>
      <c r="G76" s="53">
        <f>IF(OR(1525216.45469="",645.06518="",437.58829=""),"-",(645.06518-437.58829)/1525216.45469*100)</f>
        <v>1.3603111175598332E-2</v>
      </c>
    </row>
    <row r="77" spans="1:7" x14ac:dyDescent="0.25">
      <c r="A77" s="52" t="s">
        <v>39</v>
      </c>
      <c r="B77" s="86">
        <v>638.13319000000001</v>
      </c>
      <c r="C77" s="53">
        <f>IF(OR(1369.77172="",638.13319=""),"-",638.13319/1369.77172*100)</f>
        <v>46.58682762117472</v>
      </c>
      <c r="D77" s="53">
        <f>IF(1369.77172="","-",1369.77172/1525216.45469*100)</f>
        <v>8.9808349220727876E-2</v>
      </c>
      <c r="E77" s="53">
        <f>IF(638.13319="","-",638.13319/1808733.49338*100)</f>
        <v>3.5280664196001232E-2</v>
      </c>
      <c r="F77" s="53">
        <f>IF(OR(1787183.4192="",1302.75798="",1369.77172=""),"-",(1369.77172-1302.75798)/1787183.4192*100)</f>
        <v>3.7496845192306763E-3</v>
      </c>
      <c r="G77" s="53">
        <f>IF(OR(1525216.45469="",638.13319="",1369.77172=""),"-",(638.13319-1369.77172)/1525216.45469*100)</f>
        <v>-4.7969488379844771E-2</v>
      </c>
    </row>
    <row r="78" spans="1:7" x14ac:dyDescent="0.25">
      <c r="A78" s="52" t="s">
        <v>151</v>
      </c>
      <c r="B78" s="34">
        <v>621.31434999999999</v>
      </c>
      <c r="C78" s="53" t="s">
        <v>327</v>
      </c>
      <c r="D78" s="53">
        <f>IF(203.31265="","-",203.31265/1525216.45469*100)</f>
        <v>1.3330085010217338E-2</v>
      </c>
      <c r="E78" s="53">
        <f>IF(621.31435="","-",621.31435/1808733.49338*100)</f>
        <v>3.4350795862078225E-2</v>
      </c>
      <c r="F78" s="53">
        <f>IF(OR(1787183.4192="",559.90682="",203.31265=""),"-",(203.31265-559.90682)/1787183.4192*100)</f>
        <v>-1.9952858009371136E-2</v>
      </c>
      <c r="G78" s="53">
        <f>IF(OR(1525216.45469="",621.31435="",203.31265=""),"-",(621.31435-203.31265)/1525216.45469*100)</f>
        <v>2.7406057593638986E-2</v>
      </c>
    </row>
    <row r="79" spans="1:7" x14ac:dyDescent="0.25">
      <c r="A79" s="52" t="s">
        <v>336</v>
      </c>
      <c r="B79" s="85">
        <v>575.78474000000006</v>
      </c>
      <c r="C79" s="53" t="s">
        <v>380</v>
      </c>
      <c r="D79" s="53">
        <f>IF(8.40516="","-",8.40516/1525216.45469*100)</f>
        <v>5.5107981389489712E-4</v>
      </c>
      <c r="E79" s="53">
        <f>IF(575.78474="","-",575.78474/1808733.49338*100)</f>
        <v>3.1833586435336299E-2</v>
      </c>
      <c r="F79" s="53">
        <f>IF(OR(1787183.4192="",30.4369="",8.40516=""),"-",(8.40516-30.4369)/1787183.4192*100)</f>
        <v>-1.2327632275070067E-3</v>
      </c>
      <c r="G79" s="53">
        <f>IF(OR(1525216.45469="",575.78474="",8.40516=""),"-",(575.78474-8.40516)/1525216.45469*100)</f>
        <v>3.7199938294353099E-2</v>
      </c>
    </row>
    <row r="80" spans="1:7" x14ac:dyDescent="0.25">
      <c r="A80" s="52" t="s">
        <v>38</v>
      </c>
      <c r="B80" s="86">
        <v>564.64649999999995</v>
      </c>
      <c r="C80" s="53">
        <f>IF(OR(569.64945="",564.6465=""),"-",564.6465/569.64945*100)</f>
        <v>99.121749349534156</v>
      </c>
      <c r="D80" s="53">
        <f>IF(569.64945="","-",569.64945/1525216.45469*100)</f>
        <v>3.7348761105241365E-2</v>
      </c>
      <c r="E80" s="53">
        <f>IF(564.6465="","-",564.6465/1808733.49338*100)</f>
        <v>3.1217783165215725E-2</v>
      </c>
      <c r="F80" s="53">
        <f>IF(OR(1787183.4192="",667.85759="",569.64945=""),"-",(569.64945-667.85759)/1787183.4192*100)</f>
        <v>-5.4951349114441229E-3</v>
      </c>
      <c r="G80" s="53">
        <f>IF(OR(1525216.45469="",564.6465="",569.64945=""),"-",(564.6465-569.64945)/1525216.45469*100)</f>
        <v>-3.2801573734771329E-4</v>
      </c>
    </row>
    <row r="81" spans="1:7" x14ac:dyDescent="0.25">
      <c r="A81" s="52" t="s">
        <v>93</v>
      </c>
      <c r="B81" s="34">
        <v>529.15237000000002</v>
      </c>
      <c r="C81" s="53">
        <f>IF(OR(622.79315="",529.15237=""),"-",529.15237/622.79315*100)</f>
        <v>84.96438504501856</v>
      </c>
      <c r="D81" s="53">
        <f>IF(622.79315="","-",622.79315/1525216.45469*100)</f>
        <v>4.0833099333863573E-2</v>
      </c>
      <c r="E81" s="53">
        <f>IF(529.15237="","-",529.15237/1808733.49338*100)</f>
        <v>2.9255408380322916E-2</v>
      </c>
      <c r="F81" s="53">
        <f>IF(OR(1787183.4192="",120.56844="",622.79315=""),"-",(622.79315-120.56844)/1787183.4192*100)</f>
        <v>2.8101464270791618E-2</v>
      </c>
      <c r="G81" s="53">
        <f>IF(OR(1525216.45469="",529.15237="",622.79315=""),"-",(529.15237-622.79315)/1525216.45469*100)</f>
        <v>-6.1395075900248152E-3</v>
      </c>
    </row>
    <row r="82" spans="1:7" x14ac:dyDescent="0.25">
      <c r="A82" s="52" t="s">
        <v>226</v>
      </c>
      <c r="B82" s="86">
        <v>527.05520999999999</v>
      </c>
      <c r="C82" s="53" t="s">
        <v>381</v>
      </c>
      <c r="D82" s="53">
        <f>IF(84.02928="","-",84.02928/1525216.45469*100)</f>
        <v>5.5093347401027701E-3</v>
      </c>
      <c r="E82" s="53">
        <f>IF(527.05521="","-",527.05521/1808733.49338*100)</f>
        <v>2.9139462056131122E-2</v>
      </c>
      <c r="F82" s="53">
        <f>IF(OR(1787183.4192="",3011.20341="",84.02928=""),"-",(84.02928-3011.20341)/1787183.4192*100)</f>
        <v>-0.16378700129784643</v>
      </c>
      <c r="G82" s="53">
        <f>IF(OR(1525216.45469="",527.05521="",84.02928=""),"-",(527.05521-84.02928)/1525216.45469*100)</f>
        <v>2.9046757831500378E-2</v>
      </c>
    </row>
    <row r="83" spans="1:7" x14ac:dyDescent="0.25">
      <c r="A83" s="52" t="s">
        <v>72</v>
      </c>
      <c r="B83" s="85">
        <v>493.86588999999998</v>
      </c>
      <c r="C83" s="53">
        <f>IF(OR(612.17921="",493.86589=""),"-",493.86589/612.17921*100)</f>
        <v>80.673417511189243</v>
      </c>
      <c r="D83" s="53">
        <f>IF(612.17921="","-",612.17921/1525216.45469*100)</f>
        <v>4.0137202042212779E-2</v>
      </c>
      <c r="E83" s="53">
        <f>IF(493.86589="","-",493.86589/1808733.49338*100)</f>
        <v>2.7304514004277511E-2</v>
      </c>
      <c r="F83" s="53">
        <f>IF(OR(1787183.4192="",967.23938="",612.17921=""),"-",(612.17921-967.23938)/1787183.4192*100)</f>
        <v>-1.9867024625762036E-2</v>
      </c>
      <c r="G83" s="53">
        <f>IF(OR(1525216.45469="",493.86589="",612.17921=""),"-",(493.86589-612.17921)/1525216.45469*100)</f>
        <v>-7.7571494613888877E-3</v>
      </c>
    </row>
    <row r="84" spans="1:7" x14ac:dyDescent="0.25">
      <c r="A84" s="52" t="s">
        <v>129</v>
      </c>
      <c r="B84" s="34">
        <v>467.23275999999998</v>
      </c>
      <c r="C84" s="53">
        <f>IF(OR(342.10061="",467.23276=""),"-",467.23276/342.10061*100)</f>
        <v>136.57758751146335</v>
      </c>
      <c r="D84" s="53">
        <f>IF(342.10061="","-",342.10061/1525216.45469*100)</f>
        <v>2.2429643277716401E-2</v>
      </c>
      <c r="E84" s="53">
        <f>IF(467.23276="","-",467.23276/1808733.49338*100)</f>
        <v>2.5832040027460153E-2</v>
      </c>
      <c r="F84" s="53">
        <f>IF(OR(1787183.4192="",82.03294="",342.10061=""),"-",(342.10061-82.03294)/1787183.4192*100)</f>
        <v>1.4551817525053728E-2</v>
      </c>
      <c r="G84" s="53">
        <f>IF(OR(1525216.45469="",467.23276="",342.10061=""),"-",(467.23276-342.10061)/1525216.45469*100)</f>
        <v>8.2042223984157749E-3</v>
      </c>
    </row>
    <row r="85" spans="1:7" x14ac:dyDescent="0.25">
      <c r="A85" s="52" t="s">
        <v>84</v>
      </c>
      <c r="B85" s="85">
        <v>440.26803000000001</v>
      </c>
      <c r="C85" s="53" t="s">
        <v>382</v>
      </c>
      <c r="D85" s="53">
        <f>IF(19.65641="","-",19.65641/1525216.45469*100)</f>
        <v>1.2887619943750977E-3</v>
      </c>
      <c r="E85" s="53">
        <f>IF(440.26803="","-",440.26803/1808733.49338*100)</f>
        <v>2.434123278036204E-2</v>
      </c>
      <c r="F85" s="53">
        <f>IF(OR(1787183.4192="",4.31466="",19.65641=""),"-",(19.65641-4.31466)/1787183.4192*100)</f>
        <v>8.5843175553113938E-4</v>
      </c>
      <c r="G85" s="53">
        <f>IF(OR(1525216.45469="",440.26803="",19.65641=""),"-",(440.26803-19.65641)/1525216.45469*100)</f>
        <v>2.7577175600658546E-2</v>
      </c>
    </row>
    <row r="86" spans="1:7" x14ac:dyDescent="0.25">
      <c r="A86" s="52" t="s">
        <v>135</v>
      </c>
      <c r="B86" s="34">
        <v>385.83274999999998</v>
      </c>
      <c r="C86" s="53" t="s">
        <v>383</v>
      </c>
      <c r="D86" s="53">
        <f>IF(1.07711="","-",1.07711/1525216.45469*100)</f>
        <v>7.0620140288148311E-5</v>
      </c>
      <c r="E86" s="53">
        <f>IF(385.83275="","-",385.83275/1808733.49338*100)</f>
        <v>2.133165286163801E-2</v>
      </c>
      <c r="F86" s="53">
        <f>IF(OR(1787183.4192="",58.46004="",1.07711=""),"-",(1.07711-58.46004)/1787183.4192*100)</f>
        <v>-3.2108025054130387E-3</v>
      </c>
      <c r="G86" s="53">
        <f>IF(OR(1525216.45469="",385.83275="",1.07711=""),"-",(385.83275-1.07711)/1525216.45469*100)</f>
        <v>2.5226297475147649E-2</v>
      </c>
    </row>
    <row r="87" spans="1:7" x14ac:dyDescent="0.25">
      <c r="A87" s="52" t="s">
        <v>83</v>
      </c>
      <c r="B87" s="34">
        <v>378.75375000000003</v>
      </c>
      <c r="C87" s="53" t="s">
        <v>299</v>
      </c>
      <c r="D87" s="53">
        <f>IF(146.38074="","-",146.38074/1525216.45469*100)</f>
        <v>9.5973748217758285E-3</v>
      </c>
      <c r="E87" s="53">
        <f>IF(378.75375="","-",378.75375/1808733.49338*100)</f>
        <v>2.0940274030764958E-2</v>
      </c>
      <c r="F87" s="53">
        <f>IF(OR(1787183.4192="",670.70678="",146.38074=""),"-",(146.38074-670.70678)/1787183.4192*100)</f>
        <v>-2.9338121334781905E-2</v>
      </c>
      <c r="G87" s="53">
        <f>IF(OR(1525216.45469="",378.75375="",146.38074=""),"-",(378.75375-146.38074)/1525216.45469*100)</f>
        <v>1.5235411949920893E-2</v>
      </c>
    </row>
    <row r="88" spans="1:7" x14ac:dyDescent="0.25">
      <c r="A88" s="52" t="s">
        <v>125</v>
      </c>
      <c r="B88" s="34">
        <v>368.99200000000002</v>
      </c>
      <c r="C88" s="53">
        <f>IF(OR(820.30683="",368.992=""),"-",368.992/820.30683*100)</f>
        <v>44.982192821678687</v>
      </c>
      <c r="D88" s="53">
        <f>IF(820.30683="","-",820.30683/1525216.45469*100)</f>
        <v>5.3782977981753237E-2</v>
      </c>
      <c r="E88" s="53">
        <f>IF(368.992="","-",368.992/1808733.49338*100)</f>
        <v>2.0400573182866238E-2</v>
      </c>
      <c r="F88" s="53">
        <f>IF(OR(1787183.4192="",281.04058="",820.30683=""),"-",(820.30683-281.04058)/1787183.4192*100)</f>
        <v>3.0174085334866901E-2</v>
      </c>
      <c r="G88" s="53">
        <f>IF(OR(1525216.45469="",368.992="",820.30683=""),"-",(368.992-820.30683)/1525216.45469*100)</f>
        <v>-2.9590215120759999E-2</v>
      </c>
    </row>
    <row r="89" spans="1:7" x14ac:dyDescent="0.25">
      <c r="A89" s="52" t="s">
        <v>102</v>
      </c>
      <c r="B89" s="34">
        <v>349.62882000000002</v>
      </c>
      <c r="C89" s="53">
        <f>IF(OR(395.39674="",349.62882=""),"-",349.62882/395.39674*100)</f>
        <v>88.424810988578201</v>
      </c>
      <c r="D89" s="53">
        <f>IF(395.39674="","-",395.39674/1525216.45469*100)</f>
        <v>2.5923975497652518E-2</v>
      </c>
      <c r="E89" s="53">
        <f>IF(349.62882="","-",349.62882/1808733.49338*100)</f>
        <v>1.9330035147778726E-2</v>
      </c>
      <c r="F89" s="53">
        <f>IF(OR(1787183.4192="",100.98459="",395.39674=""),"-",(395.39674-100.98459)/1787183.4192*100)</f>
        <v>1.6473527386002058E-2</v>
      </c>
      <c r="G89" s="53">
        <f>IF(OR(1525216.45469="",349.62882="",395.39674=""),"-",(349.62882-395.39674)/1525216.45469*100)</f>
        <v>-3.0007491631279526E-3</v>
      </c>
    </row>
    <row r="90" spans="1:7" x14ac:dyDescent="0.25">
      <c r="A90" s="52" t="s">
        <v>144</v>
      </c>
      <c r="B90" s="85">
        <v>344.19812999999999</v>
      </c>
      <c r="C90" s="53">
        <f>IF(OR(258.97064="",344.19813=""),"-",344.19813/258.97064*100)</f>
        <v>132.91009745351826</v>
      </c>
      <c r="D90" s="53">
        <f>IF(258.97064="","-",258.97064/1525216.45469*100)</f>
        <v>1.6979271316125144E-2</v>
      </c>
      <c r="E90" s="53">
        <f>IF(344.19813="","-",344.19813/1808733.49338*100)</f>
        <v>1.9029786934325697E-2</v>
      </c>
      <c r="F90" s="53">
        <f>IF(OR(1787183.4192="",189.65507="",258.97064=""),"-",(258.97064-189.65507)/1787183.4192*100)</f>
        <v>3.8784810364359728E-3</v>
      </c>
      <c r="G90" s="53">
        <f>IF(OR(1525216.45469="",344.19813="",258.97064=""),"-",(344.19813-258.97064)/1525216.45469*100)</f>
        <v>5.58789473703406E-3</v>
      </c>
    </row>
    <row r="91" spans="1:7" x14ac:dyDescent="0.25">
      <c r="A91" s="52" t="s">
        <v>131</v>
      </c>
      <c r="B91" s="34">
        <v>336.93794000000003</v>
      </c>
      <c r="C91" s="53" t="s">
        <v>339</v>
      </c>
      <c r="D91" s="53">
        <f>IF(63.79511="","-",63.79511/1525216.45469*100)</f>
        <v>4.1826922207554035E-3</v>
      </c>
      <c r="E91" s="53">
        <f>IF(336.93794="","-",336.93794/1808733.49338*100)</f>
        <v>1.8628390596690969E-2</v>
      </c>
      <c r="F91" s="53">
        <f>IF(OR(1787183.4192="",133.4746="",63.79511=""),"-",(63.79511-133.4746)/1787183.4192*100)</f>
        <v>-3.8988438036869641E-3</v>
      </c>
      <c r="G91" s="53">
        <f>IF(OR(1525216.45469="",336.93794="",63.79511=""),"-",(336.93794-63.79511)/1525216.45469*100)</f>
        <v>1.7908463363353645E-2</v>
      </c>
    </row>
    <row r="92" spans="1:7" x14ac:dyDescent="0.25">
      <c r="A92" s="52" t="s">
        <v>101</v>
      </c>
      <c r="B92" s="85">
        <v>336.88869</v>
      </c>
      <c r="C92" s="53" t="s">
        <v>211</v>
      </c>
      <c r="D92" s="53">
        <f>IF(154.33353="","-",154.33353/1525216.45469*100)</f>
        <v>1.0118795238894028E-2</v>
      </c>
      <c r="E92" s="53">
        <f>IF(336.88869="","-",336.88869/1808733.49338*100)</f>
        <v>1.8625667696928219E-2</v>
      </c>
      <c r="F92" s="53">
        <f>IF(OR(1787183.4192="",428.11771="",154.33353=""),"-",(154.33353-428.11771)/1787183.4192*100)</f>
        <v>-1.5319310657131907E-2</v>
      </c>
      <c r="G92" s="53">
        <f>IF(OR(1525216.45469="",336.88869="",154.33353=""),"-",(336.88869-154.33353)/1525216.45469*100)</f>
        <v>1.1969131295341572E-2</v>
      </c>
    </row>
    <row r="93" spans="1:7" x14ac:dyDescent="0.25">
      <c r="A93" s="52" t="s">
        <v>87</v>
      </c>
      <c r="B93" s="86">
        <v>305.14960000000002</v>
      </c>
      <c r="C93" s="53">
        <f>IF(OR(1122.53902="",305.1496=""),"-",305.1496/1122.53902*100)</f>
        <v>27.183874641613798</v>
      </c>
      <c r="D93" s="53">
        <f>IF(1122.53902="","-",1122.53902/1525216.45469*100)</f>
        <v>7.3598669654279053E-2</v>
      </c>
      <c r="E93" s="53">
        <f>IF(305.1496="","-",305.1496/1808733.49338*100)</f>
        <v>1.6870898953154433E-2</v>
      </c>
      <c r="F93" s="53">
        <f>IF(OR(1787183.4192="",191.8125="",1122.53902=""),"-",(1122.53902-191.8125)/1787183.4192*100)</f>
        <v>5.2077839912851406E-2</v>
      </c>
      <c r="G93" s="53">
        <f>IF(OR(1525216.45469="",305.1496="",1122.53902=""),"-",(305.1496-1122.53902)/1525216.45469*100)</f>
        <v>-5.3591699557564383E-2</v>
      </c>
    </row>
    <row r="94" spans="1:7" x14ac:dyDescent="0.25">
      <c r="A94" s="52" t="s">
        <v>149</v>
      </c>
      <c r="B94" s="85">
        <v>299.39999999999998</v>
      </c>
      <c r="C94" s="53" t="s">
        <v>103</v>
      </c>
      <c r="D94" s="53">
        <f>IF(179.7168="","-",179.7168/1525216.45469*100)</f>
        <v>1.1783035742066355E-2</v>
      </c>
      <c r="E94" s="53">
        <f>IF(299.4="","-",299.4/1808733.49338*100)</f>
        <v>1.6553019065318902E-2</v>
      </c>
      <c r="F94" s="53">
        <f>IF(OR(1787183.4192="",88.5175="",179.7168=""),"-",(179.7168-88.5175)/1787183.4192*100)</f>
        <v>5.1029625174579853E-3</v>
      </c>
      <c r="G94" s="53">
        <f>IF(OR(1525216.45469="",299.4="",179.7168=""),"-",(299.4-179.7168)/1525216.45469*100)</f>
        <v>7.8469649099298204E-3</v>
      </c>
    </row>
    <row r="95" spans="1:7" x14ac:dyDescent="0.25">
      <c r="A95" s="52" t="s">
        <v>96</v>
      </c>
      <c r="B95" s="85">
        <v>266.47487999999998</v>
      </c>
      <c r="C95" s="53">
        <f>IF(OR(208.29895="",266.47488=""),"-",266.47488/208.29895*100)</f>
        <v>127.9290558113711</v>
      </c>
      <c r="D95" s="53">
        <f>IF(208.29895="","-",208.29895/1525216.45469*100)</f>
        <v>1.3657009099232195E-2</v>
      </c>
      <c r="E95" s="53">
        <f>IF(266.47488="","-",266.47488/1808733.49338*100)</f>
        <v>1.4732677919400687E-2</v>
      </c>
      <c r="F95" s="53">
        <f>IF(OR(1787183.4192="",392.70711="",208.29895=""),"-",(208.29895-392.70711)/1787183.4192*100)</f>
        <v>-1.0318367886523195E-2</v>
      </c>
      <c r="G95" s="53">
        <f>IF(OR(1525216.45469="",266.47488="",208.29895=""),"-",(266.47488-208.29895)/1525216.45469*100)</f>
        <v>3.8142736934885899E-3</v>
      </c>
    </row>
    <row r="96" spans="1:7" x14ac:dyDescent="0.25">
      <c r="A96" s="52" t="s">
        <v>90</v>
      </c>
      <c r="B96" s="85">
        <v>260.24770999999998</v>
      </c>
      <c r="C96" s="53" t="s">
        <v>220</v>
      </c>
      <c r="D96" s="53">
        <f>IF(104.15317="","-",104.15317/1525216.45469*100)</f>
        <v>6.8287468103121873E-3</v>
      </c>
      <c r="E96" s="53">
        <f>IF(260.24771="","-",260.24771/1808733.49338*100)</f>
        <v>1.4388394473398744E-2</v>
      </c>
      <c r="F96" s="53">
        <f>IF(OR(1787183.4192="",96.78179="",104.15317=""),"-",(104.15317-96.78179)/1787183.4192*100)</f>
        <v>4.1245794476426294E-4</v>
      </c>
      <c r="G96" s="53">
        <f>IF(OR(1525216.45469="",260.24771="",104.15317=""),"-",(260.24771-104.15317)/1525216.45469*100)</f>
        <v>1.023425491640963E-2</v>
      </c>
    </row>
    <row r="97" spans="1:7" x14ac:dyDescent="0.25">
      <c r="A97" s="52" t="s">
        <v>78</v>
      </c>
      <c r="B97" s="85">
        <v>231.99417</v>
      </c>
      <c r="C97" s="53">
        <f>IF(OR(168.65712="",231.99417=""),"-",231.99417/168.65712*100)</f>
        <v>137.55373624309487</v>
      </c>
      <c r="D97" s="53">
        <f>IF(168.65712="","-",168.65712/1525216.45469*100)</f>
        <v>1.1057913746038069E-2</v>
      </c>
      <c r="E97" s="53">
        <f>IF(231.99417="","-",231.99417/1808733.49338*100)</f>
        <v>1.2826332394966045E-2</v>
      </c>
      <c r="F97" s="53">
        <f>IF(OR(1787183.4192="",97.47265="",168.65712=""),"-",(168.65712-97.47265)/1787183.4192*100)</f>
        <v>3.9830534032071771E-3</v>
      </c>
      <c r="G97" s="53">
        <f>IF(OR(1525216.45469="",231.99417="",168.65712=""),"-",(231.99417-168.65712)/1525216.45469*100)</f>
        <v>4.1526597621760674E-3</v>
      </c>
    </row>
    <row r="98" spans="1:7" x14ac:dyDescent="0.25">
      <c r="A98" s="52" t="s">
        <v>407</v>
      </c>
      <c r="B98" s="85">
        <v>211.45376999999999</v>
      </c>
      <c r="C98" s="53" t="s">
        <v>321</v>
      </c>
      <c r="D98" s="53">
        <f>IF(50.18097="","-",50.18097/1525216.45469*100)</f>
        <v>3.2900884229051458E-3</v>
      </c>
      <c r="E98" s="53">
        <f>IF(211.45377="","-",211.45377/1808733.49338*100)</f>
        <v>1.1690709038889639E-2</v>
      </c>
      <c r="F98" s="53">
        <f>IF(OR(1787183.4192="",43.23246="",50.18097=""),"-",(50.18097-43.23246)/1787183.4192*100)</f>
        <v>3.8879669122659903E-4</v>
      </c>
      <c r="G98" s="53">
        <f>IF(OR(1525216.45469="",211.45377="",50.18097=""),"-",(211.45377-50.18097)/1525216.45469*100)</f>
        <v>1.0573764760017531E-2</v>
      </c>
    </row>
    <row r="99" spans="1:7" x14ac:dyDescent="0.25">
      <c r="A99" s="52" t="s">
        <v>86</v>
      </c>
      <c r="B99" s="85">
        <v>208.76716999999999</v>
      </c>
      <c r="C99" s="53">
        <f>IF(OR(290.07564="",208.76717=""),"-",208.76717/290.07564*100)</f>
        <v>71.969907573073002</v>
      </c>
      <c r="D99" s="53">
        <f>IF(290.07564="","-",290.07564/1525216.45469*100)</f>
        <v>1.9018653982392147E-2</v>
      </c>
      <c r="E99" s="53">
        <f>IF(208.76717="","-",208.76717/1808733.49338*100)</f>
        <v>1.1542174165740387E-2</v>
      </c>
      <c r="F99" s="53">
        <f>IF(OR(1787183.4192="",129.80364="",290.07564=""),"-",(290.07564-129.80364)/1787183.4192*100)</f>
        <v>8.9678540142087305E-3</v>
      </c>
      <c r="G99" s="53">
        <f>IF(OR(1525216.45469="",208.76717="",290.07564=""),"-",(208.76717-290.07564)/1525216.45469*100)</f>
        <v>-5.330946289621951E-3</v>
      </c>
    </row>
    <row r="100" spans="1:7" ht="16.5" customHeight="1" x14ac:dyDescent="0.25">
      <c r="A100" s="52" t="s">
        <v>126</v>
      </c>
      <c r="B100" s="85">
        <v>204.20872</v>
      </c>
      <c r="C100" s="53">
        <f>IF(OR(232.91559="",204.20872=""),"-",204.20872/232.91559*100)</f>
        <v>87.674989896554365</v>
      </c>
      <c r="D100" s="53">
        <f>IF(232.91559="","-",232.91559/1525216.45469*100)</f>
        <v>1.5270985917034317E-2</v>
      </c>
      <c r="E100" s="53">
        <f>IF(204.20872="","-",204.20872/1808733.49338*100)</f>
        <v>1.1290149751049998E-2</v>
      </c>
      <c r="F100" s="53">
        <f>IF(OR(1787183.4192="",309.7686="",232.91559=""),"-",(232.91559-309.7686)/1787183.4192*100)</f>
        <v>-4.3002306967687646E-3</v>
      </c>
      <c r="G100" s="53">
        <f>IF(OR(1525216.45469="",204.20872="",232.91559=""),"-",(204.20872-232.91559)/1525216.45469*100)</f>
        <v>-1.8821505571702394E-3</v>
      </c>
    </row>
    <row r="101" spans="1:7" ht="15.75" customHeight="1" x14ac:dyDescent="0.25">
      <c r="A101" s="52" t="s">
        <v>69</v>
      </c>
      <c r="B101" s="34">
        <v>190.19476</v>
      </c>
      <c r="C101" s="53" t="s">
        <v>340</v>
      </c>
      <c r="D101" s="53">
        <f>IF(20.45424="","-",20.45424/1525216.45469*100)</f>
        <v>1.3410712910356924E-3</v>
      </c>
      <c r="E101" s="53">
        <f>IF(190.19476="","-",190.19476/1808733.49338*100)</f>
        <v>1.0515355672691224E-2</v>
      </c>
      <c r="F101" s="53">
        <f>IF(OR(1787183.4192="",235.83808="",20.45424=""),"-",(20.45424-235.83808)/1787183.4192*100)</f>
        <v>-1.2051580027326611E-2</v>
      </c>
      <c r="G101" s="53">
        <f>IF(OR(1525216.45469="",190.19476="",20.45424=""),"-",(190.19476-20.45424)/1525216.45469*100)</f>
        <v>1.1128946286807516E-2</v>
      </c>
    </row>
    <row r="102" spans="1:7" x14ac:dyDescent="0.25">
      <c r="A102" s="52" t="s">
        <v>408</v>
      </c>
      <c r="B102" s="86">
        <v>183.52502000000001</v>
      </c>
      <c r="C102" s="53" t="str">
        <f>IF(OR(""="",183.52502=""),"-",183.52502/""*100)</f>
        <v>-</v>
      </c>
      <c r="D102" s="53" t="str">
        <f>IF(""="","-",""/1525216.45469*100)</f>
        <v>-</v>
      </c>
      <c r="E102" s="53">
        <f>IF(183.52502="","-",183.52502/1808733.49338*100)</f>
        <v>1.0146603724191827E-2</v>
      </c>
      <c r="F102" s="53" t="str">
        <f>IF(OR(1787183.4192="",""="",""=""),"-",(""-"")/1787183.4192*100)</f>
        <v>-</v>
      </c>
      <c r="G102" s="53" t="str">
        <f>IF(OR(1525216.45469="",183.52502="",""=""),"-",(183.52502-"")/1525216.45469*100)</f>
        <v>-</v>
      </c>
    </row>
    <row r="103" spans="1:7" x14ac:dyDescent="0.25">
      <c r="A103" s="52" t="s">
        <v>335</v>
      </c>
      <c r="B103" s="85">
        <v>171.86098999999999</v>
      </c>
      <c r="C103" s="53" t="str">
        <f>IF(OR(""="",171.86099=""),"-",171.86099/""*100)</f>
        <v>-</v>
      </c>
      <c r="D103" s="53" t="str">
        <f>IF(""="","-",""/1525216.45469*100)</f>
        <v>-</v>
      </c>
      <c r="E103" s="53">
        <f>IF(171.86099="","-",171.86099/1808733.49338*100)</f>
        <v>9.5017309420660691E-3</v>
      </c>
      <c r="F103" s="53" t="str">
        <f>IF(OR(1787183.4192="",""="",""=""),"-",(""-"")/1787183.4192*100)</f>
        <v>-</v>
      </c>
      <c r="G103" s="53" t="str">
        <f>IF(OR(1525216.45469="",171.86099="",""=""),"-",(171.86099-"")/1525216.45469*100)</f>
        <v>-</v>
      </c>
    </row>
    <row r="104" spans="1:7" x14ac:dyDescent="0.25">
      <c r="A104" s="52" t="s">
        <v>222</v>
      </c>
      <c r="B104" s="85">
        <v>162.96404999999999</v>
      </c>
      <c r="C104" s="53" t="str">
        <f>IF(OR(""="",162.96405=""),"-",162.96405/""*100)</f>
        <v>-</v>
      </c>
      <c r="D104" s="53" t="str">
        <f>IF(""="","-",""/1525216.45469*100)</f>
        <v>-</v>
      </c>
      <c r="E104" s="53">
        <f>IF(162.96405="","-",162.96405/1808733.49338*100)</f>
        <v>9.0098431082551184E-3</v>
      </c>
      <c r="F104" s="53" t="str">
        <f>IF(OR(1787183.4192="",870.6307="",""=""),"-",(""-870.6307)/1787183.4192*100)</f>
        <v>-</v>
      </c>
      <c r="G104" s="53" t="str">
        <f>IF(OR(1525216.45469="",162.96405="",""=""),"-",(162.96405-"")/1525216.45469*100)</f>
        <v>-</v>
      </c>
    </row>
    <row r="105" spans="1:7" x14ac:dyDescent="0.25">
      <c r="A105" s="52" t="s">
        <v>74</v>
      </c>
      <c r="B105" s="85">
        <v>114.57319</v>
      </c>
      <c r="C105" s="53">
        <f>IF(OR(215.83129="",114.57319=""),"-",114.57319/215.83129*100)</f>
        <v>53.084606036501938</v>
      </c>
      <c r="D105" s="53">
        <f>IF(215.83129="","-",215.83129/1525216.45469*100)</f>
        <v>1.4150862937278477E-2</v>
      </c>
      <c r="E105" s="53">
        <f>IF(114.57319="","-",114.57319/1808733.49338*100)</f>
        <v>6.3344428805758336E-3</v>
      </c>
      <c r="F105" s="53">
        <f>IF(OR(1787183.4192="",485.06986="",215.83129=""),"-",(215.83129-485.06986)/1787183.4192*100)</f>
        <v>-1.506496575043874E-2</v>
      </c>
      <c r="G105" s="53">
        <f>IF(OR(1525216.45469="",114.57319="",215.83129=""),"-",(114.57319-215.83129)/1525216.45469*100)</f>
        <v>-6.6389330962588313E-3</v>
      </c>
    </row>
    <row r="106" spans="1:7" x14ac:dyDescent="0.25">
      <c r="A106" s="52" t="s">
        <v>80</v>
      </c>
      <c r="B106" s="86">
        <v>103.97228</v>
      </c>
      <c r="C106" s="53" t="s">
        <v>384</v>
      </c>
      <c r="D106" s="53">
        <f>IF(20.50316="","-",20.50316/1525216.45469*100)</f>
        <v>1.3442787046358783E-3</v>
      </c>
      <c r="E106" s="53">
        <f>IF(103.97228="","-",103.97228/1808733.49338*100)</f>
        <v>5.7483471379581657E-3</v>
      </c>
      <c r="F106" s="53" t="str">
        <f>IF(OR(1787183.4192="",""="",20.50316=""),"-",(20.50316-"")/1787183.4192*100)</f>
        <v>-</v>
      </c>
      <c r="G106" s="53">
        <f>IF(OR(1525216.45469="",103.97228="",20.50316=""),"-",(103.97228-20.50316)/1525216.45469*100)</f>
        <v>5.4726081497045668E-3</v>
      </c>
    </row>
    <row r="107" spans="1:7" x14ac:dyDescent="0.25">
      <c r="A107" s="52" t="s">
        <v>337</v>
      </c>
      <c r="B107" s="85">
        <v>103.75509</v>
      </c>
      <c r="C107" s="53" t="str">
        <f>IF(OR(""="",103.75509=""),"-",103.75509/""*100)</f>
        <v>-</v>
      </c>
      <c r="D107" s="53" t="str">
        <f>IF(""="","-",""/1525216.45469*100)</f>
        <v>-</v>
      </c>
      <c r="E107" s="53">
        <f>IF(103.75509="","-",103.75509/1808733.49338*100)</f>
        <v>5.736339288222707E-3</v>
      </c>
      <c r="F107" s="53" t="str">
        <f>IF(OR(1787183.4192="",17.48765="",""=""),"-",(""-17.48765)/1787183.4192*100)</f>
        <v>-</v>
      </c>
      <c r="G107" s="53" t="str">
        <f>IF(OR(1525216.45469="",103.75509="",""=""),"-",(103.75509-"")/1525216.45469*100)</f>
        <v>-</v>
      </c>
    </row>
    <row r="108" spans="1:7" x14ac:dyDescent="0.25">
      <c r="A108" s="52" t="s">
        <v>98</v>
      </c>
      <c r="B108" s="85">
        <v>102.5224</v>
      </c>
      <c r="C108" s="53">
        <f>IF(OR(106.01381="",102.5224=""),"-",102.5224/106.01381*100)</f>
        <v>96.70664604922699</v>
      </c>
      <c r="D108" s="53">
        <f>IF(106.01381="","-",106.01381/1525216.45469*100)</f>
        <v>6.950738675419503E-3</v>
      </c>
      <c r="E108" s="53">
        <f>IF(102.5224="","-",102.5224/1808733.49338*100)</f>
        <v>5.6681871804350383E-3</v>
      </c>
      <c r="F108" s="53">
        <f>IF(OR(1787183.4192="",49.79499="",106.01381=""),"-",(106.01381-49.79499)/1787183.4192*100)</f>
        <v>3.1456659342310451E-3</v>
      </c>
      <c r="G108" s="53">
        <f>IF(OR(1525216.45469="",102.5224="",106.01381=""),"-",(102.5224-106.01381)/1525216.45469*100)</f>
        <v>-2.2891242677483637E-4</v>
      </c>
    </row>
    <row r="109" spans="1:7" x14ac:dyDescent="0.25">
      <c r="A109" s="52" t="s">
        <v>85</v>
      </c>
      <c r="B109" s="85">
        <v>102.18825</v>
      </c>
      <c r="C109" s="53">
        <f>IF(OR(927.16426="",102.18825=""),"-",102.18825/927.16426*100)</f>
        <v>11.021590715759471</v>
      </c>
      <c r="D109" s="53">
        <f>IF(927.16426="","-",927.16426/1525216.45469*100)</f>
        <v>6.0789028150659834E-2</v>
      </c>
      <c r="E109" s="53">
        <f>IF(102.18825="","-",102.18825/1808733.49338*100)</f>
        <v>5.6497129275269679E-3</v>
      </c>
      <c r="F109" s="53">
        <f>IF(OR(1787183.4192="",1855.90099="",927.16426=""),"-",(927.16426-1855.90099)/1787183.4192*100)</f>
        <v>-5.1966503271148975E-2</v>
      </c>
      <c r="G109" s="53">
        <f>IF(OR(1525216.45469="",102.18825="",927.16426=""),"-",(102.18825-927.16426)/1525216.45469*100)</f>
        <v>-5.4089110267806294E-2</v>
      </c>
    </row>
    <row r="110" spans="1:7" x14ac:dyDescent="0.25">
      <c r="A110" s="52" t="s">
        <v>107</v>
      </c>
      <c r="B110" s="85">
        <v>100.60856</v>
      </c>
      <c r="C110" s="53">
        <f>IF(OR(109.99736="",100.60856=""),"-",100.60856/109.99736*100)</f>
        <v>91.464522421265386</v>
      </c>
      <c r="D110" s="53">
        <f>IF(109.99736="","-",109.99736/1525216.45469*100)</f>
        <v>7.2119179977216379E-3</v>
      </c>
      <c r="E110" s="53">
        <f>IF(100.60856="","-",100.60856/1808733.49338*100)</f>
        <v>5.5623761249641969E-3</v>
      </c>
      <c r="F110" s="53">
        <f>IF(OR(1787183.4192="",300.93412="",109.99736=""),"-",(109.99736-300.93412)/1787183.4192*100)</f>
        <v>-1.0683668947951037E-2</v>
      </c>
      <c r="G110" s="53">
        <f>IF(OR(1525216.45469="",100.60856="",109.99736=""),"-",(100.60856-109.99736)/1525216.45469*100)</f>
        <v>-6.1557164369225714E-4</v>
      </c>
    </row>
    <row r="111" spans="1:7" x14ac:dyDescent="0.25">
      <c r="A111" s="52" t="s">
        <v>225</v>
      </c>
      <c r="B111" s="85">
        <v>97.307130000000001</v>
      </c>
      <c r="C111" s="53">
        <f>IF(OR(298.98316="",97.30713=""),"-",97.30713/298.98316*100)</f>
        <v>32.546023662336033</v>
      </c>
      <c r="D111" s="53">
        <f>IF(298.98316="","-",298.98316/1525216.45469*100)</f>
        <v>1.9602670760640872E-2</v>
      </c>
      <c r="E111" s="53">
        <f>IF(97.30713="","-",97.30713/1808733.49338*100)</f>
        <v>5.3798489581879253E-3</v>
      </c>
      <c r="F111" s="53">
        <f>IF(OR(1787183.4192="",43.73524="",298.98316=""),"-",(298.98316-43.73524)/1787183.4192*100)</f>
        <v>1.42821333981633E-2</v>
      </c>
      <c r="G111" s="53">
        <f>IF(OR(1525216.45469="",97.30713="",298.98316=""),"-",(97.30713-298.98316)/1525216.45469*100)</f>
        <v>-1.3222780896432869E-2</v>
      </c>
    </row>
    <row r="112" spans="1:7" x14ac:dyDescent="0.25">
      <c r="A112" s="52" t="s">
        <v>334</v>
      </c>
      <c r="B112" s="86">
        <v>75.189430000000002</v>
      </c>
      <c r="C112" s="53" t="s">
        <v>309</v>
      </c>
      <c r="D112" s="53">
        <f>IF(27.49258="","-",27.49258/1525216.45469*100)</f>
        <v>1.8025362836508252E-3</v>
      </c>
      <c r="E112" s="53">
        <f>IF(75.18943="","-",75.18943/1808733.49338*100)</f>
        <v>4.1570209362072844E-3</v>
      </c>
      <c r="F112" s="53">
        <f>IF(OR(1787183.4192="",0.20947="",27.49258=""),"-",(27.49258-0.20947)/1787183.4192*100)</f>
        <v>1.5265982051362577E-3</v>
      </c>
      <c r="G112" s="53">
        <f>IF(OR(1525216.45469="",75.18943="",27.49258=""),"-",(75.18943-27.49258)/1525216.45469*100)</f>
        <v>3.1272184255115697E-3</v>
      </c>
    </row>
    <row r="113" spans="1:7" x14ac:dyDescent="0.25">
      <c r="A113" s="52" t="s">
        <v>306</v>
      </c>
      <c r="B113" s="85">
        <v>60.503999999999998</v>
      </c>
      <c r="C113" s="53">
        <f>IF(OR(87.612="",60.504=""),"-",60.504/87.612*100)</f>
        <v>69.059033009176829</v>
      </c>
      <c r="D113" s="53">
        <f>IF(87.612="","-",87.612/1525216.45469*100)</f>
        <v>5.7442338581252137E-3</v>
      </c>
      <c r="E113" s="53">
        <f>IF(60.504="","-",60.504/1808733.49338*100)</f>
        <v>3.3451030912760682E-3</v>
      </c>
      <c r="F113" s="53">
        <f>IF(OR(1787183.4192="",23.32711="",87.612=""),"-",(87.612-23.32711)/1787183.4192*100)</f>
        <v>3.5969945395294654E-3</v>
      </c>
      <c r="G113" s="53">
        <f>IF(OR(1525216.45469="",60.504="",87.612=""),"-",(60.504-87.612)/1525216.45469*100)</f>
        <v>-1.7773215019182111E-3</v>
      </c>
    </row>
    <row r="114" spans="1:7" x14ac:dyDescent="0.25">
      <c r="A114" s="52" t="s">
        <v>94</v>
      </c>
      <c r="B114" s="85">
        <v>49.793750000000003</v>
      </c>
      <c r="C114" s="53">
        <f>IF(OR(50.88265="",49.79375=""),"-",49.79375/50.88265*100)</f>
        <v>97.859977811690243</v>
      </c>
      <c r="D114" s="53">
        <f>IF(50.88265="","-",50.88265/1525216.45469*100)</f>
        <v>3.3360936963102651E-3</v>
      </c>
      <c r="E114" s="53">
        <f>IF(49.79375="","-",49.79375/1808733.49338*100)</f>
        <v>2.7529622347485742E-3</v>
      </c>
      <c r="F114" s="53">
        <f>IF(OR(1787183.4192="",81.87974="",50.88265=""),"-",(50.88265-81.87974)/1787183.4192*100)</f>
        <v>-1.7344101152121968E-3</v>
      </c>
      <c r="G114" s="53">
        <f>IF(OR(1525216.45469="",49.79375="",50.88265=""),"-",(49.79375-50.88265)/1525216.45469*100)</f>
        <v>-7.1393145323842829E-5</v>
      </c>
    </row>
    <row r="115" spans="1:7" x14ac:dyDescent="0.25">
      <c r="A115" s="52" t="s">
        <v>333</v>
      </c>
      <c r="B115" s="34">
        <v>46.730200000000004</v>
      </c>
      <c r="C115" s="53" t="s">
        <v>105</v>
      </c>
      <c r="D115" s="53">
        <f>IF(24.012="","-",24.012/1525216.45469*100)</f>
        <v>1.5743339200258259E-3</v>
      </c>
      <c r="E115" s="53">
        <f>IF(46.7302="","-",46.7302/1808733.49338*100)</f>
        <v>2.5835868120446404E-3</v>
      </c>
      <c r="F115" s="53">
        <f>IF(OR(1787183.4192="",19.081="",24.012=""),"-",(24.012-19.081)/1787183.4192*100)</f>
        <v>2.7590900559089078E-4</v>
      </c>
      <c r="G115" s="53">
        <f>IF(OR(1525216.45469="",46.7302="",24.012=""),"-",(46.7302-24.012)/1525216.45469*100)</f>
        <v>1.4895066159391437E-3</v>
      </c>
    </row>
    <row r="116" spans="1:7" x14ac:dyDescent="0.25">
      <c r="A116" s="52" t="s">
        <v>359</v>
      </c>
      <c r="B116" s="85">
        <v>45.512140000000002</v>
      </c>
      <c r="C116" s="53">
        <f>IF(OR(72.2805="",45.51214=""),"-",45.51214/72.2805*100)</f>
        <v>62.966000511894634</v>
      </c>
      <c r="D116" s="53">
        <f>IF(72.2805="","-",72.2805/1525216.45469*100)</f>
        <v>4.7390322716319632E-3</v>
      </c>
      <c r="E116" s="53">
        <f>IF(45.51214="","-",45.51214/1808733.49338*100)</f>
        <v>2.5162435575265965E-3</v>
      </c>
      <c r="F116" s="53">
        <f>IF(OR(1787183.4192="",397.19307="",72.2805=""),"-",(72.2805-397.19307)/1787183.4192*100)</f>
        <v>-1.8180146844997094E-2</v>
      </c>
      <c r="G116" s="53">
        <f>IF(OR(1525216.45469="",45.51214="",72.2805=""),"-",(45.51214-72.2805)/1525216.45469*100)</f>
        <v>-1.7550531872173294E-3</v>
      </c>
    </row>
    <row r="117" spans="1:7" x14ac:dyDescent="0.25">
      <c r="A117" s="54" t="s">
        <v>79</v>
      </c>
      <c r="B117" s="55">
        <v>45.119230000000002</v>
      </c>
      <c r="C117" s="56" t="s">
        <v>299</v>
      </c>
      <c r="D117" s="56">
        <f>IF(17.2516="","-",17.2516/1525216.45469*100)</f>
        <v>1.1310919146559028E-3</v>
      </c>
      <c r="E117" s="56">
        <f>IF(45.11923="","-",45.11923/1808733.49338*100)</f>
        <v>2.4945206225868688E-3</v>
      </c>
      <c r="F117" s="56" t="str">
        <f>IF(OR(1787183.4192="",""="",17.2516=""),"-",(17.2516-"")/1787183.4192*100)</f>
        <v>-</v>
      </c>
      <c r="G117" s="56">
        <f>IF(OR(1525216.45469="",45.11923="",17.2516=""),"-",(45.11923-17.2516)/1525216.45469*100)</f>
        <v>1.827126236037369E-3</v>
      </c>
    </row>
    <row r="118" spans="1:7" x14ac:dyDescent="0.25">
      <c r="A118" s="42" t="s">
        <v>305</v>
      </c>
      <c r="B118" s="43"/>
      <c r="C118" s="43"/>
      <c r="D118" s="43"/>
      <c r="E118" s="43"/>
    </row>
    <row r="119" spans="1:7" x14ac:dyDescent="0.25">
      <c r="A119" s="99" t="s">
        <v>319</v>
      </c>
      <c r="B119" s="99"/>
      <c r="C119" s="99"/>
      <c r="D119" s="99"/>
      <c r="E119" s="99"/>
    </row>
  </sheetData>
  <mergeCells count="10">
    <mergeCell ref="A119:E119"/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26"/>
  <sheetViews>
    <sheetView zoomScaleNormal="100" workbookViewId="0">
      <selection activeCell="L14" sqref="L14"/>
    </sheetView>
  </sheetViews>
  <sheetFormatPr defaultRowHeight="15.75" x14ac:dyDescent="0.25"/>
  <cols>
    <col min="1" max="1" width="29.625" customWidth="1"/>
    <col min="2" max="2" width="12.625" customWidth="1"/>
    <col min="3" max="3" width="10.25" customWidth="1"/>
    <col min="4" max="5" width="8.875" customWidth="1"/>
    <col min="6" max="6" width="9.625" customWidth="1"/>
    <col min="7" max="7" width="10.125" customWidth="1"/>
  </cols>
  <sheetData>
    <row r="1" spans="1:7" x14ac:dyDescent="0.25">
      <c r="A1" s="113" t="s">
        <v>138</v>
      </c>
      <c r="B1" s="113"/>
      <c r="C1" s="113"/>
      <c r="D1" s="113"/>
      <c r="E1" s="113"/>
      <c r="F1" s="113"/>
      <c r="G1" s="113"/>
    </row>
    <row r="2" spans="1:7" x14ac:dyDescent="0.25">
      <c r="A2" s="2"/>
    </row>
    <row r="3" spans="1:7" ht="55.5" customHeight="1" x14ac:dyDescent="0.25">
      <c r="A3" s="101"/>
      <c r="B3" s="104" t="s">
        <v>362</v>
      </c>
      <c r="C3" s="105"/>
      <c r="D3" s="104" t="s">
        <v>108</v>
      </c>
      <c r="E3" s="105"/>
      <c r="F3" s="106" t="s">
        <v>120</v>
      </c>
      <c r="G3" s="107"/>
    </row>
    <row r="4" spans="1:7" ht="21" customHeight="1" x14ac:dyDescent="0.25">
      <c r="A4" s="102"/>
      <c r="B4" s="108" t="s">
        <v>316</v>
      </c>
      <c r="C4" s="110" t="s">
        <v>366</v>
      </c>
      <c r="D4" s="112" t="s">
        <v>364</v>
      </c>
      <c r="E4" s="112"/>
      <c r="F4" s="112" t="s">
        <v>370</v>
      </c>
      <c r="G4" s="104"/>
    </row>
    <row r="5" spans="1:7" ht="18.75" customHeight="1" x14ac:dyDescent="0.25">
      <c r="A5" s="103"/>
      <c r="B5" s="109"/>
      <c r="C5" s="111"/>
      <c r="D5" s="24">
        <v>2020</v>
      </c>
      <c r="E5" s="24">
        <v>2021</v>
      </c>
      <c r="F5" s="24">
        <v>2020</v>
      </c>
      <c r="G5" s="23">
        <v>2021</v>
      </c>
    </row>
    <row r="6" spans="1:7" s="3" customFormat="1" ht="15" x14ac:dyDescent="0.25">
      <c r="A6" s="57" t="s">
        <v>123</v>
      </c>
      <c r="B6" s="48">
        <v>4403469.79342</v>
      </c>
      <c r="C6" s="49">
        <f>IF(3323881.41153="","-",4403469.79342/3323881.41153*100)</f>
        <v>132.4797502746363</v>
      </c>
      <c r="D6" s="49">
        <v>100</v>
      </c>
      <c r="E6" s="49">
        <v>100</v>
      </c>
      <c r="F6" s="49">
        <f>IF(3771658.08092="","-",(3323881.41153-3771658.08092)/3771658.08092*100)</f>
        <v>-11.872143757017769</v>
      </c>
      <c r="G6" s="49">
        <f>IF(3323881.41153="","-",(4403469.79342-3323881.41153)/3323881.41153*100)</f>
        <v>32.479750274636295</v>
      </c>
    </row>
    <row r="7" spans="1:7" s="3" customFormat="1" ht="15" x14ac:dyDescent="0.25">
      <c r="A7" s="58" t="s">
        <v>127</v>
      </c>
      <c r="B7" s="84"/>
      <c r="C7" s="90"/>
      <c r="D7" s="90"/>
      <c r="E7" s="90"/>
      <c r="F7" s="90"/>
      <c r="G7" s="90"/>
    </row>
    <row r="8" spans="1:7" ht="16.5" customHeight="1" x14ac:dyDescent="0.25">
      <c r="A8" s="50" t="s">
        <v>145</v>
      </c>
      <c r="B8" s="33">
        <v>2050096.4405499999</v>
      </c>
      <c r="C8" s="51">
        <f>IF(1521247.03911="","-",2050096.44055/1521247.03911*100)</f>
        <v>134.76420251568092</v>
      </c>
      <c r="D8" s="51">
        <f>IF(1521247.03911="","-",1521247.03911/3323881.41153*100)</f>
        <v>45.767187536626402</v>
      </c>
      <c r="E8" s="51">
        <f>IF(2050096.44055="","-",2050096.44055/4403469.79342*100)</f>
        <v>46.556387047627993</v>
      </c>
      <c r="F8" s="51">
        <f>IF(3771658.08092="","-",(1521247.03911-1848796.80394)/3771658.08092*100)</f>
        <v>-8.6845031496095366</v>
      </c>
      <c r="G8" s="51">
        <f>IF(3323881.41153="","-",(2050096.44055-1521247.03911)/3323881.41153*100)</f>
        <v>15.910597760964274</v>
      </c>
    </row>
    <row r="9" spans="1:7" x14ac:dyDescent="0.25">
      <c r="A9" s="52" t="s">
        <v>2</v>
      </c>
      <c r="B9" s="34">
        <v>544649.81759999995</v>
      </c>
      <c r="C9" s="53">
        <f>IF(OR(398994.1376="",544649.8176=""),"-",544649.8176/398994.1376*100)</f>
        <v>136.50571932613778</v>
      </c>
      <c r="D9" s="53">
        <f>IF(398994.1376="","-",398994.1376/3323881.41153*100)</f>
        <v>12.00386199748146</v>
      </c>
      <c r="E9" s="53">
        <f>IF(544649.8176="","-",544649.8176/4403469.79342*100)</f>
        <v>12.368651158090312</v>
      </c>
      <c r="F9" s="53">
        <f>IF(OR(3771658.08092="",547623.56876="",398994.1376=""),"-",(398994.1376-547623.56876)/3771658.08092*100)</f>
        <v>-3.9406920768317812</v>
      </c>
      <c r="G9" s="53">
        <f>IF(OR(3323881.41153="",544649.8176="",398994.1376=""),"-",(544649.8176-398994.1376)/3323881.41153*100)</f>
        <v>4.3820961690974967</v>
      </c>
    </row>
    <row r="10" spans="1:7" s="7" customFormat="1" x14ac:dyDescent="0.25">
      <c r="A10" s="52" t="s">
        <v>4</v>
      </c>
      <c r="B10" s="34">
        <v>355826.40292000002</v>
      </c>
      <c r="C10" s="53">
        <f>IF(OR(272604.66646="",355826.40292=""),"-",355826.40292/272604.66646*100)</f>
        <v>130.52836091938704</v>
      </c>
      <c r="D10" s="53">
        <f>IF(272604.66646="","-",272604.66646/3323881.41153*100)</f>
        <v>8.2013956789908047</v>
      </c>
      <c r="E10" s="53">
        <f>IF(355826.40292="","-",355826.40292/4403469.79342*100)</f>
        <v>8.0805914338666067</v>
      </c>
      <c r="F10" s="53">
        <f>IF(OR(3771658.08092="",318566.36949="",272604.66646=""),"-",(272604.66646-318566.36949)/3771658.08092*100)</f>
        <v>-1.2186073616405029</v>
      </c>
      <c r="G10" s="53">
        <f>IF(OR(3323881.41153="",355826.40292="",272604.66646=""),"-",(355826.40292-272604.66646)/3323881.41153*100)</f>
        <v>2.5037516733093268</v>
      </c>
    </row>
    <row r="11" spans="1:7" s="7" customFormat="1" x14ac:dyDescent="0.25">
      <c r="A11" s="52" t="s">
        <v>3</v>
      </c>
      <c r="B11" s="34">
        <v>292256.35002000001</v>
      </c>
      <c r="C11" s="53">
        <f>IF(OR(218617.79529="",292256.35002=""),"-",292256.35002/218617.79529*100)</f>
        <v>133.68369653180213</v>
      </c>
      <c r="D11" s="53">
        <f>IF(218617.79529="","-",218617.79529/3323881.41153*100)</f>
        <v>6.5771839672634131</v>
      </c>
      <c r="E11" s="53">
        <f>IF(292256.35002="","-",292256.35002/4403469.79342*100)</f>
        <v>6.6369559399887725</v>
      </c>
      <c r="F11" s="53">
        <f>IF(OR(3771658.08092="",264117.52945="",218617.79529=""),"-",(218617.79529-264117.52945)/3771658.08092*100)</f>
        <v>-1.2063589324327475</v>
      </c>
      <c r="G11" s="53">
        <f>IF(OR(3323881.41153="",292256.35002="",218617.79529=""),"-",(292256.35002-218617.79529)/3323881.41153*100)</f>
        <v>2.2154386878713517</v>
      </c>
    </row>
    <row r="12" spans="1:7" s="7" customFormat="1" x14ac:dyDescent="0.25">
      <c r="A12" s="52" t="s">
        <v>5</v>
      </c>
      <c r="B12" s="34">
        <v>167540.38433</v>
      </c>
      <c r="C12" s="53">
        <f>IF(OR(130628.52805="",167540.38433=""),"-",167540.38433/130628.52805*100)</f>
        <v>128.25711720939813</v>
      </c>
      <c r="D12" s="53">
        <f>IF(130628.52805="","-",130628.52805/3323881.41153*100)</f>
        <v>3.9299996563316313</v>
      </c>
      <c r="E12" s="53">
        <f>IF(167540.38433="","-",167540.38433/4403469.79342*100)</f>
        <v>3.8047356332579283</v>
      </c>
      <c r="F12" s="53">
        <f>IF(OR(3771658.08092="",127141.67785="",130628.52805=""),"-",(130628.52805-127141.67785)/3771658.08092*100)</f>
        <v>9.2448735415312941E-2</v>
      </c>
      <c r="G12" s="53">
        <f>IF(OR(3323881.41153="",167540.38433="",130628.52805=""),"-",(167540.38433-130628.52805)/3323881.41153*100)</f>
        <v>1.1105046092185726</v>
      </c>
    </row>
    <row r="13" spans="1:7" s="7" customFormat="1" x14ac:dyDescent="0.25">
      <c r="A13" s="52" t="s">
        <v>371</v>
      </c>
      <c r="B13" s="34">
        <v>113542.86266</v>
      </c>
      <c r="C13" s="53">
        <f>IF(OR(81508.33627="",113542.86266=""),"-",113542.86266/81508.33627*100)</f>
        <v>139.30214730906076</v>
      </c>
      <c r="D13" s="53">
        <f>IF(81508.33627="","-",81508.33627/3323881.41153*100)</f>
        <v>2.4522034988149977</v>
      </c>
      <c r="E13" s="53">
        <f>IF(113542.86266="","-",113542.86266/4403469.79342*100)</f>
        <v>2.5784862389578418</v>
      </c>
      <c r="F13" s="53">
        <f>IF(OR(3771658.08092="",96572.76106="",81508.33627=""),"-",(81508.33627-96572.76106)/3771658.08092*100)</f>
        <v>-0.39941119971101469</v>
      </c>
      <c r="G13" s="53">
        <f>IF(OR(3323881.41153="",113542.86266="",81508.33627=""),"-",(113542.86266-81508.33627)/3323881.41153*100)</f>
        <v>0.96376863142221236</v>
      </c>
    </row>
    <row r="14" spans="1:7" s="7" customFormat="1" x14ac:dyDescent="0.25">
      <c r="A14" s="52" t="s">
        <v>42</v>
      </c>
      <c r="B14" s="65">
        <v>81644.947939999998</v>
      </c>
      <c r="C14" s="53">
        <f>IF(OR(65122.46504="",81644.94794=""),"-",81644.94794/65122.46504*100)</f>
        <v>125.37140277145748</v>
      </c>
      <c r="D14" s="53">
        <f>IF(65122.46504="","-",65122.46504/3323881.41153*100)</f>
        <v>1.9592294963984225</v>
      </c>
      <c r="E14" s="53">
        <f>IF(81644.94794="","-",81644.94794/4403469.79342*100)</f>
        <v>1.8541048711631929</v>
      </c>
      <c r="F14" s="53">
        <f>IF(OR(3771658.08092="",75160.19668="",65122.46504=""),"-",(65122.46504-75160.19668)/3771658.08092*100)</f>
        <v>-0.26613577966620827</v>
      </c>
      <c r="G14" s="53">
        <f>IF(OR(3323881.41153="",81644.94794="",65122.46504=""),"-",(81644.94794-65122.46504)/3323881.41153*100)</f>
        <v>0.497084006748442</v>
      </c>
    </row>
    <row r="15" spans="1:7" s="7" customFormat="1" x14ac:dyDescent="0.25">
      <c r="A15" s="52" t="s">
        <v>7</v>
      </c>
      <c r="B15" s="34">
        <v>75089.166360000003</v>
      </c>
      <c r="C15" s="53">
        <f>IF(OR(53790.02557="",75089.16636=""),"-",75089.16636/53790.02557*100)</f>
        <v>139.59682220690198</v>
      </c>
      <c r="D15" s="53">
        <f>IF(53790.02557="","-",53790.02557/3323881.41153*100)</f>
        <v>1.618289550987325</v>
      </c>
      <c r="E15" s="53">
        <f>IF(75089.16636="","-",75089.16636/4403469.79342*100)</f>
        <v>1.7052272385790852</v>
      </c>
      <c r="F15" s="53">
        <f>IF(OR(3771658.08092="",73296.69512="",53790.02557=""),"-",(53790.02557-73296.69512)/3771658.08092*100)</f>
        <v>-0.51719082513550252</v>
      </c>
      <c r="G15" s="53">
        <f>IF(OR(3323881.41153="",75089.16636="",53790.02557=""),"-",(75089.16636-53790.02557)/3323881.41153*100)</f>
        <v>0.64079123629732326</v>
      </c>
    </row>
    <row r="16" spans="1:7" s="7" customFormat="1" x14ac:dyDescent="0.25">
      <c r="A16" s="52" t="s">
        <v>8</v>
      </c>
      <c r="B16" s="34">
        <v>66758.16</v>
      </c>
      <c r="C16" s="53" t="s">
        <v>212</v>
      </c>
      <c r="D16" s="53">
        <f>IF(36650.62012="","-",36650.62012/3323881.41153*100)</f>
        <v>1.1026452385715388</v>
      </c>
      <c r="E16" s="53">
        <f>IF(66758.16="","-",66758.16/4403469.79342*100)</f>
        <v>1.5160353796398269</v>
      </c>
      <c r="F16" s="53">
        <f>IF(OR(3771658.08092="",62870.47546="",36650.62012=""),"-",(36650.62012-62870.47546)/3771658.08092*100)</f>
        <v>-0.69518113194407949</v>
      </c>
      <c r="G16" s="53">
        <f>IF(OR(3323881.41153="",66758.16="",36650.62012=""),"-",(66758.16-36650.62012)/3323881.41153*100)</f>
        <v>0.90579464645043839</v>
      </c>
    </row>
    <row r="17" spans="1:7" s="7" customFormat="1" x14ac:dyDescent="0.25">
      <c r="A17" s="52" t="s">
        <v>40</v>
      </c>
      <c r="B17" s="34">
        <v>61525.381280000001</v>
      </c>
      <c r="C17" s="53">
        <f>IF(OR(49722.56415="",61525.38128=""),"-",61525.38128/49722.56415*100)</f>
        <v>123.73734607570515</v>
      </c>
      <c r="D17" s="53">
        <f>IF(49722.56415="","-",49722.56415/3323881.41153*100)</f>
        <v>1.4959187165198062</v>
      </c>
      <c r="E17" s="53">
        <f>IF(61525.38128="","-",61525.38128/4403469.79342*100)</f>
        <v>1.3972023010566783</v>
      </c>
      <c r="F17" s="53">
        <f>IF(OR(3771658.08092="",54618.77053="",49722.56415=""),"-",(49722.56415-54618.77053)/3771658.08092*100)</f>
        <v>-0.12981575410477553</v>
      </c>
      <c r="G17" s="53">
        <f>IF(OR(3323881.41153="",61525.38128="",49722.56415=""),"-",(61525.38128-49722.56415)/3323881.41153*100)</f>
        <v>0.35509140275155315</v>
      </c>
    </row>
    <row r="18" spans="1:7" s="7" customFormat="1" x14ac:dyDescent="0.25">
      <c r="A18" s="52" t="s">
        <v>6</v>
      </c>
      <c r="B18" s="34">
        <v>57905.744140000003</v>
      </c>
      <c r="C18" s="53" t="s">
        <v>224</v>
      </c>
      <c r="D18" s="53">
        <f>IF(38440.29875="","-",38440.29875/3323881.41153*100)</f>
        <v>1.1564882735183302</v>
      </c>
      <c r="E18" s="53">
        <f>IF(57905.74414="","-",57905.74414/4403469.79342*100)</f>
        <v>1.3150026423827677</v>
      </c>
      <c r="F18" s="53">
        <f>IF(OR(3771658.08092="",33887.34833="",38440.29875=""),"-",(38440.29875-33887.34833)/3771658.08092*100)</f>
        <v>0.12071482415207226</v>
      </c>
      <c r="G18" s="53">
        <f>IF(OR(3323881.41153="",57905.74414="",38440.29875=""),"-",(57905.74414-38440.29875)/3323881.41153*100)</f>
        <v>0.58562394321522904</v>
      </c>
    </row>
    <row r="19" spans="1:7" s="7" customFormat="1" x14ac:dyDescent="0.25">
      <c r="A19" s="52" t="s">
        <v>10</v>
      </c>
      <c r="B19" s="34">
        <v>47829.149369999999</v>
      </c>
      <c r="C19" s="53">
        <f>IF(OR(34980.40445="",47829.1493699999=""),"-",47829.1493699999/34980.40445*100)</f>
        <v>136.73126460949166</v>
      </c>
      <c r="D19" s="53">
        <f>IF(34980.40445="","-",34980.40445/3323881.41153*100)</f>
        <v>1.0523962837139349</v>
      </c>
      <c r="E19" s="53">
        <f>IF(47829.1493699999="","-",47829.1493699999/4403469.79342*100)</f>
        <v>1.0861695802130822</v>
      </c>
      <c r="F19" s="53">
        <f>IF(OR(3771658.08092="",38839.93712="",34980.40445=""),"-",(34980.40445-38839.93712)/3771658.08092*100)</f>
        <v>-0.1023298662602673</v>
      </c>
      <c r="G19" s="53">
        <f>IF(OR(3323881.41153="",47829.1493699999="",34980.40445=""),"-",(47829.1493699999-34980.40445)/3323881.41153*100)</f>
        <v>0.38655846371142194</v>
      </c>
    </row>
    <row r="20" spans="1:7" s="7" customFormat="1" ht="15.75" customHeight="1" x14ac:dyDescent="0.25">
      <c r="A20" s="52" t="s">
        <v>41</v>
      </c>
      <c r="B20" s="34">
        <v>30626.684649999999</v>
      </c>
      <c r="C20" s="53">
        <f>IF(OR(24710.70743="",30626.68465=""),"-",30626.68465/24710.70743*100)</f>
        <v>123.94094639645046</v>
      </c>
      <c r="D20" s="53">
        <f>IF(24710.70743="","-",24710.70743/3323881.41153*100)</f>
        <v>0.74342927350785148</v>
      </c>
      <c r="E20" s="53">
        <f>IF(30626.68465="","-",30626.68465/4403469.79342*100)</f>
        <v>0.69551254094588599</v>
      </c>
      <c r="F20" s="53">
        <f>IF(OR(3771658.08092="",28082.14149="",24710.70743=""),"-",(24710.70743-28082.14149)/3771658.08092*100)</f>
        <v>-8.9388645197064825E-2</v>
      </c>
      <c r="G20" s="53">
        <f>IF(OR(3323881.41153="",30626.68465="",24710.70743=""),"-",(30626.68465-24710.70743)/3323881.41153*100)</f>
        <v>0.1779840038660358</v>
      </c>
    </row>
    <row r="21" spans="1:7" s="7" customFormat="1" x14ac:dyDescent="0.25">
      <c r="A21" s="52" t="s">
        <v>44</v>
      </c>
      <c r="B21" s="34">
        <v>25559.74236</v>
      </c>
      <c r="C21" s="53">
        <f>IF(OR(17780.48799="",25559.74236=""),"-",25559.74236/17780.48799*100)</f>
        <v>143.75163591896444</v>
      </c>
      <c r="D21" s="53">
        <f>IF(17780.48799="","-",17780.48799/3323881.41153*100)</f>
        <v>0.53493147885247649</v>
      </c>
      <c r="E21" s="53">
        <f>IF(25559.74236="","-",25559.74236/4403469.79342*100)</f>
        <v>0.58044550227625757</v>
      </c>
      <c r="F21" s="53">
        <f>IF(OR(3771658.08092="",21458.08861="",17780.48799=""),"-",(17780.48799-21458.08861)/3771658.08092*100)</f>
        <v>-9.7506203932010191E-2</v>
      </c>
      <c r="G21" s="53">
        <f>IF(OR(3323881.41153="",25559.74236="",17780.48799=""),"-",(25559.74236-17780.48799)/3323881.41153*100)</f>
        <v>0.23404127304346775</v>
      </c>
    </row>
    <row r="22" spans="1:7" s="7" customFormat="1" x14ac:dyDescent="0.25">
      <c r="A22" s="52" t="s">
        <v>9</v>
      </c>
      <c r="B22" s="34">
        <v>20190.843420000001</v>
      </c>
      <c r="C22" s="53">
        <f>IF(OR(16066.68539="",20190.84342=""),"-",20190.84342/16066.68539*100)</f>
        <v>125.66900346830032</v>
      </c>
      <c r="D22" s="53">
        <f>IF(16066.68539="","-",16066.68539/3323881.41153*100)</f>
        <v>0.4833711977288751</v>
      </c>
      <c r="E22" s="53">
        <f>IF(20190.84342="","-",20190.84342/4403469.79342*100)</f>
        <v>0.45852122001996465</v>
      </c>
      <c r="F22" s="53">
        <f>IF(OR(3771658.08092="",15125.12157="",16066.68539=""),"-",(16066.68539-15125.12157)/3771658.08092*100)</f>
        <v>2.496418815807213E-2</v>
      </c>
      <c r="G22" s="53">
        <f>IF(OR(3323881.41153="",20190.84342="",16066.68539=""),"-",(20190.84342-16066.68539)/3323881.41153*100)</f>
        <v>0.12407656950978972</v>
      </c>
    </row>
    <row r="23" spans="1:7" s="7" customFormat="1" x14ac:dyDescent="0.25">
      <c r="A23" s="52" t="s">
        <v>52</v>
      </c>
      <c r="B23" s="34">
        <v>19205.95133</v>
      </c>
      <c r="C23" s="53">
        <f>IF(OR(14710.52083="",19205.95133=""),"-",19205.95133/14710.52083*100)</f>
        <v>130.55928849801305</v>
      </c>
      <c r="D23" s="53">
        <f>IF(14710.52083="","-",14710.52083/3323881.41153*100)</f>
        <v>0.44257056761927827</v>
      </c>
      <c r="E23" s="53">
        <f>IF(19205.95133="","-",19205.95133/4403469.79342*100)</f>
        <v>0.43615494668997151</v>
      </c>
      <c r="F23" s="53">
        <f>IF(OR(3771658.08092="",14324.72958="",14710.52083=""),"-",(14710.52083-14324.72958)/3771658.08092*100)</f>
        <v>1.0228690982134209E-2</v>
      </c>
      <c r="G23" s="53">
        <f>IF(OR(3323881.41153="",19205.95133="",14710.52083=""),"-",(19205.95133-14710.52083)/3323881.41153*100)</f>
        <v>0.13524641656606906</v>
      </c>
    </row>
    <row r="24" spans="1:7" s="7" customFormat="1" x14ac:dyDescent="0.25">
      <c r="A24" s="52" t="s">
        <v>51</v>
      </c>
      <c r="B24" s="34">
        <v>17751.161909999999</v>
      </c>
      <c r="C24" s="53" t="s">
        <v>104</v>
      </c>
      <c r="D24" s="53">
        <f>IF(11143.44216="","-",11143.44216/3323881.41153*100)</f>
        <v>0.33525390290234858</v>
      </c>
      <c r="E24" s="53">
        <f>IF(17751.16191="","-",17751.16191/4403469.79342*100)</f>
        <v>0.40311760367983307</v>
      </c>
      <c r="F24" s="53">
        <f>IF(OR(3771658.08092="",12213.63472="",11143.44216=""),"-",(11143.44216-12213.63472)/3771658.08092*100)</f>
        <v>-2.837459114901935E-2</v>
      </c>
      <c r="G24" s="53">
        <f>IF(OR(3323881.41153="",17751.16191="",11143.44216=""),"-",(17751.16191-11143.44216)/3323881.41153*100)</f>
        <v>0.19879529176579225</v>
      </c>
    </row>
    <row r="25" spans="1:7" s="7" customFormat="1" x14ac:dyDescent="0.25">
      <c r="A25" s="52" t="s">
        <v>50</v>
      </c>
      <c r="B25" s="34">
        <v>17457.51699</v>
      </c>
      <c r="C25" s="53">
        <f>IF(OR(13068.45892="",17457.51699=""),"-",17457.51699/13068.45892*100)</f>
        <v>133.58512351661432</v>
      </c>
      <c r="D25" s="53">
        <f>IF(13068.45892="","-",13068.45892/3323881.41153*100)</f>
        <v>0.39316862733633201</v>
      </c>
      <c r="E25" s="53">
        <f>IF(17457.51699="","-",17457.51699/4403469.79342*100)</f>
        <v>0.39644911419822504</v>
      </c>
      <c r="F25" s="53">
        <f>IF(OR(3771658.08092="",16414.24994="",13068.45892=""),"-",(13068.45892-16414.24994)/3771658.08092*100)</f>
        <v>-8.870875748057952E-2</v>
      </c>
      <c r="G25" s="53">
        <f>IF(OR(3323881.41153="",17457.51699="",13068.45892=""),"-",(17457.51699-13068.45892)/3323881.41153*100)</f>
        <v>0.13204616911948416</v>
      </c>
    </row>
    <row r="26" spans="1:7" s="7" customFormat="1" x14ac:dyDescent="0.25">
      <c r="A26" s="52" t="s">
        <v>48</v>
      </c>
      <c r="B26" s="65">
        <v>10499.30687</v>
      </c>
      <c r="C26" s="53">
        <f>IF(OR(8043.61574="",10499.30687=""),"-",10499.30687/8043.61574*100)</f>
        <v>130.52969223514896</v>
      </c>
      <c r="D26" s="53">
        <f>IF(8043.61574="","-",8043.61574/3323881.41153*100)</f>
        <v>0.2419946665996571</v>
      </c>
      <c r="E26" s="53">
        <f>IF(10499.30687="","-",10499.30687/4403469.79342*100)</f>
        <v>0.23843258526920894</v>
      </c>
      <c r="F26" s="53">
        <f>IF(OR(3771658.08092="",8182.56278="",8043.61574=""),"-",(8043.61574-8182.56278)/3771658.08092*100)</f>
        <v>-3.6839776304989826E-3</v>
      </c>
      <c r="G26" s="53">
        <f>IF(OR(3323881.41153="",10499.30687="",8043.61574=""),"-",(10499.30687-8043.61574)/3323881.41153*100)</f>
        <v>7.3880226938350141E-2</v>
      </c>
    </row>
    <row r="27" spans="1:7" s="7" customFormat="1" x14ac:dyDescent="0.25">
      <c r="A27" s="52" t="s">
        <v>45</v>
      </c>
      <c r="B27" s="34">
        <v>9701.9322699999993</v>
      </c>
      <c r="C27" s="53">
        <f>IF(OR(6725.75419="",9701.93227=""),"-",9701.93227/6725.75419*100)</f>
        <v>144.25047356659343</v>
      </c>
      <c r="D27" s="53">
        <f>IF(6725.75419="","-",6725.75419/3323881.41153*100)</f>
        <v>0.20234639438908561</v>
      </c>
      <c r="E27" s="53">
        <f>IF(9701.93227="","-",9701.93227/4403469.79342*100)</f>
        <v>0.22032471494405084</v>
      </c>
      <c r="F27" s="53">
        <f>IF(OR(3771658.08092="",6558.05512="",6725.75419=""),"-",(6725.75419-6558.05512)/3771658.08092*100)</f>
        <v>4.4462956716133113E-3</v>
      </c>
      <c r="G27" s="53">
        <f>IF(OR(3323881.41153="",9701.93227="",6725.75419=""),"-",(9701.93227-6725.75419)/3323881.41153*100)</f>
        <v>8.9539237762097212E-2</v>
      </c>
    </row>
    <row r="28" spans="1:7" s="7" customFormat="1" x14ac:dyDescent="0.25">
      <c r="A28" s="52" t="s">
        <v>49</v>
      </c>
      <c r="B28" s="34">
        <v>9476.4613000000008</v>
      </c>
      <c r="C28" s="53">
        <f>IF(OR(7098.15604="",9476.4613=""),"-",9476.4613/7098.15604*100)</f>
        <v>133.5059591054017</v>
      </c>
      <c r="D28" s="53">
        <f>IF(7098.15604="","-",7098.15604/3323881.41153*100)</f>
        <v>0.21355021919186584</v>
      </c>
      <c r="E28" s="53">
        <f>IF(9476.4613="","-",9476.4613/4403469.79342*100)</f>
        <v>0.21520441253305408</v>
      </c>
      <c r="F28" s="53">
        <f>IF(OR(3771658.08092="",9372.94927="",7098.15604=""),"-",(7098.15604-9372.94927)/3771658.08092*100)</f>
        <v>-6.0312816835324627E-2</v>
      </c>
      <c r="G28" s="53">
        <f>IF(OR(3323881.41153="",9476.4613="",7098.15604=""),"-",(9476.4613-7098.15604)/3323881.41153*100)</f>
        <v>7.155204911192227E-2</v>
      </c>
    </row>
    <row r="29" spans="1:7" s="7" customFormat="1" x14ac:dyDescent="0.25">
      <c r="A29" s="52" t="s">
        <v>43</v>
      </c>
      <c r="B29" s="34">
        <v>8404.7356799999998</v>
      </c>
      <c r="C29" s="53">
        <f>IF(OR(9226.37545="",8404.73568=""),"-",8404.73568/9226.37545*100)</f>
        <v>91.094663614626697</v>
      </c>
      <c r="D29" s="53">
        <f>IF(9226.37545="","-",9226.37545/3323881.41153*100)</f>
        <v>0.27757835818074661</v>
      </c>
      <c r="E29" s="53">
        <f>IF(8404.73568="","-",8404.73568/4403469.79342*100)</f>
        <v>0.19086620493137019</v>
      </c>
      <c r="F29" s="53">
        <f>IF(OR(3771658.08092="",11075.65312="",9226.37545=""),"-",(9226.37545-11075.65312)/3771658.08092*100)</f>
        <v>-4.9030893848917421E-2</v>
      </c>
      <c r="G29" s="53">
        <f>IF(OR(3323881.41153="",8404.73568="",9226.37545=""),"-",(8404.73568-9226.37545)/3323881.41153*100)</f>
        <v>-2.4719286528991857E-2</v>
      </c>
    </row>
    <row r="30" spans="1:7" s="7" customFormat="1" x14ac:dyDescent="0.25">
      <c r="A30" s="52" t="s">
        <v>372</v>
      </c>
      <c r="B30" s="34">
        <v>5406.0571600000003</v>
      </c>
      <c r="C30" s="53">
        <f>IF(OR(3641.32779="",5406.05716=""),"-",5406.05716/3641.32779*100)</f>
        <v>148.46389756084005</v>
      </c>
      <c r="D30" s="53">
        <f>IF(3641.32779="","-",3641.32779/3323881.41153*100)</f>
        <v>0.10955047244973393</v>
      </c>
      <c r="E30" s="53">
        <f>IF(5406.05716="","-",5406.05716/4403469.79342*100)</f>
        <v>0.12276812181335142</v>
      </c>
      <c r="F30" s="53">
        <f>IF(OR(3771658.08092="",3567.89405="",3641.32779=""),"-",(3641.32779-3567.89405)/3771658.08092*100)</f>
        <v>1.9469882588637952E-3</v>
      </c>
      <c r="G30" s="53">
        <f>IF(OR(3323881.41153="",5406.05716="",3641.32779=""),"-",(5406.05716-3641.32779)/3323881.41153*100)</f>
        <v>5.309242874545534E-2</v>
      </c>
    </row>
    <row r="31" spans="1:7" s="7" customFormat="1" x14ac:dyDescent="0.25">
      <c r="A31" s="52" t="s">
        <v>53</v>
      </c>
      <c r="B31" s="34">
        <v>4700.3837400000002</v>
      </c>
      <c r="C31" s="53">
        <f>IF(OR(4442.90173="",4700.38374=""),"-",4700.38374/4442.90173*100)</f>
        <v>105.79535685566471</v>
      </c>
      <c r="D31" s="53">
        <f>IF(4442.90173="","-",4442.90173/3323881.41153*100)</f>
        <v>0.13366607227888158</v>
      </c>
      <c r="E31" s="53">
        <f>IF(4700.38374="","-",4700.38374/4403469.79342*100)</f>
        <v>0.10674272699732541</v>
      </c>
      <c r="F31" s="53">
        <f>IF(OR(3771658.08092="",4717.00506="",4442.90173=""),"-",(4442.90173-4717.00506)/3771658.08092*100)</f>
        <v>-7.2674490666752127E-3</v>
      </c>
      <c r="G31" s="53">
        <f>IF(OR(3323881.41153="",4700.38374="",4442.90173=""),"-",(4700.38374-4442.90173)/3323881.41153*100)</f>
        <v>7.7464258835119003E-3</v>
      </c>
    </row>
    <row r="32" spans="1:7" s="7" customFormat="1" x14ac:dyDescent="0.25">
      <c r="A32" s="52" t="s">
        <v>46</v>
      </c>
      <c r="B32" s="34">
        <v>3943.6553100000001</v>
      </c>
      <c r="C32" s="53" t="s">
        <v>103</v>
      </c>
      <c r="D32" s="53">
        <f>IF(2316.97388="","-",2316.97388/3323881.41153*100)</f>
        <v>6.9706875581144301E-2</v>
      </c>
      <c r="E32" s="53">
        <f>IF(3943.65531="","-",3943.65531/4403469.79342*100)</f>
        <v>8.9557905356655573E-2</v>
      </c>
      <c r="F32" s="53">
        <f>IF(OR(3771658.08092="",3170.13047="",2316.97388=""),"-",(2316.97388-3170.13047)/3771658.08092*100)</f>
        <v>-2.2620199702511057E-2</v>
      </c>
      <c r="G32" s="53">
        <f>IF(OR(3323881.41153="",3943.65531="",2316.97388=""),"-",(3943.65531-2316.97388)/3323881.41153*100)</f>
        <v>4.8939213786548127E-2</v>
      </c>
    </row>
    <row r="33" spans="1:7" s="7" customFormat="1" x14ac:dyDescent="0.25">
      <c r="A33" s="52" t="s">
        <v>54</v>
      </c>
      <c r="B33" s="34">
        <v>1708.0330300000001</v>
      </c>
      <c r="C33" s="53" t="s">
        <v>310</v>
      </c>
      <c r="D33" s="53">
        <f>IF(726.70551="","-",726.70551/3323881.41153*100)</f>
        <v>2.1863159963504644E-2</v>
      </c>
      <c r="E33" s="53">
        <f>IF(1708.03303="","-",1708.03303/4403469.79342*100)</f>
        <v>3.878834442221616E-2</v>
      </c>
      <c r="F33" s="53">
        <f>IF(OR(3771658.08092="",1223.34193="",726.70551=""),"-",(726.70551-1223.34193)/3771658.08092*100)</f>
        <v>-1.316758861341053E-2</v>
      </c>
      <c r="G33" s="53">
        <f>IF(OR(3323881.41153="",1708.03303="",726.70551=""),"-",(1708.03303-726.70551)/3323881.41153*100)</f>
        <v>2.9523541862713141E-2</v>
      </c>
    </row>
    <row r="34" spans="1:7" s="7" customFormat="1" x14ac:dyDescent="0.25">
      <c r="A34" s="52" t="s">
        <v>47</v>
      </c>
      <c r="B34" s="34">
        <v>782.52849000000003</v>
      </c>
      <c r="C34" s="53" t="s">
        <v>95</v>
      </c>
      <c r="D34" s="53">
        <f>IF(376.34907="","-",376.34907/3323881.41153*100)</f>
        <v>1.1322578136948772E-2</v>
      </c>
      <c r="E34" s="53">
        <f>IF(782.52849="","-",782.52849/4403469.79342*100)</f>
        <v>1.777072460379571E-2</v>
      </c>
      <c r="F34" s="53">
        <f>IF(OR(3771658.08092="",543.14859="",376.34907=""),"-",(376.34907-543.14859)/3771658.08092*100)</f>
        <v>-4.4224454184699988E-3</v>
      </c>
      <c r="G34" s="53">
        <f>IF(OR(3323881.41153="",782.52849="",376.34907=""),"-",(782.52849-376.34907)/3323881.41153*100)</f>
        <v>1.2220033440153136E-2</v>
      </c>
    </row>
    <row r="35" spans="1:7" s="7" customFormat="1" x14ac:dyDescent="0.25">
      <c r="A35" s="52" t="s">
        <v>55</v>
      </c>
      <c r="B35" s="34">
        <v>70.238529999999997</v>
      </c>
      <c r="C35" s="53">
        <f>IF(OR(108.73524="",70.23853=""),"-",70.23853/108.73524*100)</f>
        <v>64.595921248713836</v>
      </c>
      <c r="D35" s="53">
        <f>IF(108.73524="","-",108.73524/3323881.41153*100)</f>
        <v>3.2713333160086658E-3</v>
      </c>
      <c r="E35" s="53">
        <f>IF(70.23853="","-",70.23853/4403469.79342*100)</f>
        <v>1.5950723700876924E-3</v>
      </c>
      <c r="F35" s="53">
        <f>IF(OR(3771658.08092="",72.76779="",108.73524=""),"-",(108.73524-72.76779)/3771658.08092*100)</f>
        <v>9.5362435375442769E-4</v>
      </c>
      <c r="G35" s="53">
        <f>IF(OR(3323881.41153="",70.23853="",108.73524=""),"-",(70.23853-108.73524)/3323881.41153*100)</f>
        <v>-1.1581854234167688E-3</v>
      </c>
    </row>
    <row r="36" spans="1:7" s="7" customFormat="1" ht="15.75" customHeight="1" x14ac:dyDescent="0.25">
      <c r="A36" s="52" t="s">
        <v>385</v>
      </c>
      <c r="B36" s="34">
        <v>42.840890000000002</v>
      </c>
      <c r="C36" s="53" t="str">
        <f>IF(OR(""="",42.84089=""),"-",42.84089/""*100)</f>
        <v>-</v>
      </c>
      <c r="D36" s="53" t="str">
        <f>IF(""="","-",""/3323881.41153*100)</f>
        <v>-</v>
      </c>
      <c r="E36" s="53">
        <f>IF(42.84089="","-",42.84089/4403469.79342*100)</f>
        <v>9.7288938064287681E-4</v>
      </c>
      <c r="F36" s="53" t="str">
        <f>IF(OR(3771658.08092="",""="",""=""),"-",(""-"")/3771658.08092*100)</f>
        <v>-</v>
      </c>
      <c r="G36" s="53" t="str">
        <f>IF(OR(3323881.41153="",42.84089="",""=""),"-",(42.84089-"")/3323881.41153*100)</f>
        <v>-</v>
      </c>
    </row>
    <row r="37" spans="1:7" s="7" customFormat="1" x14ac:dyDescent="0.25">
      <c r="A37" s="50" t="s">
        <v>213</v>
      </c>
      <c r="B37" s="33">
        <v>1051072.7111200001</v>
      </c>
      <c r="C37" s="51">
        <f>IF(843045.62724="","-",1051072.71112/843045.62724*100)</f>
        <v>124.67566133532398</v>
      </c>
      <c r="D37" s="51">
        <f>IF(843045.62724="","-",843045.62724/3323881.41153*100)</f>
        <v>25.363288362683839</v>
      </c>
      <c r="E37" s="51">
        <f>IF(1051072.71112="","-",1051072.71112/4403469.79342*100)</f>
        <v>23.869193168773247</v>
      </c>
      <c r="F37" s="51">
        <f>IF(3771658.08092="","-",(843045.62724-918245.14651)/3771658.08092*100)</f>
        <v>-1.9938053147080883</v>
      </c>
      <c r="G37" s="51">
        <f>IF(3323881.41153="","-",(1051072.71112-843045.62724)/3323881.41153*100)</f>
        <v>6.2585591398775025</v>
      </c>
    </row>
    <row r="38" spans="1:7" s="7" customFormat="1" x14ac:dyDescent="0.25">
      <c r="A38" s="52" t="s">
        <v>373</v>
      </c>
      <c r="B38" s="34">
        <v>536172.21418000001</v>
      </c>
      <c r="C38" s="53">
        <f>IF(OR(382578.49863="",536172.21418=""),"-",536172.21418/382578.49863*100)</f>
        <v>140.1469805804596</v>
      </c>
      <c r="D38" s="53">
        <f>IF(382578.49863="","-",382578.49863/3323881.41153*100)</f>
        <v>11.509992423402888</v>
      </c>
      <c r="E38" s="53">
        <f>IF(536172.21418="","-",536172.21418/4403469.79342*100)</f>
        <v>12.176130173100979</v>
      </c>
      <c r="F38" s="53">
        <f>IF(OR(3771658.08092="",443829.56742="",382578.49863=""),"-",(382578.49863-443829.56742)/3771658.08092*100)</f>
        <v>-1.6239825423162257</v>
      </c>
      <c r="G38" s="53">
        <f>IF(OR(3323881.41153="",536172.21418="",382578.49863=""),"-",(536172.21418-382578.49863)/3323881.41153*100)</f>
        <v>4.6209144230359298</v>
      </c>
    </row>
    <row r="39" spans="1:7" s="7" customFormat="1" x14ac:dyDescent="0.25">
      <c r="A39" s="52" t="s">
        <v>12</v>
      </c>
      <c r="B39" s="34">
        <v>407748.70091000001</v>
      </c>
      <c r="C39" s="53">
        <f>IF(OR(326894.28344="",407748.70091=""),"-",407748.70091/326894.28344*100)</f>
        <v>124.73411789865101</v>
      </c>
      <c r="D39" s="53">
        <f>IF(326894.28344="","-",326894.28344/3323881.41153*100)</f>
        <v>9.8347155920201388</v>
      </c>
      <c r="E39" s="53">
        <f>IF(407748.70091="","-",407748.70091/4403469.79342*100)</f>
        <v>9.2597138174829574</v>
      </c>
      <c r="F39" s="53">
        <f>IF(OR(3771658.08092="",374306.76398="",326894.28344=""),"-",(326894.28344-374306.76398)/3771658.08092*100)</f>
        <v>-1.25707260633856</v>
      </c>
      <c r="G39" s="53">
        <f>IF(OR(3323881.41153="",407748.70091="",326894.28344=""),"-",(407748.70091-326894.28344)/3323881.41153*100)</f>
        <v>2.4325301495272744</v>
      </c>
    </row>
    <row r="40" spans="1:7" s="7" customFormat="1" x14ac:dyDescent="0.25">
      <c r="A40" s="52" t="s">
        <v>11</v>
      </c>
      <c r="B40" s="34">
        <v>82327.291150000005</v>
      </c>
      <c r="C40" s="53">
        <f>IF(OR(68407.43788="",82327.29115=""),"-",82327.29115/68407.43788*100)</f>
        <v>120.34844996594983</v>
      </c>
      <c r="D40" s="53">
        <f>IF(68407.43788="","-",68407.43788/3323881.41153*100)</f>
        <v>2.0580589199935293</v>
      </c>
      <c r="E40" s="53">
        <f>IF(82327.29115="","-",82327.29115/4403469.79342*100)</f>
        <v>1.8696004517396649</v>
      </c>
      <c r="F40" s="53">
        <f>IF(OR(3771658.08092="",85578.03408="",68407.43788=""),"-",(68407.43788-85578.03408)/3771658.08092*100)</f>
        <v>-0.45525325550750007</v>
      </c>
      <c r="G40" s="53">
        <f>IF(OR(3323881.41153="",82327.29115="",68407.43788=""),"-",(82327.29115-68407.43788)/3323881.41153*100)</f>
        <v>0.4187830896046506</v>
      </c>
    </row>
    <row r="41" spans="1:7" s="7" customFormat="1" x14ac:dyDescent="0.25">
      <c r="A41" s="52" t="s">
        <v>13</v>
      </c>
      <c r="B41" s="34">
        <v>9508.5049899999995</v>
      </c>
      <c r="C41" s="53">
        <f>IF(OR(54808.67086="",9508.50499=""),"-",9508.50499/54808.67086*100)</f>
        <v>17.348541463973753</v>
      </c>
      <c r="D41" s="53">
        <f>IF(54808.67086="","-",54808.67086/3323881.41153*100)</f>
        <v>1.6489358094990303</v>
      </c>
      <c r="E41" s="53">
        <f>IF(9508.50499="","-",9508.50499/4403469.79342*100)</f>
        <v>0.21593210436479734</v>
      </c>
      <c r="F41" s="53">
        <f>IF(OR(3771658.08092="",6038.51523="",54808.67086=""),"-",(54808.67086-6038.51523)/3771658.08092*100)</f>
        <v>1.2930693764823922</v>
      </c>
      <c r="G41" s="53">
        <f>IF(OR(3323881.41153="",9508.50499="",54808.67086=""),"-",(9508.50499-54808.67086)/3323881.41153*100)</f>
        <v>-1.3628694968737798</v>
      </c>
    </row>
    <row r="42" spans="1:7" s="7" customFormat="1" x14ac:dyDescent="0.25">
      <c r="A42" s="52" t="s">
        <v>15</v>
      </c>
      <c r="B42" s="34">
        <v>7352.3843699999998</v>
      </c>
      <c r="C42" s="53" t="s">
        <v>103</v>
      </c>
      <c r="D42" s="53">
        <f>IF(4238.12187="","-",4238.12187/3323881.41153*100)</f>
        <v>0.12750520687346573</v>
      </c>
      <c r="E42" s="53">
        <f>IF(7352.38437="","-",7352.38437/4403469.79342*100)</f>
        <v>0.16696797559475693</v>
      </c>
      <c r="F42" s="53">
        <f>IF(OR(3771658.08092="",5175.87981="",4238.12187=""),"-",(4238.12187-5175.87981)/3771658.08092*100)</f>
        <v>-2.4863280813918798E-2</v>
      </c>
      <c r="G42" s="53">
        <f>IF(OR(3323881.41153="",7352.38437="",4238.12187=""),"-",(7352.38437-4238.12187)/3323881.41153*100)</f>
        <v>9.3693550233083928E-2</v>
      </c>
    </row>
    <row r="43" spans="1:7" s="7" customFormat="1" x14ac:dyDescent="0.25">
      <c r="A43" s="52" t="s">
        <v>16</v>
      </c>
      <c r="B43" s="34">
        <v>6083.5400799999998</v>
      </c>
      <c r="C43" s="53" t="s">
        <v>313</v>
      </c>
      <c r="D43" s="53">
        <f>IF(1416.62823="","-",1416.62823/3323881.41153*100)</f>
        <v>4.2619698316731423E-2</v>
      </c>
      <c r="E43" s="53">
        <f>IF(6083.54008="","-",6083.54008/4403469.79342*100)</f>
        <v>0.13815332829330382</v>
      </c>
      <c r="F43" s="53">
        <f>IF(OR(3771658.08092="",1964.75369="",1416.62823=""),"-",(1416.62823-1964.75369)/3771658.08092*100)</f>
        <v>-1.4532745234061586E-2</v>
      </c>
      <c r="G43" s="53">
        <f>IF(OR(3323881.41153="",6083.54008="",1416.62823=""),"-",(6083.54008-1416.62823)/3323881.41153*100)</f>
        <v>0.14040548600233591</v>
      </c>
    </row>
    <row r="44" spans="1:7" s="7" customFormat="1" x14ac:dyDescent="0.25">
      <c r="A44" s="52" t="s">
        <v>14</v>
      </c>
      <c r="B44" s="34">
        <v>1044.9953599999999</v>
      </c>
      <c r="C44" s="53">
        <f>IF(OR(4066.02536="",1044.99536=""),"-",1044.99536/4066.02536*100)</f>
        <v>25.700660165090554</v>
      </c>
      <c r="D44" s="53">
        <f>IF(4066.02536="","-",4066.02536/3323881.41153*100)</f>
        <v>0.12232763015839326</v>
      </c>
      <c r="E44" s="53">
        <f>IF(1044.99536="","-",1044.99536/4403469.79342*100)</f>
        <v>2.3731180387827608E-2</v>
      </c>
      <c r="F44" s="53">
        <f>IF(OR(3771658.08092="",429.8074="",4066.02536=""),"-",(4066.02536-429.8074)/3771658.08092*100)</f>
        <v>9.6409003201929619E-2</v>
      </c>
      <c r="G44" s="53">
        <f>IF(OR(3323881.41153="",1044.99536="",4066.02536=""),"-",(1044.99536-4066.02536)/3323881.41153*100)</f>
        <v>-9.0888621643375786E-2</v>
      </c>
    </row>
    <row r="45" spans="1:7" s="7" customFormat="1" x14ac:dyDescent="0.25">
      <c r="A45" s="52" t="s">
        <v>17</v>
      </c>
      <c r="B45" s="34">
        <v>475.17791</v>
      </c>
      <c r="C45" s="53">
        <f>IF(OR(560.20942="",475.17791=""),"-",475.17791/560.20942*100)</f>
        <v>84.821478010848153</v>
      </c>
      <c r="D45" s="53">
        <f>IF(560.20942="","-",560.20942/3323881.41153*100)</f>
        <v>1.6854073615765151E-2</v>
      </c>
      <c r="E45" s="53">
        <f>IF(475.17791="","-",475.17791/4403469.79342*100)</f>
        <v>1.0790988295413018E-2</v>
      </c>
      <c r="F45" s="53">
        <f>IF(OR(3771658.08092="",780.90097="",560.20942=""),"-",(560.20942-780.90097)/3771658.08092*100)</f>
        <v>-5.8513138058943004E-3</v>
      </c>
      <c r="G45" s="53">
        <f>IF(OR(3323881.41153="",475.17791="",560.20942=""),"-",(475.17791-560.20942)/3323881.41153*100)</f>
        <v>-2.5581992698367529E-3</v>
      </c>
    </row>
    <row r="46" spans="1:7" s="7" customFormat="1" x14ac:dyDescent="0.25">
      <c r="A46" s="52" t="s">
        <v>409</v>
      </c>
      <c r="B46" s="34">
        <v>345.83229999999998</v>
      </c>
      <c r="C46" s="53" t="s">
        <v>344</v>
      </c>
      <c r="D46" s="53">
        <f>IF(75.56604="","-",75.56604/3323881.41153*100)</f>
        <v>2.2734276781919411E-3</v>
      </c>
      <c r="E46" s="53">
        <f>IF(345.8323="","-",345.8323/4403469.79342*100)</f>
        <v>7.8536317091755445E-3</v>
      </c>
      <c r="F46" s="53">
        <f>IF(OR(3771658.08092="",140.82169="",75.56604=""),"-",(75.56604-140.82169)/3771658.08092*100)</f>
        <v>-1.7301581585593394E-3</v>
      </c>
      <c r="G46" s="53">
        <f>IF(OR(3323881.41153="",345.8323="",75.56604=""),"-",(345.8323-75.56604)/3323881.41153*100)</f>
        <v>8.131043997613472E-3</v>
      </c>
    </row>
    <row r="47" spans="1:7" s="7" customFormat="1" x14ac:dyDescent="0.25">
      <c r="A47" s="52" t="s">
        <v>18</v>
      </c>
      <c r="B47" s="34">
        <v>14.06987</v>
      </c>
      <c r="C47" s="53" t="s">
        <v>343</v>
      </c>
      <c r="D47" s="53">
        <f>IF(0.18551="","-",0.18551/3323881.41153*100)</f>
        <v>5.5811257091331898E-6</v>
      </c>
      <c r="E47" s="53">
        <f>IF(14.06987="","-",14.06987/4403469.79342*100)</f>
        <v>3.1951780436927877E-4</v>
      </c>
      <c r="F47" s="53">
        <f>IF(OR(3771658.08092="",0.10224="",0.18551=""),"-",(0.18551-0.10224)/3771658.08092*100)</f>
        <v>2.2077823125390095E-6</v>
      </c>
      <c r="G47" s="53">
        <f>IF(OR(3323881.41153="",14.06987="",0.18551=""),"-",(14.06987-0.18551)/3323881.41153*100)</f>
        <v>4.1771526360228825E-4</v>
      </c>
    </row>
    <row r="48" spans="1:7" s="7" customFormat="1" x14ac:dyDescent="0.25">
      <c r="A48" s="50" t="s">
        <v>146</v>
      </c>
      <c r="B48" s="33">
        <v>1302300.64175</v>
      </c>
      <c r="C48" s="51">
        <f>IF(959588.74518="","-",1302300.64175/959588.74518*100)</f>
        <v>135.71445562397818</v>
      </c>
      <c r="D48" s="51">
        <f>IF(959588.74518="","-",959588.74518/3323881.41153*100)</f>
        <v>28.869524100689748</v>
      </c>
      <c r="E48" s="51">
        <f>IF(1302300.64175="","-",1302300.64175/4403469.79342*100)</f>
        <v>29.57441978359876</v>
      </c>
      <c r="F48" s="51">
        <f>IF(3771658.08092="","-",(959588.74518-1004616.13047)/3771658.08092*100)</f>
        <v>-1.1938352927001463</v>
      </c>
      <c r="G48" s="51">
        <f>IF(3323881.41153="","-",(1302300.64175-959588.74518)/3323881.41153*100)</f>
        <v>10.31059337379452</v>
      </c>
    </row>
    <row r="49" spans="1:7" s="7" customFormat="1" x14ac:dyDescent="0.25">
      <c r="A49" s="52" t="s">
        <v>59</v>
      </c>
      <c r="B49" s="34">
        <v>513479.43683000002</v>
      </c>
      <c r="C49" s="53">
        <f>IF(OR(376457.90102="",513479.43683=""),"-",513479.43683/376457.90102*100)</f>
        <v>136.39757206283753</v>
      </c>
      <c r="D49" s="53">
        <f>IF(376457.90102="","-",376457.90102/3323881.41153*100)</f>
        <v>11.325852351835694</v>
      </c>
      <c r="E49" s="53">
        <f>IF(513479.43683="","-",513479.43683/4403469.79342*100)</f>
        <v>11.660791623852628</v>
      </c>
      <c r="F49" s="53">
        <f>IF(OR(3771658.08092="",381128.14248="",376457.90102=""),"-",(376457.90102-381128.14248)/3771658.08092*100)</f>
        <v>-0.12382462460279017</v>
      </c>
      <c r="G49" s="53">
        <f>IF(OR(3323881.41153="",513479.43683="",376457.90102=""),"-",(513479.43683-376457.90102)/3323881.41153*100)</f>
        <v>4.122335271489975</v>
      </c>
    </row>
    <row r="50" spans="1:7" s="7" customFormat="1" x14ac:dyDescent="0.25">
      <c r="A50" s="52" t="s">
        <v>56</v>
      </c>
      <c r="B50" s="85">
        <v>313869.52094000002</v>
      </c>
      <c r="C50" s="53">
        <f>IF(OR(225554.0318="",313869.52094=""),"-",313869.52094/225554.0318*100)</f>
        <v>139.15491487126678</v>
      </c>
      <c r="D50" s="53">
        <f>IF(225554.0318="","-",225554.0318/3323881.41153*100)</f>
        <v>6.7858627873301973</v>
      </c>
      <c r="E50" s="53">
        <f>IF(313869.52094="","-",313869.52094/4403469.79342*100)</f>
        <v>7.1277773134496751</v>
      </c>
      <c r="F50" s="53">
        <f>IF(OR(3771658.08092="",241808.48912="",225554.0318=""),"-",(225554.0318-241808.48912)/3771658.08092*100)</f>
        <v>-0.43096317246326726</v>
      </c>
      <c r="G50" s="53">
        <f>IF(OR(3323881.41153="",313869.52094="",225554.0318=""),"-",(313869.52094-225554.0318)/3323881.41153*100)</f>
        <v>2.6569987976601106</v>
      </c>
    </row>
    <row r="51" spans="1:7" s="7" customFormat="1" x14ac:dyDescent="0.25">
      <c r="A51" s="52" t="s">
        <v>19</v>
      </c>
      <c r="B51" s="34">
        <v>69510.387759999998</v>
      </c>
      <c r="C51" s="53" t="s">
        <v>104</v>
      </c>
      <c r="D51" s="53">
        <f>IF(42838.58541="","-",42838.58541/3323881.41153*100)</f>
        <v>1.2888120876214164</v>
      </c>
      <c r="E51" s="53">
        <f>IF(69510.38776="","-",69510.38776/4403469.79342*100)</f>
        <v>1.5785367226514808</v>
      </c>
      <c r="F51" s="53">
        <f>IF(OR(3771658.08092="",49962.05479="",42838.58541=""),"-",(42838.58541-49962.05479)/3771658.08092*100)</f>
        <v>-0.18886837637897474</v>
      </c>
      <c r="G51" s="53">
        <f>IF(OR(3323881.41153="",69510.38776="",42838.58541=""),"-",(69510.38776-42838.58541)/3323881.41153*100)</f>
        <v>0.80242942054069344</v>
      </c>
    </row>
    <row r="52" spans="1:7" s="7" customFormat="1" x14ac:dyDescent="0.25">
      <c r="A52" s="52" t="s">
        <v>76</v>
      </c>
      <c r="B52" s="86">
        <v>42232.651449999998</v>
      </c>
      <c r="C52" s="53">
        <f>IF(OR(34109.0217="",42232.65145=""),"-",42232.65145/34109.0217*100)</f>
        <v>123.81666006562715</v>
      </c>
      <c r="D52" s="53">
        <f>IF(34109.0217="","-",34109.0217/3323881.41153*100)</f>
        <v>1.0261804642512633</v>
      </c>
      <c r="E52" s="53">
        <f>IF(42232.65145="","-",42232.65145/4403469.79342*100)</f>
        <v>0.95907666979133688</v>
      </c>
      <c r="F52" s="53">
        <f>IF(OR(3771658.08092="",31872.3423="",34109.0217=""),"-",(34109.0217-31872.3423)/3771658.08092*100)</f>
        <v>5.9302284353793179E-2</v>
      </c>
      <c r="G52" s="53">
        <f>IF(OR(3323881.41153="",42232.65145="",34109.0217=""),"-",(42232.65145-34109.0217)/3323881.41153*100)</f>
        <v>0.24440191283059795</v>
      </c>
    </row>
    <row r="53" spans="1:7" s="7" customFormat="1" ht="25.5" x14ac:dyDescent="0.25">
      <c r="A53" s="52" t="s">
        <v>375</v>
      </c>
      <c r="B53" s="34">
        <v>41692.532270000003</v>
      </c>
      <c r="C53" s="53">
        <f>IF(OR(30109.87895="",41692.53227=""),"-",41692.53227/30109.87895*100)</f>
        <v>138.46795046646974</v>
      </c>
      <c r="D53" s="53">
        <f>IF(30109.87895="","-",30109.87895/3323881.41153*100)</f>
        <v>0.90586501809462161</v>
      </c>
      <c r="E53" s="53">
        <f>IF(41692.53227="","-",41692.53227/4403469.79342*100)</f>
        <v>0.94681090653330158</v>
      </c>
      <c r="F53" s="53">
        <f>IF(OR(3771658.08092="",37945.88657="",30109.87895=""),"-",(30109.87895-37945.88657)/3771658.08092*100)</f>
        <v>-0.2077602861097263</v>
      </c>
      <c r="G53" s="53">
        <f>IF(OR(3323881.41153="",41692.53227="",30109.87895=""),"-",(41692.53227-30109.87895)/3323881.41153*100)</f>
        <v>0.34846770645371639</v>
      </c>
    </row>
    <row r="54" spans="1:7" s="7" customFormat="1" x14ac:dyDescent="0.25">
      <c r="A54" s="52" t="s">
        <v>72</v>
      </c>
      <c r="B54" s="85">
        <v>32359.025730000001</v>
      </c>
      <c r="C54" s="53">
        <f>IF(OR(24887.62657="",32359.02573=""),"-",32359.02573/24887.62657*100)</f>
        <v>130.0205370688347</v>
      </c>
      <c r="D54" s="53">
        <f>IF(24887.62657="","-",24887.62657/3323881.41153*100)</f>
        <v>0.74875194053761662</v>
      </c>
      <c r="E54" s="53">
        <f>IF(32359.02573="","-",32359.02573/4403469.79342*100)</f>
        <v>0.73485290573250484</v>
      </c>
      <c r="F54" s="53">
        <f>IF(OR(3771658.08092="",31378.53188="",24887.62657=""),"-",(24887.62657-31378.53188)/3771658.08092*100)</f>
        <v>-0.17209686484668585</v>
      </c>
      <c r="G54" s="53">
        <f>IF(OR(3323881.41153="",32359.02573="",24887.62657=""),"-",(32359.02573-24887.62657)/3323881.41153*100)</f>
        <v>0.22477935386271425</v>
      </c>
    </row>
    <row r="55" spans="1:7" s="7" customFormat="1" x14ac:dyDescent="0.25">
      <c r="A55" s="52" t="s">
        <v>36</v>
      </c>
      <c r="B55" s="34">
        <v>31983.04091</v>
      </c>
      <c r="C55" s="53">
        <f>IF(OR(25766.44942="",31983.04091=""),"-",31983.04091/25766.44942*100)</f>
        <v>124.12669044410387</v>
      </c>
      <c r="D55" s="53">
        <f>IF(25766.44942="","-",25766.44942/3323881.41153*100)</f>
        <v>0.77519159770924473</v>
      </c>
      <c r="E55" s="53">
        <f>IF(31983.04091="","-",31983.04091/4403469.79342*100)</f>
        <v>0.72631452946018826</v>
      </c>
      <c r="F55" s="53">
        <f>IF(OR(3771658.08092="",24582.21366="",25766.44942=""),"-",(25766.44942-24582.21366)/3771658.08092*100)</f>
        <v>3.139827987035175E-2</v>
      </c>
      <c r="G55" s="53">
        <f>IF(OR(3323881.41153="",31983.04091="",25766.44942=""),"-",(31983.04091-25766.44942)/3323881.41153*100)</f>
        <v>0.18702807712801248</v>
      </c>
    </row>
    <row r="56" spans="1:7" s="7" customFormat="1" x14ac:dyDescent="0.25">
      <c r="A56" s="52" t="s">
        <v>69</v>
      </c>
      <c r="B56" s="86">
        <v>29212.45147</v>
      </c>
      <c r="C56" s="53">
        <f>IF(OR(25638.3302="",29212.45147=""),"-",29212.45147/25638.3302*100)</f>
        <v>113.94053841306717</v>
      </c>
      <c r="D56" s="53">
        <f>IF(25638.3302="","-",25638.3302/3323881.41153*100)</f>
        <v>0.77133709136146777</v>
      </c>
      <c r="E56" s="53">
        <f>IF(29212.45147="","-",29212.45147/4403469.79342*100)</f>
        <v>0.66339620436709867</v>
      </c>
      <c r="F56" s="53">
        <f>IF(OR(3771658.08092="",24311.40689="",25638.3302=""),"-",(25638.3302-24311.40689)/3771658.08092*100)</f>
        <v>3.5181431655022473E-2</v>
      </c>
      <c r="G56" s="53">
        <f>IF(OR(3323881.41153="",29212.45147="",25638.3302=""),"-",(29212.45147-25638.3302)/3323881.41153*100)</f>
        <v>0.10752854351548037</v>
      </c>
    </row>
    <row r="57" spans="1:7" s="7" customFormat="1" x14ac:dyDescent="0.25">
      <c r="A57" s="52" t="s">
        <v>374</v>
      </c>
      <c r="B57" s="34">
        <v>24866.968229999999</v>
      </c>
      <c r="C57" s="53">
        <f>IF(OR(18655.77055="",24866.9682299999=""),"-",24866.9682299999/18655.77055*100)</f>
        <v>133.29370750649534</v>
      </c>
      <c r="D57" s="53">
        <f>IF(18655.77055="","-",18655.77055/3323881.41153*100)</f>
        <v>0.56126462530480747</v>
      </c>
      <c r="E57" s="53">
        <f>IF(24866.9682299999="","-",24866.9682299999/4403469.79342*100)</f>
        <v>0.56471304213686258</v>
      </c>
      <c r="F57" s="53">
        <f>IF(OR(3771658.08092="",23336.80116="",18655.77055=""),"-",(18655.77055-23336.80116)/3771658.08092*100)</f>
        <v>-0.12411068314172793</v>
      </c>
      <c r="G57" s="53">
        <f>IF(OR(3323881.41153="",24866.9682299999="",18655.77055=""),"-",(24866.9682299999-18655.77055)/3323881.41153*100)</f>
        <v>0.1868658026864097</v>
      </c>
    </row>
    <row r="58" spans="1:7" s="7" customFormat="1" x14ac:dyDescent="0.25">
      <c r="A58" s="52" t="s">
        <v>66</v>
      </c>
      <c r="B58" s="34">
        <v>19204.975470000001</v>
      </c>
      <c r="C58" s="53">
        <f>IF(OR(19238.56001="",19204.97547=""),"-",19204.97547/19238.56001*100)</f>
        <v>99.8254311134381</v>
      </c>
      <c r="D58" s="53">
        <f>IF(19238.56001="","-",19238.56001/3323881.41153*100)</f>
        <v>0.57879802640565303</v>
      </c>
      <c r="E58" s="53">
        <f>IF(19204.97547="","-",19204.97547/4403469.79342*100)</f>
        <v>0.43613278552966434</v>
      </c>
      <c r="F58" s="53">
        <f>IF(OR(3771658.08092="",14244.07303="",19238.56001=""),"-",(19238.56001-14244.07303)/3771658.08092*100)</f>
        <v>0.13242152053140838</v>
      </c>
      <c r="G58" s="53">
        <f>IF(OR(3323881.41153="",19204.97547="",19238.56001=""),"-",(19204.97547-19238.56001)/3323881.41153*100)</f>
        <v>-1.0104012701385966E-3</v>
      </c>
    </row>
    <row r="59" spans="1:7" s="7" customFormat="1" x14ac:dyDescent="0.25">
      <c r="A59" s="52" t="s">
        <v>79</v>
      </c>
      <c r="B59" s="86">
        <v>15210.183360000001</v>
      </c>
      <c r="C59" s="53">
        <f>IF(OR(12874.82226="",15210.18336=""),"-",15210.18336/12874.82226*100)</f>
        <v>118.13897739975481</v>
      </c>
      <c r="D59" s="53">
        <f>IF(12874.82226="","-",12874.82226/3323881.41153*100)</f>
        <v>0.38734300854836007</v>
      </c>
      <c r="E59" s="53">
        <f>IF(15210.18336="","-",15210.18336/4403469.79342*100)</f>
        <v>0.3454135959494537</v>
      </c>
      <c r="F59" s="53">
        <f>IF(OR(3771658.08092="",11063.87491="",12874.82226=""),"-",(12874.82226-11063.87491)/3771658.08092*100)</f>
        <v>4.8014621451535872E-2</v>
      </c>
      <c r="G59" s="53">
        <f>IF(OR(3323881.41153="",15210.18336="",12874.82226=""),"-",(15210.18336-12874.82226)/3323881.41153*100)</f>
        <v>7.0260060780117345E-2</v>
      </c>
    </row>
    <row r="60" spans="1:7" s="7" customFormat="1" x14ac:dyDescent="0.25">
      <c r="A60" s="52" t="s">
        <v>70</v>
      </c>
      <c r="B60" s="85">
        <v>14406.137350000001</v>
      </c>
      <c r="C60" s="53">
        <f>IF(OR(10772.66672="",14406.13735=""),"-",14406.13735/10772.66672*100)</f>
        <v>133.72860893630246</v>
      </c>
      <c r="D60" s="53">
        <f>IF(10772.66672="","-",10772.66672/3323881.41153*100)</f>
        <v>0.32409900914729939</v>
      </c>
      <c r="E60" s="53">
        <f>IF(14406.13735="","-",14406.13735/4403469.79342*100)</f>
        <v>0.32715422214379097</v>
      </c>
      <c r="F60" s="53">
        <f>IF(OR(3771658.08092="",15019.74268="",10772.66672=""),"-",(10772.66672-15019.74268)/3771658.08092*100)</f>
        <v>-0.112605010021588</v>
      </c>
      <c r="G60" s="53">
        <f>IF(OR(3323881.41153="",14406.13735="",10772.66672=""),"-",(14406.13735-10772.66672)/3323881.41153*100)</f>
        <v>0.10931408736172377</v>
      </c>
    </row>
    <row r="61" spans="1:7" s="7" customFormat="1" x14ac:dyDescent="0.25">
      <c r="A61" s="52" t="s">
        <v>81</v>
      </c>
      <c r="B61" s="34">
        <v>14154.52277</v>
      </c>
      <c r="C61" s="53" t="s">
        <v>313</v>
      </c>
      <c r="D61" s="53">
        <f>IF(3263.9514="","-",3263.9514/3323881.41153*100)</f>
        <v>9.8196987072940903E-2</v>
      </c>
      <c r="E61" s="53">
        <f>IF(14154.52277="","-",14154.52277/4403469.79342*100)</f>
        <v>0.32144021496754138</v>
      </c>
      <c r="F61" s="53">
        <f>IF(OR(3771658.08092="",2780.8287="",3263.9514=""),"-",(3263.9514-2780.8287)/3771658.08092*100)</f>
        <v>1.2809292084137024E-2</v>
      </c>
      <c r="G61" s="53">
        <f>IF(OR(3323881.41153="",14154.52277="",3263.9514=""),"-",(14154.52277-3263.9514)/3323881.41153*100)</f>
        <v>0.32764620699831204</v>
      </c>
    </row>
    <row r="62" spans="1:7" s="7" customFormat="1" x14ac:dyDescent="0.25">
      <c r="A62" s="52" t="s">
        <v>61</v>
      </c>
      <c r="B62" s="34">
        <v>10349.815640000001</v>
      </c>
      <c r="C62" s="53">
        <f>IF(OR(7327.04654="",10349.81564=""),"-",10349.81564/7327.04654*100)</f>
        <v>141.25494608909636</v>
      </c>
      <c r="D62" s="53">
        <f>IF(7327.04654="","-",7327.04654/3323881.41153*100)</f>
        <v>0.22043646065661898</v>
      </c>
      <c r="E62" s="53">
        <f>IF(10349.81564="","-",10349.81564/4403469.79342*100)</f>
        <v>0.23503773445807405</v>
      </c>
      <c r="F62" s="53">
        <f>IF(OR(3771658.08092="",7759.66112="",7327.04654=""),"-",(7327.04654-7759.66112)/3771658.08092*100)</f>
        <v>-1.1470143123219541E-2</v>
      </c>
      <c r="G62" s="53">
        <f>IF(OR(3323881.41153="",10349.81564="",7327.04654=""),"-",(10349.81564-7327.04654)/3323881.41153*100)</f>
        <v>9.0940943004600275E-2</v>
      </c>
    </row>
    <row r="63" spans="1:7" s="7" customFormat="1" x14ac:dyDescent="0.25">
      <c r="A63" s="52" t="s">
        <v>82</v>
      </c>
      <c r="B63" s="85">
        <v>8864.4217499999995</v>
      </c>
      <c r="C63" s="53">
        <f>IF(OR(6067.00022="",8864.42175=""),"-",8864.42175/6067.00022*100)</f>
        <v>146.10880877798945</v>
      </c>
      <c r="D63" s="53">
        <f>IF(6067.00022="","-",6067.00022/3323881.41153*100)</f>
        <v>0.18252757751689244</v>
      </c>
      <c r="E63" s="53">
        <f>IF(8864.42175="","-",8864.42175/4403469.79342*100)</f>
        <v>0.2013053833875707</v>
      </c>
      <c r="F63" s="53">
        <f>IF(OR(3771658.08092="",6510.12773="",6067.00022=""),"-",(6067.00022-6510.12773)/3771658.08092*100)</f>
        <v>-1.174887809267988E-2</v>
      </c>
      <c r="G63" s="53">
        <f>IF(OR(3323881.41153="",8864.42175="",6067.00022=""),"-",(8864.42175-6067.00022)/3323881.41153*100)</f>
        <v>8.4161291684360415E-2</v>
      </c>
    </row>
    <row r="64" spans="1:7" s="7" customFormat="1" x14ac:dyDescent="0.25">
      <c r="A64" s="52" t="s">
        <v>62</v>
      </c>
      <c r="B64" s="34">
        <v>8094.6324100000002</v>
      </c>
      <c r="C64" s="53">
        <f>IF(OR(6666.10286="",8094.63241=""),"-",8094.63241/6666.10286*100)</f>
        <v>121.42975558585964</v>
      </c>
      <c r="D64" s="53">
        <f>IF(6666.10286="","-",6666.10286/3323881.41153*100)</f>
        <v>0.20055176568202407</v>
      </c>
      <c r="E64" s="53">
        <f>IF(8094.63241="","-",8094.63241/4403469.79342*100)</f>
        <v>0.18382395678279925</v>
      </c>
      <c r="F64" s="53">
        <f>IF(OR(3771658.08092="",7439.02551="",6666.10286=""),"-",(6666.10286-7439.02551)/3771658.08092*100)</f>
        <v>-2.0492914082271892E-2</v>
      </c>
      <c r="G64" s="53">
        <f>IF(OR(3323881.41153="",8094.63241="",6666.10286=""),"-",(8094.63241-6666.10286)/3323881.41153*100)</f>
        <v>4.297775320878372E-2</v>
      </c>
    </row>
    <row r="65" spans="1:7" s="7" customFormat="1" x14ac:dyDescent="0.25">
      <c r="A65" s="52" t="s">
        <v>71</v>
      </c>
      <c r="B65" s="34">
        <v>8037.3732200000004</v>
      </c>
      <c r="C65" s="53">
        <f>IF(OR(6060.77539="",8037.37322=""),"-",8037.37322/6060.77539*100)</f>
        <v>132.61295301029133</v>
      </c>
      <c r="D65" s="53">
        <f>IF(6060.77539="","-",6060.77539/3323881.41153*100)</f>
        <v>0.18234030158164374</v>
      </c>
      <c r="E65" s="53">
        <f>IF(8037.37322="","-",8037.37322/4403469.79342*100)</f>
        <v>0.18252363697396212</v>
      </c>
      <c r="F65" s="53">
        <f>IF(OR(3771658.08092="",6701.6266="",6060.77539=""),"-",(6060.77539-6701.6266)/3771658.08092*100)</f>
        <v>-1.6991232933916439E-2</v>
      </c>
      <c r="G65" s="53">
        <f>IF(OR(3323881.41153="",8037.37322="",6060.77539=""),"-",(8037.37322-6060.77539)/3323881.41153*100)</f>
        <v>5.9466556873644959E-2</v>
      </c>
    </row>
    <row r="66" spans="1:7" s="7" customFormat="1" x14ac:dyDescent="0.25">
      <c r="A66" s="52" t="s">
        <v>78</v>
      </c>
      <c r="B66" s="34">
        <v>7927.7806200000005</v>
      </c>
      <c r="C66" s="53" t="s">
        <v>224</v>
      </c>
      <c r="D66" s="53">
        <f>IF(5223.24493="","-",5223.24493/3323881.41153*100)</f>
        <v>0.15714293873064841</v>
      </c>
      <c r="E66" s="53">
        <f>IF(7927.78062="","-",7927.78062/4403469.79342*100)</f>
        <v>0.18003485868907956</v>
      </c>
      <c r="F66" s="53">
        <f>IF(OR(3771658.08092="",5548.07765="",5223.24493=""),"-",(5223.24493-5548.07765)/3771658.08092*100)</f>
        <v>-8.6124646781546438E-3</v>
      </c>
      <c r="G66" s="53">
        <f>IF(OR(3323881.41153="",7927.78062="",5223.24493=""),"-",(7927.78062-5223.24493)/3323881.41153*100)</f>
        <v>8.1366792467938515E-2</v>
      </c>
    </row>
    <row r="67" spans="1:7" s="7" customFormat="1" x14ac:dyDescent="0.25">
      <c r="A67" s="52" t="s">
        <v>74</v>
      </c>
      <c r="B67" s="34">
        <v>7580.6339500000004</v>
      </c>
      <c r="C67" s="53">
        <f>IF(OR(5936.88192="",7580.63395=""),"-",7580.63395/5936.88192*100)</f>
        <v>127.6871268815803</v>
      </c>
      <c r="D67" s="53">
        <f>IF(5936.88192="","-",5936.88192/3323881.41153*100)</f>
        <v>0.17861292822920605</v>
      </c>
      <c r="E67" s="53">
        <f>IF(7580.63395="","-",7580.63395/4403469.79342*100)</f>
        <v>0.17215137847266629</v>
      </c>
      <c r="F67" s="53">
        <f>IF(OR(3771658.08092="",4210.00879="",5936.88192=""),"-",(5936.88192-4210.00879)/3771658.08092*100)</f>
        <v>4.5785516421434816E-2</v>
      </c>
      <c r="G67" s="53">
        <f>IF(OR(3323881.41153="",7580.63395="",5936.88192=""),"-",(7580.63395-5936.88192)/3323881.41153*100)</f>
        <v>4.9452788065726234E-2</v>
      </c>
    </row>
    <row r="68" spans="1:7" s="7" customFormat="1" x14ac:dyDescent="0.25">
      <c r="A68" s="52" t="s">
        <v>83</v>
      </c>
      <c r="B68" s="86">
        <v>6760.9873100000004</v>
      </c>
      <c r="C68" s="53">
        <f>IF(OR(6168.9525="",6760.98731=""),"-",6760.98731/6168.9525*100)</f>
        <v>109.59700710939175</v>
      </c>
      <c r="D68" s="53">
        <f>IF(6168.9525="","-",6168.9525/3323881.41153*100)</f>
        <v>0.18559484338403034</v>
      </c>
      <c r="E68" s="53">
        <f>IF(6760.98731="","-",6760.98731/4403469.79342*100)</f>
        <v>0.15353772427604209</v>
      </c>
      <c r="F68" s="53">
        <f>IF(OR(3771658.08092="",6347.08745="",6168.9525=""),"-",(6168.9525-6347.08745)/3771658.08092*100)</f>
        <v>-4.7229877729676965E-3</v>
      </c>
      <c r="G68" s="53">
        <f>IF(OR(3323881.41153="",6760.98731="",6168.9525=""),"-",(6760.98731-6168.9525)/3323881.41153*100)</f>
        <v>1.7811550314229874E-2</v>
      </c>
    </row>
    <row r="69" spans="1:7" s="7" customFormat="1" x14ac:dyDescent="0.25">
      <c r="A69" s="52" t="s">
        <v>63</v>
      </c>
      <c r="B69" s="34">
        <v>5635.65272</v>
      </c>
      <c r="C69" s="53">
        <f>IF(OR(5064.81254="",5635.65272=""),"-",5635.65272/5064.81254*100)</f>
        <v>111.27070697072632</v>
      </c>
      <c r="D69" s="53">
        <f>IF(5064.81254="","-",5064.81254/3323881.41153*100)</f>
        <v>0.15237645129068067</v>
      </c>
      <c r="E69" s="53">
        <f>IF(5635.65272="","-",5635.65272/4403469.79342*100)</f>
        <v>0.12798209104150599</v>
      </c>
      <c r="F69" s="53">
        <f>IF(OR(3771658.08092="",6125.59124="",5064.81254=""),"-",(5064.81254-6125.59124)/3771658.08092*100)</f>
        <v>-2.8124996413811984E-2</v>
      </c>
      <c r="G69" s="53">
        <f>IF(OR(3323881.41153="",5635.65272="",5064.81254=""),"-",(5635.65272-5064.81254)/3323881.41153*100)</f>
        <v>1.7173903317364122E-2</v>
      </c>
    </row>
    <row r="70" spans="1:7" s="7" customFormat="1" x14ac:dyDescent="0.25">
      <c r="A70" s="52" t="s">
        <v>65</v>
      </c>
      <c r="B70" s="86">
        <v>5503.8537500000002</v>
      </c>
      <c r="C70" s="53">
        <f>IF(OR(3958.33342="",5503.85375=""),"-",5503.85375/3958.33342*100)</f>
        <v>139.04472327144185</v>
      </c>
      <c r="D70" s="53">
        <f>IF(3958.33342="","-",3958.33342/3323881.41153*100)</f>
        <v>0.1190876848454698</v>
      </c>
      <c r="E70" s="53">
        <f>IF(5503.85375="","-",5503.85375/4403469.79342*100)</f>
        <v>0.12498902020911505</v>
      </c>
      <c r="F70" s="53">
        <f>IF(OR(3771658.08092="",3566.59283="",3958.33342=""),"-",(3958.33342-3566.59283)/3771658.08092*100)</f>
        <v>1.0386429034533394E-2</v>
      </c>
      <c r="G70" s="53">
        <f>IF(OR(3323881.41153="",5503.85375="",3958.33342=""),"-",(5503.85375-3958.33342)/3323881.41153*100)</f>
        <v>4.6497456998280486E-2</v>
      </c>
    </row>
    <row r="71" spans="1:7" s="7" customFormat="1" x14ac:dyDescent="0.25">
      <c r="A71" s="52" t="s">
        <v>84</v>
      </c>
      <c r="B71" s="86">
        <v>5228.4603100000004</v>
      </c>
      <c r="C71" s="53">
        <f>IF(OR(4188.89487="",5228.46031=""),"-",5228.46031/4188.89487*100)</f>
        <v>124.81717666024883</v>
      </c>
      <c r="D71" s="53">
        <f>IF(4188.89487="","-",4188.89487/3323881.41153*100)</f>
        <v>0.12602419735762563</v>
      </c>
      <c r="E71" s="53">
        <f>IF(5228.46031="","-",5228.46031/4403469.79342*100)</f>
        <v>0.11873501023699003</v>
      </c>
      <c r="F71" s="53">
        <f>IF(OR(3771658.08092="",4825.42098="",4188.89487=""),"-",(4188.89487-4825.42098)/3771658.08092*100)</f>
        <v>-1.6876559230542324E-2</v>
      </c>
      <c r="G71" s="53">
        <f>IF(OR(3323881.41153="",5228.46031="",4188.89487=""),"-",(5228.46031-4188.89487)/3323881.41153*100)</f>
        <v>3.1275647692902579E-2</v>
      </c>
    </row>
    <row r="72" spans="1:7" s="7" customFormat="1" x14ac:dyDescent="0.25">
      <c r="A72" s="52" t="s">
        <v>85</v>
      </c>
      <c r="B72" s="86">
        <v>4714.5847100000001</v>
      </c>
      <c r="C72" s="53" t="s">
        <v>103</v>
      </c>
      <c r="D72" s="53">
        <f>IF(2820.32908="","-",2820.32908/3323881.41153*100)</f>
        <v>8.4850472409055883E-2</v>
      </c>
      <c r="E72" s="53">
        <f>IF(4714.58471="","-",4714.58471/4403469.79342*100)</f>
        <v>0.10706522199936266</v>
      </c>
      <c r="F72" s="53">
        <f>IF(OR(3771658.08092="",5535.46193="",2820.32908=""),"-",(2820.32908-5535.46193)/3771658.08092*100)</f>
        <v>-7.1987778100439923E-2</v>
      </c>
      <c r="G72" s="53">
        <f>IF(OR(3323881.41153="",4714.58471="",2820.32908=""),"-",(4714.58471-2820.32908)/3323881.41153*100)</f>
        <v>5.6989266326684745E-2</v>
      </c>
    </row>
    <row r="73" spans="1:7" s="7" customFormat="1" x14ac:dyDescent="0.25">
      <c r="A73" s="52" t="s">
        <v>68</v>
      </c>
      <c r="B73" s="86">
        <v>4711.7391100000004</v>
      </c>
      <c r="C73" s="53">
        <f>IF(OR(3296.23349="",4711.73911=""),"-",4711.73911/3296.23349*100)</f>
        <v>142.94312354674852</v>
      </c>
      <c r="D73" s="53">
        <f>IF(3296.23349="","-",3296.23349/3323881.41153*100)</f>
        <v>9.9168203732115906E-2</v>
      </c>
      <c r="E73" s="53">
        <f>IF(4711.73911="","-",4711.73911/4403469.79342*100)</f>
        <v>0.10700060023213148</v>
      </c>
      <c r="F73" s="53">
        <f>IF(OR(3771658.08092="",3643.89452="",3296.23349=""),"-",(3296.23349-3643.89452)/3771658.08092*100)</f>
        <v>-9.2177239437143434E-3</v>
      </c>
      <c r="G73" s="53">
        <f>IF(OR(3323881.41153="",4711.73911="",3296.23349=""),"-",(4711.73911-3296.23349)/3323881.41153*100)</f>
        <v>4.2585924247773799E-2</v>
      </c>
    </row>
    <row r="74" spans="1:7" s="7" customFormat="1" x14ac:dyDescent="0.25">
      <c r="A74" s="52" t="s">
        <v>130</v>
      </c>
      <c r="B74" s="34">
        <v>3760.8904200000002</v>
      </c>
      <c r="C74" s="53">
        <f>IF(OR(2892.70235="",3760.89042=""),"-",3760.89042/2892.70235*100)</f>
        <v>130.01304541409178</v>
      </c>
      <c r="D74" s="53">
        <f>IF(2892.70235="","-",2892.70235/3323881.41153*100)</f>
        <v>8.7027844614602959E-2</v>
      </c>
      <c r="E74" s="53">
        <f>IF(3760.89042="","-",3760.89042/4403469.79342*100)</f>
        <v>8.5407430876891871E-2</v>
      </c>
      <c r="F74" s="53">
        <f>IF(OR(3771658.08092="",3360.64661="",2892.70235=""),"-",(2892.70235-3360.64661)/3771658.08092*100)</f>
        <v>-1.2406857937818601E-2</v>
      </c>
      <c r="G74" s="53">
        <f>IF(OR(3323881.41153="",3760.89042="",2892.70235=""),"-",(3760.89042-2892.70235)/3323881.41153*100)</f>
        <v>2.6119706527086013E-2</v>
      </c>
    </row>
    <row r="75" spans="1:7" s="7" customFormat="1" x14ac:dyDescent="0.25">
      <c r="A75" s="52" t="s">
        <v>88</v>
      </c>
      <c r="B75" s="34">
        <v>3444.1626999999999</v>
      </c>
      <c r="C75" s="53" t="s">
        <v>299</v>
      </c>
      <c r="D75" s="53">
        <f>IF(1320.71398="","-",1320.71398/3323881.41153*100)</f>
        <v>3.9734088449084243E-2</v>
      </c>
      <c r="E75" s="53">
        <f>IF(3444.1627="","-",3444.1627/4403469.79342*100)</f>
        <v>7.8214745679566836E-2</v>
      </c>
      <c r="F75" s="53">
        <f>IF(OR(3771658.08092="",1925.23501="",1320.71398=""),"-",(1320.71398-1925.23501)/3771658.08092*100)</f>
        <v>-1.6027991324508998E-2</v>
      </c>
      <c r="G75" s="53">
        <f>IF(OR(3323881.41153="",3444.1627="",1320.71398=""),"-",(3444.1627-1320.71398)/3323881.41153*100)</f>
        <v>6.3884611305147776E-2</v>
      </c>
    </row>
    <row r="76" spans="1:7" s="7" customFormat="1" x14ac:dyDescent="0.25">
      <c r="A76" s="52" t="s">
        <v>39</v>
      </c>
      <c r="B76" s="86">
        <v>3293.1181299999998</v>
      </c>
      <c r="C76" s="53">
        <f>IF(OR(2876.20468="",3293.11813=""),"-",3293.11813/2876.20468*100)</f>
        <v>114.49526359855587</v>
      </c>
      <c r="D76" s="53">
        <f>IF(2876.20468="","-",2876.20468/3323881.41153*100)</f>
        <v>8.6531507111623079E-2</v>
      </c>
      <c r="E76" s="53">
        <f>IF(3293.11813="","-",3293.11813/4403469.79342*100)</f>
        <v>7.4784619504392372E-2</v>
      </c>
      <c r="F76" s="53">
        <f>IF(OR(3771658.08092="",2427.16401="",2876.20468=""),"-",(2876.20468-2427.16401)/3771658.08092*100)</f>
        <v>1.1905656885272798E-2</v>
      </c>
      <c r="G76" s="53">
        <f>IF(OR(3323881.41153="",3293.11813="",2876.20468=""),"-",(3293.11813-2876.20468)/3323881.41153*100)</f>
        <v>1.2542970051632876E-2</v>
      </c>
    </row>
    <row r="77" spans="1:7" s="7" customFormat="1" x14ac:dyDescent="0.25">
      <c r="A77" s="52" t="s">
        <v>73</v>
      </c>
      <c r="B77" s="86">
        <v>3078.4495299999999</v>
      </c>
      <c r="C77" s="53" t="s">
        <v>310</v>
      </c>
      <c r="D77" s="53">
        <f>IF(1261.1162="","-",1261.1162/3323881.41153*100)</f>
        <v>3.7941070810330192E-2</v>
      </c>
      <c r="E77" s="53">
        <f>IF(3078.44953="","-",3078.44953/4403469.79342*100)</f>
        <v>6.9909632049708931E-2</v>
      </c>
      <c r="F77" s="53">
        <f>IF(OR(3771658.08092="",1019.22986="",1261.1162=""),"-",(1261.1162-1019.22986)/3771658.08092*100)</f>
        <v>6.4132626767959269E-3</v>
      </c>
      <c r="G77" s="53">
        <f>IF(OR(3323881.41153="",3078.44953="",1261.1162=""),"-",(3078.44953-1261.1162)/3323881.41153*100)</f>
        <v>5.4675035147041293E-2</v>
      </c>
    </row>
    <row r="78" spans="1:7" s="7" customFormat="1" x14ac:dyDescent="0.25">
      <c r="A78" s="52" t="s">
        <v>75</v>
      </c>
      <c r="B78" s="86">
        <v>3076.77583</v>
      </c>
      <c r="C78" s="53">
        <f>IF(OR(3519.44902="",3076.77583=""),"-",3076.77583/3519.44902*100)</f>
        <v>87.422088301764916</v>
      </c>
      <c r="D78" s="53">
        <f>IF(3519.44902="","-",3519.44902/3323881.41153*100)</f>
        <v>0.10588371196973538</v>
      </c>
      <c r="E78" s="53">
        <f>IF(3076.77583="","-",3076.77583/4403469.79342*100)</f>
        <v>6.9871623386574669E-2</v>
      </c>
      <c r="F78" s="53">
        <f>IF(OR(3771658.08092="",3299.54404="",3519.44902=""),"-",(3519.44902-3299.54404)/3771658.08092*100)</f>
        <v>5.8304590522786619E-3</v>
      </c>
      <c r="G78" s="53">
        <f>IF(OR(3323881.41153="",3076.77583="",3519.44902=""),"-",(3076.77583-3519.44902)/3323881.41153*100)</f>
        <v>-1.3317959794366887E-2</v>
      </c>
    </row>
    <row r="79" spans="1:7" s="7" customFormat="1" x14ac:dyDescent="0.25">
      <c r="A79" s="52" t="s">
        <v>58</v>
      </c>
      <c r="B79" s="86">
        <v>2524.76352</v>
      </c>
      <c r="C79" s="53">
        <f>IF(OR(3474.77384="",2524.76352=""),"-",2524.76352/3474.77384*100)</f>
        <v>72.659794169510619</v>
      </c>
      <c r="D79" s="53">
        <f>IF(3474.77384="","-",3474.77384/3323881.41153*100)</f>
        <v>0.1045396453660043</v>
      </c>
      <c r="E79" s="53">
        <f>IF(2524.76352="","-",2524.76352/4403469.79342*100)</f>
        <v>5.7335774705953343E-2</v>
      </c>
      <c r="F79" s="53">
        <f>IF(OR(3771658.08092="",2107.08386="",3474.77384=""),"-",(3474.77384-2107.08386)/3771658.08092*100)</f>
        <v>3.6262300310806184E-2</v>
      </c>
      <c r="G79" s="53">
        <f>IF(OR(3323881.41153="",2524.76352="",3474.77384=""),"-",(2524.76352-3474.77384)/3323881.41153*100)</f>
        <v>-2.8581354217529234E-2</v>
      </c>
    </row>
    <row r="80" spans="1:7" s="7" customFormat="1" x14ac:dyDescent="0.25">
      <c r="A80" s="52" t="s">
        <v>91</v>
      </c>
      <c r="B80" s="85">
        <v>2369.8888700000002</v>
      </c>
      <c r="C80" s="53" t="s">
        <v>212</v>
      </c>
      <c r="D80" s="53">
        <f>IF(1298.15153="","-",1298.15153/3323881.41153*100)</f>
        <v>3.9055290164592665E-2</v>
      </c>
      <c r="E80" s="53">
        <f>IF(2369.88887="","-",2369.88887/4403469.79342*100)</f>
        <v>5.381866984851965E-2</v>
      </c>
      <c r="F80" s="53">
        <f>IF(OR(3771658.08092="",1809.42854="",1298.15153=""),"-",(1298.15153-1809.42854)/3771658.08092*100)</f>
        <v>-1.3555762453294467E-2</v>
      </c>
      <c r="G80" s="53">
        <f>IF(OR(3323881.41153="",2369.88887="",1298.15153=""),"-",(2369.88887-1298.15153)/3323881.41153*100)</f>
        <v>3.224354925185715E-2</v>
      </c>
    </row>
    <row r="81" spans="1:7" s="7" customFormat="1" x14ac:dyDescent="0.25">
      <c r="A81" s="52" t="s">
        <v>80</v>
      </c>
      <c r="B81" s="86">
        <v>2272.4301500000001</v>
      </c>
      <c r="C81" s="53">
        <f>IF(OR(2860.01932="",2272.43015=""),"-",2272.43015/2860.01932*100)</f>
        <v>79.455062911952652</v>
      </c>
      <c r="D81" s="53">
        <f>IF(2860.01932="","-",2860.01932/3323881.41153*100)</f>
        <v>8.6044565551558538E-2</v>
      </c>
      <c r="E81" s="53">
        <f>IF(2272.43015="","-",2272.43015/4403469.79342*100)</f>
        <v>5.160544426569335E-2</v>
      </c>
      <c r="F81" s="53">
        <f>IF(OR(3771658.08092="",3031.7161="",2860.01932=""),"-",(2860.01932-3031.7161)/3771658.08092*100)</f>
        <v>-4.552289107768729E-3</v>
      </c>
      <c r="G81" s="53">
        <f>IF(OR(3323881.41153="",2272.43015="",2860.01932=""),"-",(2272.43015-2860.01932)/3323881.41153*100)</f>
        <v>-1.7677801860251367E-2</v>
      </c>
    </row>
    <row r="82" spans="1:7" s="7" customFormat="1" x14ac:dyDescent="0.25">
      <c r="A82" s="52" t="s">
        <v>87</v>
      </c>
      <c r="B82" s="34">
        <v>2231.2652699999999</v>
      </c>
      <c r="C82" s="53">
        <f>IF(OR(1550.82516="",2231.26527=""),"-",2231.26527/1550.82516*100)</f>
        <v>143.87600404935395</v>
      </c>
      <c r="D82" s="53">
        <f>IF(1550.82516="","-",1550.82516/3323881.41153*100)</f>
        <v>4.6657054449067932E-2</v>
      </c>
      <c r="E82" s="53">
        <f>IF(2231.26527="","-",2231.26527/4403469.79342*100)</f>
        <v>5.0670616006816403E-2</v>
      </c>
      <c r="F82" s="53">
        <f>IF(OR(3771658.08092="",1888.47527="",1550.82516=""),"-",(1550.82516-1888.47527)/3771658.08092*100)</f>
        <v>-8.9522990354851742E-3</v>
      </c>
      <c r="G82" s="53">
        <f>IF(OR(3323881.41153="",2231.26527="",1550.82516=""),"-",(2231.26527-1550.82516)/3323881.41153*100)</f>
        <v>2.0471251099382321E-2</v>
      </c>
    </row>
    <row r="83" spans="1:7" s="7" customFormat="1" x14ac:dyDescent="0.25">
      <c r="A83" s="52" t="s">
        <v>89</v>
      </c>
      <c r="B83" s="86">
        <v>2050.2703099999999</v>
      </c>
      <c r="C83" s="53" t="s">
        <v>325</v>
      </c>
      <c r="D83" s="53">
        <f>IF(690.02977="","-",690.02977/3323881.41153*100)</f>
        <v>2.0759758985576311E-2</v>
      </c>
      <c r="E83" s="53">
        <f>IF(2050.27031="","-",2050.27031/4403469.79342*100)</f>
        <v>4.6560335512319626E-2</v>
      </c>
      <c r="F83" s="53">
        <f>IF(OR(3771658.08092="",871.14162="",690.02977=""),"-",(690.02977-871.14162)/3771658.08092*100)</f>
        <v>-4.8019159243571303E-3</v>
      </c>
      <c r="G83" s="53">
        <f>IF(OR(3323881.41153="",2050.27031="",690.02977=""),"-",(2050.27031-690.02977)/3323881.41153*100)</f>
        <v>4.0923257228177516E-2</v>
      </c>
    </row>
    <row r="84" spans="1:7" s="7" customFormat="1" x14ac:dyDescent="0.25">
      <c r="A84" s="52" t="s">
        <v>37</v>
      </c>
      <c r="B84" s="34">
        <v>1972.98424</v>
      </c>
      <c r="C84" s="53">
        <f>IF(OR(2511.68634="",1972.98424=""),"-",1972.98424/2511.68634*100)</f>
        <v>78.552174631805343</v>
      </c>
      <c r="D84" s="53">
        <f>IF(2511.68634="","-",2511.68634/3323881.41153*100)</f>
        <v>7.5564860144750404E-2</v>
      </c>
      <c r="E84" s="53">
        <f>IF(1972.98424="","-",1972.98424/4403469.79342*100)</f>
        <v>4.4805217988509498E-2</v>
      </c>
      <c r="F84" s="53">
        <f>IF(OR(3771658.08092="",1641.65914="",2511.68634=""),"-",(2511.68634-1641.65914)/3771658.08092*100)</f>
        <v>2.306749926249357E-2</v>
      </c>
      <c r="G84" s="53">
        <f>IF(OR(3323881.41153="",1972.98424="",2511.68634=""),"-",(1972.98424-2511.68634)/3323881.41153*100)</f>
        <v>-1.6207019243566597E-2</v>
      </c>
    </row>
    <row r="85" spans="1:7" s="7" customFormat="1" x14ac:dyDescent="0.25">
      <c r="A85" s="52" t="s">
        <v>410</v>
      </c>
      <c r="B85" s="34">
        <v>1723.4292600000001</v>
      </c>
      <c r="C85" s="53" t="s">
        <v>103</v>
      </c>
      <c r="D85" s="53">
        <f>IF(1020.32201="","-",1020.32201/3323881.41153*100)</f>
        <v>3.0696703151341986E-2</v>
      </c>
      <c r="E85" s="53">
        <f>IF(1723.42926="","-",1723.42926/4403469.79342*100)</f>
        <v>3.9137983019101874E-2</v>
      </c>
      <c r="F85" s="53">
        <f>IF(OR(3771658.08092="",2022.03647="",1020.32201=""),"-",(1020.32201-2022.03647)/3771658.08092*100)</f>
        <v>-2.6558994439805032E-2</v>
      </c>
      <c r="G85" s="53">
        <f>IF(OR(3323881.41153="",1723.42926="",1020.32201=""),"-",(1723.42926-1020.32201)/3323881.41153*100)</f>
        <v>2.115319901489374E-2</v>
      </c>
    </row>
    <row r="86" spans="1:7" s="7" customFormat="1" x14ac:dyDescent="0.25">
      <c r="A86" s="52" t="s">
        <v>86</v>
      </c>
      <c r="B86" s="34">
        <v>1609.8883900000001</v>
      </c>
      <c r="C86" s="53">
        <f>IF(OR(2829.37928="",1609.88839=""),"-",1609.88839/2829.37928*100)</f>
        <v>56.898995528093351</v>
      </c>
      <c r="D86" s="53">
        <f>IF(2829.37928="","-",2829.37928/3323881.41153*100)</f>
        <v>8.5122750474350473E-2</v>
      </c>
      <c r="E86" s="53">
        <f>IF(1609.88839="","-",1609.88839/4403469.79342*100)</f>
        <v>3.6559542032186025E-2</v>
      </c>
      <c r="F86" s="53">
        <f>IF(OR(3771658.08092="",2309.67168="",2829.37928=""),"-",(2829.37928-2309.67168)/3771658.08092*100)</f>
        <v>1.3779287221953873E-2</v>
      </c>
      <c r="G86" s="53">
        <f>IF(OR(3323881.41153="",1609.88839="",2829.37928=""),"-",(1609.88839-2829.37928)/3323881.41153*100)</f>
        <v>-3.6688760488559728E-2</v>
      </c>
    </row>
    <row r="87" spans="1:7" s="7" customFormat="1" x14ac:dyDescent="0.25">
      <c r="A87" s="52" t="s">
        <v>38</v>
      </c>
      <c r="B87" s="34">
        <v>1524.7543800000001</v>
      </c>
      <c r="C87" s="53">
        <f>IF(OR(1634.13936="",1524.75438=""),"-",1524.75438/1634.13936*100)</f>
        <v>93.306263671416616</v>
      </c>
      <c r="D87" s="53">
        <f>IF(1634.13936="","-",1634.13936/3323881.41153*100)</f>
        <v>4.9163587916567608E-2</v>
      </c>
      <c r="E87" s="53">
        <f>IF(1524.75438="","-",1524.75438/4403469.79342*100)</f>
        <v>3.4626202779417366E-2</v>
      </c>
      <c r="F87" s="53">
        <f>IF(OR(3771658.08092="",1929.75033="",1634.13936=""),"-",(1634.13936-1929.75033)/3771658.08092*100)</f>
        <v>-7.8376926979524461E-3</v>
      </c>
      <c r="G87" s="53">
        <f>IF(OR(3323881.41153="",1524.75438="",1634.13936=""),"-",(1524.75438-1634.13936)/3323881.41153*100)</f>
        <v>-3.2908809448063112E-3</v>
      </c>
    </row>
    <row r="88" spans="1:7" s="7" customFormat="1" x14ac:dyDescent="0.25">
      <c r="A88" s="52" t="s">
        <v>93</v>
      </c>
      <c r="B88" s="34">
        <v>1506.90789</v>
      </c>
      <c r="C88" s="53" t="s">
        <v>220</v>
      </c>
      <c r="D88" s="53">
        <f>IF(605.79079="","-",605.79079/3323881.41153*100)</f>
        <v>1.8225403225837451E-2</v>
      </c>
      <c r="E88" s="53">
        <f>IF(1506.90789="","-",1506.90789/4403469.79342*100)</f>
        <v>3.4220920335407697E-2</v>
      </c>
      <c r="F88" s="53">
        <f>IF(OR(3771658.08092="",633.0139="",605.79079=""),"-",(605.79079-633.0139)/3771658.08092*100)</f>
        <v>-7.2178096253517319E-4</v>
      </c>
      <c r="G88" s="53">
        <f>IF(OR(3323881.41153="",1506.90789="",605.79079=""),"-",(1506.90789-605.79079)/3323881.41153*100)</f>
        <v>2.7110386576192892E-2</v>
      </c>
    </row>
    <row r="89" spans="1:7" x14ac:dyDescent="0.25">
      <c r="A89" s="52" t="s">
        <v>376</v>
      </c>
      <c r="B89" s="86">
        <v>1308.7968699999999</v>
      </c>
      <c r="C89" s="53">
        <f>IF(OR(1186.64293="",1308.79687=""),"-",1308.79687/1186.64293*100)</f>
        <v>110.29407725877572</v>
      </c>
      <c r="D89" s="53">
        <f>IF(1186.64293="","-",1186.64293/3323881.41153*100)</f>
        <v>3.570051945546944E-2</v>
      </c>
      <c r="E89" s="53">
        <f>IF(1308.79687="","-",1308.79687/4403469.79342*100)</f>
        <v>2.9721944997912871E-2</v>
      </c>
      <c r="F89" s="53">
        <f>IF(OR(3771658.08092="",1418.03688="",1186.64293=""),"-",(1186.64293-1418.03688)/3771658.08092*100)</f>
        <v>-6.1350722954069438E-3</v>
      </c>
      <c r="G89" s="53">
        <f>IF(OR(3323881.41153="",1308.79687="",1186.64293=""),"-",(1308.79687-1186.64293)/3323881.41153*100)</f>
        <v>3.6750390545302824E-3</v>
      </c>
    </row>
    <row r="90" spans="1:7" x14ac:dyDescent="0.25">
      <c r="A90" s="52" t="s">
        <v>97</v>
      </c>
      <c r="B90" s="34">
        <v>1291.4153799999999</v>
      </c>
      <c r="C90" s="53">
        <f>IF(OR(952.45877="",1291.41538=""),"-",1291.41538/952.45877*100)</f>
        <v>135.58753624579464</v>
      </c>
      <c r="D90" s="53">
        <f>IF(952.45877="","-",952.45877/3323881.41153*100)</f>
        <v>2.8655016592832597E-2</v>
      </c>
      <c r="E90" s="53">
        <f>IF(1291.41538="","-",1291.41538/4403469.79342*100)</f>
        <v>2.9327222408331972E-2</v>
      </c>
      <c r="F90" s="53">
        <f>IF(OR(3771658.08092="",788.23691="",952.45877=""),"-",(952.45877-788.23691)/3771658.08092*100)</f>
        <v>4.354102532007415E-3</v>
      </c>
      <c r="G90" s="53">
        <f>IF(OR(3323881.41153="",1291.41538="",952.45877=""),"-",(1291.41538-952.45877)/3323881.41153*100)</f>
        <v>1.0197614416212773E-2</v>
      </c>
    </row>
    <row r="91" spans="1:7" x14ac:dyDescent="0.25">
      <c r="A91" s="52" t="s">
        <v>67</v>
      </c>
      <c r="B91" s="34">
        <v>1035.9478899999999</v>
      </c>
      <c r="C91" s="53">
        <f>IF(OR(901.21785="",1035.94789=""),"-",1035.94789/901.21785*100)</f>
        <v>114.94977490736562</v>
      </c>
      <c r="D91" s="53">
        <f>IF(901.21785="","-",901.21785/3323881.41153*100)</f>
        <v>2.711341767109449E-2</v>
      </c>
      <c r="E91" s="53">
        <f>IF(1035.94789="","-",1035.94789/4403469.79342*100)</f>
        <v>2.352571809503479E-2</v>
      </c>
      <c r="F91" s="53">
        <f>IF(OR(3771658.08092="",1261.89534="",901.21785=""),"-",(901.21785-1261.89534)/3771658.08092*100)</f>
        <v>-9.5628363510623926E-3</v>
      </c>
      <c r="G91" s="53">
        <f>IF(OR(3323881.41153="",1035.94789="",901.21785=""),"-",(1035.94789-901.21785)/3323881.41153*100)</f>
        <v>4.053394911522519E-3</v>
      </c>
    </row>
    <row r="92" spans="1:7" x14ac:dyDescent="0.25">
      <c r="A92" s="52" t="s">
        <v>122</v>
      </c>
      <c r="B92" s="34">
        <v>980.87132999999994</v>
      </c>
      <c r="C92" s="53" t="s">
        <v>389</v>
      </c>
      <c r="D92" s="53">
        <f>IF(41.58724="","-",41.58724/3323881.41153*100)</f>
        <v>1.251164974049335E-3</v>
      </c>
      <c r="E92" s="53">
        <f>IF(980.87133="","-",980.87133/4403469.79342*100)</f>
        <v>2.2274964426137148E-2</v>
      </c>
      <c r="F92" s="53">
        <f>IF(OR(3771658.08092="",1.10415="",41.58724=""),"-",(41.58724-1.10415)/3771658.08092*100)</f>
        <v>1.0733499466665649E-3</v>
      </c>
      <c r="G92" s="53">
        <f>IF(OR(3323881.41153="",980.87133="",41.58724=""),"-",(980.87133-41.58724)/3323881.41153*100)</f>
        <v>2.8258652271461231E-2</v>
      </c>
    </row>
    <row r="93" spans="1:7" x14ac:dyDescent="0.25">
      <c r="A93" s="52" t="s">
        <v>386</v>
      </c>
      <c r="B93" s="86">
        <v>953.28328999999997</v>
      </c>
      <c r="C93" s="53" t="s">
        <v>95</v>
      </c>
      <c r="D93" s="53">
        <f>IF(455.05078="","-",455.05078/3323881.41153*100)</f>
        <v>1.3690343416630429E-2</v>
      </c>
      <c r="E93" s="53">
        <f>IF(953.28329="","-",953.28329/4403469.79342*100)</f>
        <v>2.1648457573717628E-2</v>
      </c>
      <c r="F93" s="53">
        <f>IF(OR(3771658.08092="",625.41813="",455.05078=""),"-",(455.05078-625.41813)/3771658.08092*100)</f>
        <v>-4.5170412148930333E-3</v>
      </c>
      <c r="G93" s="53">
        <f>IF(OR(3323881.41153="",953.28329="",455.05078=""),"-",(953.28329-455.05078)/3323881.41153*100)</f>
        <v>1.498947911534127E-2</v>
      </c>
    </row>
    <row r="94" spans="1:7" x14ac:dyDescent="0.25">
      <c r="A94" s="52" t="s">
        <v>150</v>
      </c>
      <c r="B94" s="34">
        <v>938.38108</v>
      </c>
      <c r="C94" s="53">
        <f>IF(OR(712.94595="",938.38108=""),"-",938.38108/712.94595*100)</f>
        <v>131.62022731176185</v>
      </c>
      <c r="D94" s="53">
        <f>IF(712.94595="","-",712.94595/3323881.41153*100)</f>
        <v>2.1449199346490141E-2</v>
      </c>
      <c r="E94" s="53">
        <f>IF(938.38108="","-",938.38108/4403469.79342*100)</f>
        <v>2.1310037857014495E-2</v>
      </c>
      <c r="F94" s="53">
        <f>IF(OR(3771658.08092="",742.36264="",712.94595=""),"-",(712.94595-742.36264)/3771658.08092*100)</f>
        <v>-7.7994052930759213E-4</v>
      </c>
      <c r="G94" s="53">
        <f>IF(OR(3323881.41153="",938.38108="",712.94595=""),"-",(938.38108-712.94595)/3323881.41153*100)</f>
        <v>6.7822855899131182E-3</v>
      </c>
    </row>
    <row r="95" spans="1:7" x14ac:dyDescent="0.25">
      <c r="A95" s="52" t="s">
        <v>64</v>
      </c>
      <c r="B95" s="34">
        <v>679.44018000000005</v>
      </c>
      <c r="C95" s="53">
        <f>IF(OR(630.7751="",679.44018=""),"-",679.44018/630.7751*100)</f>
        <v>107.71512382146982</v>
      </c>
      <c r="D95" s="53">
        <f>IF(630.7751="","-",630.7751/3323881.41153*100)</f>
        <v>1.8977063917260839E-2</v>
      </c>
      <c r="E95" s="53">
        <f>IF(679.44018="","-",679.44018/4403469.79342*100)</f>
        <v>1.542965461044541E-2</v>
      </c>
      <c r="F95" s="53">
        <f>IF(OR(3771658.08092="",362.93697="",630.7751=""),"-",(630.7751-362.93697)/3771658.08092*100)</f>
        <v>7.1013364481508799E-3</v>
      </c>
      <c r="G95" s="53">
        <f>IF(OR(3323881.41153="",679.44018="",630.7751=""),"-",(679.44018-630.7751)/3323881.41153*100)</f>
        <v>1.4641039788961456E-3</v>
      </c>
    </row>
    <row r="96" spans="1:7" x14ac:dyDescent="0.25">
      <c r="A96" s="52" t="s">
        <v>101</v>
      </c>
      <c r="B96" s="86">
        <v>589.03107999999997</v>
      </c>
      <c r="C96" s="53" t="s">
        <v>309</v>
      </c>
      <c r="D96" s="53">
        <f>IF(220.1529="","-",220.1529/3323881.41153*100)</f>
        <v>6.6233680671135154E-3</v>
      </c>
      <c r="E96" s="53">
        <f>IF(589.03108="","-",589.03108/4403469.79342*100)</f>
        <v>1.3376521416819416E-2</v>
      </c>
      <c r="F96" s="53">
        <f>IF(OR(3771658.08092="",912.82402="",220.1529=""),"-",(220.1529-912.82402)/3771658.08092*100)</f>
        <v>-1.8365162088898591E-2</v>
      </c>
      <c r="G96" s="53">
        <f>IF(OR(3323881.41153="",589.03108="",220.1529=""),"-",(589.03108-220.1529)/3323881.41153*100)</f>
        <v>1.1097814101322087E-2</v>
      </c>
    </row>
    <row r="97" spans="1:7" x14ac:dyDescent="0.25">
      <c r="A97" s="52" t="s">
        <v>221</v>
      </c>
      <c r="B97" s="34">
        <v>580.39819</v>
      </c>
      <c r="C97" s="53" t="str">
        <f>IF(OR(""="",580.39819=""),"-",580.39819/""*100)</f>
        <v>-</v>
      </c>
      <c r="D97" s="53" t="str">
        <f>IF(""="","-",""/3323881.41153*100)</f>
        <v>-</v>
      </c>
      <c r="E97" s="53">
        <f>IF(580.39819="","-",580.39819/4403469.79342*100)</f>
        <v>1.3180473972304187E-2</v>
      </c>
      <c r="F97" s="53" t="str">
        <f>IF(OR(3771658.08092="",""="",""=""),"-",(""-"")/3771658.08092*100)</f>
        <v>-</v>
      </c>
      <c r="G97" s="53" t="str">
        <f>IF(OR(3323881.41153="",580.39819="",""=""),"-",(580.39819-"")/3323881.41153*100)</f>
        <v>-</v>
      </c>
    </row>
    <row r="98" spans="1:7" x14ac:dyDescent="0.25">
      <c r="A98" s="52" t="s">
        <v>98</v>
      </c>
      <c r="B98" s="34">
        <v>556.82523000000003</v>
      </c>
      <c r="C98" s="53" t="s">
        <v>95</v>
      </c>
      <c r="D98" s="53">
        <f>IF(261.68333="","-",261.68333/3323881.41153*100)</f>
        <v>7.872823894747371E-3</v>
      </c>
      <c r="E98" s="53">
        <f>IF(556.82523="","-",556.82523/4403469.79342*100)</f>
        <v>1.2645147034551042E-2</v>
      </c>
      <c r="F98" s="53">
        <f>IF(OR(3771658.08092="",587.01339="",261.68333=""),"-",(261.68333-587.01339)/3771658.08092*100)</f>
        <v>-8.6256509211631392E-3</v>
      </c>
      <c r="G98" s="53">
        <f>IF(OR(3323881.41153="",556.82523="",261.68333=""),"-",(556.82523-261.68333)/3323881.41153*100)</f>
        <v>8.8794353184864262E-3</v>
      </c>
    </row>
    <row r="99" spans="1:7" x14ac:dyDescent="0.25">
      <c r="A99" s="52" t="s">
        <v>102</v>
      </c>
      <c r="B99" s="86">
        <v>546.29123000000004</v>
      </c>
      <c r="C99" s="53">
        <f>IF(OR(467.98757="",546.29123=""),"-",546.29123/467.98757*100)</f>
        <v>116.73199568099642</v>
      </c>
      <c r="D99" s="53">
        <f>IF(467.98757="","-",467.98757/3323881.41153*100)</f>
        <v>1.4079550743796928E-2</v>
      </c>
      <c r="E99" s="53">
        <f>IF(546.29123="","-",546.29123/4403469.79342*100)</f>
        <v>1.2405926590351772E-2</v>
      </c>
      <c r="F99" s="53">
        <f>IF(OR(3771658.08092="",260.26326="",467.98757=""),"-",(467.98757-260.26326)/3771658.08092*100)</f>
        <v>5.5075063948885564E-3</v>
      </c>
      <c r="G99" s="53">
        <f>IF(OR(3323881.41153="",546.29123="",467.98757=""),"-",(546.29123-467.98757)/3323881.41153*100)</f>
        <v>2.3557898223557998E-3</v>
      </c>
    </row>
    <row r="100" spans="1:7" x14ac:dyDescent="0.25">
      <c r="A100" s="52" t="s">
        <v>227</v>
      </c>
      <c r="B100" s="85">
        <v>434.84737999999999</v>
      </c>
      <c r="C100" s="53" t="s">
        <v>345</v>
      </c>
      <c r="D100" s="53">
        <f>IF(119.23986="","-",119.23986/3323881.41153*100)</f>
        <v>3.5873680567055266E-3</v>
      </c>
      <c r="E100" s="53">
        <f>IF(434.84738="","-",434.84738/4403469.79342*100)</f>
        <v>9.8751075946923051E-3</v>
      </c>
      <c r="F100" s="53">
        <f>IF(OR(3771658.08092="",143.74689="",119.23986=""),"-",(119.23986-143.74689)/3771658.08092*100)</f>
        <v>-6.4976807213717915E-4</v>
      </c>
      <c r="G100" s="53">
        <f>IF(OR(3323881.41153="",434.84738="",119.23986=""),"-",(434.84738-119.23986)/3323881.41153*100)</f>
        <v>9.4951498240944832E-3</v>
      </c>
    </row>
    <row r="101" spans="1:7" x14ac:dyDescent="0.25">
      <c r="A101" s="52" t="s">
        <v>124</v>
      </c>
      <c r="B101" s="34">
        <v>413.57628</v>
      </c>
      <c r="C101" s="53" t="s">
        <v>220</v>
      </c>
      <c r="D101" s="53">
        <f>IF(165.61132="","-",165.61132/3323881.41153*100)</f>
        <v>4.982467768721275E-3</v>
      </c>
      <c r="E101" s="53">
        <f>IF(413.57628="","-",413.57628/4403469.79342*100)</f>
        <v>9.3920544343916515E-3</v>
      </c>
      <c r="F101" s="53">
        <f>IF(OR(3771658.08092="",145.57731="",165.61132=""),"-",(165.61132-145.57731)/3771658.08092*100)</f>
        <v>5.3117248621627991E-4</v>
      </c>
      <c r="G101" s="53">
        <f>IF(OR(3323881.41153="",413.57628="",165.61132=""),"-",(413.57628-165.61132)/3323881.41153*100)</f>
        <v>7.4601024916186882E-3</v>
      </c>
    </row>
    <row r="102" spans="1:7" x14ac:dyDescent="0.25">
      <c r="A102" s="52" t="s">
        <v>92</v>
      </c>
      <c r="B102" s="34">
        <v>390.93981000000002</v>
      </c>
      <c r="C102" s="53">
        <f>IF(OR(447.14259="",390.93981=""),"-",390.93981/447.14259*100)</f>
        <v>87.430680669448208</v>
      </c>
      <c r="D102" s="53">
        <f>IF(447.14259="","-",447.14259/3323881.41153*100)</f>
        <v>1.3452423075291904E-2</v>
      </c>
      <c r="E102" s="53">
        <f>IF(390.93981="","-",390.93981/4403469.79342*100)</f>
        <v>8.8779945892707626E-3</v>
      </c>
      <c r="F102" s="53">
        <f>IF(OR(3771658.08092="",389.01676="",447.14259=""),"-",(447.14259-389.01676)/3771658.08092*100)</f>
        <v>1.5411214047754214E-3</v>
      </c>
      <c r="G102" s="53">
        <f>IF(OR(3323881.41153="",390.93981="",447.14259=""),"-",(390.93981-447.14259)/3323881.41153*100)</f>
        <v>-1.6908780140302757E-3</v>
      </c>
    </row>
    <row r="103" spans="1:7" x14ac:dyDescent="0.25">
      <c r="A103" s="52" t="s">
        <v>131</v>
      </c>
      <c r="B103" s="34">
        <v>389.76796000000002</v>
      </c>
      <c r="C103" s="53">
        <f>IF(OR(1021.28896="",389.76796=""),"-",389.76796/1021.28896*100)</f>
        <v>38.164317373997662</v>
      </c>
      <c r="D103" s="53">
        <f>IF(1021.28896="","-",1021.28896/3323881.41153*100)</f>
        <v>3.0725794141070011E-2</v>
      </c>
      <c r="E103" s="53">
        <f>IF(389.76796="","-",389.76796/4403469.79342*100)</f>
        <v>8.8513826206420444E-3</v>
      </c>
      <c r="F103" s="53">
        <f>IF(OR(3771658.08092="",99.96311="",1021.28896=""),"-",(1021.28896-99.96311)/3771658.08092*100)</f>
        <v>2.4427607970637304E-2</v>
      </c>
      <c r="G103" s="53">
        <f>IF(OR(3323881.41153="",389.76796="",1021.28896=""),"-",(389.76796-1021.28896)/3323881.41153*100)</f>
        <v>-1.8999504549390873E-2</v>
      </c>
    </row>
    <row r="104" spans="1:7" x14ac:dyDescent="0.25">
      <c r="A104" s="52" t="s">
        <v>94</v>
      </c>
      <c r="B104" s="86">
        <v>358.87911000000003</v>
      </c>
      <c r="C104" s="53">
        <f>IF(OR(491.63379="",358.87911=""),"-",358.87911/491.63379*100)</f>
        <v>72.997242520698194</v>
      </c>
      <c r="D104" s="53">
        <f>IF(491.63379="","-",491.63379/3323881.41153*100)</f>
        <v>1.4790954583836924E-2</v>
      </c>
      <c r="E104" s="53">
        <f>IF(358.87911="","-",358.87911/4403469.79342*100)</f>
        <v>8.1499164712396689E-3</v>
      </c>
      <c r="F104" s="53">
        <f>IF(OR(3771658.08092="",302.53222="",491.63379=""),"-",(491.63379-302.53222)/3771658.08092*100)</f>
        <v>5.0137516695011085E-3</v>
      </c>
      <c r="G104" s="53">
        <f>IF(OR(3323881.41153="",358.87911="",491.63379=""),"-",(358.87911-491.63379)/3323881.41153*100)</f>
        <v>-3.9939655951471585E-3</v>
      </c>
    </row>
    <row r="105" spans="1:7" x14ac:dyDescent="0.25">
      <c r="A105" s="52" t="s">
        <v>107</v>
      </c>
      <c r="B105" s="86">
        <v>271.15620999999999</v>
      </c>
      <c r="C105" s="53" t="s">
        <v>224</v>
      </c>
      <c r="D105" s="53">
        <f>IF(176.85317="","-",176.85317/3323881.41153*100)</f>
        <v>5.3206823019174305E-3</v>
      </c>
      <c r="E105" s="53">
        <f>IF(271.15621="","-",271.15621/4403469.79342*100)</f>
        <v>6.1577851721654198E-3</v>
      </c>
      <c r="F105" s="53">
        <f>IF(OR(3771658.08092="",192.31928="",176.85317=""),"-",(176.85317-192.31928)/3771658.08092*100)</f>
        <v>-4.1006129580620476E-4</v>
      </c>
      <c r="G105" s="53">
        <f>IF(OR(3323881.41153="",271.15621="",176.85317=""),"-",(271.15621-176.85317)/3323881.41153*100)</f>
        <v>2.8371361166158993E-3</v>
      </c>
    </row>
    <row r="106" spans="1:7" x14ac:dyDescent="0.25">
      <c r="A106" s="52" t="s">
        <v>90</v>
      </c>
      <c r="B106" s="85">
        <v>257.27354000000003</v>
      </c>
      <c r="C106" s="53">
        <f>IF(OR(217.43132="",257.27354=""),"-",257.27354/217.43132*100)</f>
        <v>118.32404825578948</v>
      </c>
      <c r="D106" s="53">
        <f>IF(217.43132="","-",217.43132/3323881.41153*100)</f>
        <v>6.5414884913091772E-3</v>
      </c>
      <c r="E106" s="53">
        <f>IF(257.27354="","-",257.27354/4403469.79342*100)</f>
        <v>5.8425185608048848E-3</v>
      </c>
      <c r="F106" s="53">
        <f>IF(OR(3771658.08092="",456.59416="",217.43132=""),"-",(217.43132-456.59416)/3771658.08092*100)</f>
        <v>-6.3410530559456831E-3</v>
      </c>
      <c r="G106" s="53">
        <f>IF(OR(3323881.41153="",257.27354="",217.43132=""),"-",(257.27354-217.43132)/3323881.41153*100)</f>
        <v>1.1986655077944083E-3</v>
      </c>
    </row>
    <row r="107" spans="1:7" x14ac:dyDescent="0.25">
      <c r="A107" s="52" t="s">
        <v>135</v>
      </c>
      <c r="B107" s="86">
        <v>207.35016999999999</v>
      </c>
      <c r="C107" s="53" t="s">
        <v>224</v>
      </c>
      <c r="D107" s="53">
        <f>IF(137.13504="","-",137.13504/3323881.41153*100)</f>
        <v>4.1257500801412774E-3</v>
      </c>
      <c r="E107" s="53">
        <f>IF(207.35017="","-",207.35017/4403469.79342*100)</f>
        <v>4.7087905612487315E-3</v>
      </c>
      <c r="F107" s="53">
        <f>IF(OR(3771658.08092="",72.40079="",137.13504=""),"-",(137.13504-72.40079)/3771658.08092*100)</f>
        <v>1.7163339998256079E-3</v>
      </c>
      <c r="G107" s="53">
        <f>IF(OR(3323881.41153="",207.35017="",137.13504=""),"-",(207.35017-137.13504)/3323881.41153*100)</f>
        <v>2.1124438963566871E-3</v>
      </c>
    </row>
    <row r="108" spans="1:7" x14ac:dyDescent="0.25">
      <c r="A108" s="52" t="s">
        <v>60</v>
      </c>
      <c r="B108" s="34">
        <v>206.57146</v>
      </c>
      <c r="C108" s="53" t="s">
        <v>105</v>
      </c>
      <c r="D108" s="53">
        <f>IF(108.62021="","-",108.62021/3323881.41153*100)</f>
        <v>3.2678726028917359E-3</v>
      </c>
      <c r="E108" s="53">
        <f>IF(206.57146="","-",206.57146/4403469.79342*100)</f>
        <v>4.6911065521256625E-3</v>
      </c>
      <c r="F108" s="53">
        <f>IF(OR(3771658.08092="",305.84723="",108.62021=""),"-",(108.62021-305.84723)/3771658.08092*100)</f>
        <v>-5.2291860971631745E-3</v>
      </c>
      <c r="G108" s="53">
        <f>IF(OR(3323881.41153="",206.57146="",108.62021=""),"-",(206.57146-108.62021)/3323881.41153*100)</f>
        <v>2.9468936424814421E-3</v>
      </c>
    </row>
    <row r="109" spans="1:7" x14ac:dyDescent="0.25">
      <c r="A109" s="52" t="s">
        <v>134</v>
      </c>
      <c r="B109" s="85">
        <v>139.65822</v>
      </c>
      <c r="C109" s="53">
        <f>IF(OR(157.75198="",139.65822=""),"-",139.65822/157.75198*100)</f>
        <v>88.530248558528385</v>
      </c>
      <c r="D109" s="53">
        <f>IF(157.75198="","-",157.75198/3323881.41153*100)</f>
        <v>4.7460170947370211E-3</v>
      </c>
      <c r="E109" s="53">
        <f>IF(139.65822="","-",139.65822/4403469.79342*100)</f>
        <v>3.1715494042604303E-3</v>
      </c>
      <c r="F109" s="53">
        <f>IF(OR(3771658.08092="",117.76482="",157.75198=""),"-",(157.75198-117.76482)/3771658.08092*100)</f>
        <v>1.060201087746696E-3</v>
      </c>
      <c r="G109" s="53">
        <f>IF(OR(3323881.41153="",139.65822="",157.75198=""),"-",(139.65822-157.75198)/3323881.41153*100)</f>
        <v>-5.4435636413608843E-4</v>
      </c>
    </row>
    <row r="110" spans="1:7" x14ac:dyDescent="0.25">
      <c r="A110" s="52" t="s">
        <v>387</v>
      </c>
      <c r="B110" s="86">
        <v>133.82289</v>
      </c>
      <c r="C110" s="53" t="s">
        <v>390</v>
      </c>
      <c r="D110" s="53">
        <f>IF(0.05749="","-",0.05749/3323881.41153*100)</f>
        <v>1.7296044257348233E-6</v>
      </c>
      <c r="E110" s="53">
        <f>IF(133.82289="","-",133.82289/4403469.79342*100)</f>
        <v>3.0390327691124019E-3</v>
      </c>
      <c r="F110" s="53" t="str">
        <f>IF(OR(3771658.08092="",""="",0.05749=""),"-",(0.05749-"")/3771658.08092*100)</f>
        <v>-</v>
      </c>
      <c r="G110" s="53">
        <f>IF(OR(3323881.41153="",133.82289="",0.05749=""),"-",(133.82289-0.05749)/3323881.41153*100)</f>
        <v>4.0243734188587397E-3</v>
      </c>
    </row>
    <row r="111" spans="1:7" x14ac:dyDescent="0.25">
      <c r="A111" s="52" t="s">
        <v>143</v>
      </c>
      <c r="B111" s="86">
        <v>122.35749</v>
      </c>
      <c r="C111" s="53" t="s">
        <v>103</v>
      </c>
      <c r="D111" s="53">
        <f>IF(73.41574="","-",73.41574/3323881.41153*100)</f>
        <v>2.2087352378256583E-3</v>
      </c>
      <c r="E111" s="53">
        <f>IF(122.35749="","-",122.35749/4403469.79342*100)</f>
        <v>2.7786608229454848E-3</v>
      </c>
      <c r="F111" s="53">
        <f>IF(OR(3771658.08092="",88.83409="",73.41574=""),"-",(73.41574-88.83409)/3771658.08092*100)</f>
        <v>-4.0879500922944451E-4</v>
      </c>
      <c r="G111" s="53">
        <f>IF(OR(3323881.41153="",122.35749="",73.41574=""),"-",(122.35749-73.41574)/3323881.41153*100)</f>
        <v>1.4724276813916732E-3</v>
      </c>
    </row>
    <row r="112" spans="1:7" x14ac:dyDescent="0.25">
      <c r="A112" s="52" t="s">
        <v>111</v>
      </c>
      <c r="B112" s="86">
        <v>113.63933</v>
      </c>
      <c r="C112" s="53">
        <f>IF(OR(471.90765="",113.63933=""),"-",113.63933/471.90765*100)</f>
        <v>24.080840817053932</v>
      </c>
      <c r="D112" s="53">
        <f>IF(471.90765="","-",471.90765/3323881.41153*100)</f>
        <v>1.4197487562673855E-2</v>
      </c>
      <c r="E112" s="53">
        <f>IF(113.63933="","-",113.63933/4403469.79342*100)</f>
        <v>2.5806769509310258E-3</v>
      </c>
      <c r="F112" s="53">
        <f>IF(OR(3771658.08092="",407.93866="",471.90765=""),"-",(471.90765-407.93866)/3771658.08092*100)</f>
        <v>1.6960442497055924E-3</v>
      </c>
      <c r="G112" s="53">
        <f>IF(OR(3323881.41153="",113.63933="",471.90765=""),"-",(113.63933-471.90765)/3323881.41153*100)</f>
        <v>-1.0778613182685337E-2</v>
      </c>
    </row>
    <row r="113" spans="1:7" x14ac:dyDescent="0.25">
      <c r="A113" s="52" t="s">
        <v>218</v>
      </c>
      <c r="B113" s="34">
        <v>112.33360999999999</v>
      </c>
      <c r="C113" s="53" t="s">
        <v>348</v>
      </c>
      <c r="D113" s="53">
        <f>IF(23.07413="","-",23.07413/3323881.41153*100)</f>
        <v>6.9419233550149003E-4</v>
      </c>
      <c r="E113" s="53">
        <f>IF(112.33361="","-",112.33361/4403469.79342*100)</f>
        <v>2.5510248796950402E-3</v>
      </c>
      <c r="F113" s="53">
        <f>IF(OR(3771658.08092="",80.6278="",23.07413=""),"-",(23.07413-80.6278)/3771658.08092*100)</f>
        <v>-1.5259514188508108E-3</v>
      </c>
      <c r="G113" s="53">
        <f>IF(OR(3323881.41153="",112.33361="",23.07413=""),"-",(112.33361-23.07413)/3323881.41153*100)</f>
        <v>2.6853990545623401E-3</v>
      </c>
    </row>
    <row r="114" spans="1:7" x14ac:dyDescent="0.25">
      <c r="A114" s="52" t="s">
        <v>228</v>
      </c>
      <c r="B114" s="86">
        <v>107.49491999999999</v>
      </c>
      <c r="C114" s="53" t="s">
        <v>391</v>
      </c>
      <c r="D114" s="53">
        <f>IF(12.77496="","-",12.77496/3323881.41153*100)</f>
        <v>3.8433862157915004E-4</v>
      </c>
      <c r="E114" s="53">
        <f>IF(107.49492="","-",107.49492/4403469.79342*100)</f>
        <v>2.4411413054456987E-3</v>
      </c>
      <c r="F114" s="53">
        <f>IF(OR(3771658.08092="",4.24819="",12.77496=""),"-",(12.77496-4.24819)/3771658.08092*100)</f>
        <v>2.2607484074802745E-4</v>
      </c>
      <c r="G114" s="53">
        <f>IF(OR(3323881.41153="",107.49492="",12.77496=""),"-",(107.49492-12.77496)/3323881.41153*100)</f>
        <v>2.8496792837263076E-3</v>
      </c>
    </row>
    <row r="115" spans="1:7" x14ac:dyDescent="0.25">
      <c r="A115" s="52" t="s">
        <v>341</v>
      </c>
      <c r="B115" s="34">
        <v>104.00191</v>
      </c>
      <c r="C115" s="53">
        <f>IF(OR(338.16136="",104.00191=""),"-",104.00191/338.16136*100)</f>
        <v>30.755113476004471</v>
      </c>
      <c r="D115" s="53">
        <f>IF(338.16136="","-",338.16136/3323881.41153*100)</f>
        <v>1.0173689074073872E-2</v>
      </c>
      <c r="E115" s="53">
        <f>IF(104.00191="","-",104.00191/4403469.79342*100)</f>
        <v>2.3618172686322857E-3</v>
      </c>
      <c r="F115" s="53">
        <f>IF(OR(3771658.08092="",353.61115="",338.16136=""),"-",(338.16136-353.61115)/3771658.08092*100)</f>
        <v>-4.0962859486540269E-4</v>
      </c>
      <c r="G115" s="53">
        <f>IF(OR(3323881.41153="",104.00191="",338.16136=""),"-",(104.00191-338.16136)/3323881.41153*100)</f>
        <v>-7.0447594546465837E-3</v>
      </c>
    </row>
    <row r="116" spans="1:7" x14ac:dyDescent="0.25">
      <c r="A116" s="52" t="s">
        <v>132</v>
      </c>
      <c r="B116" s="86">
        <v>97.044060000000002</v>
      </c>
      <c r="C116" s="53">
        <f>IF(OR(81.89183="",97.04406=""),"-",97.04406/81.89183*100)</f>
        <v>118.50273708622706</v>
      </c>
      <c r="D116" s="53">
        <f>IF(81.89183="","-",81.89183/3323881.41153*100)</f>
        <v>2.4637410262571538E-3</v>
      </c>
      <c r="E116" s="53">
        <f>IF(97.04406="","-",97.04406/4403469.79342*100)</f>
        <v>2.203808917799564E-3</v>
      </c>
      <c r="F116" s="53">
        <f>IF(OR(3771658.08092="",52.21883="",81.89183=""),"-",(81.89183-52.21883)/3771658.08092*100)</f>
        <v>7.867362142424646E-4</v>
      </c>
      <c r="G116" s="53">
        <f>IF(OR(3323881.41153="",97.04406="",81.89183=""),"-",(97.04406-81.89183)/3323881.41153*100)</f>
        <v>4.5585952457387314E-4</v>
      </c>
    </row>
    <row r="117" spans="1:7" x14ac:dyDescent="0.25">
      <c r="A117" s="52" t="s">
        <v>322</v>
      </c>
      <c r="B117" s="86">
        <v>91.963800000000006</v>
      </c>
      <c r="C117" s="53" t="s">
        <v>328</v>
      </c>
      <c r="D117" s="53">
        <f>IF(15.76639="","-",15.76639/3323881.41153*100)</f>
        <v>4.7433671807029502E-4</v>
      </c>
      <c r="E117" s="53">
        <f>IF(91.9638="","-",91.9638/4403469.79342*100)</f>
        <v>2.0884394424010655E-3</v>
      </c>
      <c r="F117" s="53">
        <f>IF(OR(3771658.08092="",63.86123="",15.76639=""),"-",(15.76639-63.86123)/3771658.08092*100)</f>
        <v>-1.2751643698378004E-3</v>
      </c>
      <c r="G117" s="53">
        <f>IF(OR(3323881.41153="",91.9638="",15.76639=""),"-",(91.9638-15.76639)/3323881.41153*100)</f>
        <v>2.2924226398596433E-3</v>
      </c>
    </row>
    <row r="118" spans="1:7" x14ac:dyDescent="0.25">
      <c r="A118" s="52" t="s">
        <v>210</v>
      </c>
      <c r="B118" s="85">
        <v>88.016360000000006</v>
      </c>
      <c r="C118" s="53">
        <f>IF(OR(76.76582="",88.01636=""),"-",88.01636/76.76582*100)</f>
        <v>114.65566315842128</v>
      </c>
      <c r="D118" s="53">
        <f>IF(76.76582="","-",76.76582/3323881.41153*100)</f>
        <v>2.3095234304603032E-3</v>
      </c>
      <c r="E118" s="53">
        <f>IF(88.01636="","-",88.01636/4403469.79342*100)</f>
        <v>1.9987955891401991E-3</v>
      </c>
      <c r="F118" s="53">
        <f>IF(OR(3771658.08092="",53.80411="",76.76582=""),"-",(76.76582-53.80411)/3771658.08092*100)</f>
        <v>6.0879617153416718E-4</v>
      </c>
      <c r="G118" s="53">
        <f>IF(OR(3323881.41153="",88.01636="",76.76582=""),"-",(88.01636-76.76582)/3323881.41153*100)</f>
        <v>3.3847597453307812E-4</v>
      </c>
    </row>
    <row r="119" spans="1:7" x14ac:dyDescent="0.25">
      <c r="A119" s="52" t="s">
        <v>342</v>
      </c>
      <c r="B119" s="34">
        <v>77.925190000000001</v>
      </c>
      <c r="C119" s="53" t="s">
        <v>392</v>
      </c>
      <c r="D119" s="53">
        <f>IF(0.19287="","-",0.19287/3323881.41153*100)</f>
        <v>5.8025535848230199E-6</v>
      </c>
      <c r="E119" s="53">
        <f>IF(77.92519="","-",77.92519/4403469.79342*100)</f>
        <v>1.7696315327617724E-3</v>
      </c>
      <c r="F119" s="53">
        <f>IF(OR(3771658.08092="",0.09312="",0.19287=""),"-",(0.19287-0.09312)/3771658.08092*100)</f>
        <v>2.6447254194279598E-6</v>
      </c>
      <c r="G119" s="53">
        <f>IF(OR(3323881.41153="",77.92519="",0.19287=""),"-",(77.92519-0.19287)/3323881.41153*100)</f>
        <v>2.3386008817991915E-3</v>
      </c>
    </row>
    <row r="120" spans="1:7" x14ac:dyDescent="0.25">
      <c r="A120" s="52" t="s">
        <v>324</v>
      </c>
      <c r="B120" s="86">
        <v>77.091610000000003</v>
      </c>
      <c r="C120" s="53">
        <f>IF(OR(51.94094="",77.09161=""),"-",77.09161/51.94094*100)</f>
        <v>148.42166891858329</v>
      </c>
      <c r="D120" s="53">
        <f>IF(51.94094="","-",51.94094/3323881.41153*100)</f>
        <v>1.5626592398821867E-3</v>
      </c>
      <c r="E120" s="53">
        <f>IF(77.09161="","-",77.09161/4403469.79342*100)</f>
        <v>1.7507014608161083E-3</v>
      </c>
      <c r="F120" s="53">
        <f>IF(OR(3771658.08092="",44.57042="",51.94094=""),"-",(51.94094-44.57042)/3771658.08092*100)</f>
        <v>1.954185623899966E-4</v>
      </c>
      <c r="G120" s="53">
        <f>IF(OR(3323881.41153="",77.09161="",51.94094=""),"-",(77.09161-51.94094)/3323881.41153*100)</f>
        <v>7.5666568346140304E-4</v>
      </c>
    </row>
    <row r="121" spans="1:7" x14ac:dyDescent="0.25">
      <c r="A121" s="52" t="s">
        <v>332</v>
      </c>
      <c r="B121" s="85">
        <v>70.026089999999996</v>
      </c>
      <c r="C121" s="53" t="s">
        <v>393</v>
      </c>
      <c r="D121" s="53">
        <f>IF(21.80179="","-",21.80179/3323881.41153*100)</f>
        <v>6.5591359319779464E-4</v>
      </c>
      <c r="E121" s="53">
        <f>IF(70.02609="","-",70.02609/4403469.79342*100)</f>
        <v>1.5902479927224278E-3</v>
      </c>
      <c r="F121" s="53">
        <f>IF(OR(3771658.08092="",43.89943="",21.80179=""),"-",(21.80179-43.89943)/3771658.08092*100)</f>
        <v>-5.8588661872048184E-4</v>
      </c>
      <c r="G121" s="53">
        <f>IF(OR(3323881.41153="",70.02609="",21.80179=""),"-",(70.02609-21.80179)/3323881.41153*100)</f>
        <v>1.4508429763082943E-3</v>
      </c>
    </row>
    <row r="122" spans="1:7" x14ac:dyDescent="0.25">
      <c r="A122" s="52" t="s">
        <v>323</v>
      </c>
      <c r="B122" s="34">
        <v>67.450429999999997</v>
      </c>
      <c r="C122" s="53">
        <f>IF(OR(72.09923="",67.45043=""),"-",67.45043/72.09923*100)</f>
        <v>93.552219628420431</v>
      </c>
      <c r="D122" s="53">
        <f>IF(72.09923="","-",72.09923/3323881.41153*100)</f>
        <v>2.1691276274147324E-3</v>
      </c>
      <c r="E122" s="53">
        <f>IF(67.45043="","-",67.45043/4403469.79342*100)</f>
        <v>1.5317563913073633E-3</v>
      </c>
      <c r="F122" s="53">
        <f>IF(OR(3771658.08092="",88.87126="",72.09923=""),"-",(72.09923-88.87126)/3771658.08092*100)</f>
        <v>-4.4468585540258969E-4</v>
      </c>
      <c r="G122" s="53">
        <f>IF(OR(3323881.41153="",67.45043="",72.09923=""),"-",(67.45043-72.09923)/3323881.41153*100)</f>
        <v>-1.3986058539495672E-4</v>
      </c>
    </row>
    <row r="123" spans="1:7" x14ac:dyDescent="0.25">
      <c r="A123" s="52" t="s">
        <v>351</v>
      </c>
      <c r="B123" s="34">
        <v>47.277880000000003</v>
      </c>
      <c r="C123" s="53" t="s">
        <v>338</v>
      </c>
      <c r="D123" s="53">
        <f>IF(10.53276="","-",10.53276/3323881.41153*100)</f>
        <v>3.1688134129766426E-4</v>
      </c>
      <c r="E123" s="53">
        <f>IF(47.27788="","-",47.27788/4403469.79342*100)</f>
        <v>1.0736506032276232E-3</v>
      </c>
      <c r="F123" s="53">
        <f>IF(OR(3771658.08092="",27.80921="",10.53276=""),"-",(10.53276-27.80921)/3771658.08092*100)</f>
        <v>-4.5805981426041276E-4</v>
      </c>
      <c r="G123" s="53">
        <f>IF(OR(3323881.41153="",47.27788="",10.53276=""),"-",(47.27788-10.53276)/3323881.41153*100)</f>
        <v>1.1054882966804172E-3</v>
      </c>
    </row>
    <row r="124" spans="1:7" x14ac:dyDescent="0.25">
      <c r="A124" s="54" t="s">
        <v>352</v>
      </c>
      <c r="B124" s="87">
        <v>45.983170000000001</v>
      </c>
      <c r="C124" s="56">
        <f>IF(OR(51.41463="",45.98317=""),"-",45.98317/51.41463*100)</f>
        <v>89.435964043697297</v>
      </c>
      <c r="D124" s="56">
        <f>IF(51.41463="","-",51.41463/3323881.41153*100)</f>
        <v>1.54682504079872E-3</v>
      </c>
      <c r="E124" s="56">
        <f>IF(45.98317="","-",45.98317/4403469.79342*100)</f>
        <v>1.0442485620932738E-3</v>
      </c>
      <c r="F124" s="56">
        <f>IF(OR(3771658.08092="",91.79719="",51.41463=""),"-",(51.41463-91.79719)/3771658.08092*100)</f>
        <v>-1.0706845406874661E-3</v>
      </c>
      <c r="G124" s="56">
        <f>IF(OR(3323881.41153="",45.98317="",51.41463=""),"-",(45.98317-51.41463)/3323881.41153*100)</f>
        <v>-1.6340715349107089E-4</v>
      </c>
    </row>
    <row r="125" spans="1:7" x14ac:dyDescent="0.25">
      <c r="A125" s="42" t="s">
        <v>305</v>
      </c>
      <c r="B125" s="43"/>
      <c r="C125" s="43"/>
      <c r="D125" s="43"/>
      <c r="E125" s="43"/>
      <c r="F125" s="7"/>
      <c r="G125" s="7"/>
    </row>
    <row r="126" spans="1:7" x14ac:dyDescent="0.25">
      <c r="A126" s="99" t="s">
        <v>319</v>
      </c>
      <c r="B126" s="99"/>
      <c r="C126" s="99"/>
      <c r="D126" s="99"/>
      <c r="E126" s="99"/>
      <c r="F126" s="7"/>
      <c r="G126" s="7"/>
    </row>
  </sheetData>
  <mergeCells count="10">
    <mergeCell ref="A126:E126"/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55"/>
  <sheetViews>
    <sheetView workbookViewId="0">
      <selection activeCell="H15" sqref="H15"/>
    </sheetView>
  </sheetViews>
  <sheetFormatPr defaultRowHeight="15.75" x14ac:dyDescent="0.25"/>
  <cols>
    <col min="1" max="1" width="44.25" customWidth="1"/>
    <col min="2" max="2" width="14.625" customWidth="1"/>
    <col min="3" max="3" width="14.125" customWidth="1"/>
    <col min="4" max="4" width="17" customWidth="1"/>
  </cols>
  <sheetData>
    <row r="1" spans="1:5" x14ac:dyDescent="0.25">
      <c r="A1" s="113" t="s">
        <v>139</v>
      </c>
      <c r="B1" s="113"/>
      <c r="C1" s="113"/>
      <c r="D1" s="113"/>
    </row>
    <row r="2" spans="1:5" x14ac:dyDescent="0.25">
      <c r="A2" s="4"/>
    </row>
    <row r="3" spans="1:5" ht="21.75" customHeight="1" x14ac:dyDescent="0.25">
      <c r="A3" s="114"/>
      <c r="B3" s="118" t="s">
        <v>367</v>
      </c>
      <c r="C3" s="119"/>
      <c r="D3" s="116" t="s">
        <v>368</v>
      </c>
      <c r="E3" s="1"/>
    </row>
    <row r="4" spans="1:5" ht="23.25" customHeight="1" x14ac:dyDescent="0.25">
      <c r="A4" s="115"/>
      <c r="B4" s="18">
        <v>2020</v>
      </c>
      <c r="C4" s="17">
        <v>2021</v>
      </c>
      <c r="D4" s="117"/>
      <c r="E4" s="1"/>
    </row>
    <row r="5" spans="1:5" ht="16.5" customHeight="1" x14ac:dyDescent="0.25">
      <c r="A5" s="74" t="s">
        <v>219</v>
      </c>
      <c r="B5" s="49">
        <v>-1798664.9568400001</v>
      </c>
      <c r="C5" s="49">
        <v>-2594736.3000400001</v>
      </c>
      <c r="D5" s="92">
        <f>IF(-1798664.95684="","-",-2594736.30004/-1798664.95684*100)</f>
        <v>144.25901222863567</v>
      </c>
    </row>
    <row r="6" spans="1:5" x14ac:dyDescent="0.25">
      <c r="A6" s="75" t="s">
        <v>133</v>
      </c>
      <c r="B6" s="91"/>
      <c r="C6" s="91"/>
      <c r="D6" s="93"/>
    </row>
    <row r="7" spans="1:5" x14ac:dyDescent="0.25">
      <c r="A7" s="50" t="s">
        <v>331</v>
      </c>
      <c r="B7" s="51">
        <v>-530191.72282000002</v>
      </c>
      <c r="C7" s="51">
        <v>-918073.49355000001</v>
      </c>
      <c r="D7" s="94">
        <f>IF(-530191.72282="","-",-918073.49355/-530191.72282*100)</f>
        <v>173.15877521944751</v>
      </c>
    </row>
    <row r="8" spans="1:5" x14ac:dyDescent="0.25">
      <c r="A8" s="52" t="s">
        <v>4</v>
      </c>
      <c r="B8" s="83">
        <v>-134536.72944</v>
      </c>
      <c r="C8" s="53">
        <v>-186782.85243999999</v>
      </c>
      <c r="D8" s="95">
        <f>IF(OR(-134536.72944="",-186782.85244="",-134536.72944=0),"-",-186782.85244/-134536.72944*100)</f>
        <v>138.83409624826689</v>
      </c>
    </row>
    <row r="9" spans="1:5" x14ac:dyDescent="0.25">
      <c r="A9" s="52" t="s">
        <v>3</v>
      </c>
      <c r="B9" s="83">
        <v>-80018.946410000004</v>
      </c>
      <c r="C9" s="53">
        <v>-153595.17306999999</v>
      </c>
      <c r="D9" s="95" t="s">
        <v>105</v>
      </c>
    </row>
    <row r="10" spans="1:5" x14ac:dyDescent="0.25">
      <c r="A10" s="52" t="s">
        <v>5</v>
      </c>
      <c r="B10" s="83">
        <v>-67459.762220000004</v>
      </c>
      <c r="C10" s="53">
        <v>-101234.69203000001</v>
      </c>
      <c r="D10" s="95" t="s">
        <v>224</v>
      </c>
    </row>
    <row r="11" spans="1:5" x14ac:dyDescent="0.25">
      <c r="A11" s="52" t="s">
        <v>371</v>
      </c>
      <c r="B11" s="83">
        <v>-60002.157930000001</v>
      </c>
      <c r="C11" s="53">
        <v>-91979.884460000001</v>
      </c>
      <c r="D11" s="95" t="s">
        <v>224</v>
      </c>
    </row>
    <row r="12" spans="1:5" x14ac:dyDescent="0.25">
      <c r="A12" s="52" t="s">
        <v>42</v>
      </c>
      <c r="B12" s="83">
        <v>-52123.175770000002</v>
      </c>
      <c r="C12" s="53">
        <v>-56315.657359999997</v>
      </c>
      <c r="D12" s="95">
        <f>IF(OR(-52123.17577="",-56315.65736="",-52123.17577=0),"-",-56315.65736/-52123.17577*100)</f>
        <v>108.04341164571369</v>
      </c>
    </row>
    <row r="13" spans="1:5" x14ac:dyDescent="0.25">
      <c r="A13" s="52" t="s">
        <v>8</v>
      </c>
      <c r="B13" s="83">
        <v>-24730.497879999999</v>
      </c>
      <c r="C13" s="53">
        <v>-54036.742559999999</v>
      </c>
      <c r="D13" s="95" t="s">
        <v>211</v>
      </c>
    </row>
    <row r="14" spans="1:5" x14ac:dyDescent="0.25">
      <c r="A14" s="52" t="s">
        <v>2</v>
      </c>
      <c r="B14" s="83">
        <v>15074.024740000001</v>
      </c>
      <c r="C14" s="53">
        <v>-49263.836199999998</v>
      </c>
      <c r="D14" s="95" t="s">
        <v>22</v>
      </c>
    </row>
    <row r="15" spans="1:5" x14ac:dyDescent="0.25">
      <c r="A15" s="52" t="s">
        <v>40</v>
      </c>
      <c r="B15" s="83">
        <v>-26639.779559999999</v>
      </c>
      <c r="C15" s="53">
        <v>-41467.725749999998</v>
      </c>
      <c r="D15" s="95" t="s">
        <v>104</v>
      </c>
    </row>
    <row r="16" spans="1:5" x14ac:dyDescent="0.25">
      <c r="A16" s="52" t="s">
        <v>6</v>
      </c>
      <c r="B16" s="83">
        <v>-15180.903469999999</v>
      </c>
      <c r="C16" s="53">
        <v>-29747.320899999999</v>
      </c>
      <c r="D16" s="95" t="s">
        <v>20</v>
      </c>
    </row>
    <row r="17" spans="1:4" x14ac:dyDescent="0.25">
      <c r="A17" s="52" t="s">
        <v>10</v>
      </c>
      <c r="B17" s="83">
        <v>-12182.564329999999</v>
      </c>
      <c r="C17" s="53">
        <v>-24607.996050000002</v>
      </c>
      <c r="D17" s="95" t="s">
        <v>20</v>
      </c>
    </row>
    <row r="18" spans="1:4" x14ac:dyDescent="0.25">
      <c r="A18" s="52" t="s">
        <v>7</v>
      </c>
      <c r="B18" s="83">
        <v>-2627.3826600000002</v>
      </c>
      <c r="C18" s="53">
        <v>-20759.683229999999</v>
      </c>
      <c r="D18" s="95" t="s">
        <v>395</v>
      </c>
    </row>
    <row r="19" spans="1:4" x14ac:dyDescent="0.25">
      <c r="A19" s="52" t="s">
        <v>52</v>
      </c>
      <c r="B19" s="83">
        <v>-14569.635109999999</v>
      </c>
      <c r="C19" s="53">
        <v>-18910.694490000002</v>
      </c>
      <c r="D19" s="95">
        <f>IF(OR(-14569.63511="",-18910.69449="",-14569.63511=0),"-",-18910.69449/-14569.63511*100)</f>
        <v>129.79525120035765</v>
      </c>
    </row>
    <row r="20" spans="1:4" x14ac:dyDescent="0.25">
      <c r="A20" s="52" t="s">
        <v>44</v>
      </c>
      <c r="B20" s="83">
        <v>-12183.660889999999</v>
      </c>
      <c r="C20" s="53">
        <v>-17265.128659999998</v>
      </c>
      <c r="D20" s="95">
        <f>IF(OR(-12183.66089="",-17265.12866="",-12183.66089=0),"-",-17265.12866/-12183.66089*100)</f>
        <v>141.7072324638543</v>
      </c>
    </row>
    <row r="21" spans="1:4" x14ac:dyDescent="0.25">
      <c r="A21" s="52" t="s">
        <v>50</v>
      </c>
      <c r="B21" s="83">
        <v>-12757.35168</v>
      </c>
      <c r="C21" s="53">
        <v>-16825.961889999999</v>
      </c>
      <c r="D21" s="95">
        <f>IF(OR(-12757.35168="",-16825.96189="",-12757.35168=0),"-",-16825.96189/-12757.35168*100)</f>
        <v>131.89227915052663</v>
      </c>
    </row>
    <row r="22" spans="1:4" x14ac:dyDescent="0.25">
      <c r="A22" s="52" t="s">
        <v>41</v>
      </c>
      <c r="B22" s="83">
        <v>-17564.114320000001</v>
      </c>
      <c r="C22" s="53">
        <v>-15319.940039999999</v>
      </c>
      <c r="D22" s="95">
        <f>IF(OR(-17564.11432="",-15319.94004="",-17564.11432=0),"-",-15319.94004/-17564.11432*100)</f>
        <v>87.222957906595994</v>
      </c>
    </row>
    <row r="23" spans="1:4" x14ac:dyDescent="0.25">
      <c r="A23" s="52" t="s">
        <v>48</v>
      </c>
      <c r="B23" s="83">
        <v>-7558.8392100000001</v>
      </c>
      <c r="C23" s="53">
        <v>-9524.7741499999993</v>
      </c>
      <c r="D23" s="95">
        <f>IF(OR(-7558.83921="",-9524.77415="",-7558.83921=0),"-",-9524.77415/-7558.83921*100)</f>
        <v>126.00842385162998</v>
      </c>
    </row>
    <row r="24" spans="1:4" x14ac:dyDescent="0.25">
      <c r="A24" s="52" t="s">
        <v>49</v>
      </c>
      <c r="B24" s="83">
        <v>-6178.8666999999996</v>
      </c>
      <c r="C24" s="53">
        <v>-8239.4803599999996</v>
      </c>
      <c r="D24" s="95">
        <f>IF(OR(-6178.8667="",-8239.48036="",-6178.8667=0),"-",-8239.48036/-6178.8667*100)</f>
        <v>133.34937877847406</v>
      </c>
    </row>
    <row r="25" spans="1:4" x14ac:dyDescent="0.25">
      <c r="A25" s="52" t="s">
        <v>45</v>
      </c>
      <c r="B25" s="83">
        <v>-2010.2914000000001</v>
      </c>
      <c r="C25" s="53">
        <v>-6065.1160099999997</v>
      </c>
      <c r="D25" s="95" t="s">
        <v>325</v>
      </c>
    </row>
    <row r="26" spans="1:4" x14ac:dyDescent="0.25">
      <c r="A26" s="52" t="s">
        <v>372</v>
      </c>
      <c r="B26" s="83">
        <v>-2834.4236000000001</v>
      </c>
      <c r="C26" s="53">
        <v>-4752.8130000000001</v>
      </c>
      <c r="D26" s="95" t="s">
        <v>103</v>
      </c>
    </row>
    <row r="27" spans="1:4" x14ac:dyDescent="0.25">
      <c r="A27" s="52" t="s">
        <v>53</v>
      </c>
      <c r="B27" s="83">
        <v>-4231.2013100000004</v>
      </c>
      <c r="C27" s="53">
        <v>-4206.3054499999998</v>
      </c>
      <c r="D27" s="95">
        <f>IF(OR(-4231.20131="",-4206.30545="",-4231.20131=0),"-",-4206.30545/-4231.20131*100)</f>
        <v>99.411612490732566</v>
      </c>
    </row>
    <row r="28" spans="1:4" x14ac:dyDescent="0.25">
      <c r="A28" s="52" t="s">
        <v>43</v>
      </c>
      <c r="B28" s="83">
        <v>-4887.0687900000003</v>
      </c>
      <c r="C28" s="53">
        <v>-3966.16194</v>
      </c>
      <c r="D28" s="95">
        <f>IF(OR(-4887.06879="",-3966.16194="",-4887.06879=0),"-",-3966.16194/-4887.06879*100)</f>
        <v>81.156253583244521</v>
      </c>
    </row>
    <row r="29" spans="1:4" x14ac:dyDescent="0.25">
      <c r="A29" s="52" t="s">
        <v>9</v>
      </c>
      <c r="B29" s="83">
        <v>7013.8050599999997</v>
      </c>
      <c r="C29" s="53">
        <v>-1742.347</v>
      </c>
      <c r="D29" s="95" t="s">
        <v>22</v>
      </c>
    </row>
    <row r="30" spans="1:4" x14ac:dyDescent="0.25">
      <c r="A30" s="52" t="s">
        <v>54</v>
      </c>
      <c r="B30" s="83">
        <v>-697.99892</v>
      </c>
      <c r="C30" s="53">
        <v>-1698.5788299999999</v>
      </c>
      <c r="D30" s="95" t="s">
        <v>310</v>
      </c>
    </row>
    <row r="31" spans="1:4" x14ac:dyDescent="0.25">
      <c r="A31" s="52" t="s">
        <v>46</v>
      </c>
      <c r="B31" s="83">
        <v>1277.5836300000001</v>
      </c>
      <c r="C31" s="53">
        <v>-1619.64786</v>
      </c>
      <c r="D31" s="95" t="s">
        <v>22</v>
      </c>
    </row>
    <row r="32" spans="1:4" x14ac:dyDescent="0.25">
      <c r="A32" s="52" t="s">
        <v>51</v>
      </c>
      <c r="B32" s="83">
        <v>-2093.9681999999998</v>
      </c>
      <c r="C32" s="53">
        <v>-1596.8868</v>
      </c>
      <c r="D32" s="95">
        <f>IF(OR(-2093.9682="",-1596.8868="",-2093.9682=0),"-",-1596.8868/-2093.9682*100)</f>
        <v>76.261272735660469</v>
      </c>
    </row>
    <row r="33" spans="1:4" x14ac:dyDescent="0.25">
      <c r="A33" s="52" t="s">
        <v>55</v>
      </c>
      <c r="B33" s="83">
        <v>-106.3656</v>
      </c>
      <c r="C33" s="53">
        <v>-68.744460000000004</v>
      </c>
      <c r="D33" s="95">
        <f>IF(OR(-106.3656="",-68.74446="",-106.3656=0),"-",-68.74446/-106.3656*100)</f>
        <v>64.630350414043633</v>
      </c>
    </row>
    <row r="34" spans="1:4" x14ac:dyDescent="0.25">
      <c r="A34" s="52" t="s">
        <v>394</v>
      </c>
      <c r="B34" s="83" t="s">
        <v>308</v>
      </c>
      <c r="C34" s="53">
        <v>-42.840890000000002</v>
      </c>
      <c r="D34" s="95" t="str">
        <f>IF(OR(0="",-42.84089="",0=0),"-",-42.84089/0*100)</f>
        <v>-</v>
      </c>
    </row>
    <row r="35" spans="1:4" x14ac:dyDescent="0.25">
      <c r="A35" s="52" t="s">
        <v>47</v>
      </c>
      <c r="B35" s="83">
        <v>9618.5491500000007</v>
      </c>
      <c r="C35" s="53">
        <v>3563.49233</v>
      </c>
      <c r="D35" s="95">
        <f>IF(OR(9618.54915="",3563.49233="",9618.54915=0),"-",3563.49233/9618.54915*100)</f>
        <v>37.04812726355928</v>
      </c>
    </row>
    <row r="36" spans="1:4" x14ac:dyDescent="0.25">
      <c r="A36" s="82" t="s">
        <v>213</v>
      </c>
      <c r="B36" s="79">
        <v>-596023.26359999995</v>
      </c>
      <c r="C36" s="51">
        <v>-768664.11705</v>
      </c>
      <c r="D36" s="94">
        <f>IF(-596023.2636="","-",-768664.11705/-596023.2636*100)</f>
        <v>128.9654555440074</v>
      </c>
    </row>
    <row r="37" spans="1:4" x14ac:dyDescent="0.25">
      <c r="A37" s="52" t="s">
        <v>373</v>
      </c>
      <c r="B37" s="53">
        <v>-231974.09176000001</v>
      </c>
      <c r="C37" s="53">
        <v>-367249.42869999999</v>
      </c>
      <c r="D37" s="95" t="s">
        <v>104</v>
      </c>
    </row>
    <row r="38" spans="1:4" x14ac:dyDescent="0.25">
      <c r="A38" s="52" t="s">
        <v>12</v>
      </c>
      <c r="B38" s="53">
        <v>-288032.07024999999</v>
      </c>
      <c r="C38" s="53">
        <v>-351791.67236999999</v>
      </c>
      <c r="D38" s="95">
        <f>IF(OR(-288032.07025="",-351791.67237="",-288032.07025=0),"-",-351791.67237/-288032.07025*100)</f>
        <v>122.13628574924289</v>
      </c>
    </row>
    <row r="39" spans="1:4" x14ac:dyDescent="0.25">
      <c r="A39" s="52" t="s">
        <v>11</v>
      </c>
      <c r="B39" s="53">
        <v>-25925.21286</v>
      </c>
      <c r="C39" s="53">
        <v>-41506.520539999998</v>
      </c>
      <c r="D39" s="95" t="s">
        <v>104</v>
      </c>
    </row>
    <row r="40" spans="1:4" x14ac:dyDescent="0.25">
      <c r="A40" s="52" t="s">
        <v>16</v>
      </c>
      <c r="B40" s="53">
        <v>-1090.0374999999999</v>
      </c>
      <c r="C40" s="53">
        <v>-5635.1686200000004</v>
      </c>
      <c r="D40" s="95" t="s">
        <v>396</v>
      </c>
    </row>
    <row r="41" spans="1:4" x14ac:dyDescent="0.25">
      <c r="A41" s="52" t="s">
        <v>15</v>
      </c>
      <c r="B41" s="53">
        <v>-2076.1507799999999</v>
      </c>
      <c r="C41" s="53">
        <v>-2899.2499299999999</v>
      </c>
      <c r="D41" s="95">
        <f>IF(OR(-2076.15078="",-2899.24993="",-2076.15078=0),"-",-2899.24993/-2076.15078*100)</f>
        <v>139.64544184021165</v>
      </c>
    </row>
    <row r="42" spans="1:4" x14ac:dyDescent="0.25">
      <c r="A42" s="52" t="s">
        <v>13</v>
      </c>
      <c r="B42" s="53">
        <v>-45045.550600000002</v>
      </c>
      <c r="C42" s="53">
        <v>-1598.1776</v>
      </c>
      <c r="D42" s="95">
        <f>IF(OR(-45045.5506="",-1598.1776="",-45045.5506=0),"-",-1598.1776/-45045.5506*100)</f>
        <v>3.5479144526207653</v>
      </c>
    </row>
    <row r="43" spans="1:4" x14ac:dyDescent="0.25">
      <c r="A43" s="52" t="s">
        <v>17</v>
      </c>
      <c r="B43" s="53">
        <v>220.5171</v>
      </c>
      <c r="C43" s="53">
        <v>172.14381</v>
      </c>
      <c r="D43" s="95">
        <f>IF(OR(220.5171="",172.14381="",220.5171=0),"-",172.14381/220.5171*100)</f>
        <v>78.063701182357292</v>
      </c>
    </row>
    <row r="44" spans="1:4" x14ac:dyDescent="0.25">
      <c r="A44" s="52" t="s">
        <v>18</v>
      </c>
      <c r="B44" s="53">
        <v>180.89285000000001</v>
      </c>
      <c r="C44" s="53">
        <v>196.67851999999999</v>
      </c>
      <c r="D44" s="95">
        <f>IF(OR(180.89285="",196.67852="",180.89285=0),"-",196.67852/180.89285*100)</f>
        <v>108.72653065060338</v>
      </c>
    </row>
    <row r="45" spans="1:4" x14ac:dyDescent="0.25">
      <c r="A45" s="52" t="s">
        <v>409</v>
      </c>
      <c r="B45" s="53">
        <v>311.34010999999998</v>
      </c>
      <c r="C45" s="53">
        <v>547.66193999999996</v>
      </c>
      <c r="D45" s="95" t="s">
        <v>212</v>
      </c>
    </row>
    <row r="46" spans="1:4" x14ac:dyDescent="0.25">
      <c r="A46" s="52" t="s">
        <v>14</v>
      </c>
      <c r="B46" s="53">
        <v>-2592.8999100000001</v>
      </c>
      <c r="C46" s="53">
        <v>1099.61644</v>
      </c>
      <c r="D46" s="95" t="s">
        <v>22</v>
      </c>
    </row>
    <row r="47" spans="1:4" x14ac:dyDescent="0.25">
      <c r="A47" s="50" t="s">
        <v>146</v>
      </c>
      <c r="B47" s="88">
        <v>-672449.97042000003</v>
      </c>
      <c r="C47" s="51">
        <v>-907998.68943999999</v>
      </c>
      <c r="D47" s="94">
        <f>IF(-672449.97042="","-",-907998.68944/-672449.97042*100)</f>
        <v>135.02843771007687</v>
      </c>
    </row>
    <row r="48" spans="1:4" x14ac:dyDescent="0.25">
      <c r="A48" s="52" t="s">
        <v>59</v>
      </c>
      <c r="B48" s="53">
        <v>-370005.08408</v>
      </c>
      <c r="C48" s="53">
        <v>-505528.32582000003</v>
      </c>
      <c r="D48" s="95">
        <f>IF(OR(-370005.08408="",-505528.32582="",-370005.08408=0),"-",-505528.32582/-370005.08408*100)</f>
        <v>136.62739988478052</v>
      </c>
    </row>
    <row r="49" spans="1:5" x14ac:dyDescent="0.25">
      <c r="A49" s="52" t="s">
        <v>56</v>
      </c>
      <c r="B49" s="53">
        <v>-122491.83729</v>
      </c>
      <c r="C49" s="83">
        <v>-151765.70431</v>
      </c>
      <c r="D49" s="95">
        <f>IF(OR(-122491.83729="",-151765.70431="",-122491.83729=0),"-",-151765.70431/-122491.83729*100)</f>
        <v>123.89862677191623</v>
      </c>
    </row>
    <row r="50" spans="1:5" x14ac:dyDescent="0.25">
      <c r="A50" s="52" t="s">
        <v>19</v>
      </c>
      <c r="B50" s="53">
        <v>-25989.272870000001</v>
      </c>
      <c r="C50" s="83">
        <v>-53695.390509999997</v>
      </c>
      <c r="D50" s="95" t="s">
        <v>95</v>
      </c>
    </row>
    <row r="51" spans="1:5" x14ac:dyDescent="0.25">
      <c r="A51" s="52" t="s">
        <v>76</v>
      </c>
      <c r="B51" s="53">
        <v>-32753.036769999999</v>
      </c>
      <c r="C51" s="53">
        <v>-40189.45779</v>
      </c>
      <c r="D51" s="95">
        <f>IF(OR(-32753.03677="",-40189.45779="",-32753.03677=0),"-",-40189.45779/-32753.03677*100)</f>
        <v>122.7045237735371</v>
      </c>
    </row>
    <row r="52" spans="1:5" x14ac:dyDescent="0.25">
      <c r="A52" s="52" t="s">
        <v>72</v>
      </c>
      <c r="B52" s="53">
        <v>-24275.447359999998</v>
      </c>
      <c r="C52" s="83">
        <v>-31865.15984</v>
      </c>
      <c r="D52" s="95">
        <f>IF(OR(-24275.44736="",-31865.15984="",-24275.44736=0),"-",-31865.15984/-24275.44736*100)</f>
        <v>131.26497471888402</v>
      </c>
    </row>
    <row r="53" spans="1:5" x14ac:dyDescent="0.25">
      <c r="A53" s="52" t="s">
        <v>36</v>
      </c>
      <c r="B53" s="53">
        <v>-25328.861130000001</v>
      </c>
      <c r="C53" s="53">
        <v>-31337.975729999998</v>
      </c>
      <c r="D53" s="95">
        <f>IF(OR(-25328.86113="",-31337.97573="",-25328.86113=0),"-",-31337.97573/-25328.86113*100)</f>
        <v>123.72437737787855</v>
      </c>
    </row>
    <row r="54" spans="1:5" x14ac:dyDescent="0.25">
      <c r="A54" s="52" t="s">
        <v>69</v>
      </c>
      <c r="B54" s="53">
        <v>-25617.875960000001</v>
      </c>
      <c r="C54" s="53">
        <v>-29022.256710000001</v>
      </c>
      <c r="D54" s="95">
        <f>IF(OR(-25617.87596="",-29022.25671="",-25617.87596=0),"-",-29022.25671/-25617.87596*100)</f>
        <v>113.28908280809711</v>
      </c>
    </row>
    <row r="55" spans="1:5" x14ac:dyDescent="0.25">
      <c r="A55" s="52" t="s">
        <v>79</v>
      </c>
      <c r="B55" s="53">
        <v>-12857.570659999999</v>
      </c>
      <c r="C55" s="53">
        <v>-15165.064130000001</v>
      </c>
      <c r="D55" s="95">
        <f>IF(OR(-12857.57066="",-15165.06413="",-12857.57066=0),"-",-15165.06413/-12857.57066*100)</f>
        <v>117.94657428699678</v>
      </c>
    </row>
    <row r="56" spans="1:5" x14ac:dyDescent="0.25">
      <c r="A56" s="52" t="s">
        <v>81</v>
      </c>
      <c r="B56" s="53">
        <v>-3259.0414000000001</v>
      </c>
      <c r="C56" s="53">
        <v>-14144.76533</v>
      </c>
      <c r="D56" s="95" t="s">
        <v>313</v>
      </c>
    </row>
    <row r="57" spans="1:5" x14ac:dyDescent="0.25">
      <c r="A57" s="52" t="s">
        <v>70</v>
      </c>
      <c r="B57" s="53">
        <v>-9937.2953400000006</v>
      </c>
      <c r="C57" s="83">
        <v>-13652.054819999999</v>
      </c>
      <c r="D57" s="95">
        <f>IF(OR(-9937.29534="",-13652.05482="",-9937.29534=0),"-",-13652.05482/-9937.29534*100)</f>
        <v>137.38199734335356</v>
      </c>
    </row>
    <row r="58" spans="1:5" x14ac:dyDescent="0.25">
      <c r="A58" s="52" t="s">
        <v>66</v>
      </c>
      <c r="B58" s="53">
        <v>-13585.9622</v>
      </c>
      <c r="C58" s="83">
        <v>-12719.279399999999</v>
      </c>
      <c r="D58" s="95">
        <f>IF(OR(-13585.9622="",-12719.2794="",-13585.9622=0),"-",-12719.2794/-13585.9622*100)</f>
        <v>93.620747745051133</v>
      </c>
    </row>
    <row r="59" spans="1:5" x14ac:dyDescent="0.25">
      <c r="A59" s="52" t="s">
        <v>82</v>
      </c>
      <c r="B59" s="53">
        <v>-5686.4451300000001</v>
      </c>
      <c r="C59" s="83">
        <v>-8849.9526600000008</v>
      </c>
      <c r="D59" s="95" t="s">
        <v>104</v>
      </c>
    </row>
    <row r="60" spans="1:5" x14ac:dyDescent="0.25">
      <c r="A60" s="52" t="s">
        <v>78</v>
      </c>
      <c r="B60" s="53">
        <v>-5054.58781</v>
      </c>
      <c r="C60" s="83">
        <v>-7695.7864499999996</v>
      </c>
      <c r="D60" s="95" t="s">
        <v>224</v>
      </c>
    </row>
    <row r="61" spans="1:5" x14ac:dyDescent="0.25">
      <c r="A61" s="52" t="s">
        <v>61</v>
      </c>
      <c r="B61" s="53">
        <v>-4908.9524600000004</v>
      </c>
      <c r="C61" s="53">
        <v>-7600.3681800000004</v>
      </c>
      <c r="D61" s="95" t="s">
        <v>224</v>
      </c>
      <c r="E61" s="1"/>
    </row>
    <row r="62" spans="1:5" x14ac:dyDescent="0.25">
      <c r="A62" s="52" t="s">
        <v>74</v>
      </c>
      <c r="B62" s="53">
        <v>-5721.0506299999997</v>
      </c>
      <c r="C62" s="83">
        <v>-7466.0607600000003</v>
      </c>
      <c r="D62" s="95">
        <f>IF(OR(-5721.05063="",-7466.06076="",-5721.05063=0),"-",-7466.06076/-5721.05063*100)</f>
        <v>130.50156768145925</v>
      </c>
    </row>
    <row r="63" spans="1:5" x14ac:dyDescent="0.25">
      <c r="A63" s="52" t="s">
        <v>83</v>
      </c>
      <c r="B63" s="53">
        <v>-6022.5717599999998</v>
      </c>
      <c r="C63" s="53">
        <v>-6382.2335599999997</v>
      </c>
      <c r="D63" s="95">
        <f>IF(OR(-6022.57176="",-6382.23356="",-6022.57176=0),"-",-6382.23356/-6022.57176*100)</f>
        <v>105.97189729458698</v>
      </c>
    </row>
    <row r="64" spans="1:5" x14ac:dyDescent="0.25">
      <c r="A64" s="52" t="s">
        <v>71</v>
      </c>
      <c r="B64" s="53">
        <v>-5748.3992200000002</v>
      </c>
      <c r="C64" s="53">
        <v>-6369.6015299999999</v>
      </c>
      <c r="D64" s="95">
        <f>IF(OR(-5748.39922="",-6369.60153="",-5748.39922=0),"-",-6369.60153/-5748.39922*100)</f>
        <v>110.80652693429317</v>
      </c>
    </row>
    <row r="65" spans="1:5" x14ac:dyDescent="0.25">
      <c r="A65" s="52" t="s">
        <v>84</v>
      </c>
      <c r="B65" s="53">
        <v>-4169.2384599999996</v>
      </c>
      <c r="C65" s="53">
        <v>-4788.1922800000002</v>
      </c>
      <c r="D65" s="95">
        <f>IF(OR(-4169.23846="",-4788.19228="",-4169.23846=0),"-",-4788.19228/-4169.23846*100)</f>
        <v>114.84572844509356</v>
      </c>
    </row>
    <row r="66" spans="1:5" x14ac:dyDescent="0.25">
      <c r="A66" s="52" t="s">
        <v>85</v>
      </c>
      <c r="B66" s="53">
        <v>-1893.16482</v>
      </c>
      <c r="C66" s="53">
        <v>-4612.3964599999999</v>
      </c>
      <c r="D66" s="95" t="s">
        <v>310</v>
      </c>
    </row>
    <row r="67" spans="1:5" x14ac:dyDescent="0.25">
      <c r="A67" s="52" t="s">
        <v>73</v>
      </c>
      <c r="B67" s="53">
        <v>-1191.0638300000001</v>
      </c>
      <c r="C67" s="53">
        <v>-3060.6330200000002</v>
      </c>
      <c r="D67" s="95" t="s">
        <v>299</v>
      </c>
    </row>
    <row r="68" spans="1:5" x14ac:dyDescent="0.25">
      <c r="A68" s="52" t="s">
        <v>39</v>
      </c>
      <c r="B68" s="53">
        <v>-1506.4329600000001</v>
      </c>
      <c r="C68" s="53">
        <v>-2654.9849399999998</v>
      </c>
      <c r="D68" s="95" t="s">
        <v>212</v>
      </c>
      <c r="E68" s="1"/>
    </row>
    <row r="69" spans="1:5" x14ac:dyDescent="0.25">
      <c r="A69" s="52" t="s">
        <v>88</v>
      </c>
      <c r="B69" s="53">
        <v>-1280.52658</v>
      </c>
      <c r="C69" s="53">
        <v>-2533.2828300000001</v>
      </c>
      <c r="D69" s="95" t="s">
        <v>20</v>
      </c>
    </row>
    <row r="70" spans="1:5" x14ac:dyDescent="0.25">
      <c r="A70" s="52" t="s">
        <v>375</v>
      </c>
      <c r="B70" s="53">
        <v>-3834.01262</v>
      </c>
      <c r="C70" s="83">
        <v>-2461.8673199999998</v>
      </c>
      <c r="D70" s="95">
        <f>IF(OR(-3834.01262="",-2461.86732="",-3834.01262=0),"-",-2461.86732/-3834.01262*100)</f>
        <v>64.211247171116497</v>
      </c>
    </row>
    <row r="71" spans="1:5" x14ac:dyDescent="0.25">
      <c r="A71" s="52" t="s">
        <v>65</v>
      </c>
      <c r="B71" s="53">
        <v>677.54718000000003</v>
      </c>
      <c r="C71" s="53">
        <v>-2180.9948199999999</v>
      </c>
      <c r="D71" s="95" t="s">
        <v>22</v>
      </c>
    </row>
    <row r="72" spans="1:5" x14ac:dyDescent="0.25">
      <c r="A72" s="52" t="s">
        <v>80</v>
      </c>
      <c r="B72" s="53">
        <v>-2839.5161600000001</v>
      </c>
      <c r="C72" s="53">
        <v>-2168.4578700000002</v>
      </c>
      <c r="D72" s="95">
        <f>IF(OR(-2839.51616="",-2168.45787="",-2839.51616=0),"-",-2168.45787/-2839.51616*100)</f>
        <v>76.367160734876748</v>
      </c>
    </row>
    <row r="73" spans="1:5" x14ac:dyDescent="0.25">
      <c r="A73" s="52" t="s">
        <v>63</v>
      </c>
      <c r="B73" s="53">
        <v>-4871.37212</v>
      </c>
      <c r="C73" s="53">
        <v>-2102.3080100000002</v>
      </c>
      <c r="D73" s="95">
        <f>IF(OR(-4871.37212="",-2102.30801="",-4871.37212=0),"-",-2102.30801/-4871.37212*100)</f>
        <v>43.156383011035501</v>
      </c>
    </row>
    <row r="74" spans="1:5" x14ac:dyDescent="0.25">
      <c r="A74" s="52" t="s">
        <v>89</v>
      </c>
      <c r="B74" s="53">
        <v>-680.91481999999996</v>
      </c>
      <c r="C74" s="53">
        <v>-2050.2703099999999</v>
      </c>
      <c r="D74" s="95" t="s">
        <v>325</v>
      </c>
    </row>
    <row r="75" spans="1:5" x14ac:dyDescent="0.25">
      <c r="A75" s="52" t="s">
        <v>130</v>
      </c>
      <c r="B75" s="53">
        <v>-1865.32222</v>
      </c>
      <c r="C75" s="53">
        <v>-1974.7602899999999</v>
      </c>
      <c r="D75" s="95">
        <f>IF(OR(-1865.32222="",-1974.76029="",-1865.32222=0),"-",-1974.76029/-1865.32222*100)</f>
        <v>105.86697937903726</v>
      </c>
    </row>
    <row r="76" spans="1:5" x14ac:dyDescent="0.25">
      <c r="A76" s="52" t="s">
        <v>87</v>
      </c>
      <c r="B76" s="53">
        <v>-428.28613999999999</v>
      </c>
      <c r="C76" s="53">
        <v>-1926.1156699999999</v>
      </c>
      <c r="D76" s="95" t="s">
        <v>338</v>
      </c>
      <c r="E76" s="10"/>
    </row>
    <row r="77" spans="1:5" x14ac:dyDescent="0.25">
      <c r="A77" s="52" t="s">
        <v>410</v>
      </c>
      <c r="B77" s="53">
        <v>-1020.32201</v>
      </c>
      <c r="C77" s="53">
        <v>-1723.4292600000001</v>
      </c>
      <c r="D77" s="95" t="s">
        <v>103</v>
      </c>
    </row>
    <row r="78" spans="1:5" x14ac:dyDescent="0.25">
      <c r="A78" s="52" t="s">
        <v>86</v>
      </c>
      <c r="B78" s="53">
        <v>-2539.3036400000001</v>
      </c>
      <c r="C78" s="83">
        <v>-1401.12122</v>
      </c>
      <c r="D78" s="95">
        <f>IF(OR(-2539.30364="",-1401.12122="",-2539.30364=0),"-",-1401.12122/-2539.30364*100)</f>
        <v>55.177380047389676</v>
      </c>
    </row>
    <row r="79" spans="1:5" x14ac:dyDescent="0.25">
      <c r="A79" s="52" t="s">
        <v>97</v>
      </c>
      <c r="B79" s="53">
        <v>-952.45876999999996</v>
      </c>
      <c r="C79" s="83">
        <v>-1262.80565</v>
      </c>
      <c r="D79" s="95">
        <f>IF(OR(-952.45877="",-1262.80565="",-952.45877=0),"-",-1262.80565/-952.45877*100)</f>
        <v>132.5837600298436</v>
      </c>
    </row>
    <row r="80" spans="1:5" x14ac:dyDescent="0.25">
      <c r="A80" s="52" t="s">
        <v>93</v>
      </c>
      <c r="B80" s="53">
        <v>17.002359999999999</v>
      </c>
      <c r="C80" s="53">
        <v>-977.75552000000005</v>
      </c>
      <c r="D80" s="95" t="s">
        <v>22</v>
      </c>
    </row>
    <row r="81" spans="1:5" x14ac:dyDescent="0.25">
      <c r="A81" s="52" t="s">
        <v>38</v>
      </c>
      <c r="B81" s="53">
        <v>-1064.48991</v>
      </c>
      <c r="C81" s="53">
        <v>-960.10788000000002</v>
      </c>
      <c r="D81" s="95">
        <f>IF(OR(-1064.48991="",-960.10788="",-1064.48991=0),"-",-960.10788/-1064.48991*100)</f>
        <v>90.194173846138199</v>
      </c>
    </row>
    <row r="82" spans="1:5" x14ac:dyDescent="0.25">
      <c r="A82" s="52" t="s">
        <v>411</v>
      </c>
      <c r="B82" s="53">
        <v>-270.63402000000002</v>
      </c>
      <c r="C82" s="83">
        <v>-953.28328999999997</v>
      </c>
      <c r="D82" s="95" t="s">
        <v>397</v>
      </c>
    </row>
    <row r="83" spans="1:5" x14ac:dyDescent="0.25">
      <c r="A83" s="52" t="s">
        <v>150</v>
      </c>
      <c r="B83" s="53">
        <v>-705.26994999999999</v>
      </c>
      <c r="C83" s="53">
        <v>-938.38108</v>
      </c>
      <c r="D83" s="95">
        <f>IF(OR(-705.26995="",-938.38108="",-705.26995=0),"-",-938.38108/-705.26995*100)</f>
        <v>133.05275235390363</v>
      </c>
    </row>
    <row r="84" spans="1:5" x14ac:dyDescent="0.25">
      <c r="A84" s="52" t="s">
        <v>64</v>
      </c>
      <c r="B84" s="53">
        <v>-198.55613</v>
      </c>
      <c r="C84" s="53">
        <v>-679.44018000000005</v>
      </c>
      <c r="D84" s="95" t="s">
        <v>330</v>
      </c>
    </row>
    <row r="85" spans="1:5" x14ac:dyDescent="0.25">
      <c r="A85" s="52" t="s">
        <v>98</v>
      </c>
      <c r="B85" s="53">
        <v>-155.66952000000001</v>
      </c>
      <c r="C85" s="53">
        <v>-454.30282999999997</v>
      </c>
      <c r="D85" s="95" t="s">
        <v>307</v>
      </c>
    </row>
    <row r="86" spans="1:5" x14ac:dyDescent="0.25">
      <c r="A86" s="52" t="s">
        <v>376</v>
      </c>
      <c r="B86" s="53">
        <v>-300.23124999999999</v>
      </c>
      <c r="C86" s="53">
        <v>-437.64971000000003</v>
      </c>
      <c r="D86" s="95">
        <f>IF(OR(-300.23125="",-437.64971="",-300.23125=0),"-",-437.64971/-300.23125*100)</f>
        <v>145.7708716197931</v>
      </c>
    </row>
    <row r="87" spans="1:5" x14ac:dyDescent="0.25">
      <c r="A87" s="52" t="s">
        <v>227</v>
      </c>
      <c r="B87" s="53">
        <v>-96.32996</v>
      </c>
      <c r="C87" s="83">
        <v>-426.83738</v>
      </c>
      <c r="D87" s="95" t="s">
        <v>414</v>
      </c>
    </row>
    <row r="88" spans="1:5" x14ac:dyDescent="0.25">
      <c r="A88" s="52" t="s">
        <v>124</v>
      </c>
      <c r="B88" s="53">
        <v>1871.12806</v>
      </c>
      <c r="C88" s="53">
        <v>-413.57628</v>
      </c>
      <c r="D88" s="95" t="s">
        <v>22</v>
      </c>
    </row>
    <row r="89" spans="1:5" x14ac:dyDescent="0.25">
      <c r="A89" s="52" t="s">
        <v>92</v>
      </c>
      <c r="B89" s="53">
        <v>-440.72805</v>
      </c>
      <c r="C89" s="53">
        <v>-390.20726999999999</v>
      </c>
      <c r="D89" s="95">
        <f>IF(OR(-440.72805="",-390.20727="",-440.72805=0),"-",-390.20727/-440.72805*100)</f>
        <v>88.536971949028427</v>
      </c>
    </row>
    <row r="90" spans="1:5" x14ac:dyDescent="0.25">
      <c r="A90" s="52" t="s">
        <v>91</v>
      </c>
      <c r="B90" s="53">
        <v>-1019.49744</v>
      </c>
      <c r="C90" s="83">
        <v>-366.75914999999998</v>
      </c>
      <c r="D90" s="95">
        <f>IF(OR(-1019.49744="",-366.75915="",-1019.49744=0),"-",-366.75915/-1019.49744*100)</f>
        <v>35.974504261629143</v>
      </c>
    </row>
    <row r="91" spans="1:5" x14ac:dyDescent="0.25">
      <c r="A91" s="52" t="s">
        <v>94</v>
      </c>
      <c r="B91" s="53">
        <v>-440.75114000000002</v>
      </c>
      <c r="C91" s="83">
        <v>-309.08535999999998</v>
      </c>
      <c r="D91" s="95">
        <f>IF(OR(-440.75114="",-309.08536="",-440.75114=0),"-",-309.08536/-440.75114*100)</f>
        <v>70.126956449846048</v>
      </c>
    </row>
    <row r="92" spans="1:5" x14ac:dyDescent="0.25">
      <c r="A92" s="52" t="s">
        <v>101</v>
      </c>
      <c r="B92" s="53">
        <v>-65.819370000000006</v>
      </c>
      <c r="C92" s="83">
        <v>-252.14239000000001</v>
      </c>
      <c r="D92" s="95" t="s">
        <v>398</v>
      </c>
    </row>
    <row r="93" spans="1:5" x14ac:dyDescent="0.25">
      <c r="A93" s="52" t="s">
        <v>67</v>
      </c>
      <c r="B93" s="53">
        <v>2242.0222699999999</v>
      </c>
      <c r="C93" s="53">
        <v>-234.28469999999999</v>
      </c>
      <c r="D93" s="95" t="s">
        <v>22</v>
      </c>
    </row>
    <row r="94" spans="1:5" x14ac:dyDescent="0.25">
      <c r="A94" s="52" t="s">
        <v>102</v>
      </c>
      <c r="B94" s="53">
        <v>-72.590829999999997</v>
      </c>
      <c r="C94" s="53">
        <v>-196.66240999999999</v>
      </c>
      <c r="D94" s="95" t="s">
        <v>309</v>
      </c>
    </row>
    <row r="95" spans="1:5" x14ac:dyDescent="0.25">
      <c r="A95" s="52" t="s">
        <v>107</v>
      </c>
      <c r="B95" s="53">
        <v>-66.855810000000005</v>
      </c>
      <c r="C95" s="83">
        <v>-170.54765</v>
      </c>
      <c r="D95" s="95" t="s">
        <v>299</v>
      </c>
    </row>
    <row r="96" spans="1:5" x14ac:dyDescent="0.25">
      <c r="A96" s="52" t="s">
        <v>134</v>
      </c>
      <c r="B96" s="53">
        <v>-154.08386999999999</v>
      </c>
      <c r="C96" s="83">
        <v>-138.38408999999999</v>
      </c>
      <c r="D96" s="95">
        <f>IF(OR(-154.08387="",-138.38409="",-154.08387=0),"-",-138.38409/-154.08387*100)</f>
        <v>89.810886759269479</v>
      </c>
      <c r="E96" s="10"/>
    </row>
    <row r="97" spans="1:5" x14ac:dyDescent="0.25">
      <c r="A97" s="52" t="s">
        <v>387</v>
      </c>
      <c r="B97" s="53">
        <v>22.992509999999999</v>
      </c>
      <c r="C97" s="53">
        <v>-133.82289</v>
      </c>
      <c r="D97" s="95" t="s">
        <v>22</v>
      </c>
    </row>
    <row r="98" spans="1:5" x14ac:dyDescent="0.25">
      <c r="A98" s="52" t="s">
        <v>143</v>
      </c>
      <c r="B98" s="53">
        <v>-73.41574</v>
      </c>
      <c r="C98" s="53">
        <v>-122.35749</v>
      </c>
      <c r="D98" s="95" t="s">
        <v>103</v>
      </c>
      <c r="E98" s="9"/>
    </row>
    <row r="99" spans="1:5" x14ac:dyDescent="0.25">
      <c r="A99" s="52" t="s">
        <v>111</v>
      </c>
      <c r="B99" s="53">
        <v>-471.90764999999999</v>
      </c>
      <c r="C99" s="53">
        <v>-113.63933</v>
      </c>
      <c r="D99" s="95">
        <f>IF(OR(-471.90765="",-113.63933="",-471.90765=0),"-",-113.63933/-471.90765*100)</f>
        <v>24.080840817053932</v>
      </c>
    </row>
    <row r="100" spans="1:5" x14ac:dyDescent="0.25">
      <c r="A100" s="52" t="s">
        <v>218</v>
      </c>
      <c r="B100" s="53">
        <v>-23.07413</v>
      </c>
      <c r="C100" s="53">
        <v>-112.33360999999999</v>
      </c>
      <c r="D100" s="95" t="s">
        <v>348</v>
      </c>
      <c r="E100" s="9"/>
    </row>
    <row r="101" spans="1:5" x14ac:dyDescent="0.25">
      <c r="A101" s="52" t="s">
        <v>228</v>
      </c>
      <c r="B101" s="53">
        <v>-12.77496</v>
      </c>
      <c r="C101" s="53">
        <v>-107.49491999999999</v>
      </c>
      <c r="D101" s="95" t="s">
        <v>391</v>
      </c>
      <c r="E101" s="1"/>
    </row>
    <row r="102" spans="1:5" x14ac:dyDescent="0.25">
      <c r="A102" s="52" t="s">
        <v>341</v>
      </c>
      <c r="B102" s="53">
        <v>-338.16136</v>
      </c>
      <c r="C102" s="83">
        <v>-104.00191</v>
      </c>
      <c r="D102" s="95">
        <f>IF(OR(-338.16136="",-104.00191="",-338.16136=0),"-",-104.00191/-338.16136*100)</f>
        <v>30.755113476004471</v>
      </c>
    </row>
    <row r="103" spans="1:5" x14ac:dyDescent="0.25">
      <c r="A103" s="52" t="s">
        <v>132</v>
      </c>
      <c r="B103" s="53">
        <v>-51.065829999999998</v>
      </c>
      <c r="C103" s="53">
        <v>-97.044060000000002</v>
      </c>
      <c r="D103" s="95" t="s">
        <v>105</v>
      </c>
    </row>
    <row r="104" spans="1:5" x14ac:dyDescent="0.25">
      <c r="A104" s="52" t="s">
        <v>322</v>
      </c>
      <c r="B104" s="53">
        <v>41.060859999999998</v>
      </c>
      <c r="C104" s="53">
        <v>-91.963800000000006</v>
      </c>
      <c r="D104" s="95" t="s">
        <v>22</v>
      </c>
    </row>
    <row r="105" spans="1:5" x14ac:dyDescent="0.25">
      <c r="A105" s="52" t="s">
        <v>210</v>
      </c>
      <c r="B105" s="53">
        <v>-76.765820000000005</v>
      </c>
      <c r="C105" s="83">
        <v>-88.016360000000006</v>
      </c>
      <c r="D105" s="95">
        <f>IF(OR(-76.76582="",-88.01636="",-76.76582=0),"-",-88.01636/-76.76582*100)</f>
        <v>114.65566315842128</v>
      </c>
      <c r="E105" s="10"/>
    </row>
    <row r="106" spans="1:5" x14ac:dyDescent="0.25">
      <c r="A106" s="52" t="s">
        <v>342</v>
      </c>
      <c r="B106" s="53">
        <v>-0.19287000000000001</v>
      </c>
      <c r="C106" s="53">
        <v>-77.925190000000001</v>
      </c>
      <c r="D106" s="95" t="s">
        <v>392</v>
      </c>
      <c r="E106" s="8"/>
    </row>
    <row r="107" spans="1:5" x14ac:dyDescent="0.25">
      <c r="A107" s="52" t="s">
        <v>324</v>
      </c>
      <c r="B107" s="53">
        <v>-51.940939999999998</v>
      </c>
      <c r="C107" s="83">
        <v>-71.281610000000001</v>
      </c>
      <c r="D107" s="95">
        <f>IF(OR(-51.94094="",-71.28161="",-51.94094=0),"-",-71.28161/-51.94094*100)</f>
        <v>137.23588752918218</v>
      </c>
    </row>
    <row r="108" spans="1:5" x14ac:dyDescent="0.25">
      <c r="A108" s="52" t="s">
        <v>332</v>
      </c>
      <c r="B108" s="53">
        <v>-21.80179</v>
      </c>
      <c r="C108" s="83">
        <v>-70.026089999999996</v>
      </c>
      <c r="D108" s="95" t="s">
        <v>393</v>
      </c>
    </row>
    <row r="109" spans="1:5" x14ac:dyDescent="0.25">
      <c r="A109" s="52" t="s">
        <v>323</v>
      </c>
      <c r="B109" s="53">
        <v>-72.099230000000006</v>
      </c>
      <c r="C109" s="53">
        <v>-67.450429999999997</v>
      </c>
      <c r="D109" s="95">
        <f>IF(OR(-72.09923="",-67.45043="",-72.09923=0),"-",-67.45043/-72.09923*100)</f>
        <v>93.552219628420431</v>
      </c>
    </row>
    <row r="110" spans="1:5" x14ac:dyDescent="0.25">
      <c r="A110" s="52" t="s">
        <v>131</v>
      </c>
      <c r="B110" s="53">
        <v>-957.49384999999995</v>
      </c>
      <c r="C110" s="53">
        <v>-52.830019999999998</v>
      </c>
      <c r="D110" s="95">
        <f>IF(OR(-957.49385="",-52.83002="",-957.49385=0),"-",-52.83002/-957.49385*100)</f>
        <v>5.5175310003296625</v>
      </c>
    </row>
    <row r="111" spans="1:5" x14ac:dyDescent="0.25">
      <c r="A111" s="52" t="s">
        <v>351</v>
      </c>
      <c r="B111" s="53">
        <v>-10.53276</v>
      </c>
      <c r="C111" s="53">
        <v>-47.277880000000003</v>
      </c>
      <c r="D111" s="95" t="s">
        <v>338</v>
      </c>
    </row>
    <row r="112" spans="1:5" x14ac:dyDescent="0.25">
      <c r="A112" s="52" t="s">
        <v>352</v>
      </c>
      <c r="B112" s="53">
        <v>-51.414630000000002</v>
      </c>
      <c r="C112" s="53">
        <v>-45.983170000000001</v>
      </c>
      <c r="D112" s="95">
        <f>IF(OR(-51.41463="",-45.98317="",-51.41463=0),"-",-45.98317/-51.41463*100)</f>
        <v>89.435964043697297</v>
      </c>
    </row>
    <row r="113" spans="1:4" x14ac:dyDescent="0.25">
      <c r="A113" s="52" t="s">
        <v>357</v>
      </c>
      <c r="B113" s="53">
        <v>6.6188000000000002</v>
      </c>
      <c r="C113" s="53">
        <v>-37.542200000000001</v>
      </c>
      <c r="D113" s="95" t="s">
        <v>22</v>
      </c>
    </row>
    <row r="114" spans="1:4" x14ac:dyDescent="0.25">
      <c r="A114" s="52" t="s">
        <v>353</v>
      </c>
      <c r="B114" s="53">
        <v>-19.49981</v>
      </c>
      <c r="C114" s="53">
        <v>-34.95091</v>
      </c>
      <c r="D114" s="95" t="s">
        <v>212</v>
      </c>
    </row>
    <row r="115" spans="1:4" x14ac:dyDescent="0.25">
      <c r="A115" s="52" t="s">
        <v>354</v>
      </c>
      <c r="B115" s="53">
        <v>-15.73498</v>
      </c>
      <c r="C115" s="53">
        <v>-31.546389999999999</v>
      </c>
      <c r="D115" s="95" t="s">
        <v>20</v>
      </c>
    </row>
    <row r="116" spans="1:4" x14ac:dyDescent="0.25">
      <c r="A116" s="52" t="s">
        <v>355</v>
      </c>
      <c r="B116" s="53">
        <v>-18.26699</v>
      </c>
      <c r="C116" s="53">
        <v>-23.661259999999999</v>
      </c>
      <c r="D116" s="95">
        <f>IF(OR(-18.26699="",-23.66126="",-18.26699=0),"-",-23.66126/-18.26699*100)</f>
        <v>129.53015247722803</v>
      </c>
    </row>
    <row r="117" spans="1:4" x14ac:dyDescent="0.25">
      <c r="A117" s="52" t="s">
        <v>356</v>
      </c>
      <c r="B117" s="53">
        <v>-1.6306499999999999</v>
      </c>
      <c r="C117" s="53">
        <v>-22.951370000000001</v>
      </c>
      <c r="D117" s="95" t="s">
        <v>399</v>
      </c>
    </row>
    <row r="118" spans="1:4" x14ac:dyDescent="0.25">
      <c r="A118" s="52" t="s">
        <v>358</v>
      </c>
      <c r="B118" s="53">
        <v>-133.09477000000001</v>
      </c>
      <c r="C118" s="83">
        <v>-20.83108</v>
      </c>
      <c r="D118" s="95">
        <f>IF(OR(-133.09477="",-20.83108="",-133.09477=0),"-",-20.83108/-133.09477*100)</f>
        <v>15.651313721793874</v>
      </c>
    </row>
    <row r="119" spans="1:4" x14ac:dyDescent="0.25">
      <c r="A119" s="52" t="s">
        <v>388</v>
      </c>
      <c r="B119" s="53">
        <v>-10.80932</v>
      </c>
      <c r="C119" s="83">
        <v>-20.481369999999998</v>
      </c>
      <c r="D119" s="95" t="s">
        <v>105</v>
      </c>
    </row>
    <row r="120" spans="1:4" x14ac:dyDescent="0.25">
      <c r="A120" s="52" t="s">
        <v>360</v>
      </c>
      <c r="B120" s="53">
        <v>-12.006349999999999</v>
      </c>
      <c r="C120" s="83">
        <v>19.366579999999999</v>
      </c>
      <c r="D120" s="95" t="s">
        <v>22</v>
      </c>
    </row>
    <row r="121" spans="1:4" x14ac:dyDescent="0.25">
      <c r="A121" s="52" t="s">
        <v>412</v>
      </c>
      <c r="B121" s="53">
        <v>-625.28049999999996</v>
      </c>
      <c r="C121" s="53">
        <v>25.53256</v>
      </c>
      <c r="D121" s="95" t="s">
        <v>22</v>
      </c>
    </row>
    <row r="122" spans="1:4" x14ac:dyDescent="0.25">
      <c r="A122" s="52" t="s">
        <v>361</v>
      </c>
      <c r="B122" s="53">
        <v>11.532</v>
      </c>
      <c r="C122" s="53">
        <v>26.497630000000001</v>
      </c>
      <c r="D122" s="95" t="s">
        <v>223</v>
      </c>
    </row>
    <row r="123" spans="1:4" x14ac:dyDescent="0.25">
      <c r="A123" s="52" t="s">
        <v>413</v>
      </c>
      <c r="B123" s="53">
        <v>19.263000000000002</v>
      </c>
      <c r="C123" s="53">
        <v>42.335999999999999</v>
      </c>
      <c r="D123" s="95" t="s">
        <v>211</v>
      </c>
    </row>
    <row r="124" spans="1:4" x14ac:dyDescent="0.25">
      <c r="A124" s="52" t="s">
        <v>359</v>
      </c>
      <c r="B124" s="53">
        <v>71.077740000000006</v>
      </c>
      <c r="C124" s="53">
        <v>44.213859999999997</v>
      </c>
      <c r="D124" s="95">
        <f>IF(OR(71.07774="",44.21386="",71.07774=0),"-",44.21386/71.07774*100)</f>
        <v>62.204932233354626</v>
      </c>
    </row>
    <row r="125" spans="1:4" x14ac:dyDescent="0.25">
      <c r="A125" s="52" t="s">
        <v>333</v>
      </c>
      <c r="B125" s="53">
        <v>24.012</v>
      </c>
      <c r="C125" s="53">
        <v>46.730200000000004</v>
      </c>
      <c r="D125" s="95" t="s">
        <v>105</v>
      </c>
    </row>
    <row r="126" spans="1:4" x14ac:dyDescent="0.25">
      <c r="A126" s="52" t="s">
        <v>306</v>
      </c>
      <c r="B126" s="53">
        <v>75.905900000000003</v>
      </c>
      <c r="C126" s="83">
        <v>56.153390000000002</v>
      </c>
      <c r="D126" s="95">
        <f>IF(OR(75.9059="",56.15339="",75.9059=0),"-",56.15339/75.9059*100)</f>
        <v>73.977635467071735</v>
      </c>
    </row>
    <row r="127" spans="1:4" x14ac:dyDescent="0.25">
      <c r="A127" s="52" t="s">
        <v>334</v>
      </c>
      <c r="B127" s="53">
        <v>27.49258</v>
      </c>
      <c r="C127" s="53">
        <v>75.189430000000002</v>
      </c>
      <c r="D127" s="95" t="s">
        <v>309</v>
      </c>
    </row>
    <row r="128" spans="1:4" x14ac:dyDescent="0.25">
      <c r="A128" s="52" t="s">
        <v>225</v>
      </c>
      <c r="B128" s="53">
        <v>298.07026999999999</v>
      </c>
      <c r="C128" s="53">
        <v>90.357410000000002</v>
      </c>
      <c r="D128" s="95">
        <f>IF(OR(298.07027="",90.35741="",298.07027=0),"-",90.35741/298.07027*100)</f>
        <v>30.314130288807402</v>
      </c>
    </row>
    <row r="129" spans="1:4" x14ac:dyDescent="0.25">
      <c r="A129" s="52" t="s">
        <v>62</v>
      </c>
      <c r="B129" s="53">
        <v>-3626.8317099999999</v>
      </c>
      <c r="C129" s="53">
        <v>110.16583</v>
      </c>
      <c r="D129" s="95" t="s">
        <v>22</v>
      </c>
    </row>
    <row r="130" spans="1:4" x14ac:dyDescent="0.25">
      <c r="A130" s="52" t="s">
        <v>335</v>
      </c>
      <c r="B130" s="53">
        <v>-82.27946</v>
      </c>
      <c r="C130" s="53">
        <v>160.65873999999999</v>
      </c>
      <c r="D130" s="95" t="s">
        <v>22</v>
      </c>
    </row>
    <row r="131" spans="1:4" x14ac:dyDescent="0.25">
      <c r="A131" s="52" t="s">
        <v>222</v>
      </c>
      <c r="B131" s="53">
        <v>-3.65808</v>
      </c>
      <c r="C131" s="83">
        <v>161.74339000000001</v>
      </c>
      <c r="D131" s="95" t="s">
        <v>22</v>
      </c>
    </row>
    <row r="132" spans="1:4" x14ac:dyDescent="0.25">
      <c r="A132" s="52" t="s">
        <v>135</v>
      </c>
      <c r="B132" s="53">
        <v>-136.05793</v>
      </c>
      <c r="C132" s="53">
        <v>178.48258000000001</v>
      </c>
      <c r="D132" s="95" t="s">
        <v>22</v>
      </c>
    </row>
    <row r="133" spans="1:4" x14ac:dyDescent="0.25">
      <c r="A133" s="52" t="s">
        <v>126</v>
      </c>
      <c r="B133" s="53">
        <v>219.95235</v>
      </c>
      <c r="C133" s="83">
        <v>182.73702</v>
      </c>
      <c r="D133" s="95">
        <f>IF(OR(219.95235="",182.73702="",219.95235=0),"-",182.73702/219.95235*100)</f>
        <v>83.080276250742486</v>
      </c>
    </row>
    <row r="134" spans="1:4" x14ac:dyDescent="0.25">
      <c r="A134" s="52" t="s">
        <v>408</v>
      </c>
      <c r="B134" s="53">
        <v>-2.1901199999999998</v>
      </c>
      <c r="C134" s="53">
        <v>182.76594</v>
      </c>
      <c r="D134" s="95" t="s">
        <v>22</v>
      </c>
    </row>
    <row r="135" spans="1:4" x14ac:dyDescent="0.25">
      <c r="A135" s="52" t="s">
        <v>68</v>
      </c>
      <c r="B135" s="53">
        <v>-0.76734000000000002</v>
      </c>
      <c r="C135" s="53">
        <v>189.76698999999999</v>
      </c>
      <c r="D135" s="95" t="s">
        <v>22</v>
      </c>
    </row>
    <row r="136" spans="1:4" x14ac:dyDescent="0.25">
      <c r="A136" s="52" t="s">
        <v>407</v>
      </c>
      <c r="B136" s="53">
        <v>50.180970000000002</v>
      </c>
      <c r="C136" s="83">
        <v>211.45376999999999</v>
      </c>
      <c r="D136" s="95" t="s">
        <v>321</v>
      </c>
    </row>
    <row r="137" spans="1:4" x14ac:dyDescent="0.25">
      <c r="A137" s="52" t="s">
        <v>96</v>
      </c>
      <c r="B137" s="53">
        <v>208.18136999999999</v>
      </c>
      <c r="C137" s="53">
        <v>266.47487999999998</v>
      </c>
      <c r="D137" s="95">
        <f>IF(OR(208.18137="",266.47488="",208.18137=0),"-",266.47488/208.18137*100)</f>
        <v>128.00130962727357</v>
      </c>
    </row>
    <row r="138" spans="1:4" x14ac:dyDescent="0.25">
      <c r="A138" s="52" t="s">
        <v>149</v>
      </c>
      <c r="B138" s="53">
        <v>179.71680000000001</v>
      </c>
      <c r="C138" s="53">
        <v>299.39999999999998</v>
      </c>
      <c r="D138" s="95" t="s">
        <v>103</v>
      </c>
    </row>
    <row r="139" spans="1:4" x14ac:dyDescent="0.25">
      <c r="A139" s="52" t="s">
        <v>144</v>
      </c>
      <c r="B139" s="53">
        <v>255.38784000000001</v>
      </c>
      <c r="C139" s="53">
        <v>342.64990999999998</v>
      </c>
      <c r="D139" s="95">
        <f>IF(OR(255.38784="",342.64991="",255.38784=0),"-",342.64991/255.38784*100)</f>
        <v>134.16845140316781</v>
      </c>
    </row>
    <row r="140" spans="1:4" x14ac:dyDescent="0.25">
      <c r="A140" s="52" t="s">
        <v>125</v>
      </c>
      <c r="B140" s="53">
        <v>820.06140000000005</v>
      </c>
      <c r="C140" s="53">
        <v>367.75491</v>
      </c>
      <c r="D140" s="95">
        <f>IF(OR(820.0614="",367.75491="",820.0614=0),"-",367.75491/820.0614*100)</f>
        <v>44.844801864835972</v>
      </c>
    </row>
    <row r="141" spans="1:4" x14ac:dyDescent="0.25">
      <c r="A141" s="52" t="s">
        <v>129</v>
      </c>
      <c r="B141" s="53">
        <v>339.96350999999999</v>
      </c>
      <c r="C141" s="53">
        <v>457.39452999999997</v>
      </c>
      <c r="D141" s="95">
        <f>IF(OR(339.96351="",457.39453="",339.96351=0),"-",457.39453/339.96351*100)</f>
        <v>134.54224248949544</v>
      </c>
    </row>
    <row r="142" spans="1:4" x14ac:dyDescent="0.25">
      <c r="A142" s="52" t="s">
        <v>226</v>
      </c>
      <c r="B142" s="53">
        <v>82.906930000000003</v>
      </c>
      <c r="C142" s="53">
        <v>484.70580000000001</v>
      </c>
      <c r="D142" s="95" t="s">
        <v>328</v>
      </c>
    </row>
    <row r="143" spans="1:4" x14ac:dyDescent="0.25">
      <c r="A143" s="52" t="s">
        <v>336</v>
      </c>
      <c r="B143" s="53">
        <v>-12.59329</v>
      </c>
      <c r="C143" s="53">
        <v>548.11452999999995</v>
      </c>
      <c r="D143" s="95" t="s">
        <v>22</v>
      </c>
    </row>
    <row r="144" spans="1:4" x14ac:dyDescent="0.25">
      <c r="A144" s="52" t="s">
        <v>151</v>
      </c>
      <c r="B144" s="53">
        <v>182.83542</v>
      </c>
      <c r="C144" s="53">
        <v>616.82928000000004</v>
      </c>
      <c r="D144" s="95" t="s">
        <v>330</v>
      </c>
    </row>
    <row r="145" spans="1:4" x14ac:dyDescent="0.25">
      <c r="A145" s="52" t="s">
        <v>37</v>
      </c>
      <c r="B145" s="53">
        <v>462.11804000000001</v>
      </c>
      <c r="C145" s="53">
        <v>745.21722999999997</v>
      </c>
      <c r="D145" s="95" t="s">
        <v>104</v>
      </c>
    </row>
    <row r="146" spans="1:4" x14ac:dyDescent="0.25">
      <c r="A146" s="52" t="s">
        <v>109</v>
      </c>
      <c r="B146" s="53">
        <v>519.39675</v>
      </c>
      <c r="C146" s="83">
        <v>879.89881000000003</v>
      </c>
      <c r="D146" s="95" t="s">
        <v>103</v>
      </c>
    </row>
    <row r="147" spans="1:4" x14ac:dyDescent="0.25">
      <c r="A147" s="52" t="s">
        <v>122</v>
      </c>
      <c r="B147" s="53">
        <v>3273.0094100000001</v>
      </c>
      <c r="C147" s="83">
        <v>885.58181000000002</v>
      </c>
      <c r="D147" s="95">
        <f>IF(OR(3273.00941="",885.58181="",3273.00941=0),"-",885.58181/3273.00941*100)</f>
        <v>27.057111638429415</v>
      </c>
    </row>
    <row r="148" spans="1:4" x14ac:dyDescent="0.25">
      <c r="A148" s="52" t="s">
        <v>221</v>
      </c>
      <c r="B148" s="53">
        <v>15.839320000000001</v>
      </c>
      <c r="C148" s="53">
        <v>1505.1056599999999</v>
      </c>
      <c r="D148" s="95" t="s">
        <v>400</v>
      </c>
    </row>
    <row r="149" spans="1:4" x14ac:dyDescent="0.25">
      <c r="A149" s="52" t="s">
        <v>77</v>
      </c>
      <c r="B149" s="53">
        <v>789.98279000000002</v>
      </c>
      <c r="C149" s="53">
        <v>1826.7822100000001</v>
      </c>
      <c r="D149" s="95" t="s">
        <v>223</v>
      </c>
    </row>
    <row r="150" spans="1:4" x14ac:dyDescent="0.25">
      <c r="A150" s="52" t="s">
        <v>57</v>
      </c>
      <c r="B150" s="53">
        <v>4928.3009000000002</v>
      </c>
      <c r="C150" s="53">
        <v>3801.46819</v>
      </c>
      <c r="D150" s="95">
        <f>IF(OR(4928.3009="",3801.46819="",4928.3009=0),"-",3801.46819/4928.3009*100)</f>
        <v>77.13547259259272</v>
      </c>
    </row>
    <row r="151" spans="1:4" x14ac:dyDescent="0.25">
      <c r="A151" s="52" t="s">
        <v>75</v>
      </c>
      <c r="B151" s="53">
        <v>-3043.2694200000001</v>
      </c>
      <c r="C151" s="53">
        <v>9366.0137400000003</v>
      </c>
      <c r="D151" s="95" t="s">
        <v>22</v>
      </c>
    </row>
    <row r="152" spans="1:4" x14ac:dyDescent="0.25">
      <c r="A152" s="52" t="s">
        <v>58</v>
      </c>
      <c r="B152" s="53">
        <v>9919.5025999999998</v>
      </c>
      <c r="C152" s="53">
        <v>10884.923629999999</v>
      </c>
      <c r="D152" s="95">
        <f>IF(OR(9919.5026="",10884.92363="",9919.5026=0),"-",10884.92363/9919.5026*100)</f>
        <v>109.73255483596527</v>
      </c>
    </row>
    <row r="153" spans="1:4" x14ac:dyDescent="0.25">
      <c r="A153" s="52" t="s">
        <v>60</v>
      </c>
      <c r="B153" s="53">
        <v>9406.8619999999992</v>
      </c>
      <c r="C153" s="53">
        <v>14422.429190000001</v>
      </c>
      <c r="D153" s="95" t="s">
        <v>224</v>
      </c>
    </row>
    <row r="154" spans="1:4" x14ac:dyDescent="0.25">
      <c r="A154" s="54" t="s">
        <v>374</v>
      </c>
      <c r="B154" s="56">
        <v>24076.396970000002</v>
      </c>
      <c r="C154" s="56">
        <v>19322.67626</v>
      </c>
      <c r="D154" s="96">
        <f>IF(OR(24076.39697="",19322.67626="",24076.39697=0),"-",19322.67626/24076.39697*100)</f>
        <v>80.255680632266959</v>
      </c>
    </row>
    <row r="155" spans="1:4" x14ac:dyDescent="0.25">
      <c r="A155" s="89" t="s">
        <v>305</v>
      </c>
    </row>
  </sheetData>
  <sortState ref="A48:G113">
    <sortCondition ref="C48:C113"/>
  </sortState>
  <mergeCells count="4">
    <mergeCell ref="A1:D1"/>
    <mergeCell ref="A3:A4"/>
    <mergeCell ref="D3:D4"/>
    <mergeCell ref="B3:C3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0"/>
  <sheetViews>
    <sheetView workbookViewId="0">
      <selection activeCell="J24" sqref="J24"/>
    </sheetView>
  </sheetViews>
  <sheetFormatPr defaultRowHeight="15.75" x14ac:dyDescent="0.25"/>
  <cols>
    <col min="1" max="1" width="30.375" customWidth="1"/>
    <col min="2" max="2" width="14.875" customWidth="1"/>
    <col min="3" max="3" width="13.875" customWidth="1"/>
    <col min="4" max="5" width="11.625" customWidth="1"/>
  </cols>
  <sheetData>
    <row r="1" spans="1:6" x14ac:dyDescent="0.25">
      <c r="A1" s="100" t="s">
        <v>318</v>
      </c>
      <c r="B1" s="100"/>
      <c r="C1" s="100"/>
      <c r="D1" s="100"/>
      <c r="E1" s="100"/>
    </row>
    <row r="2" spans="1:6" x14ac:dyDescent="0.25">
      <c r="A2" s="7"/>
      <c r="B2" s="7"/>
      <c r="C2" s="7"/>
      <c r="D2" s="7"/>
      <c r="E2" s="7"/>
    </row>
    <row r="3" spans="1:6" ht="18.75" customHeight="1" x14ac:dyDescent="0.25">
      <c r="A3" s="101"/>
      <c r="B3" s="104" t="s">
        <v>362</v>
      </c>
      <c r="C3" s="105"/>
      <c r="D3" s="104" t="s">
        <v>108</v>
      </c>
      <c r="E3" s="120"/>
      <c r="F3" s="1"/>
    </row>
    <row r="4" spans="1:6" ht="18.75" customHeight="1" x14ac:dyDescent="0.25">
      <c r="A4" s="102"/>
      <c r="B4" s="108" t="s">
        <v>121</v>
      </c>
      <c r="C4" s="110" t="s">
        <v>363</v>
      </c>
      <c r="D4" s="112" t="s">
        <v>364</v>
      </c>
      <c r="E4" s="104"/>
      <c r="F4" s="1"/>
    </row>
    <row r="5" spans="1:6" ht="23.25" customHeight="1" x14ac:dyDescent="0.25">
      <c r="A5" s="103"/>
      <c r="B5" s="109"/>
      <c r="C5" s="111"/>
      <c r="D5" s="20">
        <v>2020</v>
      </c>
      <c r="E5" s="19">
        <v>2021</v>
      </c>
      <c r="F5" s="1"/>
    </row>
    <row r="6" spans="1:6" ht="15.75" customHeight="1" x14ac:dyDescent="0.25">
      <c r="A6" s="74" t="s">
        <v>136</v>
      </c>
      <c r="B6" s="67">
        <v>1808733.4933800001</v>
      </c>
      <c r="C6" s="49">
        <v>118.58864280005588</v>
      </c>
      <c r="D6" s="68">
        <v>100</v>
      </c>
      <c r="E6" s="68">
        <v>100</v>
      </c>
    </row>
    <row r="7" spans="1:6" ht="15.75" customHeight="1" x14ac:dyDescent="0.25">
      <c r="A7" s="75" t="s">
        <v>127</v>
      </c>
      <c r="B7" s="28"/>
      <c r="C7" s="69"/>
      <c r="D7" s="28"/>
      <c r="E7" s="28"/>
    </row>
    <row r="8" spans="1:6" x14ac:dyDescent="0.25">
      <c r="A8" s="76" t="s">
        <v>112</v>
      </c>
      <c r="B8" s="53">
        <v>119344.99718000001</v>
      </c>
      <c r="C8" s="70">
        <v>97.815306378614267</v>
      </c>
      <c r="D8" s="53">
        <f>IF(122010.55397="","-",122010.55397/1525216.45469*100)</f>
        <v>7.9995566265247646</v>
      </c>
      <c r="E8" s="53">
        <f>IF(119344.99718="","-",119344.99718/1808733.49338*100)</f>
        <v>6.5982632387139972</v>
      </c>
    </row>
    <row r="9" spans="1:6" x14ac:dyDescent="0.25">
      <c r="A9" s="76" t="s">
        <v>113</v>
      </c>
      <c r="B9" s="53">
        <v>47767.075579999997</v>
      </c>
      <c r="C9" s="70">
        <v>91.464311508354797</v>
      </c>
      <c r="D9" s="53">
        <f>IF(52224.82386="","-",52224.82386/1525216.45469*100)</f>
        <v>3.4240926066205262</v>
      </c>
      <c r="E9" s="53">
        <f>IF(47767.07558="","-",47767.07558/1808733.49338*100)</f>
        <v>2.6409128683041709</v>
      </c>
    </row>
    <row r="10" spans="1:6" x14ac:dyDescent="0.25">
      <c r="A10" s="76" t="s">
        <v>114</v>
      </c>
      <c r="B10" s="53">
        <v>1620024.3186999999</v>
      </c>
      <c r="C10" s="70">
        <v>121.52803015253831</v>
      </c>
      <c r="D10" s="53">
        <f>IF(1333045.81393="","-",1333045.81393/1525216.45469*100)</f>
        <v>87.400434858338926</v>
      </c>
      <c r="E10" s="53">
        <f>IF(1620024.3187="","-",1620024.3187/1808733.49338*100)</f>
        <v>89.566778335742697</v>
      </c>
    </row>
    <row r="11" spans="1:6" x14ac:dyDescent="0.25">
      <c r="A11" s="76" t="s">
        <v>115</v>
      </c>
      <c r="B11" s="53">
        <v>20620.24523</v>
      </c>
      <c r="C11" s="70">
        <v>120.16985975506698</v>
      </c>
      <c r="D11" s="53">
        <f>IF(17159.24881="","-",17159.24881/1525216.45469*100)</f>
        <v>1.1250369583435693</v>
      </c>
      <c r="E11" s="53">
        <f>IF(20620.24523="","-",20620.24523/1808733.49338*100)</f>
        <v>1.1400377836464299</v>
      </c>
    </row>
    <row r="12" spans="1:6" x14ac:dyDescent="0.25">
      <c r="A12" s="76" t="s">
        <v>116</v>
      </c>
      <c r="B12" s="53">
        <v>893.64931000000001</v>
      </c>
      <c r="C12" s="70">
        <v>120.20319541001932</v>
      </c>
      <c r="D12" s="53">
        <f>IF(743.44888="","-",743.44888/1525216.45469*100)</f>
        <v>4.8743827652390881E-2</v>
      </c>
      <c r="E12" s="53">
        <f>IF(893.64931="","-",893.64931/1808733.49338*100)</f>
        <v>4.9407461810751771E-2</v>
      </c>
    </row>
    <row r="13" spans="1:6" x14ac:dyDescent="0.25">
      <c r="A13" s="76" t="s">
        <v>117</v>
      </c>
      <c r="B13" s="53">
        <v>3.8673700000000002</v>
      </c>
      <c r="C13" s="70">
        <v>77.646650189831618</v>
      </c>
      <c r="D13" s="53">
        <f>IF(4.98073="","-",4.98073/1525216.45469*100)</f>
        <v>3.2655889494795235E-4</v>
      </c>
      <c r="E13" s="53">
        <f>IF(3.86737="","-",3.86737/1808733.49338*100)</f>
        <v>2.1381646407028177E-4</v>
      </c>
    </row>
    <row r="14" spans="1:6" x14ac:dyDescent="0.25">
      <c r="A14" s="76" t="s">
        <v>118</v>
      </c>
      <c r="B14" s="53">
        <v>79.340010000000007</v>
      </c>
      <c r="C14" s="70" t="s">
        <v>307</v>
      </c>
      <c r="D14" s="53">
        <f>IF(27.58451="","-",27.58451/1525216.45469*100)</f>
        <v>1.8085636248663833E-3</v>
      </c>
      <c r="E14" s="53">
        <f>IF(79.34001="","-",79.34001/1808733.49338*100)</f>
        <v>4.38649531787773E-3</v>
      </c>
    </row>
    <row r="15" spans="1:6" x14ac:dyDescent="0.25">
      <c r="A15" s="50" t="s">
        <v>215</v>
      </c>
      <c r="B15" s="51">
        <v>1132022.9469999999</v>
      </c>
      <c r="C15" s="71">
        <v>114.22399218216295</v>
      </c>
      <c r="D15" s="51">
        <f>IF(991055.31629="","-",991055.31629/1525216.45469*100)</f>
        <v>64.978011038533651</v>
      </c>
      <c r="E15" s="51">
        <f>IF(1132022.947="","-",1132022.947/1808733.49338*100)</f>
        <v>62.586497742383052</v>
      </c>
    </row>
    <row r="16" spans="1:6" x14ac:dyDescent="0.25">
      <c r="A16" s="75" t="s">
        <v>127</v>
      </c>
      <c r="B16" s="27"/>
      <c r="C16" s="71"/>
      <c r="D16" s="27"/>
      <c r="E16" s="27"/>
    </row>
    <row r="17" spans="1:11" x14ac:dyDescent="0.25">
      <c r="A17" s="76" t="s">
        <v>112</v>
      </c>
      <c r="B17" s="53">
        <v>46468.276039999997</v>
      </c>
      <c r="C17" s="72">
        <v>80.900834979873366</v>
      </c>
      <c r="D17" s="53">
        <f>IF(57438.56173="","-",57438.56173/1525216.45469*100)</f>
        <v>3.7659285377742915</v>
      </c>
      <c r="E17" s="53">
        <f>IF(46468.27604="","-",46468.27604/1808733.49338*100)</f>
        <v>2.5691057422265242</v>
      </c>
      <c r="K17" s="22"/>
    </row>
    <row r="18" spans="1:11" x14ac:dyDescent="0.25">
      <c r="A18" s="76" t="s">
        <v>113</v>
      </c>
      <c r="B18" s="53">
        <v>9298.4184800000003</v>
      </c>
      <c r="C18" s="72">
        <v>80.663979197090512</v>
      </c>
      <c r="D18" s="53">
        <f>IF(11527.3491="","-",11527.3491/1525216.45469*100)</f>
        <v>0.7557844701028309</v>
      </c>
      <c r="E18" s="53">
        <f>IF(9298.41848="","-",9298.41848/1808733.49338*100)</f>
        <v>0.51408449691634472</v>
      </c>
    </row>
    <row r="19" spans="1:11" x14ac:dyDescent="0.25">
      <c r="A19" s="76" t="s">
        <v>114</v>
      </c>
      <c r="B19" s="53">
        <v>1072338.8220500001</v>
      </c>
      <c r="C19" s="72">
        <v>116.75628974594541</v>
      </c>
      <c r="D19" s="53">
        <f>IF(918442.0166="","-",918442.0166/1525216.45469*100)</f>
        <v>60.217158933462535</v>
      </c>
      <c r="E19" s="53">
        <f>IF(1072338.82205="","-",1072338.82205/1808733.49338*100)</f>
        <v>59.286723332916715</v>
      </c>
    </row>
    <row r="20" spans="1:11" x14ac:dyDescent="0.25">
      <c r="A20" s="76" t="s">
        <v>115</v>
      </c>
      <c r="B20" s="53">
        <v>3081.47093</v>
      </c>
      <c r="C20" s="72">
        <v>93.283335758551388</v>
      </c>
      <c r="D20" s="53">
        <f>IF(3303.34556="","-",3303.34556/1525216.45469*100)</f>
        <v>0.21658208248686936</v>
      </c>
      <c r="E20" s="53">
        <f>IF(3081.47093="","-",3081.47093/1808733.49338*100)</f>
        <v>0.17036622262363382</v>
      </c>
    </row>
    <row r="21" spans="1:11" x14ac:dyDescent="0.25">
      <c r="A21" s="76" t="s">
        <v>116</v>
      </c>
      <c r="B21" s="53">
        <v>799.89534000000003</v>
      </c>
      <c r="C21" s="72" t="s">
        <v>310</v>
      </c>
      <c r="D21" s="53">
        <f>IF(331.89312="","-",331.89312/1525216.45469*100)</f>
        <v>2.1760394662635425E-2</v>
      </c>
      <c r="E21" s="53">
        <f>IF(799.89534="","-",799.89534/1808733.49338*100)</f>
        <v>4.4224057492584318E-2</v>
      </c>
    </row>
    <row r="22" spans="1:11" x14ac:dyDescent="0.25">
      <c r="A22" s="58" t="s">
        <v>118</v>
      </c>
      <c r="B22" s="53">
        <v>36.064160000000001</v>
      </c>
      <c r="C22" s="72" t="s">
        <v>325</v>
      </c>
      <c r="D22" s="53">
        <f>IF(12.15018="","-",12.15018/1525216.45469*100)</f>
        <v>7.9662004449522689E-4</v>
      </c>
      <c r="E22" s="53">
        <f>IF(36.06416="","-",36.06416/1808733.49338*100)</f>
        <v>1.9938902072635647E-3</v>
      </c>
    </row>
    <row r="23" spans="1:11" x14ac:dyDescent="0.25">
      <c r="A23" s="50" t="s">
        <v>216</v>
      </c>
      <c r="B23" s="51">
        <f>IF(282408.59407="","-",282408.59407)</f>
        <v>282408.59406999999</v>
      </c>
      <c r="C23" s="71">
        <v>114.32511207024577</v>
      </c>
      <c r="D23" s="51">
        <f>IF(247022.36364="","-",247022.36364/1525216.45469*100)</f>
        <v>16.1958889756541</v>
      </c>
      <c r="E23" s="51">
        <f>IF(282408.59407="","-",282408.59407/1808733.49338*100)</f>
        <v>15.613610026221163</v>
      </c>
    </row>
    <row r="24" spans="1:11" x14ac:dyDescent="0.25">
      <c r="A24" s="75" t="s">
        <v>127</v>
      </c>
      <c r="B24" s="27"/>
      <c r="C24" s="71"/>
      <c r="D24" s="27"/>
      <c r="E24" s="27"/>
    </row>
    <row r="25" spans="1:11" x14ac:dyDescent="0.25">
      <c r="A25" s="76" t="s">
        <v>112</v>
      </c>
      <c r="B25" s="53">
        <v>10270.452499999999</v>
      </c>
      <c r="C25" s="72" t="s">
        <v>415</v>
      </c>
      <c r="D25" s="53">
        <f>IF(1668.99619="","-",1668.99619/1525216.45469*100)</f>
        <v>0.10942684134228169</v>
      </c>
      <c r="E25" s="53">
        <f>IF(10270.4525="","-",10270.4525/1808733.49338*100)</f>
        <v>0.56782563808267261</v>
      </c>
    </row>
    <row r="26" spans="1:11" x14ac:dyDescent="0.25">
      <c r="A26" s="76" t="s">
        <v>113</v>
      </c>
      <c r="B26" s="53">
        <v>9484.6760099999992</v>
      </c>
      <c r="C26" s="72" t="s">
        <v>20</v>
      </c>
      <c r="D26" s="53">
        <f>IF(4720.06909="","-",4720.06909/1525216.45469*100)</f>
        <v>0.30946880198452575</v>
      </c>
      <c r="E26" s="53">
        <f>IF(9484.67601="","-",9484.67601/1808733.49338*100)</f>
        <v>0.52438217375385032</v>
      </c>
      <c r="F26" s="1"/>
      <c r="G26" s="1"/>
    </row>
    <row r="27" spans="1:11" x14ac:dyDescent="0.25">
      <c r="A27" s="76" t="s">
        <v>114</v>
      </c>
      <c r="B27" s="53">
        <v>256699.76217999999</v>
      </c>
      <c r="C27" s="72">
        <v>109.43124350101971</v>
      </c>
      <c r="D27" s="53">
        <f>IF(234576.30012="","-",234576.30012/1525216.45469*100)</f>
        <v>15.379869486634773</v>
      </c>
      <c r="E27" s="53">
        <f>IF(256699.76218="","-",256699.76218/1808733.49338*100)</f>
        <v>14.19223800076275</v>
      </c>
      <c r="F27" s="10"/>
      <c r="G27" s="10"/>
    </row>
    <row r="28" spans="1:11" x14ac:dyDescent="0.25">
      <c r="A28" s="76" t="s">
        <v>115</v>
      </c>
      <c r="B28" s="53">
        <v>5895.5975200000003</v>
      </c>
      <c r="C28" s="72">
        <v>99.252521765702852</v>
      </c>
      <c r="D28" s="53">
        <f>IF(5939.99771="","-",5939.99771/1525216.45469*100)</f>
        <v>0.38945276860439476</v>
      </c>
      <c r="E28" s="53">
        <f>IF(5895.59752="","-",5895.59752/1808733.49338*100)</f>
        <v>0.32595169722781175</v>
      </c>
    </row>
    <row r="29" spans="1:11" x14ac:dyDescent="0.25">
      <c r="A29" s="76" t="s">
        <v>116</v>
      </c>
      <c r="B29" s="53">
        <v>16.580020000000001</v>
      </c>
      <c r="C29" s="72">
        <v>17.166163813252659</v>
      </c>
      <c r="D29" s="53">
        <f>IF(96.58547="","-",96.58547/1525216.45469*100)</f>
        <v>6.3325746128034648E-3</v>
      </c>
      <c r="E29" s="53">
        <f>IF(16.58002="","-",16.58002/1808733.49338*100)</f>
        <v>9.1666461978413068E-4</v>
      </c>
    </row>
    <row r="30" spans="1:11" x14ac:dyDescent="0.25">
      <c r="A30" s="76" t="s">
        <v>117</v>
      </c>
      <c r="B30" s="53">
        <v>3.8673700000000002</v>
      </c>
      <c r="C30" s="72">
        <v>77.646650189831618</v>
      </c>
      <c r="D30" s="53">
        <f>IF(4.98073="","-",4.98073/1525216.45469*100)</f>
        <v>3.2655889494795235E-4</v>
      </c>
      <c r="E30" s="53">
        <f>IF(3.86737="","-",3.86737/1808733.49338*100)</f>
        <v>2.1381646407028177E-4</v>
      </c>
    </row>
    <row r="31" spans="1:11" x14ac:dyDescent="0.25">
      <c r="A31" s="76" t="s">
        <v>118</v>
      </c>
      <c r="B31" s="53">
        <v>37.658470000000001</v>
      </c>
      <c r="C31" s="72" t="s">
        <v>310</v>
      </c>
      <c r="D31" s="53">
        <f>IF(15.43433="","-",15.43433/1525216.45469*100)</f>
        <v>1.011943580371156E-3</v>
      </c>
      <c r="E31" s="53">
        <f>IF(37.65847="","-",37.65847/1808733.49338*100)</f>
        <v>2.0820353102229119E-3</v>
      </c>
    </row>
    <row r="32" spans="1:11" x14ac:dyDescent="0.25">
      <c r="A32" s="50" t="s">
        <v>329</v>
      </c>
      <c r="B32" s="51">
        <v>394301.95231000002</v>
      </c>
      <c r="C32" s="71">
        <v>137.32104019722539</v>
      </c>
      <c r="D32" s="51">
        <f>IF(287138.77476="","-",287138.77476/1525216.45469*100)</f>
        <v>18.826099985812235</v>
      </c>
      <c r="E32" s="51">
        <f>IF(394301.95231="","-",394301.95231/1808733.49338*100)</f>
        <v>21.799892231395773</v>
      </c>
    </row>
    <row r="33" spans="1:5" x14ac:dyDescent="0.25">
      <c r="A33" s="75" t="s">
        <v>127</v>
      </c>
      <c r="B33" s="27"/>
      <c r="C33" s="71"/>
      <c r="D33" s="27"/>
      <c r="E33" s="27"/>
    </row>
    <row r="34" spans="1:5" x14ac:dyDescent="0.25">
      <c r="A34" s="76" t="s">
        <v>112</v>
      </c>
      <c r="B34" s="53">
        <v>62606.268640000002</v>
      </c>
      <c r="C34" s="72">
        <v>99.528277779067736</v>
      </c>
      <c r="D34" s="53">
        <f>IF(62902.99605="","-",62902.99605/1525216.45469*100)</f>
        <v>4.1242012474081937</v>
      </c>
      <c r="E34" s="53">
        <f>IF(62606.26864="","-",62606.26864/1808733.49338*100)</f>
        <v>3.4613318584047987</v>
      </c>
    </row>
    <row r="35" spans="1:5" x14ac:dyDescent="0.25">
      <c r="A35" s="76" t="s">
        <v>113</v>
      </c>
      <c r="B35" s="53">
        <v>28983.981090000001</v>
      </c>
      <c r="C35" s="72">
        <v>80.561620690089072</v>
      </c>
      <c r="D35" s="53">
        <f>IF(35977.40567="","-",35977.40567/1525216.45469*100)</f>
        <v>2.3588393345331697</v>
      </c>
      <c r="E35" s="53">
        <f>IF(28983.98109="","-",28983.98109/1808733.49338*100)</f>
        <v>1.6024461976339763</v>
      </c>
    </row>
    <row r="36" spans="1:5" x14ac:dyDescent="0.25">
      <c r="A36" s="76" t="s">
        <v>114</v>
      </c>
      <c r="B36" s="53">
        <v>290985.73447000002</v>
      </c>
      <c r="C36" s="72" t="s">
        <v>104</v>
      </c>
      <c r="D36" s="53">
        <f>IF(180027.49721="","-",180027.49721/1525216.45469*100)</f>
        <v>11.803406438241618</v>
      </c>
      <c r="E36" s="53">
        <f>IF(290985.73447="","-",290985.73447/1808733.49338*100)</f>
        <v>16.08781700206324</v>
      </c>
    </row>
    <row r="37" spans="1:5" x14ac:dyDescent="0.25">
      <c r="A37" s="76" t="s">
        <v>115</v>
      </c>
      <c r="B37" s="53">
        <v>11643.17678</v>
      </c>
      <c r="C37" s="72">
        <v>147.08584786877083</v>
      </c>
      <c r="D37" s="53">
        <f>IF(7915.90554="","-",7915.90554/1525216.45469*100)</f>
        <v>0.51900210725230511</v>
      </c>
      <c r="E37" s="53">
        <f>IF(11643.17678="","-",11643.17678/1808733.49338*100)</f>
        <v>0.64371986379498436</v>
      </c>
    </row>
    <row r="38" spans="1:5" x14ac:dyDescent="0.25">
      <c r="A38" s="58" t="s">
        <v>116</v>
      </c>
      <c r="B38" s="66">
        <v>77.173950000000005</v>
      </c>
      <c r="C38" s="73">
        <v>24.501977630969581</v>
      </c>
      <c r="D38" s="53">
        <f>IF(314.97029="","-",314.97029/1525216.45469*100)</f>
        <v>2.0650858376951985E-2</v>
      </c>
      <c r="E38" s="53">
        <f>IF(77.17395="","-",77.17395/1808733.49338*100)</f>
        <v>4.2667396983833254E-3</v>
      </c>
    </row>
    <row r="39" spans="1:5" x14ac:dyDescent="0.25">
      <c r="A39" s="77" t="s">
        <v>118</v>
      </c>
      <c r="B39" s="56">
        <v>5.6173799999999998</v>
      </c>
      <c r="C39" s="97" t="s">
        <v>214</v>
      </c>
      <c r="D39" s="56" t="s">
        <v>214</v>
      </c>
      <c r="E39" s="56">
        <f>IF(5.61738="","-",5.61738/1808733.49338*100)</f>
        <v>3.105698003912528E-4</v>
      </c>
    </row>
    <row r="40" spans="1:5" x14ac:dyDescent="0.25">
      <c r="A40" s="41" t="s">
        <v>21</v>
      </c>
    </row>
  </sheetData>
  <mergeCells count="7">
    <mergeCell ref="A1:E1"/>
    <mergeCell ref="A3:A5"/>
    <mergeCell ref="B3:C3"/>
    <mergeCell ref="D3:E3"/>
    <mergeCell ref="B4:B5"/>
    <mergeCell ref="C4:C5"/>
    <mergeCell ref="D4:E4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40"/>
  <sheetViews>
    <sheetView workbookViewId="0">
      <selection activeCell="J22" sqref="J22"/>
    </sheetView>
  </sheetViews>
  <sheetFormatPr defaultRowHeight="15.75" x14ac:dyDescent="0.25"/>
  <cols>
    <col min="1" max="1" width="31" customWidth="1"/>
    <col min="2" max="2" width="14.5" customWidth="1"/>
    <col min="3" max="3" width="13.75" customWidth="1"/>
    <col min="4" max="5" width="11.625" customWidth="1"/>
  </cols>
  <sheetData>
    <row r="1" spans="1:6" x14ac:dyDescent="0.25">
      <c r="A1" s="100" t="s">
        <v>317</v>
      </c>
      <c r="B1" s="100"/>
      <c r="C1" s="100"/>
      <c r="D1" s="100"/>
      <c r="E1" s="100"/>
    </row>
    <row r="2" spans="1:6" x14ac:dyDescent="0.25">
      <c r="A2" s="7"/>
      <c r="B2" s="7"/>
      <c r="C2" s="7"/>
      <c r="D2" s="7"/>
      <c r="E2" s="7"/>
    </row>
    <row r="3" spans="1:6" ht="17.25" customHeight="1" x14ac:dyDescent="0.25">
      <c r="A3" s="101"/>
      <c r="B3" s="104" t="s">
        <v>362</v>
      </c>
      <c r="C3" s="105"/>
      <c r="D3" s="104" t="s">
        <v>108</v>
      </c>
      <c r="E3" s="120"/>
      <c r="F3" s="1"/>
    </row>
    <row r="4" spans="1:6" ht="20.25" customHeight="1" x14ac:dyDescent="0.25">
      <c r="A4" s="102"/>
      <c r="B4" s="108" t="s">
        <v>121</v>
      </c>
      <c r="C4" s="110" t="s">
        <v>363</v>
      </c>
      <c r="D4" s="112" t="s">
        <v>364</v>
      </c>
      <c r="E4" s="104"/>
      <c r="F4" s="1"/>
    </row>
    <row r="5" spans="1:6" ht="20.25" customHeight="1" x14ac:dyDescent="0.25">
      <c r="A5" s="103"/>
      <c r="B5" s="109"/>
      <c r="C5" s="111"/>
      <c r="D5" s="26">
        <v>2020</v>
      </c>
      <c r="E5" s="25">
        <v>2021</v>
      </c>
      <c r="F5" s="1"/>
    </row>
    <row r="6" spans="1:6" ht="15.75" customHeight="1" x14ac:dyDescent="0.25">
      <c r="A6" s="74" t="s">
        <v>128</v>
      </c>
      <c r="B6" s="67">
        <v>4403469.79342</v>
      </c>
      <c r="C6" s="78">
        <v>132.4797502746363</v>
      </c>
      <c r="D6" s="68">
        <v>100</v>
      </c>
      <c r="E6" s="68">
        <v>100</v>
      </c>
    </row>
    <row r="7" spans="1:6" ht="15.75" customHeight="1" x14ac:dyDescent="0.25">
      <c r="A7" s="75" t="s">
        <v>127</v>
      </c>
      <c r="B7" s="28"/>
      <c r="C7" s="69"/>
      <c r="D7" s="28"/>
      <c r="E7" s="28"/>
    </row>
    <row r="8" spans="1:6" x14ac:dyDescent="0.25">
      <c r="A8" s="76" t="s">
        <v>112</v>
      </c>
      <c r="B8" s="53">
        <v>122638.53324</v>
      </c>
      <c r="C8" s="70" t="s">
        <v>223</v>
      </c>
      <c r="D8" s="53">
        <f>IF(52903.50705="","-",52903.50705/3323881.41153*100)</f>
        <v>1.591618367204269</v>
      </c>
      <c r="E8" s="53">
        <f>IF(122638.53324="","-",122638.53324/4403469.79342*100)</f>
        <v>2.7850431362843873</v>
      </c>
    </row>
    <row r="9" spans="1:6" x14ac:dyDescent="0.25">
      <c r="A9" s="76" t="s">
        <v>113</v>
      </c>
      <c r="B9" s="53">
        <v>213796.37153</v>
      </c>
      <c r="C9" s="70">
        <v>119.86546336352623</v>
      </c>
      <c r="D9" s="53">
        <f>IF(178363.61328="","-",178363.61328/3323881.41153*100)</f>
        <v>5.3661244550207421</v>
      </c>
      <c r="E9" s="53">
        <f>IF(213796.37153="","-",213796.37153/4403469.79342*100)</f>
        <v>4.8551797005504795</v>
      </c>
    </row>
    <row r="10" spans="1:6" x14ac:dyDescent="0.25">
      <c r="A10" s="76" t="s">
        <v>114</v>
      </c>
      <c r="B10" s="53">
        <v>3782217.0615300001</v>
      </c>
      <c r="C10" s="70">
        <v>131.71418264520631</v>
      </c>
      <c r="D10" s="53">
        <f>IF(2871533.63865="","-",2871533.63865/3323881.41153*100)</f>
        <v>86.390977388336438</v>
      </c>
      <c r="E10" s="53">
        <f>IF(3782217.06153="","-",3782217.06153/4403469.79342*100)</f>
        <v>85.891745350034583</v>
      </c>
    </row>
    <row r="11" spans="1:6" x14ac:dyDescent="0.25">
      <c r="A11" s="76" t="s">
        <v>115</v>
      </c>
      <c r="B11" s="53">
        <v>105812.4687</v>
      </c>
      <c r="C11" s="70">
        <v>139.75137699596763</v>
      </c>
      <c r="D11" s="53">
        <f>IF(75714.79507="","-",75714.79507/3323881.41153*100)</f>
        <v>2.2779030204675106</v>
      </c>
      <c r="E11" s="53">
        <f>IF(105812.4687="","-",105812.4687/4403469.79342*100)</f>
        <v>2.402933905851087</v>
      </c>
    </row>
    <row r="12" spans="1:6" x14ac:dyDescent="0.25">
      <c r="A12" s="76" t="s">
        <v>116</v>
      </c>
      <c r="B12" s="53">
        <v>8193.0403700000006</v>
      </c>
      <c r="C12" s="70">
        <v>90.544720076602786</v>
      </c>
      <c r="D12" s="53">
        <f>IF(9048.61196="","-",9048.61196/3323881.41153*100)</f>
        <v>0.27223028862016097</v>
      </c>
      <c r="E12" s="53">
        <f>IF(8193.04037="","-",8193.04037/4403469.79342*100)</f>
        <v>0.18605873900265343</v>
      </c>
    </row>
    <row r="13" spans="1:6" x14ac:dyDescent="0.25">
      <c r="A13" s="76" t="s">
        <v>117</v>
      </c>
      <c r="B13" s="53">
        <v>145268.71124</v>
      </c>
      <c r="C13" s="70">
        <v>121.25031705169238</v>
      </c>
      <c r="D13" s="53">
        <f>IF(119808.9331="","-",119808.9331/3323881.41153*100)</f>
        <v>3.604488796874715</v>
      </c>
      <c r="E13" s="53">
        <f>IF(145268.71124="","-",145268.71124/4403469.79342*100)</f>
        <v>3.2989600940847055</v>
      </c>
    </row>
    <row r="14" spans="1:6" x14ac:dyDescent="0.25">
      <c r="A14" s="76" t="s">
        <v>118</v>
      </c>
      <c r="B14" s="53">
        <v>25543.606810000001</v>
      </c>
      <c r="C14" s="70" t="s">
        <v>224</v>
      </c>
      <c r="D14" s="53">
        <f>IF(16508.31242="","-",16508.31242/3323881.41153*100)</f>
        <v>0.49665768347617234</v>
      </c>
      <c r="E14" s="53">
        <f>IF(25543.60681="","-",25543.60681/4403469.79342*100)</f>
        <v>0.58007907419211102</v>
      </c>
    </row>
    <row r="15" spans="1:6" x14ac:dyDescent="0.25">
      <c r="A15" s="50" t="s">
        <v>215</v>
      </c>
      <c r="B15" s="51">
        <v>2050096.4405499999</v>
      </c>
      <c r="C15" s="71">
        <v>134.76420251568092</v>
      </c>
      <c r="D15" s="51">
        <f>IF(1521247.03911="","-",1521247.03911/3323881.41153*100)</f>
        <v>45.767187536626402</v>
      </c>
      <c r="E15" s="51">
        <f>IF(2050096.44055="","-",2050096.44055/4403469.79342*100)</f>
        <v>46.556387047627993</v>
      </c>
    </row>
    <row r="16" spans="1:6" x14ac:dyDescent="0.25">
      <c r="A16" s="75" t="s">
        <v>127</v>
      </c>
      <c r="B16" s="28"/>
      <c r="C16" s="71"/>
      <c r="D16" s="28"/>
      <c r="E16" s="28"/>
    </row>
    <row r="17" spans="1:7" x14ac:dyDescent="0.25">
      <c r="A17" s="76" t="s">
        <v>112</v>
      </c>
      <c r="B17" s="53">
        <v>38463.216180000003</v>
      </c>
      <c r="C17" s="72" t="s">
        <v>211</v>
      </c>
      <c r="D17" s="53">
        <f>IF(17198.09149="","-",17198.09149/3323881.41153*100)</f>
        <v>0.51740990007473298</v>
      </c>
      <c r="E17" s="53">
        <f>IF(38463.21618="","-",38463.21618/4403469.79342*100)</f>
        <v>0.87347519080236846</v>
      </c>
    </row>
    <row r="18" spans="1:7" x14ac:dyDescent="0.25">
      <c r="A18" s="76" t="s">
        <v>113</v>
      </c>
      <c r="B18" s="53">
        <v>77043.16145</v>
      </c>
      <c r="C18" s="72" t="s">
        <v>348</v>
      </c>
      <c r="D18" s="53">
        <f>IF(15666.97217="","-",15666.97217/3323881.41153*100)</f>
        <v>0.47134570191505143</v>
      </c>
      <c r="E18" s="53">
        <f>IF(77043.16145="","-",77043.16145/4403469.79342*100)</f>
        <v>1.7496012250413018</v>
      </c>
    </row>
    <row r="19" spans="1:7" x14ac:dyDescent="0.25">
      <c r="A19" s="76" t="s">
        <v>114</v>
      </c>
      <c r="B19" s="53">
        <v>1886760.2969800001</v>
      </c>
      <c r="C19" s="72">
        <v>129.83669496509697</v>
      </c>
      <c r="D19" s="53">
        <f>IF(1453179.54796="","-",1453179.54796/3323881.41153*100)</f>
        <v>43.71935601911543</v>
      </c>
      <c r="E19" s="53">
        <f>IF(1886760.29698="","-",1886760.29698/4403469.79342*100)</f>
        <v>42.847127049658454</v>
      </c>
    </row>
    <row r="20" spans="1:7" x14ac:dyDescent="0.25">
      <c r="A20" s="76" t="s">
        <v>115</v>
      </c>
      <c r="B20" s="53">
        <v>24244.461139999999</v>
      </c>
      <c r="C20" s="72">
        <v>132.63591870116406</v>
      </c>
      <c r="D20" s="53">
        <f>IF(18278.95594="","-",18278.95594/3323881.41153*100)</f>
        <v>0.54992804125301509</v>
      </c>
      <c r="E20" s="53">
        <f>IF(24244.46114="","-",24244.46114/4403469.79342*100)</f>
        <v>0.55057630181153783</v>
      </c>
    </row>
    <row r="21" spans="1:7" x14ac:dyDescent="0.25">
      <c r="A21" s="76" t="s">
        <v>116</v>
      </c>
      <c r="B21" s="53">
        <v>4021.4741100000001</v>
      </c>
      <c r="C21" s="72" t="s">
        <v>104</v>
      </c>
      <c r="D21" s="53">
        <f>IF(2554.08402="","-",2554.08402/3323881.41153*100)</f>
        <v>7.6840407456785331E-2</v>
      </c>
      <c r="E21" s="53">
        <f>IF(4021.47411="","-",4021.47411/4403469.79342*100)</f>
        <v>9.1325120840142771E-2</v>
      </c>
    </row>
    <row r="22" spans="1:7" x14ac:dyDescent="0.25">
      <c r="A22" s="76" t="s">
        <v>118</v>
      </c>
      <c r="B22" s="53">
        <v>19563.830689999999</v>
      </c>
      <c r="C22" s="72">
        <v>136.89673694951898</v>
      </c>
      <c r="D22" s="53">
        <f>IF(14290.94011="","-",14290.94011/3323881.41153*100)</f>
        <v>0.42994735192498346</v>
      </c>
      <c r="E22" s="53">
        <f>IF(19563.83069="","-",19563.83069/4403469.79342*100)</f>
        <v>0.44428215947418931</v>
      </c>
    </row>
    <row r="23" spans="1:7" x14ac:dyDescent="0.25">
      <c r="A23" s="50" t="s">
        <v>216</v>
      </c>
      <c r="B23" s="51">
        <v>1051072.7111200001</v>
      </c>
      <c r="C23" s="79">
        <v>124.67566133532398</v>
      </c>
      <c r="D23" s="51">
        <f>IF(843045.62724="","-",843045.62724/3323881.41153*100)</f>
        <v>25.363288362683839</v>
      </c>
      <c r="E23" s="51">
        <f>IF(1051072.71112="","-",1051072.71112/4403469.79342*100)</f>
        <v>23.869193168773247</v>
      </c>
    </row>
    <row r="24" spans="1:7" x14ac:dyDescent="0.25">
      <c r="A24" s="76" t="s">
        <v>127</v>
      </c>
      <c r="B24" s="28"/>
      <c r="C24" s="80"/>
      <c r="D24" s="28"/>
      <c r="E24" s="28"/>
    </row>
    <row r="25" spans="1:7" x14ac:dyDescent="0.25">
      <c r="A25" s="76" t="s">
        <v>112</v>
      </c>
      <c r="B25" s="53">
        <v>71965.062439999994</v>
      </c>
      <c r="C25" s="70" t="s">
        <v>416</v>
      </c>
      <c r="D25" s="53">
        <f>IF(25881.28188="","-",25881.28188/3323881.41153*100)</f>
        <v>0.77864636777419527</v>
      </c>
      <c r="E25" s="53">
        <f>IF(71965.06244="","-",71965.06244/4403469.79342*100)</f>
        <v>1.6342808243520979</v>
      </c>
    </row>
    <row r="26" spans="1:7" x14ac:dyDescent="0.25">
      <c r="A26" s="76" t="s">
        <v>113</v>
      </c>
      <c r="B26" s="53">
        <v>136702.64934</v>
      </c>
      <c r="C26" s="70">
        <v>84.134386271630575</v>
      </c>
      <c r="D26" s="53">
        <f>IF(162481.30568="","-",162481.30568/3323881.41153*100)</f>
        <v>4.8883003201130748</v>
      </c>
      <c r="E26" s="53">
        <f>IF(136702.64934="","-",136702.64934/4403469.79342*100)</f>
        <v>3.1044302732420581</v>
      </c>
      <c r="F26" s="1"/>
      <c r="G26" s="1"/>
    </row>
    <row r="27" spans="1:7" x14ac:dyDescent="0.25">
      <c r="A27" s="76" t="s">
        <v>114</v>
      </c>
      <c r="B27" s="53">
        <v>677529.81464</v>
      </c>
      <c r="C27" s="70">
        <v>129.0051578550229</v>
      </c>
      <c r="D27" s="53">
        <f>IF(525195.91147="","-",525195.91147/3323881.41153*100)</f>
        <v>15.800681385568735</v>
      </c>
      <c r="E27" s="53">
        <f>IF(677529.81464="","-",677529.81464/4403469.79342*100)</f>
        <v>15.386271427418821</v>
      </c>
      <c r="F27" s="1"/>
      <c r="G27" s="1"/>
    </row>
    <row r="28" spans="1:7" x14ac:dyDescent="0.25">
      <c r="A28" s="76" t="s">
        <v>115</v>
      </c>
      <c r="B28" s="53">
        <v>17828.43159</v>
      </c>
      <c r="C28" s="70" t="s">
        <v>20</v>
      </c>
      <c r="D28" s="53">
        <f>IF(9126.30969="","-",9126.30969/3323881.41153*100)</f>
        <v>0.27456784885111507</v>
      </c>
      <c r="E28" s="53">
        <f>IF(17828.43159="","-",17828.43159/4403469.79342*100)</f>
        <v>0.40487234899716135</v>
      </c>
      <c r="F28" s="10"/>
      <c r="G28" s="10"/>
    </row>
    <row r="29" spans="1:7" x14ac:dyDescent="0.25">
      <c r="A29" s="76" t="s">
        <v>116</v>
      </c>
      <c r="B29" s="53">
        <v>216.95528999999999</v>
      </c>
      <c r="C29" s="70">
        <v>86.75480905630144</v>
      </c>
      <c r="D29" s="53">
        <f>IF(250.07869="","-",250.07869/3323881.41153*100)</f>
        <v>7.523694712227638E-3</v>
      </c>
      <c r="E29" s="53">
        <f>IF(216.95529="","-",216.95529/4403469.79342*100)</f>
        <v>4.9269167310785492E-3</v>
      </c>
    </row>
    <row r="30" spans="1:7" x14ac:dyDescent="0.25">
      <c r="A30" s="76" t="s">
        <v>117</v>
      </c>
      <c r="B30" s="53">
        <v>145268.71124</v>
      </c>
      <c r="C30" s="70">
        <v>121.32976026528051</v>
      </c>
      <c r="D30" s="53">
        <f>IF(119730.48568="","-",119730.48568/3323881.41153*100)</f>
        <v>3.6021286819883089</v>
      </c>
      <c r="E30" s="53">
        <f>IF(145268.71124="","-",145268.71124/4403469.79342*100)</f>
        <v>3.2989600940847055</v>
      </c>
    </row>
    <row r="31" spans="1:7" x14ac:dyDescent="0.25">
      <c r="A31" s="76" t="s">
        <v>118</v>
      </c>
      <c r="B31" s="53">
        <v>1561.0865799999999</v>
      </c>
      <c r="C31" s="70" t="s">
        <v>214</v>
      </c>
      <c r="D31" s="53">
        <f>IF(380.25415="","-",380.25415/3323881.41153*100)</f>
        <v>1.1440063676187743E-2</v>
      </c>
      <c r="E31" s="53">
        <f>IF(1561.08658="","-",1561.08658/4403469.79342*100)</f>
        <v>3.5451283947324774E-2</v>
      </c>
    </row>
    <row r="32" spans="1:7" x14ac:dyDescent="0.25">
      <c r="A32" s="50" t="s">
        <v>217</v>
      </c>
      <c r="B32" s="51">
        <v>1302300.64175</v>
      </c>
      <c r="C32" s="71">
        <v>135.71445562397818</v>
      </c>
      <c r="D32" s="51">
        <f>IF(959588.74518="","-",959588.74518/3323881.41153*100)</f>
        <v>28.869524100689748</v>
      </c>
      <c r="E32" s="51">
        <f>IF(1302300.64175="","-",1302300.64175/4403469.79342*100)</f>
        <v>29.57441978359876</v>
      </c>
    </row>
    <row r="33" spans="1:5" x14ac:dyDescent="0.25">
      <c r="A33" s="76" t="s">
        <v>127</v>
      </c>
      <c r="B33" s="28"/>
      <c r="C33" s="71"/>
      <c r="D33" s="29"/>
      <c r="E33" s="29"/>
    </row>
    <row r="34" spans="1:5" x14ac:dyDescent="0.25">
      <c r="A34" s="76" t="s">
        <v>112</v>
      </c>
      <c r="B34" s="66">
        <v>12210.25462</v>
      </c>
      <c r="C34" s="72">
        <v>124.28835984650404</v>
      </c>
      <c r="D34" s="53">
        <f>IF(9824.13368="","-",9824.13368/3323881.41153*100)</f>
        <v>0.29556209935534072</v>
      </c>
      <c r="E34" s="53">
        <f>IF(12210.25462="","-",12210.25462/4403469.79342*100)</f>
        <v>0.27728712112992104</v>
      </c>
    </row>
    <row r="35" spans="1:5" x14ac:dyDescent="0.25">
      <c r="A35" s="76" t="s">
        <v>113</v>
      </c>
      <c r="B35" s="66">
        <v>50.560740000000003</v>
      </c>
      <c r="C35" s="72" t="s">
        <v>22</v>
      </c>
      <c r="D35" s="53">
        <f>IF(215.33543="","-",215.33543/3323881.41153*100)</f>
        <v>6.4784329926163035E-3</v>
      </c>
      <c r="E35" s="53">
        <f>IF(50.56074="","-",50.56074/4403469.79342*100)</f>
        <v>1.1482022671201631E-3</v>
      </c>
    </row>
    <row r="36" spans="1:5" x14ac:dyDescent="0.25">
      <c r="A36" s="76" t="s">
        <v>114</v>
      </c>
      <c r="B36" s="66">
        <v>1217926.94991</v>
      </c>
      <c r="C36" s="72">
        <v>136.36184253203865</v>
      </c>
      <c r="D36" s="53">
        <f>IF(893158.17922="","-",893158.17922/3323881.41153*100)</f>
        <v>26.870939983652264</v>
      </c>
      <c r="E36" s="53">
        <f>IF(1217926.94991="","-",1217926.94991/4403469.79342*100)</f>
        <v>27.658346872957303</v>
      </c>
    </row>
    <row r="37" spans="1:5" x14ac:dyDescent="0.25">
      <c r="A37" s="76" t="s">
        <v>115</v>
      </c>
      <c r="B37" s="66">
        <v>63739.575969999998</v>
      </c>
      <c r="C37" s="72">
        <v>131.93996445186653</v>
      </c>
      <c r="D37" s="53">
        <f>IF(48309.52944="","-",48309.52944/3323881.41153*100)</f>
        <v>1.4534071303633804</v>
      </c>
      <c r="E37" s="53">
        <f>IF(63739.57597="","-",63739.57597/4403469.79342*100)</f>
        <v>1.4474852550423878</v>
      </c>
    </row>
    <row r="38" spans="1:5" x14ac:dyDescent="0.25">
      <c r="A38" s="76" t="s">
        <v>116</v>
      </c>
      <c r="B38" s="66">
        <v>3954.6109700000002</v>
      </c>
      <c r="C38" s="73">
        <v>63.330020177520062</v>
      </c>
      <c r="D38" s="66">
        <f>IF(6244.44925="","-",6244.44925/3323881.41153*100)</f>
        <v>0.187866186451148</v>
      </c>
      <c r="E38" s="66">
        <f>IF(3954.61097="","-",3954.61097/4403469.79342*100)</f>
        <v>8.9806701431432129E-2</v>
      </c>
    </row>
    <row r="39" spans="1:5" x14ac:dyDescent="0.25">
      <c r="A39" s="77" t="s">
        <v>118</v>
      </c>
      <c r="B39" s="56">
        <v>4418.6895400000003</v>
      </c>
      <c r="C39" s="81" t="s">
        <v>310</v>
      </c>
      <c r="D39" s="56">
        <f>IF(1837.11816="","-",1837.11816/3323881.41153*100)</f>
        <v>5.5270267875001132E-2</v>
      </c>
      <c r="E39" s="56">
        <f>IF(4418.68954="","-",4418.68954/4403469.79342*100)</f>
        <v>0.10034563077059692</v>
      </c>
    </row>
    <row r="40" spans="1:5" x14ac:dyDescent="0.25">
      <c r="A40" s="41" t="s">
        <v>21</v>
      </c>
    </row>
  </sheetData>
  <mergeCells count="7">
    <mergeCell ref="A1:E1"/>
    <mergeCell ref="A3:A5"/>
    <mergeCell ref="B3:C3"/>
    <mergeCell ref="D3:E3"/>
    <mergeCell ref="B4:B5"/>
    <mergeCell ref="C4:C5"/>
    <mergeCell ref="D4:E4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81"/>
  <sheetViews>
    <sheetView zoomScaleNormal="100" workbookViewId="0">
      <selection activeCell="K76" sqref="K76"/>
    </sheetView>
  </sheetViews>
  <sheetFormatPr defaultRowHeight="15.75" x14ac:dyDescent="0.25"/>
  <cols>
    <col min="1" max="1" width="5.625" customWidth="1"/>
    <col min="2" max="2" width="26.75" customWidth="1"/>
    <col min="3" max="3" width="11.5" customWidth="1"/>
    <col min="4" max="4" width="10.375" customWidth="1"/>
    <col min="5" max="5" width="7.75" customWidth="1"/>
    <col min="6" max="6" width="7.875" customWidth="1"/>
    <col min="7" max="8" width="8.625" customWidth="1"/>
    <col min="10" max="10" width="9.125" customWidth="1"/>
  </cols>
  <sheetData>
    <row r="1" spans="1:11" x14ac:dyDescent="0.25">
      <c r="B1" s="113" t="s">
        <v>140</v>
      </c>
      <c r="C1" s="113"/>
      <c r="D1" s="113"/>
      <c r="E1" s="113"/>
      <c r="F1" s="113"/>
      <c r="G1" s="113"/>
      <c r="H1" s="113"/>
    </row>
    <row r="2" spans="1:11" x14ac:dyDescent="0.25">
      <c r="B2" s="113" t="s">
        <v>304</v>
      </c>
      <c r="C2" s="113"/>
      <c r="D2" s="113"/>
      <c r="E2" s="113"/>
      <c r="F2" s="113"/>
      <c r="G2" s="113"/>
      <c r="H2" s="113"/>
    </row>
    <row r="3" spans="1:11" x14ac:dyDescent="0.25">
      <c r="B3" s="6"/>
    </row>
    <row r="4" spans="1:11" ht="57" customHeight="1" x14ac:dyDescent="0.25">
      <c r="A4" s="121" t="s">
        <v>229</v>
      </c>
      <c r="B4" s="124"/>
      <c r="C4" s="127" t="s">
        <v>362</v>
      </c>
      <c r="D4" s="119"/>
      <c r="E4" s="127" t="s">
        <v>0</v>
      </c>
      <c r="F4" s="119"/>
      <c r="G4" s="116" t="s">
        <v>106</v>
      </c>
      <c r="H4" s="128"/>
    </row>
    <row r="5" spans="1:11" ht="19.5" customHeight="1" x14ac:dyDescent="0.25">
      <c r="A5" s="122"/>
      <c r="B5" s="125"/>
      <c r="C5" s="129" t="s">
        <v>110</v>
      </c>
      <c r="D5" s="114" t="s">
        <v>363</v>
      </c>
      <c r="E5" s="131" t="s">
        <v>364</v>
      </c>
      <c r="F5" s="131"/>
      <c r="G5" s="131" t="s">
        <v>401</v>
      </c>
      <c r="H5" s="127"/>
    </row>
    <row r="6" spans="1:11" ht="22.5" customHeight="1" x14ac:dyDescent="0.25">
      <c r="A6" s="123"/>
      <c r="B6" s="126"/>
      <c r="C6" s="130"/>
      <c r="D6" s="115"/>
      <c r="E6" s="21">
        <v>2020</v>
      </c>
      <c r="F6" s="21">
        <v>2021</v>
      </c>
      <c r="G6" s="21">
        <v>2020</v>
      </c>
      <c r="H6" s="17">
        <v>2021</v>
      </c>
    </row>
    <row r="7" spans="1:11" ht="16.5" customHeight="1" x14ac:dyDescent="0.25">
      <c r="A7" s="45"/>
      <c r="B7" s="59" t="s">
        <v>100</v>
      </c>
      <c r="C7" s="48">
        <v>1808733.4933800001</v>
      </c>
      <c r="D7" s="49">
        <f>IF(1525216.45469="","-",1808733.49338/1525216.45469*100)</f>
        <v>118.58864280005588</v>
      </c>
      <c r="E7" s="49">
        <v>100</v>
      </c>
      <c r="F7" s="49">
        <v>100</v>
      </c>
      <c r="G7" s="49">
        <f>IF(1787183.4192="","-",(1525216.45469-1787183.4192)/1787183.4192*100)</f>
        <v>-14.658090585199396</v>
      </c>
      <c r="H7" s="49">
        <f>IF(1525216.45469="","-",(1808733.49338-1525216.45469)/1525216.45469*100)</f>
        <v>18.588642800055869</v>
      </c>
    </row>
    <row r="8" spans="1:11" x14ac:dyDescent="0.25">
      <c r="A8" s="35" t="s">
        <v>230</v>
      </c>
      <c r="B8" s="36" t="s">
        <v>189</v>
      </c>
      <c r="C8" s="33">
        <v>370586.96755</v>
      </c>
      <c r="D8" s="51">
        <f>IF(375315.37087="","-",370586.96755/375315.37087*100)</f>
        <v>98.740151966321193</v>
      </c>
      <c r="E8" s="51">
        <f>IF(375315.37087="","-",375315.37087/1525216.45469*100)</f>
        <v>24.607351285511982</v>
      </c>
      <c r="F8" s="51">
        <f>IF(370586.96755="","-",370586.96755/1808733.49338*100)</f>
        <v>20.488754639992877</v>
      </c>
      <c r="G8" s="51">
        <f>IF(1787183.4192="","-",(375315.37087-399173.91606)/1787183.4192*100)</f>
        <v>-1.3349802227171443</v>
      </c>
      <c r="H8" s="51">
        <f>IF(1525216.45469="","-",(370586.96755-375315.37087)/1525216.45469*100)</f>
        <v>-0.31001523131095715</v>
      </c>
    </row>
    <row r="9" spans="1:11" ht="13.5" customHeight="1" x14ac:dyDescent="0.25">
      <c r="A9" s="37" t="s">
        <v>231</v>
      </c>
      <c r="B9" s="38" t="s">
        <v>23</v>
      </c>
      <c r="C9" s="34">
        <v>6461.9565400000001</v>
      </c>
      <c r="D9" s="53">
        <f>IF(OR(7626.76778="",6461.95654=""),"-",6461.95654/7626.76778*100)</f>
        <v>84.72732783270871</v>
      </c>
      <c r="E9" s="53">
        <f>IF(7626.76778="","-",7626.76778/1525216.45469*100)</f>
        <v>0.50004494486981776</v>
      </c>
      <c r="F9" s="53">
        <f>IF(6461.95654="","-",6461.95654/1808733.49338*100)</f>
        <v>0.35726416100829045</v>
      </c>
      <c r="G9" s="53">
        <f>IF(OR(1787183.4192="",7809.16103="",7626.76778=""),"-",(7626.76778-7809.16103)/1787183.4192*100)</f>
        <v>-1.0205625681198694E-2</v>
      </c>
      <c r="H9" s="53">
        <f>IF(OR(1525216.45469="",6461.95654="",7626.76778=""),"-",(6461.95654-7626.76778)/1525216.45469*100)</f>
        <v>-7.6370225119079746E-2</v>
      </c>
      <c r="I9" s="35"/>
      <c r="J9" s="36"/>
      <c r="K9" s="33"/>
    </row>
    <row r="10" spans="1:11" x14ac:dyDescent="0.25">
      <c r="A10" s="37" t="s">
        <v>232</v>
      </c>
      <c r="B10" s="38" t="s">
        <v>190</v>
      </c>
      <c r="C10" s="34">
        <v>4723.5323500000004</v>
      </c>
      <c r="D10" s="53" t="s">
        <v>212</v>
      </c>
      <c r="E10" s="53">
        <f>IF(2570.63147="","-",2570.63147/1525216.45469*100)</f>
        <v>0.16854207559165629</v>
      </c>
      <c r="F10" s="53">
        <f>IF(4723.53235="","-",4723.53235/1808733.49338*100)</f>
        <v>0.26115137289646156</v>
      </c>
      <c r="G10" s="53">
        <f>IF(OR(1787183.4192="",4438.93785="",2570.63147=""),"-",(2570.63147-4438.93785)/1787183.4192*100)</f>
        <v>-0.10453915137799978</v>
      </c>
      <c r="H10" s="53">
        <f>IF(OR(1525216.45469="",4723.53235="",2570.63147=""),"-",(4723.53235-2570.63147)/1525216.45469*100)</f>
        <v>0.14115379317997048</v>
      </c>
      <c r="I10" s="37"/>
      <c r="J10" s="38"/>
      <c r="K10" s="34"/>
    </row>
    <row r="11" spans="1:11" s="7" customFormat="1" x14ac:dyDescent="0.25">
      <c r="A11" s="37" t="s">
        <v>233</v>
      </c>
      <c r="B11" s="38" t="s">
        <v>191</v>
      </c>
      <c r="C11" s="34">
        <v>7748.2359299999998</v>
      </c>
      <c r="D11" s="53">
        <f>IF(OR(7113.12361="",7748.23593=""),"-",7748.23593/7113.12361*100)</f>
        <v>108.92874009819155</v>
      </c>
      <c r="E11" s="53">
        <f>IF(7113.12361="","-",7113.12361/1525216.45469*100)</f>
        <v>0.46636813995333798</v>
      </c>
      <c r="F11" s="53">
        <f>IF(7748.23593="","-",7748.23593/1808733.49338*100)</f>
        <v>0.42837908173640254</v>
      </c>
      <c r="G11" s="53">
        <f>IF(OR(1787183.4192="",11665.01232="",7113.12361=""),"-",(7113.12361-11665.01232)/1787183.4192*100)</f>
        <v>-0.25469622541806985</v>
      </c>
      <c r="H11" s="53">
        <f>IF(OR(1525216.45469="",7748.23593="",7113.12361=""),"-",(7748.23593-7113.12361)/1525216.45469*100)</f>
        <v>4.1640799117203774E-2</v>
      </c>
      <c r="I11" s="37"/>
      <c r="J11" s="38"/>
      <c r="K11" s="34"/>
    </row>
    <row r="12" spans="1:11" s="7" customFormat="1" x14ac:dyDescent="0.25">
      <c r="A12" s="37" t="s">
        <v>234</v>
      </c>
      <c r="B12" s="38" t="s">
        <v>192</v>
      </c>
      <c r="C12" s="34">
        <v>39.540379999999999</v>
      </c>
      <c r="D12" s="53" t="s">
        <v>346</v>
      </c>
      <c r="E12" s="53">
        <f>IF(2.95359="","-",2.95359/1525216.45469*100)</f>
        <v>1.936505465121222E-4</v>
      </c>
      <c r="F12" s="53">
        <f>IF(39.54038="","-",39.54038/1808733.49338*100)</f>
        <v>2.186081042050615E-3</v>
      </c>
      <c r="G12" s="53">
        <f>IF(OR(1787183.4192="",19.96421="",2.95359=""),"-",(2.95359-19.96421)/1787183.4192*100)</f>
        <v>-9.5181165051399683E-4</v>
      </c>
      <c r="H12" s="53">
        <f>IF(OR(1525216.45469="",39.54038="",2.95359=""),"-",(39.54038-2.95359)/1525216.45469*100)</f>
        <v>2.3987932917650208E-3</v>
      </c>
      <c r="I12" s="37"/>
      <c r="J12" s="38"/>
      <c r="K12" s="34"/>
    </row>
    <row r="13" spans="1:11" s="7" customFormat="1" x14ac:dyDescent="0.25">
      <c r="A13" s="37" t="s">
        <v>235</v>
      </c>
      <c r="B13" s="38" t="s">
        <v>193</v>
      </c>
      <c r="C13" s="34">
        <v>147366.52361999999</v>
      </c>
      <c r="D13" s="53">
        <f>IF(OR(122321.37499="",147366.52362=""),"-",147366.52362/122321.37499*100)</f>
        <v>120.47487500205708</v>
      </c>
      <c r="E13" s="53">
        <f>IF(122321.37499="","-",122321.37499/1525216.45469*100)</f>
        <v>8.0199354402363685</v>
      </c>
      <c r="F13" s="53">
        <f>IF(147366.52362="","-",147366.52362/1808733.49338*100)</f>
        <v>8.1474979127308895</v>
      </c>
      <c r="G13" s="53">
        <f>IF(OR(1787183.4192="",172246.16199="",122321.37499=""),"-",(122321.37499-172246.16199)/1787183.4192*100)</f>
        <v>-2.7934898267100037</v>
      </c>
      <c r="H13" s="53">
        <f>IF(OR(1525216.45469="",147366.52362="",122321.37499=""),"-",(147366.52362-122321.37499)/1525216.45469*100)</f>
        <v>1.6420717566340719</v>
      </c>
      <c r="I13" s="37"/>
      <c r="J13" s="38"/>
      <c r="K13" s="34"/>
    </row>
    <row r="14" spans="1:11" s="7" customFormat="1" ht="15.75" customHeight="1" x14ac:dyDescent="0.25">
      <c r="A14" s="37" t="s">
        <v>236</v>
      </c>
      <c r="B14" s="38" t="s">
        <v>194</v>
      </c>
      <c r="C14" s="34">
        <v>172467.26454</v>
      </c>
      <c r="D14" s="53">
        <f>IF(OR(198780.64648="",172467.26454=""),"-",172467.26454/198780.64648*100)</f>
        <v>86.762603701136726</v>
      </c>
      <c r="E14" s="53">
        <f>IF(198780.64648="","-",198780.64648/1525216.45469*100)</f>
        <v>13.032946626608624</v>
      </c>
      <c r="F14" s="53">
        <f>IF(172467.26454="","-",172467.26454/1808733.49338*100)</f>
        <v>9.535250227368131</v>
      </c>
      <c r="G14" s="53">
        <f>IF(OR(1787183.4192="",171495.70491="",198780.64648=""),"-",(198780.64648-171495.70491)/1787183.4192*100)</f>
        <v>1.5267006887414838</v>
      </c>
      <c r="H14" s="53">
        <f>IF(OR(1525216.45469="",172467.26454="",198780.64648=""),"-",(172467.26454-198780.64648)/1525216.45469*100)</f>
        <v>-1.7252227943835148</v>
      </c>
      <c r="I14" s="37"/>
      <c r="J14" s="38"/>
      <c r="K14" s="34"/>
    </row>
    <row r="15" spans="1:11" s="7" customFormat="1" ht="25.5" x14ac:dyDescent="0.25">
      <c r="A15" s="37" t="s">
        <v>237</v>
      </c>
      <c r="B15" s="38" t="s">
        <v>152</v>
      </c>
      <c r="C15" s="34">
        <v>10522.930700000001</v>
      </c>
      <c r="D15" s="53">
        <f>IF(OR(12258.45615="",10522.9307=""),"-",10522.9307/12258.45615*100)</f>
        <v>85.842218393871732</v>
      </c>
      <c r="E15" s="53">
        <f>IF(12258.45615="","-",12258.45615/1525216.45469*100)</f>
        <v>0.80371911228111736</v>
      </c>
      <c r="F15" s="53">
        <f>IF(10522.9307="","-",10522.9307/1808733.49338*100)</f>
        <v>0.58178447728834193</v>
      </c>
      <c r="G15" s="53">
        <f>IF(OR(1787183.4192="",10622.01172="",12258.45615=""),"-",(12258.45615-10622.01172)/1787183.4192*100)</f>
        <v>9.1565555746512248E-2</v>
      </c>
      <c r="H15" s="53">
        <f>IF(OR(1525216.45469="",10522.9307="",12258.45615=""),"-",(10522.9307-12258.45615)/1525216.45469*100)</f>
        <v>-0.11378879664347342</v>
      </c>
      <c r="I15" s="37"/>
      <c r="J15" s="38"/>
      <c r="K15" s="34"/>
    </row>
    <row r="16" spans="1:11" s="7" customFormat="1" ht="25.5" x14ac:dyDescent="0.25">
      <c r="A16" s="37" t="s">
        <v>238</v>
      </c>
      <c r="B16" s="38" t="s">
        <v>195</v>
      </c>
      <c r="C16" s="34">
        <v>6211.4466000000002</v>
      </c>
      <c r="D16" s="53">
        <f>IF(OR(4950.3525="",6211.4466=""),"-",6211.4466/4950.3525*100)</f>
        <v>125.47483436785562</v>
      </c>
      <c r="E16" s="53">
        <f>IF(4950.3525="","-",4950.3525/1525216.45469*100)</f>
        <v>0.32456721042956216</v>
      </c>
      <c r="F16" s="53">
        <f>IF(6211.4466="","-",6211.4466/1808733.49338*100)</f>
        <v>0.34341414159322065</v>
      </c>
      <c r="G16" s="53">
        <f>IF(OR(1787183.4192="",6282.24169="",4950.3525=""),"-",(4950.3525-6282.24169)/1787183.4192*100)</f>
        <v>-7.4524482249068533E-2</v>
      </c>
      <c r="H16" s="53">
        <f>IF(OR(1525216.45469="",6211.4466="",4950.3525=""),"-",(6211.4466-4950.3525)/1525216.45469*100)</f>
        <v>8.2682959269300402E-2</v>
      </c>
      <c r="I16" s="37"/>
      <c r="J16" s="38"/>
      <c r="K16" s="34"/>
    </row>
    <row r="17" spans="1:11" s="7" customFormat="1" ht="25.5" x14ac:dyDescent="0.25">
      <c r="A17" s="37" t="s">
        <v>239</v>
      </c>
      <c r="B17" s="38" t="s">
        <v>153</v>
      </c>
      <c r="C17" s="34">
        <v>11490.716700000001</v>
      </c>
      <c r="D17" s="53">
        <f>IF(OR(17519.96717="",11490.7167=""),"-",11490.7167/17519.96717*100)</f>
        <v>65.586405433886441</v>
      </c>
      <c r="E17" s="53">
        <f>IF(17519.96717="","-",17519.96717/1525216.45469*100)</f>
        <v>1.1486872644290302</v>
      </c>
      <c r="F17" s="53">
        <f>IF(11490.7167="","-",11490.7167/1808733.49338*100)</f>
        <v>0.63529075687801706</v>
      </c>
      <c r="G17" s="53">
        <f>IF(OR(1787183.4192="",12636.5177="",17519.96717=""),"-",(17519.96717-12636.5177)/1787183.4192*100)</f>
        <v>0.2732483648592704</v>
      </c>
      <c r="H17" s="53">
        <f>IF(OR(1525216.45469="",11490.7167="",17519.96717=""),"-",(11490.7167-17519.96717)/1525216.45469*100)</f>
        <v>-0.39530457801318719</v>
      </c>
      <c r="I17" s="37"/>
      <c r="J17" s="38"/>
      <c r="K17" s="34"/>
    </row>
    <row r="18" spans="1:11" s="7" customFormat="1" ht="16.5" customHeight="1" x14ac:dyDescent="0.25">
      <c r="A18" s="37" t="s">
        <v>240</v>
      </c>
      <c r="B18" s="38" t="s">
        <v>196</v>
      </c>
      <c r="C18" s="34">
        <v>3554.8201899999999</v>
      </c>
      <c r="D18" s="53" t="s">
        <v>104</v>
      </c>
      <c r="E18" s="53">
        <f>IF(2171.09713="","-",2171.09713/1525216.45469*100)</f>
        <v>0.14234682056595535</v>
      </c>
      <c r="F18" s="53">
        <f>IF(3554.82019="","-",3554.82019/1808733.49338*100)</f>
        <v>0.19653642745107064</v>
      </c>
      <c r="G18" s="53">
        <f>IF(OR(1787183.4192="",1958.20264="",2171.09713=""),"-",(2171.09713-1958.20264)/1787183.4192*100)</f>
        <v>1.1912291022445724E-2</v>
      </c>
      <c r="H18" s="53">
        <f>IF(OR(1525216.45469="",3554.82019="",2171.09713=""),"-",(3554.82019-2171.09713)/1525216.45469*100)</f>
        <v>9.072306135598579E-2</v>
      </c>
      <c r="I18" s="37"/>
      <c r="J18" s="38"/>
      <c r="K18" s="34"/>
    </row>
    <row r="19" spans="1:11" s="7" customFormat="1" ht="17.25" customHeight="1" x14ac:dyDescent="0.25">
      <c r="A19" s="35" t="s">
        <v>241</v>
      </c>
      <c r="B19" s="36" t="s">
        <v>197</v>
      </c>
      <c r="C19" s="33">
        <v>131133.19649</v>
      </c>
      <c r="D19" s="51">
        <f>IF(114131.32955="","-",131133.19649/114131.32955*100)</f>
        <v>114.89675710169627</v>
      </c>
      <c r="E19" s="51">
        <f>IF(114131.32955="","-",114131.32955/1525216.45469*100)</f>
        <v>7.4829594972601559</v>
      </c>
      <c r="F19" s="51">
        <f>IF(131133.19649="","-",131133.19649/1808733.49338*100)</f>
        <v>7.2500010073319299</v>
      </c>
      <c r="G19" s="51">
        <f>IF(1787183.4192="","-",(114131.32955-138893.64132)/1787183.4192*100)</f>
        <v>-1.3855495470680002</v>
      </c>
      <c r="H19" s="51">
        <f>IF(1525216.45469="","-",(131133.19649-114131.32955)/1525216.45469*100)</f>
        <v>1.1147183003251582</v>
      </c>
      <c r="I19" s="37"/>
      <c r="J19" s="38"/>
      <c r="K19" s="34"/>
    </row>
    <row r="20" spans="1:11" s="7" customFormat="1" x14ac:dyDescent="0.25">
      <c r="A20" s="37" t="s">
        <v>242</v>
      </c>
      <c r="B20" s="38" t="s">
        <v>198</v>
      </c>
      <c r="C20" s="34">
        <v>123218.21969</v>
      </c>
      <c r="D20" s="53">
        <f>IF(OR(108521.85306="",123218.21969=""),"-",123218.21969/108521.85306*100)</f>
        <v>113.54231080248383</v>
      </c>
      <c r="E20" s="53">
        <f>IF(108521.85306="","-",108521.85306/1525216.45469*100)</f>
        <v>7.1151771754296362</v>
      </c>
      <c r="F20" s="53">
        <f>IF(123218.21969="","-",123218.21969/1808733.49338*100)</f>
        <v>6.8124032722886527</v>
      </c>
      <c r="G20" s="53">
        <f>IF(OR(1787183.4192="",121828.39115="",108521.85306=""),"-",(108521.85306-121828.39115)/1787183.4192*100)</f>
        <v>-0.7445535778278668</v>
      </c>
      <c r="H20" s="53">
        <f>IF(OR(1525216.45469="",123218.21969="",108521.85306=""),"-",(123218.21969-108521.85306)/1525216.45469*100)</f>
        <v>0.96355940724407141</v>
      </c>
      <c r="I20" s="35"/>
      <c r="J20" s="36"/>
      <c r="K20" s="33"/>
    </row>
    <row r="21" spans="1:11" s="7" customFormat="1" x14ac:dyDescent="0.25">
      <c r="A21" s="37" t="s">
        <v>243</v>
      </c>
      <c r="B21" s="38" t="s">
        <v>199</v>
      </c>
      <c r="C21" s="34">
        <v>7914.9768000000004</v>
      </c>
      <c r="D21" s="53">
        <f>IF(OR(5609.47649="",7914.9768=""),"-",7914.9768/5609.47649*100)</f>
        <v>141.10009756008444</v>
      </c>
      <c r="E21" s="53">
        <f>IF(5609.47649="","-",5609.47649/1525216.45469*100)</f>
        <v>0.36778232183051851</v>
      </c>
      <c r="F21" s="53">
        <f>IF(7914.9768="","-",7914.9768/1808733.49338*100)</f>
        <v>0.43759773504327587</v>
      </c>
      <c r="G21" s="53">
        <f>IF(OR(1787183.4192="",17065.25017="",5609.47649=""),"-",(5609.47649-17065.25017)/1787183.4192*100)</f>
        <v>-0.64099596924013358</v>
      </c>
      <c r="H21" s="53">
        <f>IF(OR(1525216.45469="",7914.9768="",5609.47649=""),"-",(7914.9768-5609.47649)/1525216.45469*100)</f>
        <v>0.15115889308108685</v>
      </c>
      <c r="I21" s="37"/>
      <c r="J21" s="38"/>
      <c r="K21" s="34"/>
    </row>
    <row r="22" spans="1:11" s="7" customFormat="1" ht="25.5" x14ac:dyDescent="0.25">
      <c r="A22" s="35" t="s">
        <v>244</v>
      </c>
      <c r="B22" s="36" t="s">
        <v>24</v>
      </c>
      <c r="C22" s="33">
        <v>187170.11455999999</v>
      </c>
      <c r="D22" s="51">
        <f>IF(128618.68518="","-",187170.11456/128618.68518*100)</f>
        <v>145.5232684878236</v>
      </c>
      <c r="E22" s="51">
        <f>IF(128618.68518="","-",128618.68518/1525216.45469*100)</f>
        <v>8.4328152102280942</v>
      </c>
      <c r="F22" s="51">
        <f>IF(187170.11456="","-",187170.11456/1808733.49338*100)</f>
        <v>10.348131178255187</v>
      </c>
      <c r="G22" s="51">
        <f>IF(1787183.4192="","-",(128618.68518-179230.10065)/1787183.4192*100)</f>
        <v>-2.8319094126698694</v>
      </c>
      <c r="H22" s="51">
        <f>IF(1525216.45469="","-",(187170.11456-128618.68518)/1525216.45469*100)</f>
        <v>3.8388931092341614</v>
      </c>
      <c r="I22" s="37"/>
      <c r="J22" s="38"/>
      <c r="K22" s="34"/>
    </row>
    <row r="23" spans="1:11" s="7" customFormat="1" ht="15" customHeight="1" x14ac:dyDescent="0.25">
      <c r="A23" s="37" t="s">
        <v>245</v>
      </c>
      <c r="B23" s="38" t="s">
        <v>206</v>
      </c>
      <c r="C23" s="34">
        <v>881.74865</v>
      </c>
      <c r="D23" s="53">
        <f>IF(OR(805.19316="",881.74865=""),"-",881.74865/805.19316*100)</f>
        <v>109.5077173780264</v>
      </c>
      <c r="E23" s="53">
        <f>IF(805.19316="","-",805.19316/1525216.45469*100)</f>
        <v>5.2792058302547976E-2</v>
      </c>
      <c r="F23" s="53">
        <f>IF(881.74865="","-",881.74865/1808733.49338*100)</f>
        <v>4.8749506393684715E-2</v>
      </c>
      <c r="G23" s="53">
        <f>IF(OR(1787183.4192="",1065.29047="",805.19316=""),"-",(805.19316-1065.29047)/1787183.4192*100)</f>
        <v>-1.4553476000601421E-2</v>
      </c>
      <c r="H23" s="53">
        <f>IF(OR(1525216.45469="",881.74865="",805.19316=""),"-",(881.74865-805.19316)/1525216.45469*100)</f>
        <v>5.0193197014491856E-3</v>
      </c>
      <c r="I23" s="35"/>
      <c r="J23" s="36"/>
      <c r="K23" s="33"/>
    </row>
    <row r="24" spans="1:11" s="7" customFormat="1" ht="15" customHeight="1" x14ac:dyDescent="0.25">
      <c r="A24" s="37" t="s">
        <v>246</v>
      </c>
      <c r="B24" s="38" t="s">
        <v>200</v>
      </c>
      <c r="C24" s="34">
        <v>116769.76278</v>
      </c>
      <c r="D24" s="53">
        <f>IF(OR(104836.63834="",116769.76278=""),"-",116769.76278/104836.63834*100)</f>
        <v>111.38258974052486</v>
      </c>
      <c r="E24" s="53">
        <f>IF(104836.63834="","-",104836.63834/1525216.45469*100)</f>
        <v>6.8735580459829251</v>
      </c>
      <c r="F24" s="53">
        <f>IF(116769.76278="","-",116769.76278/1808733.49338*100)</f>
        <v>6.4558854694392309</v>
      </c>
      <c r="G24" s="53">
        <f>IF(OR(1787183.4192="",155571.66304="",104836.63834=""),"-",(104836.63834-155571.66304)/1787183.4192*100)</f>
        <v>-2.838825839303647</v>
      </c>
      <c r="H24" s="53">
        <f>IF(OR(1525216.45469="",116769.76278="",104836.63834=""),"-",(116769.76278-104836.63834)/1525216.45469*100)</f>
        <v>0.78238891295107393</v>
      </c>
      <c r="I24" s="37"/>
      <c r="J24" s="38"/>
      <c r="K24" s="34"/>
    </row>
    <row r="25" spans="1:11" s="7" customFormat="1" ht="25.5" x14ac:dyDescent="0.25">
      <c r="A25" s="37" t="s">
        <v>300</v>
      </c>
      <c r="B25" s="38" t="s">
        <v>201</v>
      </c>
      <c r="C25" s="34">
        <v>0.54017999999999999</v>
      </c>
      <c r="D25" s="53" t="s">
        <v>347</v>
      </c>
      <c r="E25" s="53">
        <f>IF(0.14712="","-",0.14712/1525216.45469*100)</f>
        <v>9.6458440077544346E-6</v>
      </c>
      <c r="F25" s="53">
        <f>IF(0.54018="","-",0.54018/1808733.49338*100)</f>
        <v>2.9865096321656525E-5</v>
      </c>
      <c r="G25" s="53">
        <f>IF(OR(1787183.4192="",0.55331="",0.14712=""),"-",(0.14712-0.55331)/1787183.4192*100)</f>
        <v>-2.2727941387338045E-5</v>
      </c>
      <c r="H25" s="53">
        <f>IF(OR(1525216.45469="",0.54018="",0.14712=""),"-",(0.54018-0.14712)/1525216.45469*100)</f>
        <v>2.5770768391027444E-5</v>
      </c>
      <c r="I25" s="37"/>
      <c r="J25" s="38"/>
      <c r="K25" s="34"/>
    </row>
    <row r="26" spans="1:11" s="7" customFormat="1" x14ac:dyDescent="0.25">
      <c r="A26" s="37" t="s">
        <v>247</v>
      </c>
      <c r="B26" s="38" t="s">
        <v>202</v>
      </c>
      <c r="C26" s="34">
        <v>1584.9911500000001</v>
      </c>
      <c r="D26" s="53" t="s">
        <v>104</v>
      </c>
      <c r="E26" s="53">
        <f>IF(995.91827="","-",995.91827/1525216.45469*100)</f>
        <v>6.5296847994104568E-2</v>
      </c>
      <c r="F26" s="53">
        <f>IF(1584.99115="","-",1584.99115/1808733.49338*100)</f>
        <v>8.762988885875661E-2</v>
      </c>
      <c r="G26" s="53">
        <f>IF(OR(1787183.4192="",548.21285="",995.91827=""),"-",(995.91827-548.21285)/1787183.4192*100)</f>
        <v>2.5050893780136297E-2</v>
      </c>
      <c r="H26" s="53">
        <f>IF(OR(1525216.45469="",1584.99115="",995.91827=""),"-",(1584.99115-995.91827)/1525216.45469*100)</f>
        <v>3.8622247890692275E-2</v>
      </c>
      <c r="I26" s="37"/>
      <c r="J26" s="38"/>
      <c r="K26" s="34"/>
    </row>
    <row r="27" spans="1:11" s="7" customFormat="1" ht="14.25" customHeight="1" x14ac:dyDescent="0.25">
      <c r="A27" s="37" t="s">
        <v>248</v>
      </c>
      <c r="B27" s="38" t="s">
        <v>154</v>
      </c>
      <c r="C27" s="34">
        <v>3344.7413999999999</v>
      </c>
      <c r="D27" s="53" t="s">
        <v>309</v>
      </c>
      <c r="E27" s="53">
        <f>IF(1221.62514="","-",1221.62514/1525216.45469*100)</f>
        <v>8.0095198045073229E-2</v>
      </c>
      <c r="F27" s="53">
        <f>IF(3344.7414="","-",3344.7414/1808733.49338*100)</f>
        <v>0.18492173735057257</v>
      </c>
      <c r="G27" s="53">
        <f>IF(OR(1787183.4192="",1794.9982="",1221.62514=""),"-",(1221.62514-1794.9982)/1787183.4192*100)</f>
        <v>-3.2082496616752401E-2</v>
      </c>
      <c r="H27" s="53">
        <f>IF(OR(1525216.45469="",3344.7414="",1221.62514=""),"-",(3344.7414-1221.62514)/1525216.45469*100)</f>
        <v>0.13920098052125479</v>
      </c>
      <c r="I27" s="37"/>
      <c r="J27" s="38"/>
      <c r="K27" s="34"/>
    </row>
    <row r="28" spans="1:11" s="7" customFormat="1" ht="38.25" x14ac:dyDescent="0.25">
      <c r="A28" s="37" t="s">
        <v>249</v>
      </c>
      <c r="B28" s="38" t="s">
        <v>155</v>
      </c>
      <c r="C28" s="34">
        <v>154.55913000000001</v>
      </c>
      <c r="D28" s="53">
        <f>IF(OR(106.70396="",154.55913=""),"-",154.55913/106.70396*100)</f>
        <v>144.84854170360691</v>
      </c>
      <c r="E28" s="53">
        <f>IF(106.70396="","-",106.70396/1525216.45469*100)</f>
        <v>6.99598799054968E-3</v>
      </c>
      <c r="F28" s="53">
        <f>IF(154.55913="","-",154.55913/1808733.49338*100)</f>
        <v>8.5451577341653408E-3</v>
      </c>
      <c r="G28" s="53">
        <f>IF(OR(1787183.4192="",247.19977="",106.70396=""),"-",(106.70396-247.19977)/1787183.4192*100)</f>
        <v>-7.8612977543676184E-3</v>
      </c>
      <c r="H28" s="53">
        <f>IF(OR(1525216.45469="",154.55913="",106.70396=""),"-",(154.55913-106.70396)/1525216.45469*100)</f>
        <v>3.1375985915210033E-3</v>
      </c>
      <c r="I28" s="37"/>
      <c r="J28" s="38"/>
      <c r="K28" s="34"/>
    </row>
    <row r="29" spans="1:11" s="7" customFormat="1" ht="38.25" x14ac:dyDescent="0.25">
      <c r="A29" s="37" t="s">
        <v>250</v>
      </c>
      <c r="B29" s="38" t="s">
        <v>156</v>
      </c>
      <c r="C29" s="34">
        <v>5336.4708499999997</v>
      </c>
      <c r="D29" s="53">
        <f>IF(OR(5807.75496="",5336.47085=""),"-",5336.47085/5807.75496*100)</f>
        <v>91.885261805191575</v>
      </c>
      <c r="E29" s="53">
        <f>IF(5807.75496="","-",5807.75496/1525216.45469*100)</f>
        <v>0.38078234352516377</v>
      </c>
      <c r="F29" s="53">
        <f>IF(5336.47085="","-",5336.47085/1808733.49338*100)</f>
        <v>0.29503909058640132</v>
      </c>
      <c r="G29" s="53">
        <f>IF(OR(1787183.4192="",6594.40747="",5807.75496=""),"-",(5807.75496-6594.40747)/1787183.4192*100)</f>
        <v>-4.4016327677890529E-2</v>
      </c>
      <c r="H29" s="53">
        <f>IF(OR(1525216.45469="",5336.47085="",5807.75496=""),"-",(5336.47085-5807.75496)/1525216.45469*100)</f>
        <v>-3.0899490269123073E-2</v>
      </c>
      <c r="I29" s="37"/>
      <c r="J29" s="38"/>
      <c r="K29" s="34"/>
    </row>
    <row r="30" spans="1:11" s="7" customFormat="1" ht="25.5" x14ac:dyDescent="0.25">
      <c r="A30" s="37" t="s">
        <v>251</v>
      </c>
      <c r="B30" s="38" t="s">
        <v>157</v>
      </c>
      <c r="C30" s="34">
        <v>56766.267350000002</v>
      </c>
      <c r="D30" s="53" t="s">
        <v>402</v>
      </c>
      <c r="E30" s="53">
        <f>IF(12077.09906="","-",12077.09906/1525216.45469*100)</f>
        <v>0.79182853180368218</v>
      </c>
      <c r="F30" s="53">
        <f>IF(56766.26735="","-",56766.26735/1808733.49338*100)</f>
        <v>3.1384539268922507</v>
      </c>
      <c r="G30" s="53">
        <f>IF(OR(1787183.4192="",10907.63843="",12077.09906=""),"-",(12077.09906-10907.63843)/1787183.4192*100)</f>
        <v>6.5435960150273059E-2</v>
      </c>
      <c r="H30" s="53">
        <f>IF(OR(1525216.45469="",56766.26735="",12077.09906=""),"-",(56766.26735-12077.09906)/1525216.45469*100)</f>
        <v>2.9300213850028953</v>
      </c>
      <c r="I30" s="37"/>
      <c r="J30" s="38"/>
      <c r="K30" s="34"/>
    </row>
    <row r="31" spans="1:11" s="7" customFormat="1" ht="25.5" x14ac:dyDescent="0.25">
      <c r="A31" s="37" t="s">
        <v>252</v>
      </c>
      <c r="B31" s="38" t="s">
        <v>158</v>
      </c>
      <c r="C31" s="34">
        <v>2331.03307</v>
      </c>
      <c r="D31" s="53">
        <f>IF(OR(2767.60517="",2331.03307=""),"-",2331.03307/2767.60517*100)</f>
        <v>84.225636491349675</v>
      </c>
      <c r="E31" s="53">
        <f>IF(2767.60517="","-",2767.60517/1525216.45469*100)</f>
        <v>0.18145655074004005</v>
      </c>
      <c r="F31" s="53">
        <f>IF(2331.03307="","-",2331.03307/1808733.49338*100)</f>
        <v>0.12887653590380377</v>
      </c>
      <c r="G31" s="53">
        <f>IF(OR(1787183.4192="",2500.13711="",2767.60517=""),"-",(2767.60517-2500.13711)/1787183.4192*100)</f>
        <v>1.4965898694367191E-2</v>
      </c>
      <c r="H31" s="53">
        <f>IF(OR(1525216.45469="",2331.03307="",2767.60517=""),"-",(2331.03307-2767.60517)/1525216.45469*100)</f>
        <v>-2.8623615923992447E-2</v>
      </c>
      <c r="I31" s="37"/>
      <c r="J31" s="38"/>
      <c r="K31" s="34"/>
    </row>
    <row r="32" spans="1:11" s="7" customFormat="1" ht="25.5" x14ac:dyDescent="0.25">
      <c r="A32" s="35" t="s">
        <v>253</v>
      </c>
      <c r="B32" s="36" t="s">
        <v>159</v>
      </c>
      <c r="C32" s="33">
        <v>14005.74566</v>
      </c>
      <c r="D32" s="51" t="s">
        <v>309</v>
      </c>
      <c r="E32" s="51">
        <f>IF(5138.29062="","-",5138.29062/1525216.45469*100)</f>
        <v>0.33688927261438156</v>
      </c>
      <c r="F32" s="51">
        <f>IF(14005.74566="","-",14005.74566/1808733.49338*100)</f>
        <v>0.7743399296392367</v>
      </c>
      <c r="G32" s="51">
        <f>IF(1787183.4192="","-",(5138.29062-8358.23594)/1787183.4192*100)</f>
        <v>-0.18016871046405245</v>
      </c>
      <c r="H32" s="51">
        <f>IF(1525216.45469="","-",(14005.74566-5138.29062)/1525216.45469*100)</f>
        <v>0.58138994060369675</v>
      </c>
      <c r="I32" s="37"/>
      <c r="J32" s="38"/>
      <c r="K32" s="34"/>
    </row>
    <row r="33" spans="1:11" s="7" customFormat="1" x14ac:dyDescent="0.25">
      <c r="A33" s="37" t="s">
        <v>254</v>
      </c>
      <c r="B33" s="38" t="s">
        <v>203</v>
      </c>
      <c r="C33" s="34">
        <v>379.90658000000002</v>
      </c>
      <c r="D33" s="53" t="s">
        <v>349</v>
      </c>
      <c r="E33" s="53">
        <f>IF(56.85568="","-",56.85568/1525216.45469*100)</f>
        <v>3.7277122093175882E-3</v>
      </c>
      <c r="F33" s="53">
        <f>IF(379.90658="","-",379.90658/1808733.49338*100)</f>
        <v>2.1004010894389115E-2</v>
      </c>
      <c r="G33" s="53">
        <f>IF(OR(1787183.4192="",0.09731="",56.85568=""),"-",(56.85568-0.09731)/1787183.4192*100)</f>
        <v>3.1758558965037202E-3</v>
      </c>
      <c r="H33" s="53">
        <f>IF(OR(1525216.45469="",379.90658="",56.85568=""),"-",(379.90658-56.85568)/1525216.45469*100)</f>
        <v>2.1180659243914334E-2</v>
      </c>
      <c r="I33" s="35"/>
      <c r="J33" s="36"/>
      <c r="K33" s="33"/>
    </row>
    <row r="34" spans="1:11" s="7" customFormat="1" ht="25.5" x14ac:dyDescent="0.25">
      <c r="A34" s="37" t="s">
        <v>255</v>
      </c>
      <c r="B34" s="38" t="s">
        <v>160</v>
      </c>
      <c r="C34" s="34">
        <v>13621.97171</v>
      </c>
      <c r="D34" s="53" t="s">
        <v>325</v>
      </c>
      <c r="E34" s="53">
        <f>IF(4551.07657="","-",4551.07657/1525216.45469*100)</f>
        <v>0.29838889791711598</v>
      </c>
      <c r="F34" s="53">
        <f>IF(13621.97171="","-",13621.97171/1808733.49338*100)</f>
        <v>0.75312210228077725</v>
      </c>
      <c r="G34" s="53">
        <f>IF(OR(1787183.4192="",8353.2651="",4551.07657=""),"-",(4551.07657-8353.2651)/1787183.4192*100)</f>
        <v>-0.2127475271509614</v>
      </c>
      <c r="H34" s="53">
        <f>IF(OR(1525216.45469="",13621.97171="",4551.07657=""),"-",(13621.97171-4551.07657)/1525216.45469*100)</f>
        <v>0.59472838180490639</v>
      </c>
      <c r="I34" s="37"/>
      <c r="J34" s="38"/>
      <c r="K34" s="34"/>
    </row>
    <row r="35" spans="1:11" s="7" customFormat="1" x14ac:dyDescent="0.25">
      <c r="A35" s="37" t="s">
        <v>311</v>
      </c>
      <c r="B35" s="38" t="s">
        <v>312</v>
      </c>
      <c r="C35" s="34">
        <v>3.8673700000000002</v>
      </c>
      <c r="D35" s="53">
        <f>IF(OR(4.98073="",3.86737=""),"-",3.86737/4.98073*100)</f>
        <v>77.646650189831618</v>
      </c>
      <c r="E35" s="53">
        <f>IF(4.98073="","-",4.98073/1525216.45469*100)</f>
        <v>3.2655889494795235E-4</v>
      </c>
      <c r="F35" s="53">
        <f>IF(3.86737="","-",3.86737/1808733.49338*100)</f>
        <v>2.1381646407028177E-4</v>
      </c>
      <c r="G35" s="53">
        <f>IF(OR(1787183.4192="",4.87353="",4.98073=""),"-",(4.98073-4.87353)/1787183.4192*100)</f>
        <v>5.9982651387839504E-6</v>
      </c>
      <c r="H35" s="53">
        <f>IF(OR(1525216.45469="",3.86737="",4.98073=""),"-",(3.86737-4.98073)/1525216.45469*100)</f>
        <v>-7.29968521239361E-5</v>
      </c>
      <c r="I35" s="37"/>
      <c r="J35" s="38"/>
      <c r="K35" s="34"/>
    </row>
    <row r="36" spans="1:11" s="7" customFormat="1" ht="25.5" x14ac:dyDescent="0.25">
      <c r="A36" s="35" t="s">
        <v>256</v>
      </c>
      <c r="B36" s="36" t="s">
        <v>161</v>
      </c>
      <c r="C36" s="33">
        <v>45042.777220000004</v>
      </c>
      <c r="D36" s="51">
        <f>IF(69837.71057="","-",45042.77722/69837.71057*100)</f>
        <v>64.496354265297057</v>
      </c>
      <c r="E36" s="51">
        <f>IF(69837.71057="","-",69837.71057/1525216.45469*100)</f>
        <v>4.5788720909252509</v>
      </c>
      <c r="F36" s="51">
        <f>IF(45042.77722="","-",45042.77722/1808733.49338*100)</f>
        <v>2.4902937544341079</v>
      </c>
      <c r="G36" s="51">
        <f>IF(1787183.4192="","-",(69837.71057-35237.33214)/1787183.4192*100)</f>
        <v>1.9360283929608202</v>
      </c>
      <c r="H36" s="51">
        <f>IF(1525216.45469="","-",(45042.77722-69837.71057)/1525216.45469*100)</f>
        <v>-1.6256665258072864</v>
      </c>
      <c r="I36" s="37"/>
      <c r="J36" s="38"/>
      <c r="K36" s="34"/>
    </row>
    <row r="37" spans="1:11" s="7" customFormat="1" x14ac:dyDescent="0.25">
      <c r="A37" s="37" t="s">
        <v>257</v>
      </c>
      <c r="B37" s="38" t="s">
        <v>207</v>
      </c>
      <c r="C37" s="34">
        <v>8.4868199999999998</v>
      </c>
      <c r="D37" s="53" t="s">
        <v>220</v>
      </c>
      <c r="E37" s="53">
        <f>IF(3.3692="","-",3.3692/1525216.45469*100)</f>
        <v>2.2089979357617077E-4</v>
      </c>
      <c r="F37" s="53">
        <f>IF(8.48682="","-",8.48682/1808733.49338*100)</f>
        <v>4.692134043551428E-4</v>
      </c>
      <c r="G37" s="53" t="str">
        <f>IF(OR(1787183.4192="",""="",3.3692=""),"-",(3.3692-"")/1787183.4192*100)</f>
        <v>-</v>
      </c>
      <c r="H37" s="53">
        <f>IF(OR(1525216.45469="",8.48682="",3.3692=""),"-",(8.48682-3.3692)/1525216.45469*100)</f>
        <v>3.3553401448453127E-4</v>
      </c>
      <c r="I37" s="35"/>
      <c r="J37" s="36"/>
      <c r="K37" s="33"/>
    </row>
    <row r="38" spans="1:11" s="7" customFormat="1" ht="25.5" x14ac:dyDescent="0.25">
      <c r="A38" s="37" t="s">
        <v>258</v>
      </c>
      <c r="B38" s="38" t="s">
        <v>162</v>
      </c>
      <c r="C38" s="34">
        <v>45030.728069999997</v>
      </c>
      <c r="D38" s="53">
        <f>IF(OR(69809.39303="",45030.72807=""),"-",45030.72807/69809.39303*100)</f>
        <v>64.505256550000965</v>
      </c>
      <c r="E38" s="53">
        <f>IF(69809.39303="","-",69809.39303/1525216.45469*100)</f>
        <v>4.5770154665810203</v>
      </c>
      <c r="F38" s="53">
        <f>IF(45030.72807="","-",45030.72807/1808733.49338*100)</f>
        <v>2.4896275894051465</v>
      </c>
      <c r="G38" s="53">
        <f>IF(OR(1787183.4192="",35224.72449="",69809.39303=""),"-",(69809.39303-35224.72449)/1787183.4192*100)</f>
        <v>1.9351493623123026</v>
      </c>
      <c r="H38" s="53">
        <f>IF(OR(1525216.45469="",45030.72807="",69809.39303=""),"-",(45030.72807-69809.39303)/1525216.45469*100)</f>
        <v>-1.6245998975297093</v>
      </c>
      <c r="I38" s="37"/>
      <c r="J38" s="38"/>
      <c r="K38" s="34"/>
    </row>
    <row r="39" spans="1:11" s="7" customFormat="1" ht="63.75" x14ac:dyDescent="0.25">
      <c r="A39" s="37" t="s">
        <v>259</v>
      </c>
      <c r="B39" s="38" t="s">
        <v>205</v>
      </c>
      <c r="C39" s="34">
        <v>3.5623300000000002</v>
      </c>
      <c r="D39" s="53">
        <f>IF(OR(24.94834="",3.56233=""),"-",3.56233/24.94834*100)</f>
        <v>14.278825765561956</v>
      </c>
      <c r="E39" s="53">
        <f>IF(24.94834="","-",24.94834/1525216.45469*100)</f>
        <v>1.6357245506553853E-3</v>
      </c>
      <c r="F39" s="53">
        <f>IF(3.56233="","-",3.56233/1808733.49338*100)</f>
        <v>1.9695162460573641E-4</v>
      </c>
      <c r="G39" s="53">
        <f>IF(OR(1787183.4192="",12.60765="",24.94834=""),"-",(24.94834-12.60765)/1787183.4192*100)</f>
        <v>6.9051054678674704E-4</v>
      </c>
      <c r="H39" s="53">
        <f>IF(OR(1525216.45469="",3.56233="",24.94834=""),"-",(3.56233-24.94834)/1525216.45469*100)</f>
        <v>-1.4021622920627817E-3</v>
      </c>
      <c r="I39" s="37"/>
      <c r="J39" s="38"/>
      <c r="K39" s="34"/>
    </row>
    <row r="40" spans="1:11" s="7" customFormat="1" ht="25.5" x14ac:dyDescent="0.25">
      <c r="A40" s="35" t="s">
        <v>260</v>
      </c>
      <c r="B40" s="36" t="s">
        <v>163</v>
      </c>
      <c r="C40" s="33">
        <v>91112.632589999994</v>
      </c>
      <c r="D40" s="51">
        <f>IF(80495.97585="","-",91112.63259/80495.97585*100)</f>
        <v>113.18905277921417</v>
      </c>
      <c r="E40" s="51">
        <f>IF(80495.97585="","-",80495.97585/1525216.45469*100)</f>
        <v>5.2776755458202027</v>
      </c>
      <c r="F40" s="51">
        <f>IF(91112.63259="","-",91112.63259/1808733.49338*100)</f>
        <v>5.037371891628811</v>
      </c>
      <c r="G40" s="51">
        <f>IF(1787183.4192="","-",(80495.97585-79593.10047)/1787183.4192*100)</f>
        <v>5.051945817649503E-2</v>
      </c>
      <c r="H40" s="51">
        <f>IF(1525216.45469="","-",(91112.63259-80495.97585)/1525216.45469*100)</f>
        <v>0.69607541325390598</v>
      </c>
      <c r="I40" s="37"/>
      <c r="J40" s="38"/>
      <c r="K40" s="34"/>
    </row>
    <row r="41" spans="1:11" s="7" customFormat="1" x14ac:dyDescent="0.25">
      <c r="A41" s="37" t="s">
        <v>261</v>
      </c>
      <c r="B41" s="38" t="s">
        <v>25</v>
      </c>
      <c r="C41" s="34">
        <v>20999.828150000001</v>
      </c>
      <c r="D41" s="53">
        <f>IF(OR(31619.87301="",20999.82815=""),"-",20999.82815/31619.87301*100)</f>
        <v>66.413385478678748</v>
      </c>
      <c r="E41" s="53">
        <f>IF(31619.87301="","-",31619.87301/1525216.45469*100)</f>
        <v>2.0731400394199611</v>
      </c>
      <c r="F41" s="53">
        <f>IF(20999.82815="","-",20999.82815/1808733.49338*100)</f>
        <v>1.1610239002517386</v>
      </c>
      <c r="G41" s="53">
        <f>IF(OR(1787183.4192="",13340.56281="",31619.87301=""),"-",(31619.87301-13340.56281)/1787183.4192*100)</f>
        <v>1.0227998986350491</v>
      </c>
      <c r="H41" s="53">
        <f>IF(OR(1525216.45469="",20999.82815="",31619.87301=""),"-",(20999.82815-31619.87301)/1525216.45469*100)</f>
        <v>-0.69629755352714973</v>
      </c>
      <c r="I41" s="35"/>
      <c r="J41" s="36"/>
      <c r="K41" s="33"/>
    </row>
    <row r="42" spans="1:11" s="7" customFormat="1" x14ac:dyDescent="0.25">
      <c r="A42" s="37" t="s">
        <v>262</v>
      </c>
      <c r="B42" s="38" t="s">
        <v>26</v>
      </c>
      <c r="C42" s="34">
        <v>695.07844999999998</v>
      </c>
      <c r="D42" s="53">
        <f>IF(OR(1032.65807="",695.07845=""),"-",695.07845/1032.65807*100)</f>
        <v>67.309641999892563</v>
      </c>
      <c r="E42" s="53">
        <f>IF(1032.65807="","-",1032.65807/1525216.45469*100)</f>
        <v>6.7705673304572861E-2</v>
      </c>
      <c r="F42" s="53">
        <f>IF(695.07845="","-",695.07845/1808733.49338*100)</f>
        <v>3.8429014144095892E-2</v>
      </c>
      <c r="G42" s="53">
        <f>IF(OR(1787183.4192="",844.45444="",1032.65807=""),"-",(1032.65807-844.45444)/1787183.4192*100)</f>
        <v>1.0530739485275994E-2</v>
      </c>
      <c r="H42" s="53">
        <f>IF(OR(1525216.45469="",695.07845="",1032.65807=""),"-",(695.07845-1032.65807)/1525216.45469*100)</f>
        <v>-2.2133226989648036E-2</v>
      </c>
      <c r="I42" s="37"/>
      <c r="J42" s="38"/>
      <c r="K42" s="34"/>
    </row>
    <row r="43" spans="1:11" s="7" customFormat="1" x14ac:dyDescent="0.25">
      <c r="A43" s="37" t="s">
        <v>263</v>
      </c>
      <c r="B43" s="38" t="s">
        <v>164</v>
      </c>
      <c r="C43" s="34">
        <v>1691.1472200000001</v>
      </c>
      <c r="D43" s="53" t="s">
        <v>327</v>
      </c>
      <c r="E43" s="53">
        <f>IF(551.15302="","-",551.15302/1525216.45469*100)</f>
        <v>3.6136052578322184E-2</v>
      </c>
      <c r="F43" s="53">
        <f>IF(1691.14722="","-",1691.14722/1808733.49338*100)</f>
        <v>9.3498971860123778E-2</v>
      </c>
      <c r="G43" s="53">
        <f>IF(OR(1787183.4192="",612.0168="",551.15302=""),"-",(551.15302-612.0168)/1787183.4192*100)</f>
        <v>-3.405569867431099E-3</v>
      </c>
      <c r="H43" s="53">
        <f>IF(OR(1525216.45469="",1691.14722="",551.15302=""),"-",(1691.14722-551.15302)/1525216.45469*100)</f>
        <v>7.4743109182604753E-2</v>
      </c>
      <c r="I43" s="37"/>
      <c r="J43" s="38"/>
      <c r="K43" s="34"/>
    </row>
    <row r="44" spans="1:11" s="7" customFormat="1" x14ac:dyDescent="0.25">
      <c r="A44" s="37" t="s">
        <v>264</v>
      </c>
      <c r="B44" s="38" t="s">
        <v>165</v>
      </c>
      <c r="C44" s="34">
        <v>51820.584150000002</v>
      </c>
      <c r="D44" s="53">
        <f>IF(OR(35140.24841="",51820.58415=""),"-",51820.58415/35140.24841*100)</f>
        <v>147.46789363974219</v>
      </c>
      <c r="E44" s="53">
        <f>IF(35140.24841="","-",35140.24841/1525216.45469*100)</f>
        <v>2.303951567132958</v>
      </c>
      <c r="F44" s="53">
        <f>IF(51820.58415="","-",51820.58415/1808733.49338*100)</f>
        <v>2.8650204322341768</v>
      </c>
      <c r="G44" s="53">
        <f>IF(OR(1787183.4192="",50646.56592="",35140.24841=""),"-",(35140.24841-50646.56592)/1787183.4192*100)</f>
        <v>-0.86763996036518298</v>
      </c>
      <c r="H44" s="53">
        <f>IF(OR(1525216.45469="",51820.58415="",35140.24841=""),"-",(51820.58415-35140.24841)/1525216.45469*100)</f>
        <v>1.0936372793978462</v>
      </c>
      <c r="I44" s="37"/>
      <c r="J44" s="38"/>
      <c r="K44" s="34"/>
    </row>
    <row r="45" spans="1:11" s="7" customFormat="1" ht="38.25" x14ac:dyDescent="0.25">
      <c r="A45" s="37" t="s">
        <v>265</v>
      </c>
      <c r="B45" s="38" t="s">
        <v>166</v>
      </c>
      <c r="C45" s="34">
        <v>7422.2869799999999</v>
      </c>
      <c r="D45" s="53">
        <f>IF(OR(7808.15673="",7422.28698=""),"-",7422.28698/7808.15673*100)</f>
        <v>95.058119818248059</v>
      </c>
      <c r="E45" s="53">
        <f>IF(7808.15673="","-",7808.15673/1525216.45469*100)</f>
        <v>0.51193761423108997</v>
      </c>
      <c r="F45" s="53">
        <f>IF(7422.28698="","-",7422.28698/1808733.49338*100)</f>
        <v>0.4103582427795866</v>
      </c>
      <c r="G45" s="53">
        <f>IF(OR(1787183.4192="",9660.08843="",7808.15673=""),"-",(7808.15673-9660.08843)/1787183.4192*100)</f>
        <v>-0.10362292309252642</v>
      </c>
      <c r="H45" s="53">
        <f>IF(OR(1525216.45469="",7422.28698="",7808.15673=""),"-",(7422.28698-7808.15673)/1525216.45469*100)</f>
        <v>-2.5299343500619905E-2</v>
      </c>
      <c r="I45" s="37"/>
      <c r="J45" s="38"/>
      <c r="K45" s="34"/>
    </row>
    <row r="46" spans="1:11" s="7" customFormat="1" x14ac:dyDescent="0.25">
      <c r="A46" s="37" t="s">
        <v>266</v>
      </c>
      <c r="B46" s="38" t="s">
        <v>167</v>
      </c>
      <c r="C46" s="34">
        <v>146.43214</v>
      </c>
      <c r="D46" s="53" t="s">
        <v>403</v>
      </c>
      <c r="E46" s="53">
        <f>IF(0.59332="","-",0.59332/1525216.45469*100)</f>
        <v>3.8900708038885677E-5</v>
      </c>
      <c r="F46" s="53">
        <f>IF(146.43214="","-",146.43214/1808733.49338*100)</f>
        <v>8.0958383607062333E-3</v>
      </c>
      <c r="G46" s="53">
        <f>IF(OR(1787183.4192="",28.29579="",0.59332=""),"-",(0.59332-28.29579)/1787183.4192*100)</f>
        <v>-1.5500630602537993E-3</v>
      </c>
      <c r="H46" s="53">
        <f>IF(OR(1525216.45469="",146.43214="",0.59332=""),"-",(146.43214-0.59332)/1525216.45469*100)</f>
        <v>9.5618441272089273E-3</v>
      </c>
      <c r="I46" s="37"/>
      <c r="J46" s="38"/>
      <c r="K46" s="34"/>
    </row>
    <row r="47" spans="1:11" x14ac:dyDescent="0.25">
      <c r="A47" s="37" t="s">
        <v>267</v>
      </c>
      <c r="B47" s="38" t="s">
        <v>27</v>
      </c>
      <c r="C47" s="34">
        <v>1632.89165</v>
      </c>
      <c r="D47" s="53">
        <f>IF(OR(1316.94945="",1632.89165=""),"-",1632.89165/1316.94945*100)</f>
        <v>123.99045764436896</v>
      </c>
      <c r="E47" s="53">
        <f>IF(1316.94945="","-",1316.94945/1525216.45469*100)</f>
        <v>8.6345085377909178E-2</v>
      </c>
      <c r="F47" s="53">
        <f>IF(1632.89165="","-",1632.89165/1808733.49338*100)</f>
        <v>9.0278178403640733E-2</v>
      </c>
      <c r="G47" s="53">
        <f>IF(OR(1787183.4192="",1403.17498="",1316.94945=""),"-",(1316.94945-1403.17498)/1787183.4192*100)</f>
        <v>-4.8246603607478202E-3</v>
      </c>
      <c r="H47" s="53">
        <f>IF(OR(1525216.45469="",1632.89165="",1316.94945=""),"-",(1632.89165-1316.94945)/1525216.45469*100)</f>
        <v>2.0714581135581514E-2</v>
      </c>
      <c r="I47" s="37"/>
      <c r="J47" s="38"/>
      <c r="K47" s="34"/>
    </row>
    <row r="48" spans="1:11" x14ac:dyDescent="0.25">
      <c r="A48" s="37" t="s">
        <v>268</v>
      </c>
      <c r="B48" s="38" t="s">
        <v>28</v>
      </c>
      <c r="C48" s="34">
        <v>2641.6046799999999</v>
      </c>
      <c r="D48" s="53" t="s">
        <v>212</v>
      </c>
      <c r="E48" s="53">
        <f>IF(1456.62653="","-",1456.62653/1525216.45469*100)</f>
        <v>9.550293832202715E-2</v>
      </c>
      <c r="F48" s="53">
        <f>IF(2641.60468="","-",2641.60468/1808733.49338*100)</f>
        <v>0.1460472031766053</v>
      </c>
      <c r="G48" s="53">
        <f>IF(OR(1787183.4192="",1621.44303="",1456.62653=""),"-",(1456.62653-1621.44303)/1787183.4192*100)</f>
        <v>-9.2221368119998013E-3</v>
      </c>
      <c r="H48" s="53">
        <f>IF(OR(1525216.45469="",2641.60468="",1456.62653=""),"-",(2641.60468-1456.62653)/1525216.45469*100)</f>
        <v>7.769245777254917E-2</v>
      </c>
      <c r="I48" s="37"/>
      <c r="J48" s="38"/>
      <c r="K48" s="34"/>
    </row>
    <row r="49" spans="1:11" x14ac:dyDescent="0.25">
      <c r="A49" s="37" t="s">
        <v>269</v>
      </c>
      <c r="B49" s="38" t="s">
        <v>168</v>
      </c>
      <c r="C49" s="34">
        <v>4062.7791699999998</v>
      </c>
      <c r="D49" s="53" t="s">
        <v>299</v>
      </c>
      <c r="E49" s="53">
        <f>IF(1569.71731="","-",1569.71731/1525216.45469*100)</f>
        <v>0.10291767474532294</v>
      </c>
      <c r="F49" s="53">
        <f>IF(4062.77917="","-",4062.77917/1808733.49338*100)</f>
        <v>0.22462011041813795</v>
      </c>
      <c r="G49" s="53">
        <f>IF(OR(1787183.4192="",1436.49827="",1569.71731=""),"-",(1569.71731-1436.49827)/1787183.4192*100)</f>
        <v>7.4541336143121237E-3</v>
      </c>
      <c r="H49" s="53">
        <f>IF(OR(1525216.45469="",4062.77917="",1569.71731=""),"-",(4062.77917-1569.71731)/1525216.45469*100)</f>
        <v>0.16345626565553376</v>
      </c>
      <c r="I49" s="37"/>
      <c r="J49" s="38"/>
      <c r="K49" s="34"/>
    </row>
    <row r="50" spans="1:11" ht="25.5" x14ac:dyDescent="0.25">
      <c r="A50" s="35" t="s">
        <v>270</v>
      </c>
      <c r="B50" s="36" t="s">
        <v>406</v>
      </c>
      <c r="C50" s="33">
        <v>156760.91537</v>
      </c>
      <c r="D50" s="51">
        <f>IF(106392.9418="","-",156760.91537/106392.9418*100)</f>
        <v>147.34146148969444</v>
      </c>
      <c r="E50" s="51">
        <f>IF(106392.9418="","-",106392.9418/1525216.45469*100)</f>
        <v>6.9755962488369789</v>
      </c>
      <c r="F50" s="51">
        <f>IF(156760.91537="","-",156760.91537/1808733.49338*100)</f>
        <v>8.6668885130810036</v>
      </c>
      <c r="G50" s="51">
        <f>IF(1787183.4192="","-",(106392.9418-116766.32817)/1787183.4192*100)</f>
        <v>-0.58043210666331335</v>
      </c>
      <c r="H50" s="51">
        <f>IF(1525216.45469="","-",(156760.91537-106392.9418)/1525216.45469*100)</f>
        <v>3.3023492118197275</v>
      </c>
      <c r="I50" s="37"/>
      <c r="J50" s="38"/>
      <c r="K50" s="34"/>
    </row>
    <row r="51" spans="1:11" x14ac:dyDescent="0.25">
      <c r="A51" s="37" t="s">
        <v>271</v>
      </c>
      <c r="B51" s="38" t="s">
        <v>169</v>
      </c>
      <c r="C51" s="34">
        <v>774.23617999999999</v>
      </c>
      <c r="D51" s="53" t="s">
        <v>212</v>
      </c>
      <c r="E51" s="53">
        <f>IF(426.28706="","-",426.28706/1525216.45469*100)</f>
        <v>2.7949282784694503E-2</v>
      </c>
      <c r="F51" s="53">
        <f>IF(774.23618="","-",774.23618/1808733.49338*100)</f>
        <v>4.2805431692049686E-2</v>
      </c>
      <c r="G51" s="53">
        <f>IF(OR(1787183.4192="",371.93639="",426.28706=""),"-",(426.28706-371.93639)/1787183.4192*100)</f>
        <v>3.0411355329342227E-3</v>
      </c>
      <c r="H51" s="53">
        <f>IF(OR(1525216.45469="",774.23618="",426.28706=""),"-",(774.23618-426.28706)/1525216.45469*100)</f>
        <v>2.2813097703612211E-2</v>
      </c>
      <c r="I51" s="35"/>
      <c r="J51" s="36"/>
      <c r="K51" s="33"/>
    </row>
    <row r="52" spans="1:11" x14ac:dyDescent="0.25">
      <c r="A52" s="37" t="s">
        <v>272</v>
      </c>
      <c r="B52" s="38" t="s">
        <v>29</v>
      </c>
      <c r="C52" s="34">
        <v>964.03732000000002</v>
      </c>
      <c r="D52" s="53">
        <f>IF(OR(753.54046="",964.03732=""),"-",964.03732/753.54046*100)</f>
        <v>127.93438059052595</v>
      </c>
      <c r="E52" s="53">
        <f>IF(753.54046="","-",753.54046/1525216.45469*100)</f>
        <v>4.940547669039913E-2</v>
      </c>
      <c r="F52" s="53">
        <f>IF(964.03732="","-",964.03732/1808733.49338*100)</f>
        <v>5.3299025175814752E-2</v>
      </c>
      <c r="G52" s="53">
        <f>IF(OR(1787183.4192="",1228.34488="",753.54046=""),"-",(753.54046-1228.34488)/1787183.4192*100)</f>
        <v>-2.6567190300620495E-2</v>
      </c>
      <c r="H52" s="53">
        <f>IF(OR(1525216.45469="",964.03732="",753.54046=""),"-",(964.03732-753.54046)/1525216.45469*100)</f>
        <v>1.3801113891259679E-2</v>
      </c>
      <c r="I52" s="37"/>
      <c r="J52" s="38"/>
      <c r="K52" s="34"/>
    </row>
    <row r="53" spans="1:11" x14ac:dyDescent="0.25">
      <c r="A53" s="37" t="s">
        <v>273</v>
      </c>
      <c r="B53" s="38" t="s">
        <v>170</v>
      </c>
      <c r="C53" s="34">
        <v>16520.24337</v>
      </c>
      <c r="D53" s="53">
        <f>IF(OR(12143.89107="",16520.24337=""),"-",16520.24337/12143.89107*100)</f>
        <v>136.0374798717624</v>
      </c>
      <c r="E53" s="53">
        <f>IF(12143.89107="","-",12143.89107/1525216.45469*100)</f>
        <v>0.79620771416790437</v>
      </c>
      <c r="F53" s="53">
        <f>IF(16520.24337="","-",16520.24337/1808733.49338*100)</f>
        <v>0.91335973101976686</v>
      </c>
      <c r="G53" s="53">
        <f>IF(OR(1787183.4192="",13785.90375="",12143.89107=""),"-",(12143.89107-13785.90375)/1787183.4192*100)</f>
        <v>-9.1877121416839069E-2</v>
      </c>
      <c r="H53" s="53">
        <f>IF(OR(1525216.45469="",16520.24337="",12143.89107=""),"-",(16520.24337-12143.89107)/1525216.45469*100)</f>
        <v>0.28693319473067797</v>
      </c>
      <c r="I53" s="37"/>
      <c r="J53" s="38"/>
      <c r="K53" s="34"/>
    </row>
    <row r="54" spans="1:11" ht="25.5" x14ac:dyDescent="0.25">
      <c r="A54" s="37" t="s">
        <v>274</v>
      </c>
      <c r="B54" s="38" t="s">
        <v>171</v>
      </c>
      <c r="C54" s="34">
        <v>6998.6909699999997</v>
      </c>
      <c r="D54" s="53">
        <f>IF(OR(5956.86906="",6998.69097=""),"-",6998.69097/5956.86906*100)</f>
        <v>117.48942102816675</v>
      </c>
      <c r="E54" s="53">
        <f>IF(5956.86906="","-",5956.86906/1525216.45469*100)</f>
        <v>0.39055892963144906</v>
      </c>
      <c r="F54" s="53">
        <f>IF(6998.69097="","-",6998.69097/1808733.49338*100)</f>
        <v>0.38693876105105285</v>
      </c>
      <c r="G54" s="53">
        <f>IF(OR(1787183.4192="",7193.39788="",5956.86906=""),"-",(5956.86906-7193.39788)/1787183.4192*100)</f>
        <v>-6.9188691362944157E-2</v>
      </c>
      <c r="H54" s="53">
        <f>IF(OR(1525216.45469="",6998.69097="",5956.86906=""),"-",(6998.69097-5956.86906)/1525216.45469*100)</f>
        <v>6.8306495566345687E-2</v>
      </c>
      <c r="I54" s="37"/>
      <c r="J54" s="38"/>
      <c r="K54" s="34"/>
    </row>
    <row r="55" spans="1:11" ht="26.25" customHeight="1" x14ac:dyDescent="0.25">
      <c r="A55" s="37" t="s">
        <v>275</v>
      </c>
      <c r="B55" s="38" t="s">
        <v>172</v>
      </c>
      <c r="C55" s="34">
        <v>52703.879930000003</v>
      </c>
      <c r="D55" s="53">
        <f>IF(OR(37006.94155="",52703.87993=""),"-",52703.87993/37006.94155*100)</f>
        <v>142.41620010341006</v>
      </c>
      <c r="E55" s="53">
        <f>IF(37006.94155="","-",37006.94155/1525216.45469*100)</f>
        <v>2.4263403031225268</v>
      </c>
      <c r="F55" s="53">
        <f>IF(52703.87993="","-",52703.87993/1808733.49338*100)</f>
        <v>2.913855475275779</v>
      </c>
      <c r="G55" s="53">
        <f>IF(OR(1787183.4192="",42319.30767="",37006.94155=""),"-",(37006.94155-42319.30767)/1787183.4192*100)</f>
        <v>-0.29724795244452207</v>
      </c>
      <c r="H55" s="53">
        <f>IF(OR(1525216.45469="",52703.87993="",37006.94155=""),"-",(52703.87993-37006.94155)/1525216.45469*100)</f>
        <v>1.0291613581621371</v>
      </c>
      <c r="I55" s="37"/>
      <c r="J55" s="38"/>
      <c r="K55" s="34"/>
    </row>
    <row r="56" spans="1:11" ht="14.25" customHeight="1" x14ac:dyDescent="0.25">
      <c r="A56" s="37" t="s">
        <v>276</v>
      </c>
      <c r="B56" s="38" t="s">
        <v>30</v>
      </c>
      <c r="C56" s="34">
        <v>42434.642469999999</v>
      </c>
      <c r="D56" s="53">
        <f>IF(OR(31176.71949="",42434.64247=""),"-",42434.64247/31176.71949*100)</f>
        <v>136.11003070291281</v>
      </c>
      <c r="E56" s="53">
        <f>IF(31176.71949="","-",31176.71949/1525216.45469*100)</f>
        <v>2.0440849162184431</v>
      </c>
      <c r="F56" s="53">
        <f>IF(42434.64247="","-",42434.64247/1808733.49338*100)</f>
        <v>2.3460970134799637</v>
      </c>
      <c r="G56" s="53">
        <f>IF(OR(1787183.4192="",32707.58574="",31176.71949=""),"-",(31176.71949-32707.58574)/1787183.4192*100)</f>
        <v>-8.5658037868618073E-2</v>
      </c>
      <c r="H56" s="53">
        <f>IF(OR(1525216.45469="",42434.64247="",31176.71949=""),"-",(42434.64247-31176.71949)/1525216.45469*100)</f>
        <v>0.73811969084008933</v>
      </c>
      <c r="I56" s="37"/>
      <c r="J56" s="38"/>
      <c r="K56" s="34"/>
    </row>
    <row r="57" spans="1:11" ht="15.75" customHeight="1" x14ac:dyDescent="0.25">
      <c r="A57" s="37" t="s">
        <v>277</v>
      </c>
      <c r="B57" s="38" t="s">
        <v>173</v>
      </c>
      <c r="C57" s="34">
        <v>7683.6667100000004</v>
      </c>
      <c r="D57" s="53" t="s">
        <v>404</v>
      </c>
      <c r="E57" s="53">
        <f>IF(963.49493="","-",963.49493/1525216.45469*100)</f>
        <v>6.3171029071793616E-2</v>
      </c>
      <c r="F57" s="53">
        <f>IF(7683.66671="","-",7683.66671/1808733.49338*100)</f>
        <v>0.42480922358779616</v>
      </c>
      <c r="G57" s="53">
        <f>IF(OR(1787183.4192="",2401.54816="",963.49493=""),"-",(963.49493-2401.54816)/1787183.4192*100)</f>
        <v>-8.0464781317393722E-2</v>
      </c>
      <c r="H57" s="53">
        <f>IF(OR(1525216.45469="",7683.66671="",963.49493=""),"-",(7683.66671-963.49493)/1525216.45469*100)</f>
        <v>0.4406044636704286</v>
      </c>
      <c r="I57" s="37"/>
      <c r="J57" s="38"/>
      <c r="K57" s="34"/>
    </row>
    <row r="58" spans="1:11" x14ac:dyDescent="0.25">
      <c r="A58" s="37" t="s">
        <v>278</v>
      </c>
      <c r="B58" s="38" t="s">
        <v>31</v>
      </c>
      <c r="C58" s="34">
        <v>1319.5395799999999</v>
      </c>
      <c r="D58" s="53">
        <f>IF(OR(1422.10985="",1319.53958=""),"-",1319.53958/1422.10985*100)</f>
        <v>92.787458015286219</v>
      </c>
      <c r="E58" s="53">
        <f>IF(1422.10985="","-",1422.10985/1525216.45469*100)</f>
        <v>9.3239870683734766E-2</v>
      </c>
      <c r="F58" s="53">
        <f>IF(1319.53958="","-",1319.53958/1808733.49338*100)</f>
        <v>7.2953786991258832E-2</v>
      </c>
      <c r="G58" s="53">
        <f>IF(OR(1787183.4192="",938.66081="",1422.10985=""),"-",(1422.10985-938.66081)/1787183.4192*100)</f>
        <v>2.7050891072859618E-2</v>
      </c>
      <c r="H58" s="53">
        <f>IF(OR(1525216.45469="",1319.53958="",1422.10985=""),"-",(1319.53958-1422.10985)/1525216.45469*100)</f>
        <v>-6.724964819557205E-3</v>
      </c>
      <c r="I58" s="37"/>
      <c r="J58" s="38"/>
      <c r="K58" s="34"/>
    </row>
    <row r="59" spans="1:11" x14ac:dyDescent="0.25">
      <c r="A59" s="37" t="s">
        <v>279</v>
      </c>
      <c r="B59" s="38" t="s">
        <v>32</v>
      </c>
      <c r="C59" s="34">
        <v>27361.97884</v>
      </c>
      <c r="D59" s="53" t="s">
        <v>103</v>
      </c>
      <c r="E59" s="53">
        <f>IF(16543.08833="","-",16543.08833/1525216.45469*100)</f>
        <v>1.0846387264660333</v>
      </c>
      <c r="F59" s="53">
        <f>IF(27361.97884="","-",27361.97884/1808733.49338*100)</f>
        <v>1.5127700648075229</v>
      </c>
      <c r="G59" s="53">
        <f>IF(OR(1787183.4192="",15819.64289="",16543.08833=""),"-",(16543.08833-15819.64289)/1787183.4192*100)</f>
        <v>4.0479641441830111E-2</v>
      </c>
      <c r="H59" s="53">
        <f>IF(OR(1525216.45469="",27361.97884="",16543.08833=""),"-",(27361.97884-16543.08833)/1525216.45469*100)</f>
        <v>0.70933476207473378</v>
      </c>
      <c r="I59" s="37"/>
      <c r="J59" s="38"/>
      <c r="K59" s="34"/>
    </row>
    <row r="60" spans="1:11" ht="25.5" x14ac:dyDescent="0.25">
      <c r="A60" s="35" t="s">
        <v>280</v>
      </c>
      <c r="B60" s="36" t="s">
        <v>174</v>
      </c>
      <c r="C60" s="33">
        <v>427311.68861000001</v>
      </c>
      <c r="D60" s="51">
        <f>IF(326552.19455="","-",427311.68861/326552.19455*100)</f>
        <v>130.85555563295173</v>
      </c>
      <c r="E60" s="51">
        <f>IF(326552.19455="","-",326552.19455/1525216.45469*100)</f>
        <v>21.410219745916109</v>
      </c>
      <c r="F60" s="51">
        <f>IF(427311.68861="","-",427311.68861/1808733.49338*100)</f>
        <v>23.624911584485449</v>
      </c>
      <c r="G60" s="51">
        <f>IF(1787183.4192="","-",(326552.19455-442874.48261)/1787183.4192*100)</f>
        <v>-6.5086933333384183</v>
      </c>
      <c r="H60" s="51">
        <f>IF(1525216.45469="","-",(427311.68861-326552.19455)/1525216.45469*100)</f>
        <v>6.606242264838361</v>
      </c>
      <c r="I60" s="37"/>
      <c r="J60" s="38"/>
      <c r="K60" s="34"/>
    </row>
    <row r="61" spans="1:11" ht="25.5" x14ac:dyDescent="0.25">
      <c r="A61" s="37" t="s">
        <v>281</v>
      </c>
      <c r="B61" s="38" t="s">
        <v>175</v>
      </c>
      <c r="C61" s="34">
        <v>1516.41894</v>
      </c>
      <c r="D61" s="53">
        <f>IF(OR(1236.55286="",1516.41894=""),"-",1516.41894/1236.55286*100)</f>
        <v>122.63276314770725</v>
      </c>
      <c r="E61" s="53">
        <f>IF(1236.55286="","-",1236.55286/1525216.45469*100)</f>
        <v>8.1073926012116701E-2</v>
      </c>
      <c r="F61" s="53">
        <f>IF(1516.41894="","-",1516.41894/1808733.49338*100)</f>
        <v>8.3838716181799194E-2</v>
      </c>
      <c r="G61" s="53">
        <f>IF(OR(1787183.4192="",2075.41854="",1236.55286=""),"-",(1236.55286-2075.41854)/1787183.4192*100)</f>
        <v>-4.6937861608827097E-2</v>
      </c>
      <c r="H61" s="53">
        <f>IF(OR(1525216.45469="",1516.41894="",1236.55286=""),"-",(1516.41894-1236.55286)/1525216.45469*100)</f>
        <v>1.8349269648869789E-2</v>
      </c>
      <c r="I61" s="35"/>
      <c r="J61" s="36"/>
      <c r="K61" s="33"/>
    </row>
    <row r="62" spans="1:11" ht="25.5" x14ac:dyDescent="0.25">
      <c r="A62" s="37" t="s">
        <v>282</v>
      </c>
      <c r="B62" s="38" t="s">
        <v>176</v>
      </c>
      <c r="C62" s="34">
        <v>9367.3012899999994</v>
      </c>
      <c r="D62" s="53">
        <f>IF(OR(7763.75116="",9367.30129=""),"-",9367.30129/7763.75116*100)</f>
        <v>120.65432156380447</v>
      </c>
      <c r="E62" s="53">
        <f>IF(7763.75116="","-",7763.75116/1525216.45469*100)</f>
        <v>0.5090261868160858</v>
      </c>
      <c r="F62" s="53">
        <f>IF(9367.30129="","-",9367.30129/1808733.49338*100)</f>
        <v>0.51789284183018147</v>
      </c>
      <c r="G62" s="53">
        <f>IF(OR(1787183.4192="",9407.16983="",7763.75116=""),"-",(7763.75116-9407.16983)/1787183.4192*100)</f>
        <v>-9.1955792133280159E-2</v>
      </c>
      <c r="H62" s="53">
        <f>IF(OR(1525216.45469="",9367.30129="",7763.75116=""),"-",(9367.30129-7763.75116)/1525216.45469*100)</f>
        <v>0.10513590546896642</v>
      </c>
      <c r="I62" s="37"/>
      <c r="J62" s="38"/>
      <c r="K62" s="34"/>
    </row>
    <row r="63" spans="1:11" ht="25.5" x14ac:dyDescent="0.25">
      <c r="A63" s="37" t="s">
        <v>283</v>
      </c>
      <c r="B63" s="38" t="s">
        <v>177</v>
      </c>
      <c r="C63" s="34">
        <v>3246.8622</v>
      </c>
      <c r="D63" s="53" t="s">
        <v>104</v>
      </c>
      <c r="E63" s="53">
        <f>IF(2005.79162="","-",2005.79162/1525216.45469*100)</f>
        <v>0.13150865333456402</v>
      </c>
      <c r="F63" s="53">
        <f>IF(3246.8622="","-",3246.8622/1808733.49338*100)</f>
        <v>0.17951026018391206</v>
      </c>
      <c r="G63" s="53">
        <f>IF(OR(1787183.4192="",1679.34537="",2005.79162=""),"-",(2005.79162-1679.34537)/1787183.4192*100)</f>
        <v>1.8265962323337114E-2</v>
      </c>
      <c r="H63" s="53">
        <f>IF(OR(1525216.45469="",3246.8622="",2005.79162=""),"-",(3246.8622-2005.79162)/1525216.45469*100)</f>
        <v>8.1370127904386358E-2</v>
      </c>
      <c r="I63" s="37"/>
      <c r="J63" s="38"/>
      <c r="K63" s="34"/>
    </row>
    <row r="64" spans="1:11" ht="38.25" x14ac:dyDescent="0.25">
      <c r="A64" s="37" t="s">
        <v>284</v>
      </c>
      <c r="B64" s="38" t="s">
        <v>178</v>
      </c>
      <c r="C64" s="34">
        <v>16578.55053</v>
      </c>
      <c r="D64" s="53">
        <f>IF(OR(13260.5344="",16578.55053=""),"-",16578.55053/13260.5344*100)</f>
        <v>125.02173766088944</v>
      </c>
      <c r="E64" s="53">
        <f>IF(13260.5344="","-",13260.5344/1525216.45469*100)</f>
        <v>0.86941983606485562</v>
      </c>
      <c r="F64" s="53">
        <f>IF(16578.55053="","-",16578.55053/1808733.49338*100)</f>
        <v>0.91658337674830581</v>
      </c>
      <c r="G64" s="53">
        <f>IF(OR(1787183.4192="",15763.3145="",13260.5344=""),"-",(13260.5344-15763.3145)/1787183.4192*100)</f>
        <v>-0.14004047223761307</v>
      </c>
      <c r="H64" s="53">
        <f>IF(OR(1525216.45469="",16578.55053="",13260.5344=""),"-",(16578.55053-13260.5344)/1525216.45469*100)</f>
        <v>0.21754395055188319</v>
      </c>
      <c r="I64" s="37"/>
      <c r="J64" s="38"/>
      <c r="K64" s="34"/>
    </row>
    <row r="65" spans="1:11" ht="26.25" customHeight="1" x14ac:dyDescent="0.25">
      <c r="A65" s="37" t="s">
        <v>285</v>
      </c>
      <c r="B65" s="38" t="s">
        <v>179</v>
      </c>
      <c r="C65" s="34">
        <v>1382.3992800000001</v>
      </c>
      <c r="D65" s="53">
        <f>IF(OR(1242.26536="",1382.39928=""),"-",1382.39928/1242.26536*100)</f>
        <v>111.28051417291391</v>
      </c>
      <c r="E65" s="53">
        <f>IF(1242.26536="","-",1242.26536/1525216.45469*100)</f>
        <v>8.1448463015204642E-2</v>
      </c>
      <c r="F65" s="53">
        <f>IF(1382.39928="","-",1382.39928/1808733.49338*100)</f>
        <v>7.6429130386516775E-2</v>
      </c>
      <c r="G65" s="53">
        <f>IF(OR(1787183.4192="",743.91849="",1242.26536=""),"-",(1242.26536-743.91849)/1787183.4192*100)</f>
        <v>2.7884483743872018E-2</v>
      </c>
      <c r="H65" s="53">
        <f>IF(OR(1525216.45469="",1382.39928="",1242.26536=""),"-",(1382.39928-1242.26536)/1525216.45469*100)</f>
        <v>9.1878054140507003E-3</v>
      </c>
      <c r="I65" s="37"/>
      <c r="J65" s="38"/>
      <c r="K65" s="34"/>
    </row>
    <row r="66" spans="1:11" ht="38.25" x14ac:dyDescent="0.25">
      <c r="A66" s="37" t="s">
        <v>286</v>
      </c>
      <c r="B66" s="38" t="s">
        <v>180</v>
      </c>
      <c r="C66" s="34">
        <v>1907.0832700000001</v>
      </c>
      <c r="D66" s="53">
        <f>IF(OR(1684.57922="",1907.08327=""),"-",1907.08327/1684.57922*100)</f>
        <v>113.2082865179828</v>
      </c>
      <c r="E66" s="53">
        <f>IF(1684.57922="","-",1684.57922/1525216.45469*100)</f>
        <v>0.11044853435851441</v>
      </c>
      <c r="F66" s="53">
        <f>IF(1907.08327="","-",1907.08327/1808733.49338*100)</f>
        <v>0.1054374940796951</v>
      </c>
      <c r="G66" s="53">
        <f>IF(OR(1787183.4192="",2256.73171="",1684.57922=""),"-",(1684.57922-2256.73171)/1787183.4192*100)</f>
        <v>-3.20142008846587E-2</v>
      </c>
      <c r="H66" s="53">
        <f>IF(OR(1525216.45469="",1907.08327="",1684.57922=""),"-",(1907.08327-1684.57922)/1525216.45469*100)</f>
        <v>1.458835887298527E-2</v>
      </c>
      <c r="I66" s="37"/>
      <c r="J66" s="38"/>
      <c r="K66" s="34"/>
    </row>
    <row r="67" spans="1:11" ht="51" x14ac:dyDescent="0.25">
      <c r="A67" s="37" t="s">
        <v>287</v>
      </c>
      <c r="B67" s="38" t="s">
        <v>181</v>
      </c>
      <c r="C67" s="34">
        <v>355316.83629000001</v>
      </c>
      <c r="D67" s="53">
        <f>IF(OR(284280.22974="",355316.83629=""),"-",355316.83629/284280.22974*100)</f>
        <v>124.98823313002435</v>
      </c>
      <c r="E67" s="53">
        <f>IF(284280.22974="","-",284280.22974/1525216.45469*100)</f>
        <v>18.6386810125111</v>
      </c>
      <c r="F67" s="53">
        <f>IF(355316.83629="","-",355316.83629/1808733.49338*100)</f>
        <v>19.644510238267085</v>
      </c>
      <c r="G67" s="53">
        <f>IF(OR(1787183.4192="",391657.95724="",284280.22974=""),"-",(284280.22974-391657.95724)/1787183.4192*100)</f>
        <v>-6.008209697248966</v>
      </c>
      <c r="H67" s="53">
        <f>IF(OR(1525216.45469="",355316.83629="",284280.22974=""),"-",(355316.83629-284280.22974)/1525216.45469*100)</f>
        <v>4.6574770637678569</v>
      </c>
      <c r="I67" s="37"/>
      <c r="J67" s="38"/>
      <c r="K67" s="34"/>
    </row>
    <row r="68" spans="1:11" ht="25.5" x14ac:dyDescent="0.25">
      <c r="A68" s="37" t="s">
        <v>288</v>
      </c>
      <c r="B68" s="38" t="s">
        <v>182</v>
      </c>
      <c r="C68" s="34">
        <v>37153.400909999997</v>
      </c>
      <c r="D68" s="53" t="s">
        <v>220</v>
      </c>
      <c r="E68" s="53">
        <f>IF(14683.53175="","-",14683.53175/1525216.45469*100)</f>
        <v>0.96271789521077678</v>
      </c>
      <c r="F68" s="53">
        <f>IF(37153.40091="","-",37153.40091/1808733.49338*100)</f>
        <v>2.054111401485192</v>
      </c>
      <c r="G68" s="53">
        <f>IF(OR(1787183.4192="",16431.79347="",14683.53175=""),"-",(14683.53175-16431.79347)/1787183.4192*100)</f>
        <v>-9.7822176572261277E-2</v>
      </c>
      <c r="H68" s="53">
        <f>IF(OR(1525216.45469="",37153.40091="",14683.53175=""),"-",(37153.40091-14683.53175)/1525216.45469*100)</f>
        <v>1.4732249374117192</v>
      </c>
      <c r="I68" s="37"/>
      <c r="J68" s="38"/>
      <c r="K68" s="34"/>
    </row>
    <row r="69" spans="1:11" x14ac:dyDescent="0.25">
      <c r="A69" s="37" t="s">
        <v>289</v>
      </c>
      <c r="B69" s="38" t="s">
        <v>33</v>
      </c>
      <c r="C69" s="34">
        <v>842.83590000000004</v>
      </c>
      <c r="D69" s="53" t="s">
        <v>95</v>
      </c>
      <c r="E69" s="53">
        <f>IF(394.95844="","-",394.95844/1525216.45469*100)</f>
        <v>2.5895238592890425E-2</v>
      </c>
      <c r="F69" s="53">
        <f>IF(842.8359="","-",842.8359/1808733.49338*100)</f>
        <v>4.6598125322762911E-2</v>
      </c>
      <c r="G69" s="53">
        <f>IF(OR(1787183.4192="",2858.83346="",394.95844=""),"-",(394.95844-2858.83346)/1787183.4192*100)</f>
        <v>-0.13786357872002353</v>
      </c>
      <c r="H69" s="53">
        <f>IF(OR(1525216.45469="",842.8359="",394.95844=""),"-",(842.8359-394.95844)/1525216.45469*100)</f>
        <v>2.9364845797643264E-2</v>
      </c>
      <c r="I69" s="37"/>
      <c r="J69" s="38"/>
      <c r="K69" s="34"/>
    </row>
    <row r="70" spans="1:11" x14ac:dyDescent="0.25">
      <c r="A70" s="35" t="s">
        <v>290</v>
      </c>
      <c r="B70" s="36" t="s">
        <v>34</v>
      </c>
      <c r="C70" s="33">
        <v>385220.27757999999</v>
      </c>
      <c r="D70" s="51">
        <f>IF(318325.5599="","-",385220.27758/318325.5599*100)</f>
        <v>121.0145605967094</v>
      </c>
      <c r="E70" s="51">
        <f>IF(318325.5599="","-",318325.5599/1525216.45469*100)</f>
        <v>20.870844850982127</v>
      </c>
      <c r="F70" s="51">
        <f>IF(385220.27758="","-",385220.27758/1808733.49338*100)</f>
        <v>21.297790912255106</v>
      </c>
      <c r="G70" s="51">
        <f>IF(1787183.4192="","-",(318325.5599-386593.29443)/1787183.4192*100)</f>
        <v>-3.8198504863344591</v>
      </c>
      <c r="H70" s="51">
        <f>IF(1525216.45469="","-",(385220.27758-318325.5599)/1525216.45469*100)</f>
        <v>4.3859163382548436</v>
      </c>
      <c r="I70" s="37"/>
      <c r="J70" s="38"/>
      <c r="K70" s="34"/>
    </row>
    <row r="71" spans="1:11" ht="38.25" x14ac:dyDescent="0.25">
      <c r="A71" s="37" t="s">
        <v>291</v>
      </c>
      <c r="B71" s="38" t="s">
        <v>208</v>
      </c>
      <c r="C71" s="34">
        <v>10575.911829999999</v>
      </c>
      <c r="D71" s="53" t="s">
        <v>104</v>
      </c>
      <c r="E71" s="53">
        <f>IF(6783.20623="","-",6783.20623/1525216.45469*100)</f>
        <v>0.44473728362566645</v>
      </c>
      <c r="F71" s="53">
        <f>IF(10575.91183="","-",10575.91183/1808733.49338*100)</f>
        <v>0.58471366117275114</v>
      </c>
      <c r="G71" s="53">
        <f>IF(OR(1787183.4192="",5808.63841="",6783.20623=""),"-",(6783.20623-5808.63841)/1787183.4192*100)</f>
        <v>5.4530934515733577E-2</v>
      </c>
      <c r="H71" s="53">
        <f>IF(OR(1525216.45469="",10575.91183="",6783.20623=""),"-",(10575.91183-6783.20623)/1525216.45469*100)</f>
        <v>0.24866671142561636</v>
      </c>
      <c r="I71" s="35"/>
      <c r="J71" s="36"/>
      <c r="K71" s="33"/>
    </row>
    <row r="72" spans="1:11" x14ac:dyDescent="0.25">
      <c r="A72" s="37" t="s">
        <v>292</v>
      </c>
      <c r="B72" s="38" t="s">
        <v>183</v>
      </c>
      <c r="C72" s="34">
        <v>103192.06729000001</v>
      </c>
      <c r="D72" s="53">
        <f>IF(OR(77330.63962="",103192.06729=""),"-",103192.06729/77330.63962*100)</f>
        <v>133.44266618908384</v>
      </c>
      <c r="E72" s="53">
        <f>IF(77330.63962="","-",77330.63962/1525216.45469*100)</f>
        <v>5.0701419711418882</v>
      </c>
      <c r="F72" s="53">
        <f>IF(103192.06729="","-",103192.06729/1808733.49338*100)</f>
        <v>5.7052112800301975</v>
      </c>
      <c r="G72" s="53">
        <f>IF(OR(1787183.4192="",96709.04987="",77330.63962=""),"-",(77330.63962-96709.04987)/1787183.4192*100)</f>
        <v>-1.0842989052950363</v>
      </c>
      <c r="H72" s="53">
        <f>IF(OR(1525216.45469="",103192.06729="",77330.63962=""),"-",(103192.06729-77330.63962)/1525216.45469*100)</f>
        <v>1.6955906547216169</v>
      </c>
      <c r="I72" s="37"/>
      <c r="J72" s="38"/>
      <c r="K72" s="34"/>
    </row>
    <row r="73" spans="1:11" x14ac:dyDescent="0.25">
      <c r="A73" s="37" t="s">
        <v>293</v>
      </c>
      <c r="B73" s="38" t="s">
        <v>184</v>
      </c>
      <c r="C73" s="34">
        <v>9822.0953900000004</v>
      </c>
      <c r="D73" s="53">
        <f>IF(OR(8188.11986="",9822.09539=""),"-",9822.09539/8188.11986*100)</f>
        <v>119.95544224971812</v>
      </c>
      <c r="E73" s="53">
        <f>IF(8188.11986="","-",8188.11986/1525216.45469*100)</f>
        <v>0.53684969335478572</v>
      </c>
      <c r="F73" s="53">
        <f>IF(9822.09539="","-",9822.09539/1808733.49338*100)</f>
        <v>0.54303718187057748</v>
      </c>
      <c r="G73" s="53">
        <f>IF(OR(1787183.4192="",8936.89551="",8188.11986=""),"-",(8188.11986-8936.89551)/1787183.4192*100)</f>
        <v>-4.1896967147064083E-2</v>
      </c>
      <c r="H73" s="53">
        <f>IF(OR(1525216.45469="",9822.09539="",8188.11986=""),"-",(9822.09539-8188.11986)/1525216.45469*100)</f>
        <v>0.10713073052520312</v>
      </c>
      <c r="I73" s="37"/>
      <c r="J73" s="38"/>
      <c r="K73" s="34"/>
    </row>
    <row r="74" spans="1:11" x14ac:dyDescent="0.25">
      <c r="A74" s="37" t="s">
        <v>294</v>
      </c>
      <c r="B74" s="38" t="s">
        <v>185</v>
      </c>
      <c r="C74" s="34">
        <v>180932.24838999999</v>
      </c>
      <c r="D74" s="53">
        <f>IF(OR(155186.46915="",180932.24839=""),"-",180932.24839/155186.46915*100)</f>
        <v>116.59022167397512</v>
      </c>
      <c r="E74" s="53">
        <f>IF(155186.46915="","-",155186.46915/1525216.45469*100)</f>
        <v>10.174717737459869</v>
      </c>
      <c r="F74" s="53">
        <f>IF(180932.24839="","-",180932.24839/1808733.49338*100)</f>
        <v>10.003256369841967</v>
      </c>
      <c r="G74" s="53">
        <f>IF(OR(1787183.4192="",190253.73892="",155186.46915=""),"-",(155186.46915-190253.73892)/1787183.4192*100)</f>
        <v>-1.9621528150533782</v>
      </c>
      <c r="H74" s="53">
        <f>IF(OR(1525216.45469="",180932.24839="",155186.46915=""),"-",(180932.24839-155186.46915)/1525216.45469*100)</f>
        <v>1.6880082273458576</v>
      </c>
      <c r="I74" s="37"/>
      <c r="J74" s="38"/>
      <c r="K74" s="34"/>
    </row>
    <row r="75" spans="1:11" x14ac:dyDescent="0.25">
      <c r="A75" s="37" t="s">
        <v>295</v>
      </c>
      <c r="B75" s="38" t="s">
        <v>186</v>
      </c>
      <c r="C75" s="34">
        <v>24588.07488</v>
      </c>
      <c r="D75" s="53">
        <f>IF(OR(21416.34443="",24588.07488=""),"-",24588.07488/21416.34443*100)</f>
        <v>114.80985917259083</v>
      </c>
      <c r="E75" s="53">
        <f>IF(21416.34443="","-",21416.34443/1525216.45469*100)</f>
        <v>1.4041511527196884</v>
      </c>
      <c r="F75" s="53">
        <f>IF(24588.07488="","-",24588.07488/1808733.49338*100)</f>
        <v>1.3594083910091141</v>
      </c>
      <c r="G75" s="53">
        <f>IF(OR(1787183.4192="",23487.69087="",21416.34443=""),"-",(21416.34443-23487.69087)/1787183.4192*100)</f>
        <v>-0.11590004796078503</v>
      </c>
      <c r="H75" s="53">
        <f>IF(OR(1525216.45469="",24588.07488="",21416.34443=""),"-",(24588.07488-21416.34443)/1525216.45469*100)</f>
        <v>0.20795280828809656</v>
      </c>
      <c r="I75" s="37"/>
      <c r="J75" s="38"/>
      <c r="K75" s="34"/>
    </row>
    <row r="76" spans="1:11" ht="25.5" x14ac:dyDescent="0.25">
      <c r="A76" s="37" t="s">
        <v>296</v>
      </c>
      <c r="B76" s="38" t="s">
        <v>209</v>
      </c>
      <c r="C76" s="34">
        <v>14602.296130000001</v>
      </c>
      <c r="D76" s="53">
        <f>IF(OR(12825.68085="",14602.29613=""),"-",14602.29613/12825.68085*100)</f>
        <v>113.85201534934497</v>
      </c>
      <c r="E76" s="53">
        <f>IF(12825.68085="","-",12825.68085/1525216.45469*100)</f>
        <v>0.84090889595121887</v>
      </c>
      <c r="F76" s="53">
        <f>IF(14602.29613="","-",14602.29613/1808733.49338*100)</f>
        <v>0.80732159731904618</v>
      </c>
      <c r="G76" s="53">
        <f>IF(OR(1787183.4192="",15564.95442="",12825.68085=""),"-",(12825.68085-15564.95442)/1787183.4192*100)</f>
        <v>-0.15327321978099961</v>
      </c>
      <c r="H76" s="53">
        <f>IF(OR(1525216.45469="",14602.29613="",12825.68085=""),"-",(14602.29613-12825.68085)/1525216.45469*100)</f>
        <v>0.11648282934117024</v>
      </c>
      <c r="I76" s="37"/>
      <c r="J76" s="38"/>
      <c r="K76" s="34"/>
    </row>
    <row r="77" spans="1:11" ht="25.5" x14ac:dyDescent="0.25">
      <c r="A77" s="37" t="s">
        <v>297</v>
      </c>
      <c r="B77" s="38" t="s">
        <v>187</v>
      </c>
      <c r="C77" s="34">
        <v>2311.14084</v>
      </c>
      <c r="D77" s="53">
        <f>IF(OR(1905.93796="",2311.14084=""),"-",2311.14084/1905.93796*100)</f>
        <v>121.26002464424393</v>
      </c>
      <c r="E77" s="53">
        <f>IF(1905.93796="","-",1905.93796/1525216.45469*100)</f>
        <v>0.12496180159473702</v>
      </c>
      <c r="F77" s="53">
        <f>IF(2311.14084="","-",2311.14084/1808733.49338*100)</f>
        <v>0.12777674812009734</v>
      </c>
      <c r="G77" s="53">
        <f>IF(OR(1787183.4192="",2663.58287="",1905.93796=""),"-",(1905.93796-2663.58287)/1787183.4192*100)</f>
        <v>-4.2393237418191031E-2</v>
      </c>
      <c r="H77" s="53">
        <f>IF(OR(1525216.45469="",2311.14084="",1905.93796=""),"-",(2311.14084-1905.93796)/1525216.45469*100)</f>
        <v>2.6566909814932298E-2</v>
      </c>
      <c r="I77" s="37"/>
      <c r="J77" s="38"/>
      <c r="K77" s="34"/>
    </row>
    <row r="78" spans="1:11" ht="15.75" customHeight="1" x14ac:dyDescent="0.25">
      <c r="A78" s="37" t="s">
        <v>298</v>
      </c>
      <c r="B78" s="38" t="s">
        <v>35</v>
      </c>
      <c r="C78" s="34">
        <v>39196.44283</v>
      </c>
      <c r="D78" s="53">
        <f>IF(OR(34689.1618="",39196.44283=""),"-",39196.44283/34689.1618*100)</f>
        <v>112.99334084803398</v>
      </c>
      <c r="E78" s="53">
        <f>IF(34689.1618="","-",34689.1618/1525216.45469*100)</f>
        <v>2.2743763151342717</v>
      </c>
      <c r="F78" s="53">
        <f>IF(39196.44283="","-",39196.44283/1808733.49338*100)</f>
        <v>2.1670656828913573</v>
      </c>
      <c r="G78" s="53">
        <f>IF(OR(1787183.4192="",43168.74356="",34689.1618=""),"-",(34689.1618-43168.74356)/1787183.4192*100)</f>
        <v>-0.47446622819473849</v>
      </c>
      <c r="H78" s="53">
        <f>IF(OR(1525216.45469="",39196.44283="",34689.1618=""),"-",(39196.44283-34689.1618)/1525216.45469*100)</f>
        <v>0.29551746679235125</v>
      </c>
      <c r="I78" s="37"/>
      <c r="J78" s="38"/>
      <c r="K78" s="34"/>
    </row>
    <row r="79" spans="1:11" ht="25.5" x14ac:dyDescent="0.25">
      <c r="A79" s="46" t="s">
        <v>302</v>
      </c>
      <c r="B79" s="60" t="s">
        <v>188</v>
      </c>
      <c r="C79" s="61">
        <v>389.17775</v>
      </c>
      <c r="D79" s="62">
        <f>IF(408.3958="","-",389.17775/408.3958*100)</f>
        <v>95.294258657900016</v>
      </c>
      <c r="E79" s="62">
        <f>IF(408.3958="","-",408.3958/1525216.45469*100)</f>
        <v>2.6776251904717774E-2</v>
      </c>
      <c r="F79" s="62">
        <f>IF(389.17775="","-",389.17775/1808733.49338*100)</f>
        <v>2.1516588896285615E-2</v>
      </c>
      <c r="G79" s="62">
        <f>IF(1787183.4192="","-",(408.3958-462.98741)/1787183.4192*100)</f>
        <v>-3.0546170814653678E-3</v>
      </c>
      <c r="H79" s="62">
        <f>IF(1525216.45469="","-",(389.17775-408.3958)/1525216.45469*100)</f>
        <v>-1.260021155745141E-3</v>
      </c>
      <c r="I79" s="37"/>
      <c r="J79" s="38"/>
      <c r="K79" s="34"/>
    </row>
    <row r="80" spans="1:11" x14ac:dyDescent="0.25">
      <c r="A80" s="42" t="s">
        <v>305</v>
      </c>
      <c r="B80" s="40"/>
      <c r="C80" s="40"/>
      <c r="D80" s="40"/>
      <c r="E80" s="40"/>
      <c r="I80" s="1"/>
      <c r="J80" s="1"/>
      <c r="K80" s="1"/>
    </row>
    <row r="81" spans="1:5" x14ac:dyDescent="0.25">
      <c r="A81" s="99" t="s">
        <v>319</v>
      </c>
      <c r="B81" s="99"/>
      <c r="C81" s="99"/>
      <c r="D81" s="99"/>
      <c r="E81" s="99"/>
    </row>
  </sheetData>
  <mergeCells count="12">
    <mergeCell ref="A81:E81"/>
    <mergeCell ref="A4:A6"/>
    <mergeCell ref="B1:H1"/>
    <mergeCell ref="B2:H2"/>
    <mergeCell ref="B4:B6"/>
    <mergeCell ref="C4:D4"/>
    <mergeCell ref="E4:F4"/>
    <mergeCell ref="G4:H4"/>
    <mergeCell ref="C5:C6"/>
    <mergeCell ref="D5:D6"/>
    <mergeCell ref="E5:F5"/>
    <mergeCell ref="G5:H5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82"/>
  <sheetViews>
    <sheetView zoomScaleNormal="100" workbookViewId="0">
      <selection activeCell="E90" sqref="E90"/>
    </sheetView>
  </sheetViews>
  <sheetFormatPr defaultRowHeight="15.75" x14ac:dyDescent="0.25"/>
  <cols>
    <col min="1" max="1" width="5.75" customWidth="1"/>
    <col min="2" max="2" width="26" customWidth="1"/>
    <col min="3" max="3" width="11.25" customWidth="1"/>
    <col min="4" max="4" width="11.125" customWidth="1"/>
    <col min="5" max="5" width="7.625" customWidth="1"/>
    <col min="6" max="6" width="7.75" customWidth="1"/>
    <col min="7" max="7" width="8.625" customWidth="1"/>
    <col min="8" max="8" width="8.375" customWidth="1"/>
  </cols>
  <sheetData>
    <row r="1" spans="1:8" x14ac:dyDescent="0.25">
      <c r="B1" s="113" t="s">
        <v>141</v>
      </c>
      <c r="C1" s="113"/>
      <c r="D1" s="113"/>
      <c r="E1" s="113"/>
      <c r="F1" s="113"/>
      <c r="G1" s="113"/>
      <c r="H1" s="113"/>
    </row>
    <row r="2" spans="1:8" x14ac:dyDescent="0.25">
      <c r="B2" s="113" t="s">
        <v>304</v>
      </c>
      <c r="C2" s="113"/>
      <c r="D2" s="113"/>
      <c r="E2" s="113"/>
      <c r="F2" s="113"/>
      <c r="G2" s="113"/>
      <c r="H2" s="113"/>
    </row>
    <row r="3" spans="1:8" x14ac:dyDescent="0.25">
      <c r="B3" s="5"/>
    </row>
    <row r="4" spans="1:8" ht="57" customHeight="1" x14ac:dyDescent="0.25">
      <c r="A4" s="121" t="s">
        <v>229</v>
      </c>
      <c r="B4" s="124"/>
      <c r="C4" s="127" t="s">
        <v>362</v>
      </c>
      <c r="D4" s="119"/>
      <c r="E4" s="127" t="s">
        <v>0</v>
      </c>
      <c r="F4" s="119"/>
      <c r="G4" s="116" t="s">
        <v>119</v>
      </c>
      <c r="H4" s="128"/>
    </row>
    <row r="5" spans="1:8" ht="19.5" customHeight="1" x14ac:dyDescent="0.25">
      <c r="A5" s="122"/>
      <c r="B5" s="125"/>
      <c r="C5" s="129" t="s">
        <v>110</v>
      </c>
      <c r="D5" s="114" t="s">
        <v>363</v>
      </c>
      <c r="E5" s="131" t="s">
        <v>364</v>
      </c>
      <c r="F5" s="131"/>
      <c r="G5" s="131" t="s">
        <v>365</v>
      </c>
      <c r="H5" s="127"/>
    </row>
    <row r="6" spans="1:8" ht="25.5" customHeight="1" x14ac:dyDescent="0.25">
      <c r="A6" s="123"/>
      <c r="B6" s="126"/>
      <c r="C6" s="130"/>
      <c r="D6" s="115"/>
      <c r="E6" s="21">
        <v>2020</v>
      </c>
      <c r="F6" s="21">
        <v>2021</v>
      </c>
      <c r="G6" s="21">
        <v>2020</v>
      </c>
      <c r="H6" s="17">
        <v>2021</v>
      </c>
    </row>
    <row r="7" spans="1:8" x14ac:dyDescent="0.25">
      <c r="A7" s="45"/>
      <c r="B7" s="59" t="s">
        <v>123</v>
      </c>
      <c r="C7" s="48">
        <v>4403469.79342</v>
      </c>
      <c r="D7" s="49">
        <f>IF(3323881.41153="","-",4403469.79342/3323881.41153*100)</f>
        <v>132.4797502746363</v>
      </c>
      <c r="E7" s="49">
        <v>100</v>
      </c>
      <c r="F7" s="49">
        <v>100</v>
      </c>
      <c r="G7" s="49">
        <f>IF(3771658.08092="","-",(3323881.41153-3771658.08092)/3771658.08092*100)</f>
        <v>-11.872143757017769</v>
      </c>
      <c r="H7" s="49">
        <f>IF(3323881.41153="","-",(4403469.79342-3323881.41153)/3323881.41153*100)</f>
        <v>32.479750274636295</v>
      </c>
    </row>
    <row r="8" spans="1:8" ht="12" customHeight="1" x14ac:dyDescent="0.25">
      <c r="A8" s="63" t="s">
        <v>230</v>
      </c>
      <c r="B8" s="36" t="s">
        <v>189</v>
      </c>
      <c r="C8" s="33">
        <v>485601.07871999999</v>
      </c>
      <c r="D8" s="51">
        <f>IF(411265.60593="","-",485601.07872/411265.60593*100)</f>
        <v>118.07480900862211</v>
      </c>
      <c r="E8" s="51">
        <f>IF(411265.60593="","-",411265.60593/3323881.41153*100)</f>
        <v>12.373052916490552</v>
      </c>
      <c r="F8" s="51">
        <f>IF(485601.07872="","-",485601.07872/4403469.79342*100)</f>
        <v>11.027691831691957</v>
      </c>
      <c r="G8" s="51">
        <f>IF(3771658.08092="","-",(411265.60593-382083.53734)/3771658.08092*100)</f>
        <v>0.7737198856287052</v>
      </c>
      <c r="H8" s="51">
        <f>IF(3323881.41153="","-",(485601.07872-411265.60593)/3323881.41153*100)</f>
        <v>2.2364056831914154</v>
      </c>
    </row>
    <row r="9" spans="1:8" x14ac:dyDescent="0.25">
      <c r="A9" s="64" t="s">
        <v>231</v>
      </c>
      <c r="B9" s="38" t="s">
        <v>23</v>
      </c>
      <c r="C9" s="34">
        <v>3556.9850700000002</v>
      </c>
      <c r="D9" s="53">
        <f>IF(OR(4700.48708="",3556.98507=""),"-",3556.98507/4700.48708*100)</f>
        <v>75.67269113736188</v>
      </c>
      <c r="E9" s="53">
        <f>IF(4700.48708="","-",4700.48708/3323881.41153*100)</f>
        <v>0.14141560717824589</v>
      </c>
      <c r="F9" s="53">
        <f>IF(3556.98507="","-",3556.98507/4403469.79342*100)</f>
        <v>8.0776869988187908E-2</v>
      </c>
      <c r="G9" s="53">
        <f>IF(OR(3771658.08092="",3694.47466="",4700.48708=""),"-",(4700.48708-3694.47466)/3771658.08092*100)</f>
        <v>2.6672948565756759E-2</v>
      </c>
      <c r="H9" s="53">
        <f>IF(OR(3323881.41153="",3556.98507="",4700.48708=""),"-",(3556.98507-4700.48708)/3323881.41153*100)</f>
        <v>-3.4402611538226921E-2</v>
      </c>
    </row>
    <row r="10" spans="1:8" ht="14.25" customHeight="1" x14ac:dyDescent="0.25">
      <c r="A10" s="64" t="s">
        <v>232</v>
      </c>
      <c r="B10" s="38" t="s">
        <v>190</v>
      </c>
      <c r="C10" s="34">
        <v>40602.581279999999</v>
      </c>
      <c r="D10" s="53" t="s">
        <v>104</v>
      </c>
      <c r="E10" s="53">
        <f>IF(25379.85181="","-",25379.85181/3323881.41153*100)</f>
        <v>0.76356068907757813</v>
      </c>
      <c r="F10" s="53">
        <f>IF(40602.58128="","-",40602.58128/4403469.79342*100)</f>
        <v>0.92205881236363807</v>
      </c>
      <c r="G10" s="53">
        <f>IF(OR(3771658.08092="",30754.32011="",25379.85181=""),"-",(25379.85181-30754.32011)/3771658.08092*100)</f>
        <v>-0.14249616971348145</v>
      </c>
      <c r="H10" s="53">
        <f>IF(OR(3323881.41153="",40602.58128="",25379.85181=""),"-",(40602.58128-25379.85181)/3323881.41153*100)</f>
        <v>0.45798052292704672</v>
      </c>
    </row>
    <row r="11" spans="1:8" s="7" customFormat="1" x14ac:dyDescent="0.25">
      <c r="A11" s="64" t="s">
        <v>233</v>
      </c>
      <c r="B11" s="38" t="s">
        <v>191</v>
      </c>
      <c r="C11" s="34">
        <v>59635.638859999999</v>
      </c>
      <c r="D11" s="53">
        <f>IF(OR(52836.07844="",59635.63886=""),"-",59635.63886/52836.07844*100)</f>
        <v>112.86916179390849</v>
      </c>
      <c r="E11" s="53">
        <f>IF(52836.07844="","-",52836.07844/3323881.41153*100)</f>
        <v>1.5895897566236958</v>
      </c>
      <c r="F11" s="53">
        <f>IF(59635.63886="","-",59635.63886/4403469.79342*100)</f>
        <v>1.3542874518887835</v>
      </c>
      <c r="G11" s="53">
        <f>IF(OR(3771658.08092="",40898.78892="",52836.07844=""),"-",(52836.07844-40898.78892)/3771658.08092*100)</f>
        <v>0.3164997797755888</v>
      </c>
      <c r="H11" s="53">
        <f>IF(OR(3323881.41153="",59635.63886="",52836.07844=""),"-",(59635.63886-52836.07844)/3323881.41153*100)</f>
        <v>0.20456687763929965</v>
      </c>
    </row>
    <row r="12" spans="1:8" s="7" customFormat="1" x14ac:dyDescent="0.25">
      <c r="A12" s="64" t="s">
        <v>234</v>
      </c>
      <c r="B12" s="38" t="s">
        <v>192</v>
      </c>
      <c r="C12" s="34">
        <v>44672.304559999997</v>
      </c>
      <c r="D12" s="53">
        <f>IF(OR(34794.3183399999="",44672.30456=""),"-",44672.30456/34794.3183399999*100)</f>
        <v>128.38965294125123</v>
      </c>
      <c r="E12" s="53">
        <f>IF(34794.3183399999="","-",34794.3183399999/3323881.41153*100)</f>
        <v>1.0467978255573172</v>
      </c>
      <c r="F12" s="53">
        <f>IF(44672.30456="","-",44672.30456/4403469.79342*100)</f>
        <v>1.0144796411855206</v>
      </c>
      <c r="G12" s="53">
        <f>IF(OR(3771658.08092="",34594.86131="",34794.3183399999=""),"-",(34794.3183399999-34594.86131)/3771658.08092*100)</f>
        <v>5.2883115521237993E-3</v>
      </c>
      <c r="H12" s="53">
        <f>IF(OR(3323881.41153="",44672.30456="",34794.3183399999=""),"-",(44672.30456-34794.3183399999)/3323881.41153*100)</f>
        <v>0.29718226967228667</v>
      </c>
    </row>
    <row r="13" spans="1:8" s="7" customFormat="1" ht="15" customHeight="1" x14ac:dyDescent="0.25">
      <c r="A13" s="64" t="s">
        <v>235</v>
      </c>
      <c r="B13" s="38" t="s">
        <v>193</v>
      </c>
      <c r="C13" s="34">
        <v>67783.357220000005</v>
      </c>
      <c r="D13" s="53">
        <f>IF(OR(62483.1048="",67783.35722=""),"-",67783.35722/62483.1048*100)</f>
        <v>108.48269694178194</v>
      </c>
      <c r="E13" s="53">
        <f>IF(62483.1048="","-",62483.1048/3323881.41153*100)</f>
        <v>1.8798235274957869</v>
      </c>
      <c r="F13" s="53">
        <f>IF(67783.35722="","-",67783.35722/4403469.79342*100)</f>
        <v>1.5393169568526861</v>
      </c>
      <c r="G13" s="53">
        <f>IF(OR(3771658.08092="",54705.1656="",62483.1048=""),"-",(62483.1048-54705.1656)/3771658.08092*100)</f>
        <v>0.2062206868471696</v>
      </c>
      <c r="H13" s="53">
        <f>IF(OR(3323881.41153="",67783.35722="",62483.1048=""),"-",(67783.35722-62483.1048)/3323881.41153*100)</f>
        <v>0.15945973287778251</v>
      </c>
    </row>
    <row r="14" spans="1:8" s="7" customFormat="1" ht="14.25" customHeight="1" x14ac:dyDescent="0.25">
      <c r="A14" s="64" t="s">
        <v>236</v>
      </c>
      <c r="B14" s="38" t="s">
        <v>194</v>
      </c>
      <c r="C14" s="34">
        <v>118810.68139</v>
      </c>
      <c r="D14" s="53">
        <f>IF(OR(112006.57879="",118810.68139=""),"-",118810.68139/112006.57879*100)</f>
        <v>106.07473478210323</v>
      </c>
      <c r="E14" s="53">
        <f>IF(112006.57879="","-",112006.57879/3323881.41153*100)</f>
        <v>3.3697525549939158</v>
      </c>
      <c r="F14" s="53">
        <f>IF(118810.68139="","-",118810.68139/4403469.79342*100)</f>
        <v>2.6981150538953615</v>
      </c>
      <c r="G14" s="53">
        <f>IF(OR(3771658.08092="",106911.46068="",112006.57879=""),"-",(112006.57879-106911.46068)/3771658.08092*100)</f>
        <v>0.13508960782460883</v>
      </c>
      <c r="H14" s="53">
        <f>IF(OR(3323881.41153="",118810.68139="",112006.57879=""),"-",(118810.68139-112006.57879)/3323881.41153*100)</f>
        <v>0.20470353052902793</v>
      </c>
    </row>
    <row r="15" spans="1:8" s="7" customFormat="1" ht="25.5" x14ac:dyDescent="0.25">
      <c r="A15" s="64" t="s">
        <v>237</v>
      </c>
      <c r="B15" s="38" t="s">
        <v>152</v>
      </c>
      <c r="C15" s="34">
        <v>11727.126850000001</v>
      </c>
      <c r="D15" s="53">
        <f>IF(OR(10207.57916="",11727.12685=""),"-",11727.12685/10207.57916*100)</f>
        <v>114.88646491182344</v>
      </c>
      <c r="E15" s="53">
        <f>IF(10207.57916="","-",10207.57916/3323881.41153*100)</f>
        <v>0.30709817518132804</v>
      </c>
      <c r="F15" s="53">
        <f>IF(11727.12685="","-",11727.12685/4403469.79342*100)</f>
        <v>0.26631559656713361</v>
      </c>
      <c r="G15" s="53">
        <f>IF(OR(3771658.08092="",9364.74073="",10207.57916=""),"-",(10207.57916-9364.74073)/3771658.08092*100)</f>
        <v>2.234662877485466E-2</v>
      </c>
      <c r="H15" s="53">
        <f>IF(OR(3323881.41153="",11727.12685="",10207.57916=""),"-",(11727.12685-10207.57916)/3323881.41153*100)</f>
        <v>4.5716062093218462E-2</v>
      </c>
    </row>
    <row r="16" spans="1:8" s="7" customFormat="1" ht="25.5" x14ac:dyDescent="0.25">
      <c r="A16" s="64" t="s">
        <v>238</v>
      </c>
      <c r="B16" s="38" t="s">
        <v>195</v>
      </c>
      <c r="C16" s="34">
        <v>39747.97539</v>
      </c>
      <c r="D16" s="53">
        <f>IF(OR(32604.28254="",39747.97539=""),"-",39747.97539/32604.28254*100)</f>
        <v>121.91028997873478</v>
      </c>
      <c r="E16" s="53">
        <f>IF(32604.28254="","-",32604.28254/3323881.41153*100)</f>
        <v>0.98090992136184774</v>
      </c>
      <c r="F16" s="53">
        <f>IF(39747.97539="","-",39747.97539/4403469.79342*100)</f>
        <v>0.90265125582090855</v>
      </c>
      <c r="G16" s="53">
        <f>IF(OR(3771658.08092="",31711.52791="",32604.28254=""),"-",(32604.28254-31711.52791)/3771658.08092*100)</f>
        <v>2.3670083842335852E-2</v>
      </c>
      <c r="H16" s="53">
        <f>IF(OR(3323881.41153="",39747.97539="",32604.28254=""),"-",(39747.97539-32604.28254)/3323881.41153*100)</f>
        <v>0.21492020820056029</v>
      </c>
    </row>
    <row r="17" spans="1:8" s="7" customFormat="1" ht="25.5" x14ac:dyDescent="0.25">
      <c r="A17" s="64" t="s">
        <v>239</v>
      </c>
      <c r="B17" s="38" t="s">
        <v>153</v>
      </c>
      <c r="C17" s="34">
        <v>32344.297340000001</v>
      </c>
      <c r="D17" s="53">
        <f>IF(OR(25593.29712="",32344.29734=""),"-",32344.29734/25593.29712*100)</f>
        <v>126.37800119440024</v>
      </c>
      <c r="E17" s="53">
        <f>IF(25593.29712="","-",25593.29712/3323881.41153*100)</f>
        <v>0.76998225722557501</v>
      </c>
      <c r="F17" s="53">
        <f>IF(32344.29734="","-",32344.29734/4403469.79342*100)</f>
        <v>0.73451843335751532</v>
      </c>
      <c r="G17" s="53">
        <f>IF(OR(3771658.08092="",21521.66311="",25593.29712=""),"-",(25593.29712-21521.66311)/3771658.08092*100)</f>
        <v>0.10795342320656029</v>
      </c>
      <c r="H17" s="53">
        <f>IF(OR(3323881.41153="",32344.29734="",25593.29712=""),"-",(32344.29734-25593.29712)/3323881.41153*100)</f>
        <v>0.20310592900763211</v>
      </c>
    </row>
    <row r="18" spans="1:8" s="7" customFormat="1" ht="25.5" x14ac:dyDescent="0.25">
      <c r="A18" s="64" t="s">
        <v>240</v>
      </c>
      <c r="B18" s="38" t="s">
        <v>196</v>
      </c>
      <c r="C18" s="34">
        <v>66720.13076</v>
      </c>
      <c r="D18" s="53">
        <f>IF(OR(50660.02785="",66720.13076=""),"-",66720.13076/50660.02785*100)</f>
        <v>131.70172538703017</v>
      </c>
      <c r="E18" s="53">
        <f>IF(50660.02785="","-",50660.02785/3323881.41153*100)</f>
        <v>1.5241226017952585</v>
      </c>
      <c r="F18" s="53">
        <f>IF(66720.13076="","-",66720.13076/4403469.79342*100)</f>
        <v>1.515171759772221</v>
      </c>
      <c r="G18" s="53">
        <f>IF(OR(3771658.08092="",47926.53431="",50660.02785=""),"-",(50660.02785-47926.53431)/3771658.08092*100)</f>
        <v>7.2474584953184026E-2</v>
      </c>
      <c r="H18" s="53">
        <f>IF(OR(3323881.41153="",66720.13076="",50660.02785=""),"-",(66720.13076-50660.02785)/3323881.41153*100)</f>
        <v>0.48317316178279213</v>
      </c>
    </row>
    <row r="19" spans="1:8" s="7" customFormat="1" x14ac:dyDescent="0.25">
      <c r="A19" s="63" t="s">
        <v>241</v>
      </c>
      <c r="B19" s="36" t="s">
        <v>197</v>
      </c>
      <c r="C19" s="33">
        <v>84618.757620000004</v>
      </c>
      <c r="D19" s="51">
        <f>IF(66595.8737="","-",84618.75762/66595.8737*100)</f>
        <v>127.0630639988135</v>
      </c>
      <c r="E19" s="51">
        <f>IF(66595.8737="","-",66595.8737/3323881.41153*100)</f>
        <v>2.0035574515080414</v>
      </c>
      <c r="F19" s="51">
        <f>IF(84618.75762="","-",84618.75762/4403469.79342*100)</f>
        <v>1.9216381987323679</v>
      </c>
      <c r="G19" s="51">
        <f>IF(3771658.08092="","-",(66595.8737-81194.99366)/3771658.08092*100)</f>
        <v>-0.38707432240090311</v>
      </c>
      <c r="H19" s="51">
        <f>IF(3323881.41153="","-",(84618.75762-66595.8737)/3323881.41153*100)</f>
        <v>0.54222403535461816</v>
      </c>
    </row>
    <row r="20" spans="1:8" s="7" customFormat="1" x14ac:dyDescent="0.25">
      <c r="A20" s="64" t="s">
        <v>242</v>
      </c>
      <c r="B20" s="38" t="s">
        <v>198</v>
      </c>
      <c r="C20" s="34">
        <v>53040.973140000002</v>
      </c>
      <c r="D20" s="53" t="s">
        <v>224</v>
      </c>
      <c r="E20" s="53">
        <f>IF(34537.71624="","-",34537.71624/3323881.41153*100)</f>
        <v>1.0390778720382239</v>
      </c>
      <c r="F20" s="53">
        <f>IF(53040.97314="","-",53040.97314/4403469.79342*100)</f>
        <v>1.2045267852014758</v>
      </c>
      <c r="G20" s="53">
        <f>IF(OR(3771658.08092="",42617.44724="",34537.71624=""),"-",(34537.71624-42617.44724)/3771658.08092*100)</f>
        <v>-0.21422225521644198</v>
      </c>
      <c r="H20" s="53">
        <f>IF(OR(3323881.41153="",53040.97314="",34537.71624=""),"-",(53040.97314-34537.71624)/3323881.41153*100)</f>
        <v>0.55667620498779635</v>
      </c>
    </row>
    <row r="21" spans="1:8" s="7" customFormat="1" x14ac:dyDescent="0.25">
      <c r="A21" s="64" t="s">
        <v>243</v>
      </c>
      <c r="B21" s="38" t="s">
        <v>199</v>
      </c>
      <c r="C21" s="34">
        <v>31577.784479999998</v>
      </c>
      <c r="D21" s="53">
        <f>IF(OR(32058.15746="",31577.78448=""),"-",31577.78448/32058.15746*100)</f>
        <v>98.501557737373474</v>
      </c>
      <c r="E21" s="53">
        <f>IF(32058.15746="","-",32058.15746/3323881.41153*100)</f>
        <v>0.96447957946981799</v>
      </c>
      <c r="F21" s="53">
        <f>IF(31577.78448="","-",31577.78448/4403469.79342*100)</f>
        <v>0.71711141353089169</v>
      </c>
      <c r="G21" s="53">
        <f>IF(OR(3771658.08092="",38577.54642="",32058.15746=""),"-",(32058.15746-38577.54642)/3771658.08092*100)</f>
        <v>-0.17285206718446125</v>
      </c>
      <c r="H21" s="53">
        <f>IF(OR(3323881.41153="",31577.78448="",32058.15746=""),"-",(31577.78448-32058.15746)/3323881.41153*100)</f>
        <v>-1.4452169633178394E-2</v>
      </c>
    </row>
    <row r="22" spans="1:8" s="7" customFormat="1" ht="25.5" x14ac:dyDescent="0.25">
      <c r="A22" s="63" t="s">
        <v>244</v>
      </c>
      <c r="B22" s="36" t="s">
        <v>24</v>
      </c>
      <c r="C22" s="33">
        <v>132142.04055999999</v>
      </c>
      <c r="D22" s="51">
        <f>IF(94471.87241="","-",132142.04056/94471.87241*100)</f>
        <v>139.8744802966481</v>
      </c>
      <c r="E22" s="51">
        <f>IF(94471.87241="","-",94471.87241/3323881.41153*100)</f>
        <v>2.8422154918732225</v>
      </c>
      <c r="F22" s="51">
        <f>IF(132142.04056="","-",132142.04056/4403469.79342*100)</f>
        <v>3.0008617467401888</v>
      </c>
      <c r="G22" s="51">
        <f>IF(3771658.08092="","-",(94471.87241-104139.16205)/3771658.08092*100)</f>
        <v>-0.25631405160782533</v>
      </c>
      <c r="H22" s="51">
        <f>IF(3323881.41153="","-",(132142.04056-94471.87241)/3323881.41153*100)</f>
        <v>1.1333186562952684</v>
      </c>
    </row>
    <row r="23" spans="1:8" s="7" customFormat="1" ht="25.5" x14ac:dyDescent="0.25">
      <c r="A23" s="64" t="s">
        <v>245</v>
      </c>
      <c r="B23" s="38" t="s">
        <v>206</v>
      </c>
      <c r="C23" s="34">
        <v>14.63442</v>
      </c>
      <c r="D23" s="53" t="str">
        <f>IF(OR(""="",14.63442=""),"-",14.63442/""*100)</f>
        <v>-</v>
      </c>
      <c r="E23" s="53" t="str">
        <f>IF(""="","-",""/3323881.41153*100)</f>
        <v>-</v>
      </c>
      <c r="F23" s="53">
        <f>IF(14.63442="","-",14.63442/4403469.79342*100)</f>
        <v>3.3233837602037982E-4</v>
      </c>
      <c r="G23" s="53" t="str">
        <f>IF(OR(3771658.08092="",18.14="",""=""),"-",(""-18.14)/3771658.08092*100)</f>
        <v>-</v>
      </c>
      <c r="H23" s="53" t="str">
        <f>IF(OR(3323881.41153="",14.63442="",""=""),"-",(14.63442-"")/3323881.41153*100)</f>
        <v>-</v>
      </c>
    </row>
    <row r="24" spans="1:8" s="7" customFormat="1" x14ac:dyDescent="0.25">
      <c r="A24" s="64" t="s">
        <v>246</v>
      </c>
      <c r="B24" s="38" t="s">
        <v>200</v>
      </c>
      <c r="C24" s="34">
        <v>42357.109810000002</v>
      </c>
      <c r="D24" s="53">
        <f>IF(OR(28939.36464="",42357.10981=""),"-",42357.10981/28939.36464*100)</f>
        <v>146.36503025174918</v>
      </c>
      <c r="E24" s="53">
        <f>IF(28939.36464="","-",28939.36464/3323881.41153*100)</f>
        <v>0.87064973315877281</v>
      </c>
      <c r="F24" s="53">
        <f>IF(42357.10981="","-",42357.10981/4403469.79342*100)</f>
        <v>0.96190304003659166</v>
      </c>
      <c r="G24" s="53">
        <f>IF(OR(3771658.08092="",28639.08545="",28939.36464=""),"-",(28939.36464-28639.08545)/3771658.08092*100)</f>
        <v>7.9614637264986549E-3</v>
      </c>
      <c r="H24" s="53">
        <f>IF(OR(3323881.41153="",42357.10981="",28939.36464=""),"-",(42357.10981-28939.36464)/3323881.41153*100)</f>
        <v>0.40367701216583851</v>
      </c>
    </row>
    <row r="25" spans="1:8" s="7" customFormat="1" ht="25.5" x14ac:dyDescent="0.25">
      <c r="A25" s="64" t="s">
        <v>300</v>
      </c>
      <c r="B25" s="38" t="s">
        <v>201</v>
      </c>
      <c r="C25" s="34">
        <v>1535.13221</v>
      </c>
      <c r="D25" s="53" t="s">
        <v>212</v>
      </c>
      <c r="E25" s="53">
        <f>IF(855.04697="","-",855.04697/3323881.41153*100)</f>
        <v>2.572435247039747E-2</v>
      </c>
      <c r="F25" s="53">
        <f>IF(1535.13221="","-",1535.13221/4403469.79342*100)</f>
        <v>3.4861876702184068E-2</v>
      </c>
      <c r="G25" s="53">
        <f>IF(OR(3771658.08092="",1081.20476="",855.04697=""),"-",(855.04697-1081.20476)/3771658.08092*100)</f>
        <v>-5.9962431680666726E-3</v>
      </c>
      <c r="H25" s="53">
        <f>IF(OR(3323881.41153="",1535.13221="",855.04697=""),"-",(1535.13221-855.04697)/3323881.41153*100)</f>
        <v>2.0460574725707593E-2</v>
      </c>
    </row>
    <row r="26" spans="1:8" s="7" customFormat="1" x14ac:dyDescent="0.25">
      <c r="A26" s="64" t="s">
        <v>247</v>
      </c>
      <c r="B26" s="38" t="s">
        <v>202</v>
      </c>
      <c r="C26" s="34">
        <v>33023.28011</v>
      </c>
      <c r="D26" s="53">
        <f>IF(OR(24203.28045="",33023.28011=""),"-",33023.28011/24203.28045*100)</f>
        <v>136.44133975235576</v>
      </c>
      <c r="E26" s="53">
        <f>IF(24203.28045="","-",24203.28045/3323881.41153*100)</f>
        <v>0.72816317591965773</v>
      </c>
      <c r="F26" s="53">
        <f>IF(33023.28011="","-",33023.28011/4403469.79342*100)</f>
        <v>0.74993770047760744</v>
      </c>
      <c r="G26" s="53">
        <f>IF(OR(3771658.08092="",25213.5477="",24203.28045=""),"-",(24203.28045-25213.5477)/3771658.08092*100)</f>
        <v>-2.6785759162812863E-2</v>
      </c>
      <c r="H26" s="53">
        <f>IF(OR(3323881.41153="",33023.28011="",24203.28045=""),"-",(33023.28011-24203.28045)/3323881.41153*100)</f>
        <v>0.26535241688842648</v>
      </c>
    </row>
    <row r="27" spans="1:8" s="7" customFormat="1" ht="14.25" customHeight="1" x14ac:dyDescent="0.25">
      <c r="A27" s="64" t="s">
        <v>248</v>
      </c>
      <c r="B27" s="38" t="s">
        <v>154</v>
      </c>
      <c r="C27" s="34">
        <v>389.68423000000001</v>
      </c>
      <c r="D27" s="53">
        <f>IF(OR(286.51155="",389.68423=""),"-",389.68423/286.51155*100)</f>
        <v>136.00995492153805</v>
      </c>
      <c r="E27" s="53">
        <f>IF(286.51155="","-",286.51155/3323881.41153*100)</f>
        <v>8.6197885702582033E-3</v>
      </c>
      <c r="F27" s="53">
        <f>IF(389.68423="","-",389.68423/4403469.79342*100)</f>
        <v>8.8494811655639334E-3</v>
      </c>
      <c r="G27" s="53">
        <f>IF(OR(3771658.08092="",286.16837="",286.51155=""),"-",(286.51155-286.16837)/3771658.08092*100)</f>
        <v>9.0989159843542332E-6</v>
      </c>
      <c r="H27" s="53">
        <f>IF(OR(3323881.41153="",389.68423="",286.51155=""),"-",(389.68423-286.51155)/3323881.41153*100)</f>
        <v>3.1039819784818702E-3</v>
      </c>
    </row>
    <row r="28" spans="1:8" s="7" customFormat="1" ht="38.25" x14ac:dyDescent="0.25">
      <c r="A28" s="64" t="s">
        <v>249</v>
      </c>
      <c r="B28" s="38" t="s">
        <v>155</v>
      </c>
      <c r="C28" s="34">
        <v>6554.2198600000002</v>
      </c>
      <c r="D28" s="53">
        <f>IF(OR(4537.39974="",6554.21986=""),"-",6554.21986/4537.39974*100)</f>
        <v>144.4488084710826</v>
      </c>
      <c r="E28" s="53">
        <f>IF(4537.39974="","-",4537.39974/3323881.41153*100)</f>
        <v>0.13650907412823163</v>
      </c>
      <c r="F28" s="53">
        <f>IF(6554.21986="","-",6554.21986/4403469.79342*100)</f>
        <v>0.14884216691559493</v>
      </c>
      <c r="G28" s="53">
        <f>IF(OR(3771658.08092="",5013.08606="",4537.39974=""),"-",(4537.39974-5013.08606)/3771658.08092*100)</f>
        <v>-1.2612127340131748E-2</v>
      </c>
      <c r="H28" s="53">
        <f>IF(OR(3323881.41153="",6554.21986="",4537.39974=""),"-",(6554.21986-4537.39974)/3323881.41153*100)</f>
        <v>6.0676656904905868E-2</v>
      </c>
    </row>
    <row r="29" spans="1:8" s="7" customFormat="1" ht="38.25" x14ac:dyDescent="0.25">
      <c r="A29" s="64" t="s">
        <v>250</v>
      </c>
      <c r="B29" s="38" t="s">
        <v>156</v>
      </c>
      <c r="C29" s="34">
        <v>12957.04226</v>
      </c>
      <c r="D29" s="53">
        <f>IF(OR(10586.40243="",12957.04226=""),"-",12957.04226/10586.40243*100)</f>
        <v>122.39325253007598</v>
      </c>
      <c r="E29" s="53">
        <f>IF(10586.40243="","-",10586.40243/3323881.41153*100)</f>
        <v>0.31849519039029206</v>
      </c>
      <c r="F29" s="53">
        <f>IF(12957.04226="","-",12957.04226/4403469.79342*100)</f>
        <v>0.29424619374842537</v>
      </c>
      <c r="G29" s="53">
        <f>IF(OR(3771658.08092="",18327.92762="",10586.40243=""),"-",(10586.40243-18327.92762)/3771658.08092*100)</f>
        <v>-0.20525522260786827</v>
      </c>
      <c r="H29" s="53">
        <f>IF(OR(3323881.41153="",12957.04226="",10586.40243=""),"-",(12957.04226-10586.40243)/3323881.41153*100)</f>
        <v>7.1321432280244387E-2</v>
      </c>
    </row>
    <row r="30" spans="1:8" s="7" customFormat="1" ht="25.5" x14ac:dyDescent="0.25">
      <c r="A30" s="64" t="s">
        <v>251</v>
      </c>
      <c r="B30" s="38" t="s">
        <v>157</v>
      </c>
      <c r="C30" s="34">
        <v>923.63855999999998</v>
      </c>
      <c r="D30" s="53">
        <f>IF(OR(950.63448="",923.63856=""),"-",923.63856/950.63448*100)</f>
        <v>97.16022082430672</v>
      </c>
      <c r="E30" s="53">
        <f>IF(950.63448="","-",950.63448/3323881.41153*100)</f>
        <v>2.8600132264117627E-2</v>
      </c>
      <c r="F30" s="53">
        <f>IF(923.63856="","-",923.63856/4403469.79342*100)</f>
        <v>2.0975244598706481E-2</v>
      </c>
      <c r="G30" s="53">
        <f>IF(OR(3771658.08092="",936.59947="",950.63448=""),"-",(950.63448-936.59947)/3771658.08092*100)</f>
        <v>3.7211777151805267E-4</v>
      </c>
      <c r="H30" s="53">
        <f>IF(OR(3323881.41153="",923.63856="",950.63448=""),"-",(923.63856-950.63448)/3323881.41153*100)</f>
        <v>-8.1218060025714653E-4</v>
      </c>
    </row>
    <row r="31" spans="1:8" s="7" customFormat="1" ht="25.5" x14ac:dyDescent="0.25">
      <c r="A31" s="64" t="s">
        <v>252</v>
      </c>
      <c r="B31" s="38" t="s">
        <v>158</v>
      </c>
      <c r="C31" s="34">
        <v>34387.299099999997</v>
      </c>
      <c r="D31" s="53">
        <f>IF(OR(24113.23215="",34387.2991=""),"-",34387.2991/24113.23215*100)</f>
        <v>142.60758941849275</v>
      </c>
      <c r="E31" s="53">
        <f>IF(24113.23215="","-",24113.23215/3323881.41153*100)</f>
        <v>0.72545404497149468</v>
      </c>
      <c r="F31" s="53">
        <f>IF(34387.2991="","-",34387.2991/4403469.79342*100)</f>
        <v>0.78091370471949462</v>
      </c>
      <c r="G31" s="53">
        <f>IF(OR(3771658.08092="",24623.40262="",24113.23215=""),"-",(24113.23215-24623.40262)/3771658.08092*100)</f>
        <v>-1.3526424162912398E-2</v>
      </c>
      <c r="H31" s="53">
        <f>IF(OR(3323881.41153="",34387.2991="",24113.23215=""),"-",(34387.2991-24113.23215)/3323881.41153*100)</f>
        <v>0.30909848090130232</v>
      </c>
    </row>
    <row r="32" spans="1:8" s="7" customFormat="1" ht="25.5" x14ac:dyDescent="0.25">
      <c r="A32" s="63" t="s">
        <v>253</v>
      </c>
      <c r="B32" s="36" t="s">
        <v>159</v>
      </c>
      <c r="C32" s="33">
        <v>551401.33288999996</v>
      </c>
      <c r="D32" s="51">
        <f>IF(384179.24239="","-",551401.33289/384179.24239*100)</f>
        <v>143.52710194848171</v>
      </c>
      <c r="E32" s="51">
        <f>IF(384179.24239="","-",384179.24239/3323881.41153*100)</f>
        <v>11.558151294367638</v>
      </c>
      <c r="F32" s="51">
        <f>IF(551401.33289="","-",551401.33289/4403469.79342*100)</f>
        <v>12.521973778812923</v>
      </c>
      <c r="G32" s="51">
        <f>IF(3771658.08092="","-",(384179.24239-585915.95925)/3771658.08092*100)</f>
        <v>-5.3487541164068455</v>
      </c>
      <c r="H32" s="51">
        <f>IF(3323881.41153="","-",(551401.33289-384179.24239)/3323881.41153*100)</f>
        <v>5.0309282972591589</v>
      </c>
    </row>
    <row r="33" spans="1:8" s="7" customFormat="1" x14ac:dyDescent="0.25">
      <c r="A33" s="64" t="s">
        <v>254</v>
      </c>
      <c r="B33" s="38" t="s">
        <v>203</v>
      </c>
      <c r="C33" s="34">
        <v>9499.9094299999906</v>
      </c>
      <c r="D33" s="53">
        <f>IF(OR(10394.43557="",9499.90942999999=""),"-",9499.90942999999/10394.43557*100)</f>
        <v>91.394182647283372</v>
      </c>
      <c r="E33" s="53">
        <f>IF(10394.43557="","-",10394.43557/3323881.41153*100)</f>
        <v>0.3127198080516172</v>
      </c>
      <c r="F33" s="53">
        <f>IF(9499.90942999999="","-",9499.90942999999/4403469.79342*100)</f>
        <v>0.21573690466085357</v>
      </c>
      <c r="G33" s="53">
        <f>IF(OR(3771658.08092="",13353.72477="",10394.43557=""),"-",(10394.43557-13353.72477)/3771658.08092*100)</f>
        <v>-7.8461226773720638E-2</v>
      </c>
      <c r="H33" s="53">
        <f>IF(OR(3323881.41153="",9499.90942999999="",10394.43557=""),"-",(9499.90942999999-10394.43557)/3323881.41153*100)</f>
        <v>-2.6912095506688188E-2</v>
      </c>
    </row>
    <row r="34" spans="1:8" s="7" customFormat="1" ht="25.5" x14ac:dyDescent="0.25">
      <c r="A34" s="64" t="s">
        <v>255</v>
      </c>
      <c r="B34" s="38" t="s">
        <v>160</v>
      </c>
      <c r="C34" s="34">
        <v>374698.86145000003</v>
      </c>
      <c r="D34" s="53" t="s">
        <v>104</v>
      </c>
      <c r="E34" s="53">
        <f>IF(239009.05863="","-",239009.05863/3323881.41153*100)</f>
        <v>7.1906614297645142</v>
      </c>
      <c r="F34" s="53">
        <f>IF(374698.86145="","-",374698.86145/4403469.79342*100)</f>
        <v>8.5091729710489581</v>
      </c>
      <c r="G34" s="53">
        <f>IF(OR(3771658.08092="",368574.25675="",239009.05863=""),"-",(239009.05863-368574.25675)/3771658.08092*100)</f>
        <v>-3.4352318089341716</v>
      </c>
      <c r="H34" s="53">
        <f>IF(OR(3323881.41153="",374698.86145="",239009.05863=""),"-",(374698.86145-239009.05863)/3323881.41153*100)</f>
        <v>4.0822696727179952</v>
      </c>
    </row>
    <row r="35" spans="1:8" s="7" customFormat="1" ht="25.5" x14ac:dyDescent="0.25">
      <c r="A35" s="64" t="s">
        <v>301</v>
      </c>
      <c r="B35" s="38" t="s">
        <v>204</v>
      </c>
      <c r="C35" s="34">
        <v>159822.35991999999</v>
      </c>
      <c r="D35" s="53">
        <f>IF(OR(126664.5262="",159822.35992=""),"-",159822.35992/126664.5262*100)</f>
        <v>126.17767950881893</v>
      </c>
      <c r="E35" s="53">
        <f>IF(126664.5262="","-",126664.5262/3323881.41153*100)</f>
        <v>3.8107414350169502</v>
      </c>
      <c r="F35" s="53">
        <f>IF(159822.35992="","-",159822.35992/4403469.79342*100)</f>
        <v>3.6294642047691283</v>
      </c>
      <c r="G35" s="53">
        <f>IF(OR(3771658.08092="",175926.22966="",126664.5262=""),"-",(126664.5262-175926.22966)/3771658.08092*100)</f>
        <v>-1.3061020485712713</v>
      </c>
      <c r="H35" s="53">
        <f>IF(OR(3323881.41153="",159822.35992="",126664.5262=""),"-",(159822.35992-126664.5262)/3323881.41153*100)</f>
        <v>0.99756367976850491</v>
      </c>
    </row>
    <row r="36" spans="1:8" s="7" customFormat="1" x14ac:dyDescent="0.25">
      <c r="A36" s="64" t="s">
        <v>311</v>
      </c>
      <c r="B36" s="38" t="s">
        <v>314</v>
      </c>
      <c r="C36" s="34">
        <v>7380.2020899999998</v>
      </c>
      <c r="D36" s="53">
        <f>IF(OR(8111.22199="",7380.20209=""),"-",7380.20209/8111.22199*100)</f>
        <v>90.987549090614877</v>
      </c>
      <c r="E36" s="53">
        <f>IF(8111.22199="","-",8111.22199/3323881.41153*100)</f>
        <v>0.24402862153455593</v>
      </c>
      <c r="F36" s="53">
        <f>IF(7380.20209="","-",7380.20209/4403469.79342*100)</f>
        <v>0.16759969833398336</v>
      </c>
      <c r="G36" s="53">
        <f>IF(OR(3771658.08092="",28061.74807="",8111.22199=""),"-",(8111.22199-28061.74807)/3771658.08092*100)</f>
        <v>-0.52895903212768369</v>
      </c>
      <c r="H36" s="53">
        <f>IF(OR(3323881.41153="",7380.20209="",8111.22199=""),"-",(7380.20209-8111.22199)/3323881.41153*100)</f>
        <v>-2.1992959720651042E-2</v>
      </c>
    </row>
    <row r="37" spans="1:8" s="7" customFormat="1" ht="25.5" x14ac:dyDescent="0.25">
      <c r="A37" s="63" t="s">
        <v>256</v>
      </c>
      <c r="B37" s="36" t="s">
        <v>161</v>
      </c>
      <c r="C37" s="33">
        <v>9098.9723900000008</v>
      </c>
      <c r="D37" s="51">
        <f>IF(6517.63761="","-",9098.97239/6517.63761*100)</f>
        <v>139.60537443873014</v>
      </c>
      <c r="E37" s="51">
        <f>IF(6517.63761="","-",6517.63761/3323881.41153*100)</f>
        <v>0.19608514273076597</v>
      </c>
      <c r="F37" s="51">
        <f>IF(9098.97239="","-",9098.97239/4403469.79342*100)</f>
        <v>0.20663187933289287</v>
      </c>
      <c r="G37" s="51">
        <f>IF(3771658.08092="","-",(6517.63761-7138.70485)/3771658.08092*100)</f>
        <v>-1.6466689892751539E-2</v>
      </c>
      <c r="H37" s="51">
        <f>IF(3323881.41153="","-",(9098.97239-6517.63761)/3323881.41153*100)</f>
        <v>7.7660254997238276E-2</v>
      </c>
    </row>
    <row r="38" spans="1:8" s="7" customFormat="1" x14ac:dyDescent="0.25">
      <c r="A38" s="64" t="s">
        <v>257</v>
      </c>
      <c r="B38" s="38" t="s">
        <v>207</v>
      </c>
      <c r="C38" s="34">
        <v>1182.66491</v>
      </c>
      <c r="D38" s="53">
        <f>IF(OR(1024.59171="",1182.66491=""),"-",1182.66491/1024.59171*100)</f>
        <v>115.42792103988427</v>
      </c>
      <c r="E38" s="53">
        <f>IF(1024.59171="","-",1024.59171/3323881.41153*100)</f>
        <v>3.0825158396020361E-2</v>
      </c>
      <c r="F38" s="53">
        <f>IF(1182.66491="","-",1182.66491/4403469.79342*100)</f>
        <v>2.6857568360460382E-2</v>
      </c>
      <c r="G38" s="53">
        <f>IF(OR(3771658.08092="",1040.47241="",1024.59171=""),"-",(1024.59171-1040.47241)/3771658.08092*100)</f>
        <v>-4.2105354354195511E-4</v>
      </c>
      <c r="H38" s="53">
        <f>IF(OR(3323881.41153="",1182.66491="",1024.59171=""),"-",(1182.66491-1024.59171)/3323881.41153*100)</f>
        <v>4.7556810977572783E-3</v>
      </c>
    </row>
    <row r="39" spans="1:8" s="7" customFormat="1" ht="25.5" x14ac:dyDescent="0.25">
      <c r="A39" s="64" t="s">
        <v>258</v>
      </c>
      <c r="B39" s="38" t="s">
        <v>162</v>
      </c>
      <c r="C39" s="34">
        <v>6597.8779299999997</v>
      </c>
      <c r="D39" s="53" t="s">
        <v>224</v>
      </c>
      <c r="E39" s="53">
        <f>IF(4391.06534="","-",4391.06534/3323881.41153*100)</f>
        <v>0.13210655845807595</v>
      </c>
      <c r="F39" s="53">
        <f>IF(6597.87793="","-",6597.87793/4403469.79342*100)</f>
        <v>0.14983361393460792</v>
      </c>
      <c r="G39" s="53">
        <f>IF(OR(3771658.08092="",4447.52054="",4391.06534=""),"-",(4391.06534-4447.52054)/3771658.08092*100)</f>
        <v>-1.496827092720704E-3</v>
      </c>
      <c r="H39" s="53">
        <f>IF(OR(3323881.41153="",6597.87793="",4391.06534=""),"-",(6597.87793-4391.06534)/3323881.41153*100)</f>
        <v>6.6392639109955243E-2</v>
      </c>
    </row>
    <row r="40" spans="1:8" s="7" customFormat="1" ht="63.75" x14ac:dyDescent="0.25">
      <c r="A40" s="64" t="s">
        <v>259</v>
      </c>
      <c r="B40" s="38" t="s">
        <v>205</v>
      </c>
      <c r="C40" s="34">
        <v>1318.4295500000001</v>
      </c>
      <c r="D40" s="53">
        <f>IF(OR(1101.98056="",1318.42955=""),"-",1318.42955/1101.98056*100)</f>
        <v>119.64181564146649</v>
      </c>
      <c r="E40" s="53">
        <f>IF(1101.98056="","-",1101.98056/3323881.41153*100)</f>
        <v>3.3153425876669661E-2</v>
      </c>
      <c r="F40" s="53">
        <f>IF(1318.42955="","-",1318.42955/4403469.79342*100)</f>
        <v>2.994069703782453E-2</v>
      </c>
      <c r="G40" s="53">
        <f>IF(OR(3771658.08092="",1650.7119="",1101.98056=""),"-",(1101.98056-1650.7119)/3771658.08092*100)</f>
        <v>-1.4548809256488885E-2</v>
      </c>
      <c r="H40" s="53">
        <f>IF(OR(3323881.41153="",1318.42955="",1101.98056=""),"-",(1318.42955-1101.98056)/3323881.41153*100)</f>
        <v>6.5119347895257031E-3</v>
      </c>
    </row>
    <row r="41" spans="1:8" s="7" customFormat="1" ht="25.5" x14ac:dyDescent="0.25">
      <c r="A41" s="63" t="s">
        <v>260</v>
      </c>
      <c r="B41" s="36" t="s">
        <v>163</v>
      </c>
      <c r="C41" s="33">
        <v>669189.44900999998</v>
      </c>
      <c r="D41" s="51">
        <f>IF(536032.01126="","-",669189.44901/536032.01126*100)</f>
        <v>124.84132196452209</v>
      </c>
      <c r="E41" s="51">
        <f>IF(536032.01126="","-",536032.01126/3323881.41153*100)</f>
        <v>16.126688798240298</v>
      </c>
      <c r="F41" s="51">
        <f>IF(669189.44901="","-",669189.44901/4403469.79342*100)</f>
        <v>15.196867025406959</v>
      </c>
      <c r="G41" s="51">
        <f>IF(3771658.08092="","-",(536032.01126-554820.50662)/3771658.08092*100)</f>
        <v>-0.49814948643003626</v>
      </c>
      <c r="H41" s="51">
        <f>IF(3323881.41153="","-",(669189.44901-536032.01126)/3323881.41153*100)</f>
        <v>4.0060826865873906</v>
      </c>
    </row>
    <row r="42" spans="1:8" s="7" customFormat="1" x14ac:dyDescent="0.25">
      <c r="A42" s="64" t="s">
        <v>261</v>
      </c>
      <c r="B42" s="38" t="s">
        <v>25</v>
      </c>
      <c r="C42" s="34">
        <v>8520.3804299999993</v>
      </c>
      <c r="D42" s="53">
        <f>IF(OR(7837.86295="",8520.38043=""),"-",8520.38043/7837.86295*100)</f>
        <v>108.70795374139578</v>
      </c>
      <c r="E42" s="53">
        <f>IF(7837.86295="","-",7837.86295/3323881.41153*100)</f>
        <v>0.23580453029436421</v>
      </c>
      <c r="F42" s="53">
        <f>IF(8520.38043="","-",8520.38043/4403469.79342*100)</f>
        <v>0.19349242369578193</v>
      </c>
      <c r="G42" s="53">
        <f>IF(OR(3771658.08092="",14701.63883="",7837.86295=""),"-",(7837.86295-14701.63883)/3771658.08092*100)</f>
        <v>-0.18198298288814549</v>
      </c>
      <c r="H42" s="53">
        <f>IF(OR(3323881.41153="",8520.38043="",7837.86295=""),"-",(8520.38043-7837.86295)/3323881.41153*100)</f>
        <v>2.053374941814886E-2</v>
      </c>
    </row>
    <row r="43" spans="1:8" s="7" customFormat="1" x14ac:dyDescent="0.25">
      <c r="A43" s="64" t="s">
        <v>262</v>
      </c>
      <c r="B43" s="38" t="s">
        <v>26</v>
      </c>
      <c r="C43" s="34">
        <v>10780.86225</v>
      </c>
      <c r="D43" s="53">
        <f>IF(OR(11019.89168="",10780.86225=""),"-",10780.86225/11019.89168*100)</f>
        <v>97.830927590388072</v>
      </c>
      <c r="E43" s="53">
        <f>IF(11019.89168="","-",11019.89168/3323881.41153*100)</f>
        <v>0.33153684851011234</v>
      </c>
      <c r="F43" s="53">
        <f>IF(10780.86225="","-",10780.86225/4403469.79342*100)</f>
        <v>0.24482652898197657</v>
      </c>
      <c r="G43" s="53">
        <f>IF(OR(3771658.08092="",11117.63274="",11019.89168=""),"-",(11019.89168-11117.63274)/3771658.08092*100)</f>
        <v>-2.5914613123190905E-3</v>
      </c>
      <c r="H43" s="53">
        <f>IF(OR(3323881.41153="",10780.86225="",11019.89168=""),"-",(10780.86225-11019.89168)/3323881.41153*100)</f>
        <v>-7.191274308729745E-3</v>
      </c>
    </row>
    <row r="44" spans="1:8" s="7" customFormat="1" x14ac:dyDescent="0.25">
      <c r="A44" s="64" t="s">
        <v>263</v>
      </c>
      <c r="B44" s="38" t="s">
        <v>164</v>
      </c>
      <c r="C44" s="34">
        <v>33277.362719999997</v>
      </c>
      <c r="D44" s="53">
        <f>IF(OR(26649.27977="",33277.36272=""),"-",33277.36272/26649.27977*100)</f>
        <v>124.87152751295537</v>
      </c>
      <c r="E44" s="53">
        <f>IF(26649.27977="","-",26649.27977/3323881.41153*100)</f>
        <v>0.8017518217574795</v>
      </c>
      <c r="F44" s="53">
        <f>IF(33277.36272="","-",33277.36272/4403469.79342*100)</f>
        <v>0.75570775504638565</v>
      </c>
      <c r="G44" s="53">
        <f>IF(OR(3771658.08092="",25537.43456="",26649.27977=""),"-",(26649.27977-25537.43456)/3771658.08092*100)</f>
        <v>2.9478950269235252E-2</v>
      </c>
      <c r="H44" s="53">
        <f>IF(OR(3323881.41153="",33277.36272="",26649.27977=""),"-",(33277.36272-26649.27977)/3323881.41153*100)</f>
        <v>0.19940792493403234</v>
      </c>
    </row>
    <row r="45" spans="1:8" s="7" customFormat="1" x14ac:dyDescent="0.25">
      <c r="A45" s="64" t="s">
        <v>264</v>
      </c>
      <c r="B45" s="38" t="s">
        <v>165</v>
      </c>
      <c r="C45" s="34">
        <v>204285.66445000001</v>
      </c>
      <c r="D45" s="53">
        <f>IF(OR(153924.31384="",204285.66445=""),"-",204285.66445/153924.31384*100)</f>
        <v>132.71825571517522</v>
      </c>
      <c r="E45" s="53">
        <f>IF(153924.31384="","-",153924.31384/3323881.41153*100)</f>
        <v>4.6308605748105736</v>
      </c>
      <c r="F45" s="53">
        <f>IF(204285.66445="","-",204285.66445/4403469.79342*100)</f>
        <v>4.6391975881215135</v>
      </c>
      <c r="G45" s="53">
        <f>IF(OR(3771658.08092="",159206.7034="",153924.31384=""),"-",(153924.31384-159206.7034)/3771658.08092*100)</f>
        <v>-0.14005483653787371</v>
      </c>
      <c r="H45" s="53">
        <f>IF(OR(3323881.41153="",204285.66445="",153924.31384=""),"-",(204285.66445-153924.31384)/3323881.41153*100)</f>
        <v>1.5151368046797562</v>
      </c>
    </row>
    <row r="46" spans="1:8" s="7" customFormat="1" ht="39.75" customHeight="1" x14ac:dyDescent="0.25">
      <c r="A46" s="64" t="s">
        <v>265</v>
      </c>
      <c r="B46" s="38" t="s">
        <v>166</v>
      </c>
      <c r="C46" s="34">
        <v>88342.747829999993</v>
      </c>
      <c r="D46" s="53">
        <f>IF(OR(69800.44811="",88342.74783=""),"-",88342.74783/69800.44811*100)</f>
        <v>126.56472876904571</v>
      </c>
      <c r="E46" s="53">
        <f>IF(69800.44811="","-",69800.44811/3323881.41153*100)</f>
        <v>2.0999680634776463</v>
      </c>
      <c r="F46" s="53">
        <f>IF(88342.74783="","-",88342.74783/4403469.79342*100)</f>
        <v>2.0062076492953005</v>
      </c>
      <c r="G46" s="53">
        <f>IF(OR(3771658.08092="",71935.07618="",69800.44811=""),"-",(69800.44811-71935.07618)/3771658.08092*100)</f>
        <v>-5.6596542533869296E-2</v>
      </c>
      <c r="H46" s="53">
        <f>IF(OR(3323881.41153="",88342.74783="",69800.44811=""),"-",(88342.74783-69800.44811)/3323881.41153*100)</f>
        <v>0.55785082029941846</v>
      </c>
    </row>
    <row r="47" spans="1:8" s="7" customFormat="1" x14ac:dyDescent="0.25">
      <c r="A47" s="64" t="s">
        <v>266</v>
      </c>
      <c r="B47" s="38" t="s">
        <v>167</v>
      </c>
      <c r="C47" s="34">
        <v>58444.128089999998</v>
      </c>
      <c r="D47" s="53">
        <f>IF(OR(60172.97316="",58444.12809=""),"-",58444.12809/60172.97316*100)</f>
        <v>97.126874443443228</v>
      </c>
      <c r="E47" s="53">
        <f>IF(60172.97316="","-",60172.97316/3323881.41153*100)</f>
        <v>1.8103225028206427</v>
      </c>
      <c r="F47" s="53">
        <f>IF(58444.12809="","-",58444.12809/4403469.79342*100)</f>
        <v>1.3272289996704796</v>
      </c>
      <c r="G47" s="53">
        <f>IF(OR(3771658.08092="",63675.71485="",60172.97316=""),"-",(60172.97316-63675.71485)/3771658.08092*100)</f>
        <v>-9.2870075039930208E-2</v>
      </c>
      <c r="H47" s="53">
        <f>IF(OR(3323881.41153="",58444.12809="",60172.97316=""),"-",(58444.12809-60172.97316)/3323881.41153*100)</f>
        <v>-5.2012838484637947E-2</v>
      </c>
    </row>
    <row r="48" spans="1:8" s="7" customFormat="1" x14ac:dyDescent="0.25">
      <c r="A48" s="64" t="s">
        <v>267</v>
      </c>
      <c r="B48" s="38" t="s">
        <v>27</v>
      </c>
      <c r="C48" s="34">
        <v>44696.711219999997</v>
      </c>
      <c r="D48" s="53">
        <f>IF(OR(29958.09689="",44696.71122=""),"-",44696.71122/29958.09689*100)</f>
        <v>149.19743194675272</v>
      </c>
      <c r="E48" s="53">
        <f>IF(29958.09689="","-",29958.09689/3323881.41153*100)</f>
        <v>0.90129860788896599</v>
      </c>
      <c r="F48" s="53">
        <f>IF(44696.71122="","-",44696.71122/4403469.79342*100)</f>
        <v>1.0150339009203431</v>
      </c>
      <c r="G48" s="53">
        <f>IF(OR(3771658.08092="",35171.30191="",29958.09689=""),"-",(29958.09689-35171.30191)/3771658.08092*100)</f>
        <v>-0.13822050960484658</v>
      </c>
      <c r="H48" s="53">
        <f>IF(OR(3323881.41153="",44696.71122="",29958.09689=""),"-",(44696.71122-29958.09689)/3323881.41153*100)</f>
        <v>0.4434157692532037</v>
      </c>
    </row>
    <row r="49" spans="1:8" s="7" customFormat="1" x14ac:dyDescent="0.25">
      <c r="A49" s="64" t="s">
        <v>268</v>
      </c>
      <c r="B49" s="38" t="s">
        <v>28</v>
      </c>
      <c r="C49" s="34">
        <v>101372.33134</v>
      </c>
      <c r="D49" s="53">
        <f>IF(OR(72964.43251="",101372.33134=""),"-",101372.33134/72964.43251*100)</f>
        <v>138.93389950796453</v>
      </c>
      <c r="E49" s="53">
        <f>IF(72964.43251="","-",72964.43251/3323881.41153*100)</f>
        <v>2.1951575124460918</v>
      </c>
      <c r="F49" s="53">
        <f>IF(101372.33134="","-",101372.33134/4403469.79342*100)</f>
        <v>2.3021012087213193</v>
      </c>
      <c r="G49" s="53">
        <f>IF(OR(3771658.08092="",74663.7612="",72964.43251=""),"-",(72964.43251-74663.7612)/3771658.08092*100)</f>
        <v>-4.5055215863721319E-2</v>
      </c>
      <c r="H49" s="53">
        <f>IF(OR(3323881.41153="",101372.33134="",72964.43251=""),"-",(101372.33134-72964.43251)/3323881.41153*100)</f>
        <v>0.85466041993729547</v>
      </c>
    </row>
    <row r="50" spans="1:8" s="7" customFormat="1" x14ac:dyDescent="0.25">
      <c r="A50" s="64" t="s">
        <v>269</v>
      </c>
      <c r="B50" s="38" t="s">
        <v>168</v>
      </c>
      <c r="C50" s="34">
        <v>119469.26068000001</v>
      </c>
      <c r="D50" s="53">
        <f>IF(OR(103704.71235="",119469.26068=""),"-",119469.26068/103704.71235*100)</f>
        <v>115.20138089462624</v>
      </c>
      <c r="E50" s="53">
        <f>IF(103704.71235="","-",103704.71235/3323881.41153*100)</f>
        <v>3.1199883362344196</v>
      </c>
      <c r="F50" s="53">
        <f>IF(119469.26068="","-",119469.26068/4403469.79342*100)</f>
        <v>2.7130709709538618</v>
      </c>
      <c r="G50" s="53">
        <f>IF(OR(3771658.08092="",98811.24295="",103704.71235=""),"-",(103704.71235-98811.24295)/3771658.08092*100)</f>
        <v>0.12974318708143248</v>
      </c>
      <c r="H50" s="53">
        <f>IF(OR(3323881.41153="",119469.26068="",103704.71235=""),"-",(119469.26068-103704.71235)/3323881.41153*100)</f>
        <v>0.47428131085890635</v>
      </c>
    </row>
    <row r="51" spans="1:8" s="7" customFormat="1" ht="25.5" x14ac:dyDescent="0.25">
      <c r="A51" s="63" t="s">
        <v>270</v>
      </c>
      <c r="B51" s="36" t="s">
        <v>406</v>
      </c>
      <c r="C51" s="33">
        <v>834534.91619999998</v>
      </c>
      <c r="D51" s="51">
        <f>IF(648743.98549="","-",834534.9162/648743.98549*100)</f>
        <v>128.63855925688023</v>
      </c>
      <c r="E51" s="51">
        <f>IF(648743.98549="","-",648743.98549/3323881.41153*100)</f>
        <v>19.517663393152755</v>
      </c>
      <c r="F51" s="51">
        <f>IF(834534.9162="","-",834534.9162/4403469.79342*100)</f>
        <v>18.951757485586153</v>
      </c>
      <c r="G51" s="51">
        <f>IF(3771658.08092="","-",(648743.98549-738112.04216)/3771658.08092*100)</f>
        <v>-2.3694633700253362</v>
      </c>
      <c r="H51" s="51">
        <f>IF(3323881.41153="","-",(834534.9162-648743.98549)/3323881.41153*100)</f>
        <v>5.5895775964064685</v>
      </c>
    </row>
    <row r="52" spans="1:8" s="7" customFormat="1" x14ac:dyDescent="0.25">
      <c r="A52" s="64" t="s">
        <v>271</v>
      </c>
      <c r="B52" s="38" t="s">
        <v>169</v>
      </c>
      <c r="C52" s="34">
        <v>37030.397319999996</v>
      </c>
      <c r="D52" s="53">
        <f>IF(OR(27157.87198="",37030.39732=""),"-",37030.39732/27157.87198*100)</f>
        <v>136.35235244967083</v>
      </c>
      <c r="E52" s="53">
        <f>IF(27157.87198="","-",27157.87198/3323881.41153*100)</f>
        <v>0.81705297565050872</v>
      </c>
      <c r="F52" s="53">
        <f>IF(37030.39732="","-",37030.39732/4403469.79342*100)</f>
        <v>0.84093678524452786</v>
      </c>
      <c r="G52" s="53">
        <f>IF(OR(3771658.08092="",34661.19101="",27157.87198=""),"-",(27157.87198-34661.19101)/3771658.08092*100)</f>
        <v>-0.19893953452349419</v>
      </c>
      <c r="H52" s="53">
        <f>IF(OR(3323881.41153="",37030.39732="",27157.87198=""),"-",(37030.39732-27157.87198)/3323881.41153*100)</f>
        <v>0.2970179774089961</v>
      </c>
    </row>
    <row r="53" spans="1:8" s="7" customFormat="1" x14ac:dyDescent="0.25">
      <c r="A53" s="64" t="s">
        <v>272</v>
      </c>
      <c r="B53" s="38" t="s">
        <v>29</v>
      </c>
      <c r="C53" s="34">
        <v>42480.395839999997</v>
      </c>
      <c r="D53" s="53">
        <f>IF(OR(34592.12777="",42480.39584=""),"-",42480.39584/34592.12777*100)</f>
        <v>122.80365094176453</v>
      </c>
      <c r="E53" s="53">
        <f>IF(34592.12777="","-",34592.12777/3323881.41153*100)</f>
        <v>1.0407148597421549</v>
      </c>
      <c r="F53" s="53">
        <f>IF(42480.39584="","-",42480.39584/4403469.79342*100)</f>
        <v>0.96470278741272264</v>
      </c>
      <c r="G53" s="53">
        <f>IF(OR(3771658.08092="",42043.57775="",34592.12777=""),"-",(34592.12777-42043.57775)/3771658.08092*100)</f>
        <v>-0.19756430249325266</v>
      </c>
      <c r="H53" s="53">
        <f>IF(OR(3323881.41153="",42480.39584="",34592.12777=""),"-",(42480.39584-34592.12777)/3323881.41153*100)</f>
        <v>0.2373209839146754</v>
      </c>
    </row>
    <row r="54" spans="1:8" s="7" customFormat="1" x14ac:dyDescent="0.25">
      <c r="A54" s="64" t="s">
        <v>273</v>
      </c>
      <c r="B54" s="38" t="s">
        <v>170</v>
      </c>
      <c r="C54" s="34">
        <v>70226.088140000007</v>
      </c>
      <c r="D54" s="53">
        <f>IF(OR(53561.85495="",70226.08814=""),"-",70226.08814/53561.85495*100)</f>
        <v>131.11212859516547</v>
      </c>
      <c r="E54" s="53">
        <f>IF(53561.85495="","-",53561.85495/3323881.41153*100)</f>
        <v>1.6114249673349568</v>
      </c>
      <c r="F54" s="53">
        <f>IF(70226.08814="","-",70226.08814/4403469.79342*100)</f>
        <v>1.5947898233555997</v>
      </c>
      <c r="G54" s="53">
        <f>IF(OR(3771658.08092="",59718.17974="",53561.85495=""),"-",(53561.85495-59718.17974)/3771658.08092*100)</f>
        <v>-0.16322595150243099</v>
      </c>
      <c r="H54" s="53">
        <f>IF(OR(3323881.41153="",70226.08814="",53561.85495=""),"-",(70226.08814-53561.85495)/3323881.41153*100)</f>
        <v>0.50134860805185499</v>
      </c>
    </row>
    <row r="55" spans="1:8" s="7" customFormat="1" ht="25.5" x14ac:dyDescent="0.25">
      <c r="A55" s="64" t="s">
        <v>274</v>
      </c>
      <c r="B55" s="38" t="s">
        <v>171</v>
      </c>
      <c r="C55" s="34">
        <v>69567.388739999995</v>
      </c>
      <c r="D55" s="53">
        <f>IF(OR(59420.81133="",69567.38874=""),"-",69567.38874/59420.81133*100)</f>
        <v>117.07579749062977</v>
      </c>
      <c r="E55" s="53">
        <f>IF(59420.81133="","-",59420.81133/3323881.41153*100)</f>
        <v>1.7876934815989203</v>
      </c>
      <c r="F55" s="53">
        <f>IF(69567.38874="","-",69567.38874/4403469.79342*100)</f>
        <v>1.5798311786753456</v>
      </c>
      <c r="G55" s="53">
        <f>IF(OR(3771658.08092="",69387.46492="",59420.81133=""),"-",(59420.81133-69387.46492)/3771658.08092*100)</f>
        <v>-0.26425124908376874</v>
      </c>
      <c r="H55" s="53">
        <f>IF(OR(3323881.41153="",69567.38874="",59420.81133=""),"-",(69567.38874-59420.81133)/3323881.41153*100)</f>
        <v>0.30526291867102068</v>
      </c>
    </row>
    <row r="56" spans="1:8" s="7" customFormat="1" ht="38.25" x14ac:dyDescent="0.25">
      <c r="A56" s="64" t="s">
        <v>275</v>
      </c>
      <c r="B56" s="38" t="s">
        <v>172</v>
      </c>
      <c r="C56" s="34">
        <v>209870.90934000001</v>
      </c>
      <c r="D56" s="53">
        <f>IF(OR(160535.99832="",209870.90934=""),"-",209870.90934/160535.99832*100)</f>
        <v>130.73136962194587</v>
      </c>
      <c r="E56" s="53">
        <f>IF(160535.99832="","-",160535.99832/3323881.41153*100)</f>
        <v>4.8297751467042991</v>
      </c>
      <c r="F56" s="53">
        <f>IF(209870.90934="","-",209870.90934/4403469.79342*100)</f>
        <v>4.766034949384804</v>
      </c>
      <c r="G56" s="53">
        <f>IF(OR(3771658.08092="",181354.38769="",160535.99832=""),"-",(160535.99832-181354.38769)/3771658.08092*100)</f>
        <v>-0.55196915848007821</v>
      </c>
      <c r="H56" s="53">
        <f>IF(OR(3323881.41153="",209870.90934="",160535.99832=""),"-",(209870.90934-160535.99832)/3323881.41153*100)</f>
        <v>1.4842560522425763</v>
      </c>
    </row>
    <row r="57" spans="1:8" s="7" customFormat="1" ht="16.5" customHeight="1" x14ac:dyDescent="0.25">
      <c r="A57" s="64" t="s">
        <v>276</v>
      </c>
      <c r="B57" s="38" t="s">
        <v>30</v>
      </c>
      <c r="C57" s="34">
        <v>105482.71755</v>
      </c>
      <c r="D57" s="53">
        <f>IF(OR(86836.83034="",105482.71755=""),"-",105482.71755/86836.83034*100)</f>
        <v>121.47232589788699</v>
      </c>
      <c r="E57" s="53">
        <f>IF(86836.83034="","-",86836.83034/3323881.41153*100)</f>
        <v>2.612512890465263</v>
      </c>
      <c r="F57" s="53">
        <f>IF(105482.71755="","-",105482.71755/4403469.79342*100)</f>
        <v>2.3954454668366365</v>
      </c>
      <c r="G57" s="53">
        <f>IF(OR(3771658.08092="",84458.46204="",86836.83034=""),"-",(86836.83034-84458.46204)/3771658.08092*100)</f>
        <v>6.3058958393700931E-2</v>
      </c>
      <c r="H57" s="53">
        <f>IF(OR(3323881.41153="",105482.71755="",86836.83034=""),"-",(105482.71755-86836.83034)/3323881.41153*100)</f>
        <v>0.56096728196500856</v>
      </c>
    </row>
    <row r="58" spans="1:8" s="7" customFormat="1" ht="16.5" customHeight="1" x14ac:dyDescent="0.25">
      <c r="A58" s="64" t="s">
        <v>277</v>
      </c>
      <c r="B58" s="38" t="s">
        <v>173</v>
      </c>
      <c r="C58" s="34">
        <v>111467.74980999999</v>
      </c>
      <c r="D58" s="53">
        <f>IF(OR(84744.59718="",111467.74981=""),"-",111467.74981/84744.59718*100)</f>
        <v>131.53375379581925</v>
      </c>
      <c r="E58" s="53">
        <f>IF(84744.59718="","-",84744.59718/3323881.41153*100)</f>
        <v>2.5495674089344726</v>
      </c>
      <c r="F58" s="53">
        <f>IF(111467.74981="","-",111467.74981/4403469.79342*100)</f>
        <v>2.5313617451529611</v>
      </c>
      <c r="G58" s="53">
        <f>IF(OR(3771658.08092="",90041.39331="",84744.59718=""),"-",(84744.59718-90041.39331)/3771658.08092*100)</f>
        <v>-0.14043680567958544</v>
      </c>
      <c r="H58" s="53">
        <f>IF(OR(3323881.41153="",111467.74981="",84744.59718=""),"-",(111467.74981-84744.59718)/3323881.41153*100)</f>
        <v>0.80397430959184524</v>
      </c>
    </row>
    <row r="59" spans="1:8" s="7" customFormat="1" ht="15.75" customHeight="1" x14ac:dyDescent="0.25">
      <c r="A59" s="64" t="s">
        <v>278</v>
      </c>
      <c r="B59" s="38" t="s">
        <v>31</v>
      </c>
      <c r="C59" s="34">
        <v>51055.877699999997</v>
      </c>
      <c r="D59" s="53">
        <f>IF(OR(40298.82031="",51055.8777=""),"-",51055.8777/40298.82031*100)</f>
        <v>126.69323148233862</v>
      </c>
      <c r="E59" s="53">
        <f>IF(40298.82031="","-",40298.82031/3323881.41153*100)</f>
        <v>1.212402469300198</v>
      </c>
      <c r="F59" s="53">
        <f>IF(51055.8777="","-",51055.8777/4403469.79342*100)</f>
        <v>1.1594465295592939</v>
      </c>
      <c r="G59" s="53">
        <f>IF(OR(3771658.08092="",63100.43913="",40298.82031=""),"-",(40298.82031-63100.43913)/3771658.08092*100)</f>
        <v>-0.60455158794346808</v>
      </c>
      <c r="H59" s="53">
        <f>IF(OR(3323881.41153="",51055.8777="",40298.82031=""),"-",(51055.8777-40298.82031)/3323881.41153*100)</f>
        <v>0.32362939762789145</v>
      </c>
    </row>
    <row r="60" spans="1:8" s="7" customFormat="1" x14ac:dyDescent="0.25">
      <c r="A60" s="64" t="s">
        <v>279</v>
      </c>
      <c r="B60" s="38" t="s">
        <v>32</v>
      </c>
      <c r="C60" s="34">
        <v>137353.39176</v>
      </c>
      <c r="D60" s="53">
        <f>IF(OR(101595.07331="",137353.39176=""),"-",137353.39176/101595.07331*100)</f>
        <v>135.19690205930516</v>
      </c>
      <c r="E60" s="53">
        <f>IF(101595.07331="","-",101595.07331/3323881.41153*100)</f>
        <v>3.0565191934219835</v>
      </c>
      <c r="F60" s="53">
        <f>IF(137353.39176="","-",137353.39176/4403469.79342*100)</f>
        <v>3.1192082199642632</v>
      </c>
      <c r="G60" s="53">
        <f>IF(OR(3771658.08092="",113346.94657="",101595.07331=""),"-",(101595.07331-113346.94657)/3771658.08092*100)</f>
        <v>-0.31158373871295941</v>
      </c>
      <c r="H60" s="53">
        <f>IF(OR(3323881.41153="",137353.39176="",101595.07331=""),"-",(137353.39176-101595.07331)/3323881.41153*100)</f>
        <v>1.0758000669326</v>
      </c>
    </row>
    <row r="61" spans="1:8" s="7" customFormat="1" ht="25.5" x14ac:dyDescent="0.25">
      <c r="A61" s="63" t="s">
        <v>280</v>
      </c>
      <c r="B61" s="36" t="s">
        <v>174</v>
      </c>
      <c r="C61" s="33">
        <v>1126466.9496800001</v>
      </c>
      <c r="D61" s="51">
        <f>IF(836043.51562="","-",1126466.94968/836043.51562*100)</f>
        <v>134.73783704244454</v>
      </c>
      <c r="E61" s="51">
        <f>IF(836043.51562="","-",836043.51562/3323881.41153*100)</f>
        <v>25.152627669564321</v>
      </c>
      <c r="F61" s="51">
        <f>IF(1126466.94968="","-",1126466.94968/4403469.79342*100)</f>
        <v>25.581348403099135</v>
      </c>
      <c r="G61" s="51">
        <f>IF(3771658.08092="","-",(836043.51562-915321.26773)/3771658.08092*100)</f>
        <v>-2.1019336962448678</v>
      </c>
      <c r="H61" s="51">
        <f>IF(3323881.41153="","-",(1126466.94968-836043.51562)/3323881.41153*100)</f>
        <v>8.7374788117460742</v>
      </c>
    </row>
    <row r="62" spans="1:8" s="7" customFormat="1" ht="25.5" x14ac:dyDescent="0.25">
      <c r="A62" s="64" t="s">
        <v>281</v>
      </c>
      <c r="B62" s="38" t="s">
        <v>175</v>
      </c>
      <c r="C62" s="34">
        <v>18457.352309999998</v>
      </c>
      <c r="D62" s="53" t="s">
        <v>103</v>
      </c>
      <c r="E62" s="53">
        <f>IF(10552.89962="","-",10552.89962/3323881.41153*100)</f>
        <v>0.31748724799247408</v>
      </c>
      <c r="F62" s="53">
        <f>IF(18457.35231="","-",18457.35231/4403469.79342*100)</f>
        <v>0.41915473878304738</v>
      </c>
      <c r="G62" s="53">
        <f>IF(OR(3771658.08092="",14085.90324="",10552.89962=""),"-",(10552.89962-14085.90324)/3771658.08092*100)</f>
        <v>-9.3672425872130302E-2</v>
      </c>
      <c r="H62" s="53">
        <f>IF(OR(3323881.41153="",18457.35231="",10552.89962=""),"-",(18457.35231-10552.89962)/3323881.41153*100)</f>
        <v>0.23780790321161119</v>
      </c>
    </row>
    <row r="63" spans="1:8" s="7" customFormat="1" ht="27" customHeight="1" x14ac:dyDescent="0.25">
      <c r="A63" s="64" t="s">
        <v>282</v>
      </c>
      <c r="B63" s="38" t="s">
        <v>176</v>
      </c>
      <c r="C63" s="34">
        <v>148093.07370000001</v>
      </c>
      <c r="D63" s="53">
        <f>IF(OR(106596.05982="",148093.0737=""),"-",148093.0737/106596.05982*100)</f>
        <v>138.92921928828571</v>
      </c>
      <c r="E63" s="53">
        <f>IF(106596.05982="","-",106596.05982/3323881.41153*100)</f>
        <v>3.2069754188652979</v>
      </c>
      <c r="F63" s="53">
        <f>IF(148093.0737="","-",148093.0737/4403469.79342*100)</f>
        <v>3.3630995702818711</v>
      </c>
      <c r="G63" s="53">
        <f>IF(OR(3771658.08092="",135205.08947="",106596.05982=""),"-",(106596.05982-135205.08947)/3771658.08092*100)</f>
        <v>-0.75852659589496951</v>
      </c>
      <c r="H63" s="53">
        <f>IF(OR(3323881.41153="",148093.0737="",106596.05982=""),"-",(148093.0737-106596.05982)/3323881.41153*100)</f>
        <v>1.2484504933314911</v>
      </c>
    </row>
    <row r="64" spans="1:8" s="7" customFormat="1" ht="25.5" x14ac:dyDescent="0.25">
      <c r="A64" s="64" t="s">
        <v>283</v>
      </c>
      <c r="B64" s="38" t="s">
        <v>177</v>
      </c>
      <c r="C64" s="34">
        <v>12049.46441</v>
      </c>
      <c r="D64" s="53">
        <f>IF(OR(9049.23691="",12049.46441=""),"-",12049.46441/9049.23691*100)</f>
        <v>133.15448064670019</v>
      </c>
      <c r="E64" s="53">
        <f>IF(9049.23691="","-",9049.23691/3323881.41153*100)</f>
        <v>0.27224909043414358</v>
      </c>
      <c r="F64" s="53">
        <f>IF(12049.46441="","-",12049.46441/4403469.79342*100)</f>
        <v>0.27363567766503655</v>
      </c>
      <c r="G64" s="53">
        <f>IF(OR(3771658.08092="",7149.03523="",9049.23691=""),"-",(9049.23691-7149.03523)/3771658.08092*100)</f>
        <v>5.0381069525170033E-2</v>
      </c>
      <c r="H64" s="53">
        <f>IF(OR(3323881.41153="",12049.46441="",9049.23691=""),"-",(12049.46441-9049.23691)/3323881.41153*100)</f>
        <v>9.0262771998805461E-2</v>
      </c>
    </row>
    <row r="65" spans="1:8" s="7" customFormat="1" ht="27.75" customHeight="1" x14ac:dyDescent="0.25">
      <c r="A65" s="64" t="s">
        <v>284</v>
      </c>
      <c r="B65" s="38" t="s">
        <v>178</v>
      </c>
      <c r="C65" s="34">
        <v>160151.05997</v>
      </c>
      <c r="D65" s="53">
        <f>IF(OR(129589.23896="",160151.05997=""),"-",160151.05997/129589.23896*100)</f>
        <v>123.58361022510013</v>
      </c>
      <c r="E65" s="53">
        <f>IF(129589.23896="","-",129589.23896/3323881.41153*100)</f>
        <v>3.8987323227139257</v>
      </c>
      <c r="F65" s="53">
        <f>IF(160151.05997="","-",160151.05997/4403469.79342*100)</f>
        <v>3.636928773970697</v>
      </c>
      <c r="G65" s="53">
        <f>IF(OR(3771658.08092="",126346.86565="",129589.23896=""),"-",(129589.23896-126346.86565)/3771658.08092*100)</f>
        <v>8.5966788092548957E-2</v>
      </c>
      <c r="H65" s="53">
        <f>IF(OR(3323881.41153="",160151.05997="",129589.23896=""),"-",(160151.05997-129589.23896)/3323881.41153*100)</f>
        <v>0.91946183470884513</v>
      </c>
    </row>
    <row r="66" spans="1:8" s="7" customFormat="1" ht="27" customHeight="1" x14ac:dyDescent="0.25">
      <c r="A66" s="64" t="s">
        <v>285</v>
      </c>
      <c r="B66" s="38" t="s">
        <v>179</v>
      </c>
      <c r="C66" s="34">
        <v>48664.229229999997</v>
      </c>
      <c r="D66" s="53" t="s">
        <v>104</v>
      </c>
      <c r="E66" s="53">
        <f>IF(30715.87948="","-",30715.87948/3323881.41153*100)</f>
        <v>0.92409673141321003</v>
      </c>
      <c r="F66" s="53">
        <f>IF(48664.22923="","-",48664.22923/4403469.79342*100)</f>
        <v>1.1051337130259824</v>
      </c>
      <c r="G66" s="53">
        <f>IF(OR(3771658.08092="",28855.74785="",30715.87948=""),"-",(30715.87948-28855.74785)/3771658.08092*100)</f>
        <v>4.9318670730255275E-2</v>
      </c>
      <c r="H66" s="53">
        <f>IF(OR(3323881.41153="",48664.22923="",30715.87948=""),"-",(48664.22923-30715.87948)/3323881.41153*100)</f>
        <v>0.53998165180442703</v>
      </c>
    </row>
    <row r="67" spans="1:8" s="7" customFormat="1" ht="41.25" customHeight="1" x14ac:dyDescent="0.25">
      <c r="A67" s="64" t="s">
        <v>286</v>
      </c>
      <c r="B67" s="38" t="s">
        <v>180</v>
      </c>
      <c r="C67" s="34">
        <v>118237.38716</v>
      </c>
      <c r="D67" s="53">
        <f>IF(OR(94940.90339="",118237.38716=""),"-",118237.38716/94940.90339*100)</f>
        <v>124.53787876264697</v>
      </c>
      <c r="E67" s="53">
        <f>IF(94940.90339="","-",94940.90339/3323881.41153*100)</f>
        <v>2.8563264339294889</v>
      </c>
      <c r="F67" s="53">
        <f>IF(118237.38716="","-",118237.38716/4403469.79342*100)</f>
        <v>2.6850959063391171</v>
      </c>
      <c r="G67" s="53">
        <f>IF(OR(3771658.08092="",104317.97775="",94940.90339=""),"-",(94940.90339-104317.97775)/3771658.08092*100)</f>
        <v>-0.24861941774193647</v>
      </c>
      <c r="H67" s="53">
        <f>IF(OR(3323881.41153="",118237.38716="",94940.90339=""),"-",(118237.38716-94940.90339)/3323881.41153*100)</f>
        <v>0.70088191742305561</v>
      </c>
    </row>
    <row r="68" spans="1:8" s="7" customFormat="1" ht="51" x14ac:dyDescent="0.25">
      <c r="A68" s="64" t="s">
        <v>287</v>
      </c>
      <c r="B68" s="38" t="s">
        <v>181</v>
      </c>
      <c r="C68" s="34">
        <v>340733.50728999998</v>
      </c>
      <c r="D68" s="53">
        <f>IF(OR(234042.50064="",340733.50729=""),"-",340733.50729/234042.50064*100)</f>
        <v>145.58616762265336</v>
      </c>
      <c r="E68" s="53">
        <f>IF(234042.50064="","-",234042.50064/3323881.41153*100)</f>
        <v>7.0412409969905942</v>
      </c>
      <c r="F68" s="53">
        <f>IF(340733.50729="","-",340733.50729/4403469.79342*100)</f>
        <v>7.7378413677130231</v>
      </c>
      <c r="G68" s="53">
        <f>IF(OR(3771658.08092="",281489.209="",234042.50064=""),"-",(234042.50064-281489.209)/3771658.08092*100)</f>
        <v>-1.2579801069461349</v>
      </c>
      <c r="H68" s="53">
        <f>IF(OR(3323881.41153="",340733.50729="",234042.50064=""),"-",(340733.50729-234042.50064)/3323881.41153*100)</f>
        <v>3.209831923603121</v>
      </c>
    </row>
    <row r="69" spans="1:8" s="7" customFormat="1" ht="25.5" x14ac:dyDescent="0.25">
      <c r="A69" s="64" t="s">
        <v>288</v>
      </c>
      <c r="B69" s="38" t="s">
        <v>182</v>
      </c>
      <c r="C69" s="34">
        <v>277627.82725999999</v>
      </c>
      <c r="D69" s="53" t="s">
        <v>104</v>
      </c>
      <c r="E69" s="53">
        <f>IF(168636.889="","-",168636.889/3323881.41153*100)</f>
        <v>5.0734929475830945</v>
      </c>
      <c r="F69" s="53">
        <f>IF(277627.82726="","-",277627.82726/4403469.79342*100)</f>
        <v>6.3047514865402876</v>
      </c>
      <c r="G69" s="53">
        <f>IF(OR(3771658.08092="",213621.69519="",168636.889=""),"-",(168636.889-213621.69519)/3771658.08092*100)</f>
        <v>-1.1927063701126137</v>
      </c>
      <c r="H69" s="53">
        <f>IF(OR(3323881.41153="",277627.82726="",168636.889=""),"-",(277627.82726-168636.889)/3323881.41153*100)</f>
        <v>3.2790260772218973</v>
      </c>
    </row>
    <row r="70" spans="1:8" s="7" customFormat="1" x14ac:dyDescent="0.25">
      <c r="A70" s="64" t="s">
        <v>289</v>
      </c>
      <c r="B70" s="38" t="s">
        <v>33</v>
      </c>
      <c r="C70" s="34">
        <v>2453.04835</v>
      </c>
      <c r="D70" s="53">
        <f>IF(OR(51919.9078="",2453.04835=""),"-",2453.04835/51919.9078*100)</f>
        <v>4.7246777853484554</v>
      </c>
      <c r="E70" s="53">
        <f>IF(51919.9078="","-",51919.9078/3323881.41153*100)</f>
        <v>1.562026479642094</v>
      </c>
      <c r="F70" s="53">
        <f>IF(2453.04835="","-",2453.04835/4403469.79342*100)</f>
        <v>5.5707168780072744E-2</v>
      </c>
      <c r="G70" s="53">
        <f>IF(OR(3771658.08092="",4249.74435="",51919.9078=""),"-",(51919.9078-4249.74435)/3771658.08092*100)</f>
        <v>1.2639046919749437</v>
      </c>
      <c r="H70" s="53">
        <f>IF(OR(3323881.41153="",2453.04835="",51919.9078=""),"-",(2453.04835-51919.9078)/3323881.41153*100)</f>
        <v>-1.4882257615571834</v>
      </c>
    </row>
    <row r="71" spans="1:8" s="7" customFormat="1" x14ac:dyDescent="0.25">
      <c r="A71" s="63" t="s">
        <v>290</v>
      </c>
      <c r="B71" s="36" t="s">
        <v>34</v>
      </c>
      <c r="C71" s="33">
        <v>510274.48652999999</v>
      </c>
      <c r="D71" s="51" t="s">
        <v>224</v>
      </c>
      <c r="E71" s="51">
        <f>IF(339852.78309="","-",339852.78309/3323881.41153*100)</f>
        <v>10.224576060719444</v>
      </c>
      <c r="F71" s="51">
        <f>IF(510274.48653="","-",510274.48653/4403469.79342*100)</f>
        <v>11.588009239724796</v>
      </c>
      <c r="G71" s="51">
        <f>IF(3771658.08092="","-",(339852.78309-402790.00808)/3771658.08092*100)</f>
        <v>-1.6686885088652597</v>
      </c>
      <c r="H71" s="51">
        <f>IF(3323881.41153="","-",(510274.48653-339852.78309)/3323881.41153*100)</f>
        <v>5.1271896418697445</v>
      </c>
    </row>
    <row r="72" spans="1:8" ht="38.25" x14ac:dyDescent="0.25">
      <c r="A72" s="64" t="s">
        <v>291</v>
      </c>
      <c r="B72" s="38" t="s">
        <v>208</v>
      </c>
      <c r="C72" s="34">
        <v>43289.772700000001</v>
      </c>
      <c r="D72" s="53">
        <f>IF(OR(29023.84134="",43289.7727=""),"-",43289.7727/29023.84134*100)</f>
        <v>149.15245777732054</v>
      </c>
      <c r="E72" s="53">
        <f>IF(29023.84134="","-",29023.84134/3323881.41153*100)</f>
        <v>0.87319124079821409</v>
      </c>
      <c r="F72" s="53">
        <f>IF(43289.7727="","-",43289.7727/4403469.79342*100)</f>
        <v>0.98308322143339966</v>
      </c>
      <c r="G72" s="53">
        <f>IF(OR(3771658.08092="",29536.12427="",29023.84134=""),"-",(29023.84134-29536.12427)/3771658.08092*100)</f>
        <v>-1.3582432951479069E-2</v>
      </c>
      <c r="H72" s="53">
        <f>IF(OR(3323881.41153="",43289.7727="",29023.84134=""),"-",(43289.7727-29023.84134)/3323881.41153*100)</f>
        <v>0.42919495594860346</v>
      </c>
    </row>
    <row r="73" spans="1:8" x14ac:dyDescent="0.25">
      <c r="A73" s="64" t="s">
        <v>292</v>
      </c>
      <c r="B73" s="38" t="s">
        <v>183</v>
      </c>
      <c r="C73" s="34">
        <v>45492.992509999996</v>
      </c>
      <c r="D73" s="53">
        <f>IF(OR(31601.94214="",45492.99251=""),"-",45492.99251/31601.94214*100)</f>
        <v>143.95631859732276</v>
      </c>
      <c r="E73" s="53">
        <f>IF(31601.94214="","-",31601.94214/3323881.41153*100)</f>
        <v>0.95075420050721537</v>
      </c>
      <c r="F73" s="53">
        <f>IF(45492.99251="","-",45492.99251/4403469.79342*100)</f>
        <v>1.0331169428703495</v>
      </c>
      <c r="G73" s="53">
        <f>IF(OR(3771658.08092="",35894.20724="",31601.94214=""),"-",(31601.94214-35894.20724)/3771658.08092*100)</f>
        <v>-0.11380313400394489</v>
      </c>
      <c r="H73" s="53">
        <f>IF(OR(3323881.41153="",45492.99251="",31601.94214=""),"-",(45492.99251-31601.94214)/3323881.41153*100)</f>
        <v>0.41791654545238044</v>
      </c>
    </row>
    <row r="74" spans="1:8" x14ac:dyDescent="0.25">
      <c r="A74" s="64" t="s">
        <v>293</v>
      </c>
      <c r="B74" s="38" t="s">
        <v>184</v>
      </c>
      <c r="C74" s="34">
        <v>7948.1831499999998</v>
      </c>
      <c r="D74" s="53">
        <f>IF(OR(5333.83659="",7948.18315=""),"-",7948.18315/5333.83659*100)</f>
        <v>149.01437297313228</v>
      </c>
      <c r="E74" s="53">
        <f>IF(5333.83659="","-",5333.83659/3323881.41153*100)</f>
        <v>0.16047012301635655</v>
      </c>
      <c r="F74" s="53">
        <f>IF(7948.18315="","-",7948.18315/4403469.79342*100)</f>
        <v>0.18049818717677549</v>
      </c>
      <c r="G74" s="53">
        <f>IF(OR(3771658.08092="",6311.92244="",5333.83659=""),"-",(5333.83659-6311.92244)/3771658.08092*100)</f>
        <v>-2.5932516389752417E-2</v>
      </c>
      <c r="H74" s="53">
        <f>IF(OR(3323881.41153="",7948.18315="",5333.83659=""),"-",(7948.18315-5333.83659)/3323881.41153*100)</f>
        <v>7.8653424605681171E-2</v>
      </c>
    </row>
    <row r="75" spans="1:8" x14ac:dyDescent="0.25">
      <c r="A75" s="64" t="s">
        <v>294</v>
      </c>
      <c r="B75" s="38" t="s">
        <v>185</v>
      </c>
      <c r="C75" s="34">
        <v>121096.34161</v>
      </c>
      <c r="D75" s="53" t="s">
        <v>104</v>
      </c>
      <c r="E75" s="53">
        <f>IF(76436.12884="","-",76436.12884/3323881.41153*100)</f>
        <v>2.2996045699721894</v>
      </c>
      <c r="F75" s="53">
        <f>IF(121096.34161="","-",121096.34161/4403469.79342*100)</f>
        <v>2.750020944641232</v>
      </c>
      <c r="G75" s="53">
        <f>IF(OR(3771658.08092="",91556.31017="",76436.12884=""),"-",(76436.12884-91556.31017)/3771658.08092*100)</f>
        <v>-0.40088950285524844</v>
      </c>
      <c r="H75" s="53">
        <f>IF(OR(3323881.41153="",121096.34161="",76436.12884=""),"-",(121096.34161-76436.12884)/3323881.41153*100)</f>
        <v>1.3436163099887088</v>
      </c>
    </row>
    <row r="76" spans="1:8" x14ac:dyDescent="0.25">
      <c r="A76" s="64" t="s">
        <v>295</v>
      </c>
      <c r="B76" s="38" t="s">
        <v>186</v>
      </c>
      <c r="C76" s="34">
        <v>32569.538110000001</v>
      </c>
      <c r="D76" s="53">
        <f>IF(OR(23999.17294="",32569.53811=""),"-",32569.53811/23999.17294*100)</f>
        <v>135.71108550876588</v>
      </c>
      <c r="E76" s="53">
        <f>IF(23999.17294="","-",23999.17294/3323881.41153*100)</f>
        <v>0.72202253837188057</v>
      </c>
      <c r="F76" s="53">
        <f>IF(32569.53811="","-",32569.53811/4403469.79342*100)</f>
        <v>0.73963350807283579</v>
      </c>
      <c r="G76" s="53">
        <f>IF(OR(3771658.08092="",31032.93703="",23999.17294=""),"-",(23999.17294-31032.93703)/3771658.08092*100)</f>
        <v>-0.18648997176022628</v>
      </c>
      <c r="H76" s="53">
        <f>IF(OR(3323881.41153="",32569.53811="",23999.17294=""),"-",(32569.53811-23999.17294)/3323881.41153*100)</f>
        <v>0.25784208607054415</v>
      </c>
    </row>
    <row r="77" spans="1:8" ht="25.5" x14ac:dyDescent="0.25">
      <c r="A77" s="64" t="s">
        <v>296</v>
      </c>
      <c r="B77" s="38" t="s">
        <v>209</v>
      </c>
      <c r="C77" s="34">
        <v>61681.112699999998</v>
      </c>
      <c r="D77" s="53" t="s">
        <v>212</v>
      </c>
      <c r="E77" s="53">
        <f>IF(34784.07402="","-",34784.07402/3323881.41153*100)</f>
        <v>1.0464896220226072</v>
      </c>
      <c r="F77" s="53">
        <f>IF(61681.1127="","-",61681.1127/4403469.79342*100)</f>
        <v>1.4007388626162172</v>
      </c>
      <c r="G77" s="53">
        <f>IF(OR(3771658.08092="",41954.95517="",34784.07402=""),"-",(34784.07402-41954.95517)/3771658.08092*100)</f>
        <v>-0.19012543014638397</v>
      </c>
      <c r="H77" s="53">
        <f>IF(OR(3323881.41153="",61681.1127="",34784.07402=""),"-",(61681.1127-34784.07402)/3323881.41153*100)</f>
        <v>0.80920572517113809</v>
      </c>
    </row>
    <row r="78" spans="1:8" ht="25.5" x14ac:dyDescent="0.25">
      <c r="A78" s="64" t="s">
        <v>297</v>
      </c>
      <c r="B78" s="38" t="s">
        <v>187</v>
      </c>
      <c r="C78" s="34">
        <v>11287.77536</v>
      </c>
      <c r="D78" s="53" t="s">
        <v>103</v>
      </c>
      <c r="E78" s="53">
        <f>IF(6646.50326="","-",6646.50326/3323881.41153*100)</f>
        <v>0.19996210565588679</v>
      </c>
      <c r="F78" s="53">
        <f>IF(11287.77536="","-",11287.77536/4403469.79342*100)</f>
        <v>0.2563382034973205</v>
      </c>
      <c r="G78" s="53">
        <f>IF(OR(3771658.08092="",7713.29996="",6646.50326=""),"-",(6646.50326-7713.29996)/3771658.08092*100)</f>
        <v>-2.8284554885732959E-2</v>
      </c>
      <c r="H78" s="53">
        <f>IF(OR(3323881.41153="",11287.77536="",6646.50326=""),"-",(11287.77536-6646.50326)/3323881.41153*100)</f>
        <v>0.13963410619585245</v>
      </c>
    </row>
    <row r="79" spans="1:8" x14ac:dyDescent="0.25">
      <c r="A79" s="64" t="s">
        <v>298</v>
      </c>
      <c r="B79" s="38" t="s">
        <v>35</v>
      </c>
      <c r="C79" s="34">
        <v>186908.77038999999</v>
      </c>
      <c r="D79" s="53">
        <f>IF(OR(132027.28396="",186908.77039=""),"-",186908.77039/132027.28396*100)</f>
        <v>141.56829163177159</v>
      </c>
      <c r="E79" s="53">
        <f>IF(132027.28396="","-",132027.28396/3323881.41153*100)</f>
        <v>3.9720816603750957</v>
      </c>
      <c r="F79" s="53">
        <f>IF(186908.77039="","-",186908.77039/4403469.79342*100)</f>
        <v>4.244579369416666</v>
      </c>
      <c r="G79" s="53">
        <f>IF(OR(3771658.08092="",158790.2518="",132027.28396=""),"-",(132027.28396-158790.2518)/3771658.08092*100)</f>
        <v>-0.70958096587249109</v>
      </c>
      <c r="H79" s="53">
        <f>IF(OR(3323881.41153="",186908.77039="",132027.28396=""),"-",(186908.77039-132027.28396)/3323881.41153*100)</f>
        <v>1.6511264884368346</v>
      </c>
    </row>
    <row r="80" spans="1:8" ht="25.5" x14ac:dyDescent="0.25">
      <c r="A80" s="46" t="s">
        <v>302</v>
      </c>
      <c r="B80" s="60" t="s">
        <v>188</v>
      </c>
      <c r="C80" s="61">
        <v>141.80982</v>
      </c>
      <c r="D80" s="62">
        <f>IF(178.88403="","-",141.80982/178.88403*100)</f>
        <v>79.27472340599661</v>
      </c>
      <c r="E80" s="62">
        <f>IF(178.88403="","-",178.88403/3323881.41153*100)</f>
        <v>5.3817813529532252E-3</v>
      </c>
      <c r="F80" s="62">
        <f>IF(141.80982="","-",141.80982/4403469.79342*100)</f>
        <v>3.2204108726237445E-3</v>
      </c>
      <c r="G80" s="62">
        <f>IF(3771658.08092="","-",(178.88403-141.89918)/3771658.08092*100)</f>
        <v>9.8059922735569066E-4</v>
      </c>
      <c r="H80" s="62">
        <f>IF(3323881.41153="","-",(141.80982-178.88403)/3323881.41153*100)</f>
        <v>-1.1153890710840534E-3</v>
      </c>
    </row>
    <row r="81" spans="1:5" x14ac:dyDescent="0.25">
      <c r="A81" s="42" t="s">
        <v>305</v>
      </c>
      <c r="B81" s="40"/>
      <c r="C81" s="40"/>
      <c r="D81" s="40"/>
      <c r="E81" s="40"/>
    </row>
    <row r="82" spans="1:5" x14ac:dyDescent="0.25">
      <c r="A82" s="99" t="s">
        <v>319</v>
      </c>
      <c r="B82" s="99"/>
      <c r="C82" s="99"/>
      <c r="D82" s="99"/>
      <c r="E82" s="99"/>
    </row>
  </sheetData>
  <mergeCells count="12">
    <mergeCell ref="A82:E82"/>
    <mergeCell ref="A4:A6"/>
    <mergeCell ref="B1:H1"/>
    <mergeCell ref="B2:H2"/>
    <mergeCell ref="B4:B6"/>
    <mergeCell ref="C4:D4"/>
    <mergeCell ref="E4:F4"/>
    <mergeCell ref="G4:H4"/>
    <mergeCell ref="C5:C6"/>
    <mergeCell ref="D5:D6"/>
    <mergeCell ref="E5:F5"/>
    <mergeCell ref="G5:H5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1"/>
  <sheetViews>
    <sheetView zoomScale="99" zoomScaleNormal="99" workbookViewId="0">
      <selection activeCell="I78" sqref="I78"/>
    </sheetView>
  </sheetViews>
  <sheetFormatPr defaultRowHeight="15.75" x14ac:dyDescent="0.25"/>
  <cols>
    <col min="1" max="1" width="7" customWidth="1"/>
    <col min="2" max="2" width="35.625" customWidth="1"/>
    <col min="3" max="4" width="13.5" customWidth="1"/>
    <col min="5" max="5" width="17.375" customWidth="1"/>
    <col min="7" max="7" width="12.125" bestFit="1" customWidth="1"/>
  </cols>
  <sheetData>
    <row r="1" spans="1:7" x14ac:dyDescent="0.25">
      <c r="B1" s="113" t="s">
        <v>142</v>
      </c>
      <c r="C1" s="113"/>
      <c r="D1" s="113"/>
      <c r="E1" s="113"/>
    </row>
    <row r="2" spans="1:7" x14ac:dyDescent="0.25">
      <c r="B2" s="113" t="s">
        <v>304</v>
      </c>
      <c r="C2" s="113"/>
      <c r="D2" s="113"/>
      <c r="E2" s="113"/>
    </row>
    <row r="3" spans="1:7" x14ac:dyDescent="0.25">
      <c r="B3" s="5"/>
    </row>
    <row r="4" spans="1:7" x14ac:dyDescent="0.25">
      <c r="A4" s="114" t="s">
        <v>303</v>
      </c>
      <c r="B4" s="114"/>
      <c r="C4" s="118" t="s">
        <v>367</v>
      </c>
      <c r="D4" s="119"/>
      <c r="E4" s="116" t="s">
        <v>369</v>
      </c>
      <c r="F4" s="1"/>
    </row>
    <row r="5" spans="1:7" ht="21.75" customHeight="1" x14ac:dyDescent="0.25">
      <c r="A5" s="115"/>
      <c r="B5" s="115"/>
      <c r="C5" s="18">
        <v>2020</v>
      </c>
      <c r="D5" s="17">
        <v>2021</v>
      </c>
      <c r="E5" s="117"/>
      <c r="F5" s="1"/>
    </row>
    <row r="6" spans="1:7" ht="28.5" x14ac:dyDescent="0.25">
      <c r="A6" s="39"/>
      <c r="B6" s="59" t="s">
        <v>315</v>
      </c>
      <c r="C6" s="48">
        <v>-1798664.9568400001</v>
      </c>
      <c r="D6" s="48">
        <v>-2594736.3000400001</v>
      </c>
      <c r="E6" s="92">
        <f>IF(-1798664.95684="","-",-2594736.30004/-1798664.95684*100)</f>
        <v>144.25901222863567</v>
      </c>
      <c r="G6" s="15"/>
    </row>
    <row r="7" spans="1:7" x14ac:dyDescent="0.25">
      <c r="A7" s="39"/>
      <c r="B7" s="47" t="s">
        <v>127</v>
      </c>
      <c r="C7" s="31"/>
      <c r="D7" s="32"/>
      <c r="E7" s="30"/>
    </row>
    <row r="8" spans="1:7" x14ac:dyDescent="0.25">
      <c r="A8" s="35" t="s">
        <v>230</v>
      </c>
      <c r="B8" s="36" t="s">
        <v>189</v>
      </c>
      <c r="C8" s="33">
        <v>-35950.235059999999</v>
      </c>
      <c r="D8" s="33">
        <v>-115014.11117</v>
      </c>
      <c r="E8" s="94" t="s">
        <v>393</v>
      </c>
    </row>
    <row r="9" spans="1:7" x14ac:dyDescent="0.25">
      <c r="A9" s="37" t="s">
        <v>231</v>
      </c>
      <c r="B9" s="38" t="s">
        <v>23</v>
      </c>
      <c r="C9" s="34">
        <v>2926.2806999999998</v>
      </c>
      <c r="D9" s="34">
        <v>2904.97147</v>
      </c>
      <c r="E9" s="95">
        <f>IF(OR(2926.2807="",2904.97147="",2926.2807=0,2904.97147=0),"-",2904.97147/2926.2807*100)</f>
        <v>99.271798156615674</v>
      </c>
    </row>
    <row r="10" spans="1:7" x14ac:dyDescent="0.25">
      <c r="A10" s="37" t="s">
        <v>232</v>
      </c>
      <c r="B10" s="38" t="s">
        <v>190</v>
      </c>
      <c r="C10" s="34">
        <v>-22809.22034</v>
      </c>
      <c r="D10" s="34">
        <v>-35879.048929999997</v>
      </c>
      <c r="E10" s="95" t="s">
        <v>104</v>
      </c>
    </row>
    <row r="11" spans="1:7" x14ac:dyDescent="0.25">
      <c r="A11" s="37" t="s">
        <v>233</v>
      </c>
      <c r="B11" s="38" t="s">
        <v>191</v>
      </c>
      <c r="C11" s="34">
        <v>-45722.954830000002</v>
      </c>
      <c r="D11" s="34">
        <v>-51887.402929999997</v>
      </c>
      <c r="E11" s="95">
        <f>IF(OR(-45722.95483="",-51887.40293="",-45722.95483=0,-51887.40293=0),"-",-51887.40293/-45722.95483*100)</f>
        <v>113.48217350107772</v>
      </c>
    </row>
    <row r="12" spans="1:7" x14ac:dyDescent="0.25">
      <c r="A12" s="37" t="s">
        <v>234</v>
      </c>
      <c r="B12" s="38" t="s">
        <v>192</v>
      </c>
      <c r="C12" s="34">
        <v>-34791.364750000001</v>
      </c>
      <c r="D12" s="34">
        <v>-44632.764179999998</v>
      </c>
      <c r="E12" s="95">
        <f>IF(OR(-34791.36475="",-44632.76418="",-34791.36475=0,-44632.76418=0),"-",-44632.76418/-34791.36475*100)</f>
        <v>128.28690251364742</v>
      </c>
    </row>
    <row r="13" spans="1:7" x14ac:dyDescent="0.25">
      <c r="A13" s="37" t="s">
        <v>235</v>
      </c>
      <c r="B13" s="38" t="s">
        <v>193</v>
      </c>
      <c r="C13" s="34">
        <v>59838.270190000003</v>
      </c>
      <c r="D13" s="34">
        <v>79583.166400000002</v>
      </c>
      <c r="E13" s="95">
        <f>IF(OR(59838.27019="",79583.1664="",59838.27019=0,79583.1664=0),"-",79583.1664/59838.27019*100)</f>
        <v>132.99710393917724</v>
      </c>
    </row>
    <row r="14" spans="1:7" x14ac:dyDescent="0.25">
      <c r="A14" s="37" t="s">
        <v>236</v>
      </c>
      <c r="B14" s="38" t="s">
        <v>194</v>
      </c>
      <c r="C14" s="34">
        <v>86774.067689999996</v>
      </c>
      <c r="D14" s="34">
        <v>53656.583149999999</v>
      </c>
      <c r="E14" s="95">
        <f>IF(OR(86774.06769="",53656.58315="",86774.06769=0,53656.58315=0),"-",53656.58315/86774.06769*100)</f>
        <v>61.834813762203609</v>
      </c>
    </row>
    <row r="15" spans="1:7" x14ac:dyDescent="0.25">
      <c r="A15" s="37" t="s">
        <v>237</v>
      </c>
      <c r="B15" s="38" t="s">
        <v>152</v>
      </c>
      <c r="C15" s="34">
        <v>2050.8769900000002</v>
      </c>
      <c r="D15" s="34">
        <v>-1204.19615</v>
      </c>
      <c r="E15" s="95" t="s">
        <v>22</v>
      </c>
    </row>
    <row r="16" spans="1:7" ht="25.5" x14ac:dyDescent="0.25">
      <c r="A16" s="37" t="s">
        <v>238</v>
      </c>
      <c r="B16" s="38" t="s">
        <v>195</v>
      </c>
      <c r="C16" s="34">
        <v>-27653.930039999999</v>
      </c>
      <c r="D16" s="34">
        <v>-33536.528789999997</v>
      </c>
      <c r="E16" s="95">
        <f>IF(OR(-27653.93004="",-33536.52879="",-27653.93004=0,-33536.52879=0),"-",-33536.52879/-27653.93004*100)</f>
        <v>121.27219798954837</v>
      </c>
    </row>
    <row r="17" spans="1:5" ht="25.5" x14ac:dyDescent="0.25">
      <c r="A17" s="37" t="s">
        <v>239</v>
      </c>
      <c r="B17" s="38" t="s">
        <v>153</v>
      </c>
      <c r="C17" s="34">
        <v>-8073.3299500000003</v>
      </c>
      <c r="D17" s="34">
        <v>-20853.58064</v>
      </c>
      <c r="E17" s="95" t="s">
        <v>299</v>
      </c>
    </row>
    <row r="18" spans="1:5" x14ac:dyDescent="0.25">
      <c r="A18" s="37" t="s">
        <v>240</v>
      </c>
      <c r="B18" s="38" t="s">
        <v>196</v>
      </c>
      <c r="C18" s="34">
        <v>-48488.930719999997</v>
      </c>
      <c r="D18" s="34">
        <v>-63165.310570000001</v>
      </c>
      <c r="E18" s="95">
        <f>IF(OR(-48488.93072="",-63165.31057="",-48488.93072=0,-63165.31057=0),"-",-63165.31057/-48488.93072*100)</f>
        <v>130.26748503642813</v>
      </c>
    </row>
    <row r="19" spans="1:5" x14ac:dyDescent="0.25">
      <c r="A19" s="35" t="s">
        <v>241</v>
      </c>
      <c r="B19" s="36" t="s">
        <v>197</v>
      </c>
      <c r="C19" s="33">
        <v>47535.455849999998</v>
      </c>
      <c r="D19" s="33">
        <v>46514.438869999998</v>
      </c>
      <c r="E19" s="94">
        <f>IF(47535.45585="","-",46514.43887/47535.45585*100)</f>
        <v>97.852093849227288</v>
      </c>
    </row>
    <row r="20" spans="1:5" x14ac:dyDescent="0.25">
      <c r="A20" s="37" t="s">
        <v>242</v>
      </c>
      <c r="B20" s="38" t="s">
        <v>198</v>
      </c>
      <c r="C20" s="34">
        <v>73984.13682</v>
      </c>
      <c r="D20" s="34">
        <v>70177.246549999996</v>
      </c>
      <c r="E20" s="95">
        <f>IF(OR(73984.13682="",70177.24655="",73984.13682=0,70177.24655=0),"-",70177.24655/73984.13682*100)</f>
        <v>94.854450651682271</v>
      </c>
    </row>
    <row r="21" spans="1:5" x14ac:dyDescent="0.25">
      <c r="A21" s="37" t="s">
        <v>243</v>
      </c>
      <c r="B21" s="38" t="s">
        <v>199</v>
      </c>
      <c r="C21" s="34">
        <v>-26448.680970000001</v>
      </c>
      <c r="D21" s="34">
        <v>-23662.807680000002</v>
      </c>
      <c r="E21" s="95">
        <f>IF(OR(-26448.68097="",-23662.80768="",-26448.68097=0,-23662.80768=0),"-",-23662.80768/-26448.68097*100)</f>
        <v>89.466872494851685</v>
      </c>
    </row>
    <row r="22" spans="1:5" ht="25.5" x14ac:dyDescent="0.25">
      <c r="A22" s="35" t="s">
        <v>244</v>
      </c>
      <c r="B22" s="36" t="s">
        <v>24</v>
      </c>
      <c r="C22" s="33">
        <v>34146.812769999997</v>
      </c>
      <c r="D22" s="33">
        <v>55028.074000000001</v>
      </c>
      <c r="E22" s="94" t="s">
        <v>104</v>
      </c>
    </row>
    <row r="23" spans="1:5" x14ac:dyDescent="0.25">
      <c r="A23" s="37" t="s">
        <v>245</v>
      </c>
      <c r="B23" s="38" t="s">
        <v>206</v>
      </c>
      <c r="C23" s="34">
        <v>805.19316000000003</v>
      </c>
      <c r="D23" s="34">
        <v>867.11423000000002</v>
      </c>
      <c r="E23" s="95">
        <f>IF(OR(805.19316="",867.11423="",805.19316=0,867.11423=0),"-",867.11423/805.19316*100)</f>
        <v>107.6902131160677</v>
      </c>
    </row>
    <row r="24" spans="1:5" x14ac:dyDescent="0.25">
      <c r="A24" s="37" t="s">
        <v>246</v>
      </c>
      <c r="B24" s="38" t="s">
        <v>200</v>
      </c>
      <c r="C24" s="34">
        <v>75897.273700000005</v>
      </c>
      <c r="D24" s="34">
        <v>74412.652969999996</v>
      </c>
      <c r="E24" s="95">
        <f>IF(OR(75897.2737="",74412.65297="",75897.2737=0,74412.65297=0),"-",74412.65297/75897.2737*100)</f>
        <v>98.043907695725295</v>
      </c>
    </row>
    <row r="25" spans="1:5" ht="17.25" customHeight="1" x14ac:dyDescent="0.25">
      <c r="A25" s="37" t="s">
        <v>300</v>
      </c>
      <c r="B25" s="38" t="s">
        <v>201</v>
      </c>
      <c r="C25" s="34">
        <v>-854.89985000000001</v>
      </c>
      <c r="D25" s="34">
        <v>-1534.59203</v>
      </c>
      <c r="E25" s="95" t="s">
        <v>212</v>
      </c>
    </row>
    <row r="26" spans="1:5" x14ac:dyDescent="0.25">
      <c r="A26" s="37" t="s">
        <v>247</v>
      </c>
      <c r="B26" s="38" t="s">
        <v>202</v>
      </c>
      <c r="C26" s="34">
        <v>-23207.36218</v>
      </c>
      <c r="D26" s="34">
        <v>-31438.288960000002</v>
      </c>
      <c r="E26" s="95">
        <f>IF(OR(-23207.36218="",-31438.28896="",-23207.36218=0,-31438.28896=0),"-",-31438.28896/-23207.36218*100)</f>
        <v>135.46687777852401</v>
      </c>
    </row>
    <row r="27" spans="1:5" x14ac:dyDescent="0.25">
      <c r="A27" s="37" t="s">
        <v>248</v>
      </c>
      <c r="B27" s="38" t="s">
        <v>154</v>
      </c>
      <c r="C27" s="34">
        <v>935.11359000000004</v>
      </c>
      <c r="D27" s="34">
        <v>2955.05717</v>
      </c>
      <c r="E27" s="95" t="s">
        <v>393</v>
      </c>
    </row>
    <row r="28" spans="1:5" ht="38.25" x14ac:dyDescent="0.25">
      <c r="A28" s="37" t="s">
        <v>249</v>
      </c>
      <c r="B28" s="38" t="s">
        <v>155</v>
      </c>
      <c r="C28" s="34">
        <v>-4430.69578</v>
      </c>
      <c r="D28" s="34">
        <v>-6399.6607299999996</v>
      </c>
      <c r="E28" s="95">
        <f>IF(OR(-4430.69578="",-6399.66073="",-4430.69578=0,-6399.66073=0),"-",-6399.66073/-4430.69578*100)</f>
        <v>144.43918173953256</v>
      </c>
    </row>
    <row r="29" spans="1:5" ht="25.5" x14ac:dyDescent="0.25">
      <c r="A29" s="37" t="s">
        <v>250</v>
      </c>
      <c r="B29" s="38" t="s">
        <v>156</v>
      </c>
      <c r="C29" s="34">
        <v>-4778.6474699999999</v>
      </c>
      <c r="D29" s="34">
        <v>-7620.5714099999996</v>
      </c>
      <c r="E29" s="95" t="s">
        <v>104</v>
      </c>
    </row>
    <row r="30" spans="1:5" x14ac:dyDescent="0.25">
      <c r="A30" s="37" t="s">
        <v>251</v>
      </c>
      <c r="B30" s="38" t="s">
        <v>157</v>
      </c>
      <c r="C30" s="34">
        <v>11126.46458</v>
      </c>
      <c r="D30" s="34">
        <v>55842.628790000002</v>
      </c>
      <c r="E30" s="95" t="s">
        <v>405</v>
      </c>
    </row>
    <row r="31" spans="1:5" x14ac:dyDescent="0.25">
      <c r="A31" s="37" t="s">
        <v>252</v>
      </c>
      <c r="B31" s="38" t="s">
        <v>158</v>
      </c>
      <c r="C31" s="34">
        <v>-21345.626980000001</v>
      </c>
      <c r="D31" s="34">
        <v>-32056.266029999999</v>
      </c>
      <c r="E31" s="95" t="s">
        <v>224</v>
      </c>
    </row>
    <row r="32" spans="1:5" ht="15.75" customHeight="1" x14ac:dyDescent="0.25">
      <c r="A32" s="35" t="s">
        <v>253</v>
      </c>
      <c r="B32" s="36" t="s">
        <v>159</v>
      </c>
      <c r="C32" s="33">
        <v>-379040.95176999999</v>
      </c>
      <c r="D32" s="33">
        <v>-537395.58722999995</v>
      </c>
      <c r="E32" s="94">
        <f>IF(-379040.95177="","-",-537395.58723/-379040.95177*100)</f>
        <v>141.77771154291759</v>
      </c>
    </row>
    <row r="33" spans="1:5" x14ac:dyDescent="0.25">
      <c r="A33" s="37" t="s">
        <v>254</v>
      </c>
      <c r="B33" s="38" t="s">
        <v>203</v>
      </c>
      <c r="C33" s="34">
        <v>-10337.579890000001</v>
      </c>
      <c r="D33" s="34">
        <v>-9120.0028500000008</v>
      </c>
      <c r="E33" s="95">
        <f>IF(OR(-10337.57989="",-9120.00285="",-10337.57989=0,-9120.00285=0),"-",-9120.00285/-10337.57989*100)</f>
        <v>88.22183670688905</v>
      </c>
    </row>
    <row r="34" spans="1:5" x14ac:dyDescent="0.25">
      <c r="A34" s="37" t="s">
        <v>255</v>
      </c>
      <c r="B34" s="38" t="s">
        <v>160</v>
      </c>
      <c r="C34" s="34">
        <v>-234457.98206000001</v>
      </c>
      <c r="D34" s="34">
        <v>-361076.88974000001</v>
      </c>
      <c r="E34" s="95" t="s">
        <v>224</v>
      </c>
    </row>
    <row r="35" spans="1:5" x14ac:dyDescent="0.25">
      <c r="A35" s="37" t="s">
        <v>301</v>
      </c>
      <c r="B35" s="38" t="s">
        <v>204</v>
      </c>
      <c r="C35" s="34">
        <v>-126139.14856</v>
      </c>
      <c r="D35" s="34">
        <v>-159822.35991999999</v>
      </c>
      <c r="E35" s="95">
        <f>IF(OR(-126139.14856="",-159822.35992="",-126139.14856=0,-159822.35992=0),"-",-159822.35992/-126139.14856*100)</f>
        <v>126.70321763269081</v>
      </c>
    </row>
    <row r="36" spans="1:5" x14ac:dyDescent="0.25">
      <c r="A36" s="37" t="s">
        <v>311</v>
      </c>
      <c r="B36" s="38" t="s">
        <v>314</v>
      </c>
      <c r="C36" s="34">
        <v>-8106.2412599999998</v>
      </c>
      <c r="D36" s="34">
        <v>-7376.3347199999998</v>
      </c>
      <c r="E36" s="95">
        <f>IF(OR(-8106.24126="",-7376.33472="",-8106.24126=0,-7376.33472=0),"-",-7376.33472/-8106.24126*100)</f>
        <v>90.995746159176122</v>
      </c>
    </row>
    <row r="37" spans="1:5" ht="25.5" x14ac:dyDescent="0.25">
      <c r="A37" s="35" t="s">
        <v>256</v>
      </c>
      <c r="B37" s="36" t="s">
        <v>161</v>
      </c>
      <c r="C37" s="33">
        <v>63320.072959999998</v>
      </c>
      <c r="D37" s="33">
        <v>35943.804830000001</v>
      </c>
      <c r="E37" s="94">
        <f>IF(63320.07296="","-",35943.80483/63320.07296*100)</f>
        <v>56.765261235100141</v>
      </c>
    </row>
    <row r="38" spans="1:5" x14ac:dyDescent="0.25">
      <c r="A38" s="37" t="s">
        <v>257</v>
      </c>
      <c r="B38" s="38" t="s">
        <v>207</v>
      </c>
      <c r="C38" s="34">
        <v>-1021.2225100000001</v>
      </c>
      <c r="D38" s="34">
        <v>-1174.1780900000001</v>
      </c>
      <c r="E38" s="95">
        <f>IF(OR(-1021.22251="",-1174.17809="",-1021.22251=0,-1174.17809=0),"-",-1174.17809/-1021.22251*100)</f>
        <v>114.97769374472561</v>
      </c>
    </row>
    <row r="39" spans="1:5" ht="14.25" customHeight="1" x14ac:dyDescent="0.25">
      <c r="A39" s="37" t="s">
        <v>258</v>
      </c>
      <c r="B39" s="38" t="s">
        <v>162</v>
      </c>
      <c r="C39" s="34">
        <v>65418.327689999998</v>
      </c>
      <c r="D39" s="34">
        <v>38432.850140000002</v>
      </c>
      <c r="E39" s="95">
        <f>IF(OR(65418.32769="",38432.85014="",65418.32769=0,38432.85014=0),"-",38432.85014/65418.32769*100)</f>
        <v>58.749361986327472</v>
      </c>
    </row>
    <row r="40" spans="1:5" ht="51" x14ac:dyDescent="0.25">
      <c r="A40" s="37" t="s">
        <v>259</v>
      </c>
      <c r="B40" s="38" t="s">
        <v>205</v>
      </c>
      <c r="C40" s="34">
        <v>-1077.0322200000001</v>
      </c>
      <c r="D40" s="34">
        <v>-1314.8672200000001</v>
      </c>
      <c r="E40" s="95">
        <f>IF(OR(-1077.03222="",-1314.86722="",-1077.03222=0,-1314.86722=0),"-",-1314.86722/-1077.03222*100)</f>
        <v>122.08244057916858</v>
      </c>
    </row>
    <row r="41" spans="1:5" ht="15" customHeight="1" x14ac:dyDescent="0.25">
      <c r="A41" s="35" t="s">
        <v>260</v>
      </c>
      <c r="B41" s="36" t="s">
        <v>163</v>
      </c>
      <c r="C41" s="33">
        <v>-455536.03541000001</v>
      </c>
      <c r="D41" s="33">
        <v>-578076.81642000005</v>
      </c>
      <c r="E41" s="94">
        <f>IF(-455536.03541="","-",-578076.81642/-455536.03541*100)</f>
        <v>126.90034848718579</v>
      </c>
    </row>
    <row r="42" spans="1:5" x14ac:dyDescent="0.25">
      <c r="A42" s="37" t="s">
        <v>261</v>
      </c>
      <c r="B42" s="38" t="s">
        <v>25</v>
      </c>
      <c r="C42" s="34">
        <v>23782.010060000001</v>
      </c>
      <c r="D42" s="34">
        <v>12479.44772</v>
      </c>
      <c r="E42" s="95">
        <f>IF(OR(23782.01006="",12479.44772="",23782.01006=0,12479.44772=0),"-",12479.44772/23782.01006*100)</f>
        <v>52.474318564811838</v>
      </c>
    </row>
    <row r="43" spans="1:5" x14ac:dyDescent="0.25">
      <c r="A43" s="37" t="s">
        <v>262</v>
      </c>
      <c r="B43" s="38" t="s">
        <v>26</v>
      </c>
      <c r="C43" s="34">
        <v>-9987.2336099999993</v>
      </c>
      <c r="D43" s="34">
        <v>-10085.783799999999</v>
      </c>
      <c r="E43" s="95">
        <f>IF(OR(-9987.23361="",-10085.7838="",-9987.23361=0,-10085.7838=0),"-",-10085.7838/-9987.23361*100)</f>
        <v>100.98676163839127</v>
      </c>
    </row>
    <row r="44" spans="1:5" x14ac:dyDescent="0.25">
      <c r="A44" s="37" t="s">
        <v>263</v>
      </c>
      <c r="B44" s="38" t="s">
        <v>164</v>
      </c>
      <c r="C44" s="34">
        <v>-26098.126749999999</v>
      </c>
      <c r="D44" s="34">
        <v>-31586.215499999998</v>
      </c>
      <c r="E44" s="95">
        <f>IF(OR(-26098.12675="",-31586.2155="",-26098.12675=0,-31586.2155=0),"-",-31586.2155/-26098.12675*100)</f>
        <v>121.0286692319785</v>
      </c>
    </row>
    <row r="45" spans="1:5" x14ac:dyDescent="0.25">
      <c r="A45" s="37" t="s">
        <v>264</v>
      </c>
      <c r="B45" s="38" t="s">
        <v>165</v>
      </c>
      <c r="C45" s="34">
        <v>-118784.06543</v>
      </c>
      <c r="D45" s="34">
        <v>-152465.0803</v>
      </c>
      <c r="E45" s="95">
        <f>IF(OR(-118784.06543="",-152465.0803="",-118784.06543=0,-152465.0803=0),"-",-152465.0803/-118784.06543*100)</f>
        <v>128.35482583297198</v>
      </c>
    </row>
    <row r="46" spans="1:5" ht="38.25" x14ac:dyDescent="0.25">
      <c r="A46" s="37" t="s">
        <v>265</v>
      </c>
      <c r="B46" s="38" t="s">
        <v>166</v>
      </c>
      <c r="C46" s="34">
        <v>-61992.291380000002</v>
      </c>
      <c r="D46" s="34">
        <v>-80920.460850000003</v>
      </c>
      <c r="E46" s="95">
        <f>IF(OR(-61992.29138="",-80920.46085="",-61992.29138=0,-80920.46085=0),"-",-80920.46085/-61992.29138*100)</f>
        <v>130.53310185612307</v>
      </c>
    </row>
    <row r="47" spans="1:5" x14ac:dyDescent="0.25">
      <c r="A47" s="37" t="s">
        <v>266</v>
      </c>
      <c r="B47" s="38" t="s">
        <v>167</v>
      </c>
      <c r="C47" s="34">
        <v>-60172.379840000001</v>
      </c>
      <c r="D47" s="34">
        <v>-58297.695950000001</v>
      </c>
      <c r="E47" s="95">
        <f>IF(OR(-60172.37984="",-58297.69595="",-60172.37984=0,-58297.69595=0),"-",-58297.69595/-60172.37984*100)</f>
        <v>96.884477737153091</v>
      </c>
    </row>
    <row r="48" spans="1:5" x14ac:dyDescent="0.25">
      <c r="A48" s="37" t="s">
        <v>267</v>
      </c>
      <c r="B48" s="38" t="s">
        <v>27</v>
      </c>
      <c r="C48" s="34">
        <v>-28641.147440000001</v>
      </c>
      <c r="D48" s="34">
        <v>-43063.81957</v>
      </c>
      <c r="E48" s="95" t="s">
        <v>224</v>
      </c>
    </row>
    <row r="49" spans="1:5" x14ac:dyDescent="0.25">
      <c r="A49" s="37" t="s">
        <v>268</v>
      </c>
      <c r="B49" s="38" t="s">
        <v>28</v>
      </c>
      <c r="C49" s="34">
        <v>-71507.805980000005</v>
      </c>
      <c r="D49" s="34">
        <v>-98730.72666</v>
      </c>
      <c r="E49" s="95">
        <f>IF(OR(-71507.80598="",-98730.72666="",-71507.80598=0,-98730.72666=0),"-",-98730.72666/-71507.80598*100)</f>
        <v>138.06985867754628</v>
      </c>
    </row>
    <row r="50" spans="1:5" x14ac:dyDescent="0.25">
      <c r="A50" s="37" t="s">
        <v>269</v>
      </c>
      <c r="B50" s="38" t="s">
        <v>168</v>
      </c>
      <c r="C50" s="34">
        <v>-102134.99503999999</v>
      </c>
      <c r="D50" s="34">
        <v>-115406.48151</v>
      </c>
      <c r="E50" s="95">
        <f>IF(OR(-102134.99504="",-115406.48151="",-102134.99504=0,-115406.48151=0),"-",-115406.48151/-102134.99504*100)</f>
        <v>112.99406385128073</v>
      </c>
    </row>
    <row r="51" spans="1:5" ht="25.5" x14ac:dyDescent="0.25">
      <c r="A51" s="35" t="s">
        <v>270</v>
      </c>
      <c r="B51" s="36" t="s">
        <v>406</v>
      </c>
      <c r="C51" s="33">
        <v>-542351.04368999996</v>
      </c>
      <c r="D51" s="33">
        <v>-677774.00083000003</v>
      </c>
      <c r="E51" s="94">
        <f>IF(-542351.04369="","-",-677774.00083/-542351.04369*100)</f>
        <v>124.96961307912701</v>
      </c>
    </row>
    <row r="52" spans="1:5" x14ac:dyDescent="0.25">
      <c r="A52" s="37" t="s">
        <v>271</v>
      </c>
      <c r="B52" s="38" t="s">
        <v>169</v>
      </c>
      <c r="C52" s="34">
        <v>-26731.584920000001</v>
      </c>
      <c r="D52" s="34">
        <v>-36256.161139999997</v>
      </c>
      <c r="E52" s="95">
        <f>IF(OR(-26731.58492="",-36256.16114="",-26731.58492=0,-36256.16114=0),"-",-36256.16114/-26731.58492*100)</f>
        <v>135.63042089911366</v>
      </c>
    </row>
    <row r="53" spans="1:5" x14ac:dyDescent="0.25">
      <c r="A53" s="37" t="s">
        <v>272</v>
      </c>
      <c r="B53" s="38" t="s">
        <v>29</v>
      </c>
      <c r="C53" s="34">
        <v>-33838.587310000003</v>
      </c>
      <c r="D53" s="34">
        <v>-41516.358520000002</v>
      </c>
      <c r="E53" s="95">
        <f>IF(OR(-33838.58731="",-41516.35852="",-33838.58731=0,-41516.35852=0),"-",-41516.35852/-33838.58731*100)</f>
        <v>122.68939639726348</v>
      </c>
    </row>
    <row r="54" spans="1:5" x14ac:dyDescent="0.25">
      <c r="A54" s="37" t="s">
        <v>273</v>
      </c>
      <c r="B54" s="38" t="s">
        <v>170</v>
      </c>
      <c r="C54" s="34">
        <v>-41417.963880000003</v>
      </c>
      <c r="D54" s="34">
        <v>-53705.844770000003</v>
      </c>
      <c r="E54" s="95">
        <f>IF(OR(-41417.96388="",-53705.84477="",-41417.96388=0,-53705.84477=0),"-",-53705.84477/-41417.96388*100)</f>
        <v>129.66799846946026</v>
      </c>
    </row>
    <row r="55" spans="1:5" ht="25.5" x14ac:dyDescent="0.25">
      <c r="A55" s="37" t="s">
        <v>274</v>
      </c>
      <c r="B55" s="38" t="s">
        <v>171</v>
      </c>
      <c r="C55" s="34">
        <v>-53463.94227</v>
      </c>
      <c r="D55" s="34">
        <v>-62568.697769999999</v>
      </c>
      <c r="E55" s="95">
        <f>IF(OR(-53463.9422699999="",-62568.69777="",-53463.9422699999=0,-62568.69777=0),"-",-62568.69777/-53463.9422699999*100)</f>
        <v>117.02971220120637</v>
      </c>
    </row>
    <row r="56" spans="1:5" ht="25.5" x14ac:dyDescent="0.25">
      <c r="A56" s="37" t="s">
        <v>275</v>
      </c>
      <c r="B56" s="38" t="s">
        <v>172</v>
      </c>
      <c r="C56" s="34">
        <v>-123529.05677</v>
      </c>
      <c r="D56" s="34">
        <v>-157167.02940999999</v>
      </c>
      <c r="E56" s="95">
        <f>IF(OR(-123529.05677="",-157167.02941="",-123529.05677=0,-157167.02941=0),"-",-157167.02941/-123529.05677*100)</f>
        <v>127.23081801120757</v>
      </c>
    </row>
    <row r="57" spans="1:5" x14ac:dyDescent="0.25">
      <c r="A57" s="37" t="s">
        <v>276</v>
      </c>
      <c r="B57" s="38" t="s">
        <v>30</v>
      </c>
      <c r="C57" s="34">
        <v>-55660.110849999997</v>
      </c>
      <c r="D57" s="34">
        <v>-63048.075080000002</v>
      </c>
      <c r="E57" s="95">
        <f>IF(OR(-55660.11085="",-63048.07508="",-55660.11085=0,-63048.07508=0),"-",-63048.07508/-55660.11085*100)</f>
        <v>113.27335522185724</v>
      </c>
    </row>
    <row r="58" spans="1:5" x14ac:dyDescent="0.25">
      <c r="A58" s="37" t="s">
        <v>277</v>
      </c>
      <c r="B58" s="38" t="s">
        <v>173</v>
      </c>
      <c r="C58" s="34">
        <v>-83781.102249999996</v>
      </c>
      <c r="D58" s="34">
        <v>-103784.0831</v>
      </c>
      <c r="E58" s="95">
        <f>IF(OR(-83781.10225="",-103784.0831="",-83781.10225=0,-103784.0831=0),"-",-103784.0831/-83781.10225*100)</f>
        <v>123.87528966891817</v>
      </c>
    </row>
    <row r="59" spans="1:5" x14ac:dyDescent="0.25">
      <c r="A59" s="37" t="s">
        <v>278</v>
      </c>
      <c r="B59" s="38" t="s">
        <v>31</v>
      </c>
      <c r="C59" s="34">
        <v>-38876.710460000002</v>
      </c>
      <c r="D59" s="34">
        <v>-49736.33812</v>
      </c>
      <c r="E59" s="95">
        <f>IF(OR(-38876.71046="",-49736.33812="",-38876.71046=0,-49736.33812=0),"-",-49736.33812/-38876.71046*100)</f>
        <v>127.93350448509115</v>
      </c>
    </row>
    <row r="60" spans="1:5" x14ac:dyDescent="0.25">
      <c r="A60" s="37" t="s">
        <v>279</v>
      </c>
      <c r="B60" s="38" t="s">
        <v>32</v>
      </c>
      <c r="C60" s="34">
        <v>-85051.984979999994</v>
      </c>
      <c r="D60" s="34">
        <v>-109991.41292</v>
      </c>
      <c r="E60" s="95">
        <f>IF(OR(-85051.98498="",-109991.41292="",-85051.98498=0,-109991.41292=0),"-",-109991.41292/-85051.98498*100)</f>
        <v>129.32257012680483</v>
      </c>
    </row>
    <row r="61" spans="1:5" x14ac:dyDescent="0.25">
      <c r="A61" s="35" t="s">
        <v>280</v>
      </c>
      <c r="B61" s="36" t="s">
        <v>174</v>
      </c>
      <c r="C61" s="33">
        <v>-509491.32107000001</v>
      </c>
      <c r="D61" s="33">
        <v>-699155.26107000001</v>
      </c>
      <c r="E61" s="94">
        <f>IF(-509491.32107="","-",-699155.26107/-509491.32107*100)</f>
        <v>137.22613755258487</v>
      </c>
    </row>
    <row r="62" spans="1:5" ht="16.5" customHeight="1" x14ac:dyDescent="0.25">
      <c r="A62" s="37" t="s">
        <v>281</v>
      </c>
      <c r="B62" s="38" t="s">
        <v>175</v>
      </c>
      <c r="C62" s="34">
        <v>-9316.3467600000004</v>
      </c>
      <c r="D62" s="34">
        <v>-16940.933369999999</v>
      </c>
      <c r="E62" s="95" t="s">
        <v>212</v>
      </c>
    </row>
    <row r="63" spans="1:5" ht="25.5" x14ac:dyDescent="0.25">
      <c r="A63" s="37" t="s">
        <v>282</v>
      </c>
      <c r="B63" s="38" t="s">
        <v>176</v>
      </c>
      <c r="C63" s="34">
        <v>-98832.308659999995</v>
      </c>
      <c r="D63" s="34">
        <v>-138725.77241000001</v>
      </c>
      <c r="E63" s="95">
        <f>IF(OR(-98832.30866="",-138725.77241="",-98832.30866=0,-138725.77241=0),"-",-138725.77241/-98832.30866*100)</f>
        <v>140.36480002429198</v>
      </c>
    </row>
    <row r="64" spans="1:5" x14ac:dyDescent="0.25">
      <c r="A64" s="37" t="s">
        <v>283</v>
      </c>
      <c r="B64" s="38" t="s">
        <v>177</v>
      </c>
      <c r="C64" s="34">
        <v>-7043.4452899999997</v>
      </c>
      <c r="D64" s="34">
        <v>-8802.6022099999991</v>
      </c>
      <c r="E64" s="95">
        <f>IF(OR(-7043.44529="",-8802.60221="",-7043.44529=0,-8802.60221=0),"-",-8802.60221/-7043.44529*100)</f>
        <v>124.97580157962722</v>
      </c>
    </row>
    <row r="65" spans="1:5" ht="25.5" x14ac:dyDescent="0.25">
      <c r="A65" s="37" t="s">
        <v>284</v>
      </c>
      <c r="B65" s="38" t="s">
        <v>178</v>
      </c>
      <c r="C65" s="34">
        <v>-116328.70456</v>
      </c>
      <c r="D65" s="34">
        <v>-143572.50943999999</v>
      </c>
      <c r="E65" s="95">
        <f>IF(OR(-116328.70456="",-143572.50944="",-116328.70456=0,-143572.50944=0),"-",-143572.50944/-116328.70456*100)</f>
        <v>123.41967529256563</v>
      </c>
    </row>
    <row r="66" spans="1:5" ht="27.75" customHeight="1" x14ac:dyDescent="0.25">
      <c r="A66" s="37" t="s">
        <v>285</v>
      </c>
      <c r="B66" s="38" t="s">
        <v>179</v>
      </c>
      <c r="C66" s="34">
        <v>-29473.614119999998</v>
      </c>
      <c r="D66" s="34">
        <v>-47281.829949999999</v>
      </c>
      <c r="E66" s="95" t="s">
        <v>104</v>
      </c>
    </row>
    <row r="67" spans="1:5" ht="29.25" customHeight="1" x14ac:dyDescent="0.25">
      <c r="A67" s="37" t="s">
        <v>286</v>
      </c>
      <c r="B67" s="38" t="s">
        <v>180</v>
      </c>
      <c r="C67" s="34">
        <v>-93256.324170000007</v>
      </c>
      <c r="D67" s="34">
        <v>-116330.30389</v>
      </c>
      <c r="E67" s="95">
        <f>IF(OR(-93256.32417="",-116330.30389="",-93256.32417=0,-116330.30389=0),"-",-116330.30389/-93256.32417*100)</f>
        <v>124.74253615008209</v>
      </c>
    </row>
    <row r="68" spans="1:5" ht="15" customHeight="1" x14ac:dyDescent="0.25">
      <c r="A68" s="37" t="s">
        <v>287</v>
      </c>
      <c r="B68" s="38" t="s">
        <v>181</v>
      </c>
      <c r="C68" s="34">
        <v>50237.729099999997</v>
      </c>
      <c r="D68" s="34">
        <v>14583.329</v>
      </c>
      <c r="E68" s="95">
        <f>IF(OR(50237.7291="",14583.329="",50237.7291=0,14583.329=0),"-",14583.329/50237.7291*100)</f>
        <v>29.028638955736557</v>
      </c>
    </row>
    <row r="69" spans="1:5" x14ac:dyDescent="0.25">
      <c r="A69" s="37" t="s">
        <v>288</v>
      </c>
      <c r="B69" s="38" t="s">
        <v>182</v>
      </c>
      <c r="C69" s="34">
        <v>-153953.35725</v>
      </c>
      <c r="D69" s="34">
        <v>-240474.42634999999</v>
      </c>
      <c r="E69" s="95" t="s">
        <v>104</v>
      </c>
    </row>
    <row r="70" spans="1:5" x14ac:dyDescent="0.25">
      <c r="A70" s="37" t="s">
        <v>289</v>
      </c>
      <c r="B70" s="38" t="s">
        <v>33</v>
      </c>
      <c r="C70" s="34">
        <v>-51524.949359999999</v>
      </c>
      <c r="D70" s="34">
        <v>-1610.21245</v>
      </c>
      <c r="E70" s="95">
        <f>IF(OR(-51524.94936="",-1610.21245="",-51524.94936=0,-1610.21245=0),"-",-1610.21245/-51524.94936*100)</f>
        <v>3.1251121447002235</v>
      </c>
    </row>
    <row r="71" spans="1:5" x14ac:dyDescent="0.25">
      <c r="A71" s="35" t="s">
        <v>290</v>
      </c>
      <c r="B71" s="36" t="s">
        <v>34</v>
      </c>
      <c r="C71" s="33">
        <v>-21527.223190000001</v>
      </c>
      <c r="D71" s="33">
        <v>-125054.20895</v>
      </c>
      <c r="E71" s="94" t="s">
        <v>328</v>
      </c>
    </row>
    <row r="72" spans="1:5" ht="25.5" x14ac:dyDescent="0.25">
      <c r="A72" s="37" t="s">
        <v>291</v>
      </c>
      <c r="B72" s="38" t="s">
        <v>208</v>
      </c>
      <c r="C72" s="34">
        <v>-22240.635109999999</v>
      </c>
      <c r="D72" s="34">
        <v>-32713.86087</v>
      </c>
      <c r="E72" s="95">
        <f>IF(OR(-22240.63511="",-32713.86087="",-22240.63511=0,-32713.86087=0),"-",-32713.86087/-22240.63511*100)</f>
        <v>147.09049767778868</v>
      </c>
    </row>
    <row r="73" spans="1:5" x14ac:dyDescent="0.25">
      <c r="A73" s="37" t="s">
        <v>292</v>
      </c>
      <c r="B73" s="38" t="s">
        <v>183</v>
      </c>
      <c r="C73" s="34">
        <v>45728.697480000003</v>
      </c>
      <c r="D73" s="34">
        <v>57699.074780000003</v>
      </c>
      <c r="E73" s="95">
        <f>IF(OR(45728.69748="",57699.07478="",45728.69748=0,57699.07478=0),"-",57699.07478/45728.69748*100)</f>
        <v>126.17694786787965</v>
      </c>
    </row>
    <row r="74" spans="1:5" x14ac:dyDescent="0.25">
      <c r="A74" s="37" t="s">
        <v>293</v>
      </c>
      <c r="B74" s="38" t="s">
        <v>184</v>
      </c>
      <c r="C74" s="34">
        <v>2854.2832699999999</v>
      </c>
      <c r="D74" s="34">
        <v>1873.9122400000001</v>
      </c>
      <c r="E74" s="95">
        <f>IF(OR(2854.28327="",1873.91224="",2854.28327=0,1873.91224=0),"-",1873.91224/2854.28327*100)</f>
        <v>65.652637203034175</v>
      </c>
    </row>
    <row r="75" spans="1:5" x14ac:dyDescent="0.25">
      <c r="A75" s="37" t="s">
        <v>294</v>
      </c>
      <c r="B75" s="38" t="s">
        <v>185</v>
      </c>
      <c r="C75" s="34">
        <v>78750.34031</v>
      </c>
      <c r="D75" s="34">
        <v>59835.906779999998</v>
      </c>
      <c r="E75" s="95">
        <f>IF(OR(78750.34031="",59835.90678="",78750.34031=0,59835.90678=0),"-",59835.90678/78750.34031*100)</f>
        <v>75.981775500215605</v>
      </c>
    </row>
    <row r="76" spans="1:5" x14ac:dyDescent="0.25">
      <c r="A76" s="37" t="s">
        <v>295</v>
      </c>
      <c r="B76" s="38" t="s">
        <v>186</v>
      </c>
      <c r="C76" s="34">
        <v>-2582.8285099999998</v>
      </c>
      <c r="D76" s="34">
        <v>-7981.4632300000003</v>
      </c>
      <c r="E76" s="95" t="s">
        <v>327</v>
      </c>
    </row>
    <row r="77" spans="1:5" ht="25.5" x14ac:dyDescent="0.25">
      <c r="A77" s="37" t="s">
        <v>296</v>
      </c>
      <c r="B77" s="38" t="s">
        <v>209</v>
      </c>
      <c r="C77" s="34">
        <v>-21958.393169999999</v>
      </c>
      <c r="D77" s="34">
        <v>-47078.816570000003</v>
      </c>
      <c r="E77" s="95" t="s">
        <v>95</v>
      </c>
    </row>
    <row r="78" spans="1:5" ht="25.5" x14ac:dyDescent="0.25">
      <c r="A78" s="37" t="s">
        <v>297</v>
      </c>
      <c r="B78" s="38" t="s">
        <v>187</v>
      </c>
      <c r="C78" s="34">
        <v>-4740.5653000000002</v>
      </c>
      <c r="D78" s="34">
        <v>-8976.6345199999996</v>
      </c>
      <c r="E78" s="95" t="s">
        <v>105</v>
      </c>
    </row>
    <row r="79" spans="1:5" x14ac:dyDescent="0.25">
      <c r="A79" s="37" t="s">
        <v>298</v>
      </c>
      <c r="B79" s="38" t="s">
        <v>35</v>
      </c>
      <c r="C79" s="34">
        <v>-97338.122159999999</v>
      </c>
      <c r="D79" s="34">
        <v>-147712.32756000001</v>
      </c>
      <c r="E79" s="95" t="s">
        <v>224</v>
      </c>
    </row>
    <row r="80" spans="1:5" ht="15.75" customHeight="1" x14ac:dyDescent="0.25">
      <c r="A80" s="46" t="s">
        <v>302</v>
      </c>
      <c r="B80" s="60" t="s">
        <v>188</v>
      </c>
      <c r="C80" s="61">
        <v>229.51177000000001</v>
      </c>
      <c r="D80" s="61">
        <v>247.36793</v>
      </c>
      <c r="E80" s="98">
        <f>IF(229.51177="","-",247.36793/229.51177*100)</f>
        <v>107.78006286997829</v>
      </c>
    </row>
    <row r="81" spans="1:2" x14ac:dyDescent="0.25">
      <c r="A81" s="42" t="s">
        <v>305</v>
      </c>
      <c r="B81" s="44"/>
    </row>
  </sheetData>
  <mergeCells count="6">
    <mergeCell ref="A4:A5"/>
    <mergeCell ref="B1:E1"/>
    <mergeCell ref="B2:E2"/>
    <mergeCell ref="B4:B5"/>
    <mergeCell ref="E4:E5"/>
    <mergeCell ref="C4:D4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Export_Tari</vt:lpstr>
      <vt:lpstr>Import_Tari</vt:lpstr>
      <vt:lpstr>Balanta Comerciala_Tari</vt:lpstr>
      <vt:lpstr>Export_Moduri_Transport</vt:lpstr>
      <vt:lpstr>Import_Moduri_Transport</vt:lpstr>
      <vt:lpstr>Export_Grupe_Marfuri_CSCI</vt:lpstr>
      <vt:lpstr>Import_Grupe_Marfuri_CSCI</vt:lpstr>
      <vt:lpstr>Balanta_Comerciala_Gr_Marf_CSCI</vt:lpstr>
      <vt:lpstr>'Balanta Comerciala_Tari'!Заголовки_для_печати</vt:lpstr>
      <vt:lpstr>Balanta_Comerciala_Gr_Marf_CSCI!Заголовки_для_печати</vt:lpstr>
      <vt:lpstr>Export_Grupe_Marfuri_CSCI!Заголовки_для_печати</vt:lpstr>
      <vt:lpstr>Export_Tari!Заголовки_для_печати</vt:lpstr>
      <vt:lpstr>Import_Grupe_Marfuri_CSCI!Заголовки_для_печати</vt:lpstr>
      <vt:lpstr>Import_Tari!Заголовки_для_печати</vt:lpstr>
    </vt:vector>
  </TitlesOfParts>
  <Company>BNS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Eni</dc:creator>
  <cp:lastModifiedBy>Mariana Eni</cp:lastModifiedBy>
  <cp:lastPrinted>2021-10-13T08:15:00Z</cp:lastPrinted>
  <dcterms:created xsi:type="dcterms:W3CDTF">2016-09-01T07:59:47Z</dcterms:created>
  <dcterms:modified xsi:type="dcterms:W3CDTF">2021-10-13T08:16:42Z</dcterms:modified>
</cp:coreProperties>
</file>